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675" windowHeight="13020" tabRatio="799" firstSheet="7" activeTab="1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r:id="rId11"/>
    <sheet name="10.1 CDM Allocation" sheetId="53" r:id="rId12"/>
    <sheet name="11. Final Load Forecast" sheetId="51" r:id="rId13"/>
    <sheet name="12. Analysis_ Avg Per Cust" sheetId="38" r:id="rId14"/>
    <sheet name="13. Analysis_Weather adj LF" sheetId="47" r:id="rId15"/>
    <sheet name="A - CDM Adjustment" sheetId="54" r:id="rId16"/>
  </sheets>
  <definedNames>
    <definedName name="_xlnm._FilterDatabase" localSheetId="5" hidden="1">'6. WS Regression Analysis'!$A$20:$F$163</definedName>
    <definedName name="AllVariables">'5.Variables'!$B$120:$B$125</definedName>
    <definedName name="_xlnm.Print_Area" localSheetId="4">'5.Variables'!$A$10:$Z$132</definedName>
    <definedName name="_xlnm.Print_Area" localSheetId="5">'6. WS Regression Analysis'!$C$127:$J$139</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workbook>
</file>

<file path=xl/calcChain.xml><?xml version="1.0" encoding="utf-8"?>
<calcChain xmlns="http://schemas.openxmlformats.org/spreadsheetml/2006/main">
  <c r="I54" i="42" l="1"/>
  <c r="G95" i="42" l="1"/>
  <c r="R20" i="4" l="1"/>
  <c r="F95" i="42" l="1"/>
  <c r="G29" i="42" l="1"/>
  <c r="G27" i="42"/>
  <c r="G28" i="42"/>
  <c r="G26" i="42"/>
  <c r="AC144" i="30" l="1"/>
  <c r="AC132" i="30"/>
  <c r="AC120" i="30"/>
  <c r="AC108" i="30"/>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139" i="30"/>
  <c r="AB140" i="30"/>
  <c r="AB141" i="30"/>
  <c r="AB142" i="30"/>
  <c r="AB143" i="30"/>
  <c r="AB144" i="30"/>
  <c r="AC96" i="30"/>
  <c r="AC84"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C128" i="4"/>
  <c r="F29" i="42" l="1"/>
  <c r="F28" i="42"/>
  <c r="F27" i="42"/>
  <c r="F26" i="42"/>
  <c r="E29" i="42"/>
  <c r="E28" i="42"/>
  <c r="E27" i="42"/>
  <c r="E26" i="42"/>
  <c r="D27" i="42"/>
  <c r="D26" i="42"/>
  <c r="C27" i="42"/>
  <c r="C26" i="42"/>
  <c r="B18" i="42"/>
  <c r="F21" i="29" l="1"/>
  <c r="G129" i="4" l="1"/>
  <c r="G130" i="4"/>
  <c r="G131" i="4"/>
  <c r="G132" i="4"/>
  <c r="G133" i="4"/>
  <c r="G134" i="4"/>
  <c r="G135" i="4"/>
  <c r="G136" i="4"/>
  <c r="G137" i="4"/>
  <c r="G138" i="4"/>
  <c r="G139" i="4"/>
  <c r="G128" i="4"/>
  <c r="G117" i="4"/>
  <c r="G118" i="4"/>
  <c r="G119" i="4"/>
  <c r="G120" i="4"/>
  <c r="G121" i="4"/>
  <c r="G122" i="4"/>
  <c r="G123" i="4"/>
  <c r="G124" i="4"/>
  <c r="G125" i="4"/>
  <c r="G126" i="4"/>
  <c r="G127" i="4"/>
  <c r="G116" i="4"/>
  <c r="G105" i="4"/>
  <c r="G106" i="4"/>
  <c r="G107" i="4"/>
  <c r="G108" i="4"/>
  <c r="G109" i="4"/>
  <c r="G110" i="4"/>
  <c r="G111" i="4"/>
  <c r="G112" i="4"/>
  <c r="G113" i="4"/>
  <c r="G114" i="4"/>
  <c r="G115" i="4"/>
  <c r="G104" i="4"/>
  <c r="G93" i="4"/>
  <c r="G94" i="4"/>
  <c r="G95" i="4"/>
  <c r="G96" i="4"/>
  <c r="G97" i="4"/>
  <c r="G98" i="4"/>
  <c r="G99" i="4"/>
  <c r="G100" i="4"/>
  <c r="G101" i="4"/>
  <c r="G102" i="4"/>
  <c r="G103" i="4"/>
  <c r="G92" i="4"/>
  <c r="J80" i="4"/>
  <c r="G81" i="4"/>
  <c r="G82" i="4"/>
  <c r="G83" i="4"/>
  <c r="G84" i="4"/>
  <c r="G85" i="4"/>
  <c r="G86" i="4"/>
  <c r="G87" i="4"/>
  <c r="G88" i="4"/>
  <c r="G89" i="4"/>
  <c r="G90" i="4"/>
  <c r="G91" i="4"/>
  <c r="G80" i="4"/>
  <c r="C73" i="54"/>
  <c r="C74" i="54" s="1"/>
  <c r="C72" i="54"/>
  <c r="C71" i="54"/>
  <c r="E20" i="54"/>
  <c r="E21" i="54"/>
  <c r="E22" i="54"/>
  <c r="E23" i="54"/>
  <c r="E24" i="54"/>
  <c r="E25" i="54"/>
  <c r="E26" i="54"/>
  <c r="E27" i="54"/>
  <c r="E28" i="54"/>
  <c r="E29" i="54"/>
  <c r="E30" i="54"/>
  <c r="E32" i="54"/>
  <c r="E33" i="54"/>
  <c r="E34" i="54"/>
  <c r="E35" i="54"/>
  <c r="E36" i="54"/>
  <c r="E37" i="54"/>
  <c r="E38" i="54"/>
  <c r="E39" i="54"/>
  <c r="E40" i="54"/>
  <c r="E41" i="54"/>
  <c r="E42" i="54"/>
  <c r="E43" i="54"/>
  <c r="E45" i="54"/>
  <c r="E46" i="54"/>
  <c r="E47" i="54"/>
  <c r="E48" i="54"/>
  <c r="E49" i="54"/>
  <c r="E50" i="54"/>
  <c r="E51" i="54"/>
  <c r="E52" i="54"/>
  <c r="E53" i="54"/>
  <c r="E54" i="54"/>
  <c r="E55" i="54"/>
  <c r="E56" i="54"/>
  <c r="E58" i="54"/>
  <c r="E59" i="54"/>
  <c r="E60" i="54"/>
  <c r="E61" i="54"/>
  <c r="E62" i="54"/>
  <c r="E63" i="54"/>
  <c r="E64" i="54"/>
  <c r="E65" i="54"/>
  <c r="E66" i="54"/>
  <c r="E67" i="54"/>
  <c r="E68" i="54"/>
  <c r="E69" i="54"/>
  <c r="E71" i="54"/>
  <c r="E72" i="54"/>
  <c r="E19" i="54"/>
  <c r="C13" i="54"/>
  <c r="C12" i="54"/>
  <c r="C11" i="54"/>
  <c r="C10" i="54"/>
  <c r="C14" i="54"/>
  <c r="C75" i="54" l="1"/>
  <c r="E74" i="54"/>
  <c r="E73" i="54"/>
  <c r="C76" i="54" l="1"/>
  <c r="E75" i="54"/>
  <c r="E76" i="54" l="1"/>
  <c r="C77" i="54"/>
  <c r="C78" i="54" l="1"/>
  <c r="E77" i="54"/>
  <c r="C79" i="54" l="1"/>
  <c r="E78" i="54"/>
  <c r="C58" i="54"/>
  <c r="C45" i="54"/>
  <c r="C32" i="54"/>
  <c r="C33" i="54"/>
  <c r="C34" i="54" s="1"/>
  <c r="C35" i="54" s="1"/>
  <c r="C36" i="54" s="1"/>
  <c r="C37" i="54" s="1"/>
  <c r="C38" i="54" s="1"/>
  <c r="C39" i="54" s="1"/>
  <c r="C40" i="54" s="1"/>
  <c r="C41" i="54" s="1"/>
  <c r="C42" i="54" s="1"/>
  <c r="C43" i="54" s="1"/>
  <c r="C19" i="54"/>
  <c r="C20" i="54"/>
  <c r="C80" i="54" l="1"/>
  <c r="E79" i="54"/>
  <c r="C59" i="54"/>
  <c r="C60" i="54" s="1"/>
  <c r="C61" i="54" s="1"/>
  <c r="C62" i="54" s="1"/>
  <c r="C63" i="54" s="1"/>
  <c r="C64" i="54" s="1"/>
  <c r="C65" i="54" s="1"/>
  <c r="C66" i="54" s="1"/>
  <c r="C67" i="54" s="1"/>
  <c r="C68" i="54" s="1"/>
  <c r="C69" i="54" s="1"/>
  <c r="C46" i="54"/>
  <c r="C47" i="54" s="1"/>
  <c r="C48" i="54" s="1"/>
  <c r="C49" i="54" s="1"/>
  <c r="C50" i="54" s="1"/>
  <c r="C51" i="54" s="1"/>
  <c r="C52" i="54" s="1"/>
  <c r="C53" i="54" s="1"/>
  <c r="C54" i="54" s="1"/>
  <c r="C55" i="54" s="1"/>
  <c r="C56" i="54" s="1"/>
  <c r="C21" i="54"/>
  <c r="C22" i="54" s="1"/>
  <c r="C23" i="54" s="1"/>
  <c r="C24" i="54" s="1"/>
  <c r="C25" i="54" s="1"/>
  <c r="C26" i="54" s="1"/>
  <c r="C27" i="54" s="1"/>
  <c r="C28" i="54" s="1"/>
  <c r="C29" i="54" s="1"/>
  <c r="C30" i="54" s="1"/>
  <c r="D43" i="54"/>
  <c r="S17" i="54"/>
  <c r="E80" i="54" l="1"/>
  <c r="C81" i="54"/>
  <c r="D69" i="54"/>
  <c r="D56" i="54"/>
  <c r="D30" i="54"/>
  <c r="J128" i="4"/>
  <c r="C82" i="54" l="1"/>
  <c r="E81" i="54"/>
  <c r="K128" i="4"/>
  <c r="K127" i="4"/>
  <c r="C139" i="4"/>
  <c r="J129" i="4"/>
  <c r="J130" i="4"/>
  <c r="J131" i="4"/>
  <c r="J132" i="4"/>
  <c r="J133" i="4"/>
  <c r="J134" i="4"/>
  <c r="J135" i="4"/>
  <c r="J136" i="4"/>
  <c r="J137" i="4"/>
  <c r="J138" i="4"/>
  <c r="J139" i="4"/>
  <c r="E82" i="54" l="1"/>
  <c r="D82" i="54"/>
  <c r="C138" i="4"/>
  <c r="C137" i="4"/>
  <c r="C136" i="4"/>
  <c r="C135" i="4"/>
  <c r="C134" i="4"/>
  <c r="C133" i="4"/>
  <c r="C132" i="4"/>
  <c r="C131" i="4"/>
  <c r="C130" i="4"/>
  <c r="C12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N144" i="30" l="1"/>
  <c r="N143" i="30"/>
  <c r="N142" i="30"/>
  <c r="N141" i="30"/>
  <c r="N140" i="30"/>
  <c r="N139" i="30"/>
  <c r="G144" i="30"/>
  <c r="G143" i="30"/>
  <c r="G142" i="30"/>
  <c r="G141" i="30"/>
  <c r="G140" i="30"/>
  <c r="G139" i="30"/>
  <c r="E144" i="30"/>
  <c r="E143" i="30"/>
  <c r="E142" i="30"/>
  <c r="E141" i="30"/>
  <c r="E140" i="30"/>
  <c r="E139" i="30"/>
  <c r="P144" i="30"/>
  <c r="P143" i="30"/>
  <c r="P142" i="30"/>
  <c r="P141" i="30"/>
  <c r="P140" i="30"/>
  <c r="P139" i="30"/>
  <c r="O144" i="30"/>
  <c r="O143" i="30"/>
  <c r="O142" i="30"/>
  <c r="O141" i="30"/>
  <c r="O140" i="30"/>
  <c r="O139" i="30"/>
  <c r="M144" i="30"/>
  <c r="M143" i="30"/>
  <c r="M142" i="30"/>
  <c r="M141" i="30"/>
  <c r="M140" i="30"/>
  <c r="M139" i="30"/>
  <c r="L144" i="30"/>
  <c r="L143" i="30"/>
  <c r="L142" i="30"/>
  <c r="L141" i="30"/>
  <c r="L140" i="30"/>
  <c r="L139" i="30"/>
  <c r="F144" i="30"/>
  <c r="F143" i="30"/>
  <c r="F142" i="30"/>
  <c r="F141" i="30"/>
  <c r="F140" i="30"/>
  <c r="F139" i="30"/>
  <c r="D144" i="30"/>
  <c r="D143" i="30"/>
  <c r="D142" i="30"/>
  <c r="D141" i="30"/>
  <c r="D140" i="30"/>
  <c r="D139" i="30"/>
  <c r="I21" i="46" l="1"/>
  <c r="F42" i="29" l="1"/>
  <c r="C30" i="29" l="1"/>
  <c r="B120" i="52"/>
  <c r="R19" i="6"/>
  <c r="R20" i="6"/>
  <c r="R21" i="6"/>
  <c r="R22" i="6"/>
  <c r="R23" i="6"/>
  <c r="R24" i="6"/>
  <c r="R25" i="6"/>
  <c r="R26" i="6"/>
  <c r="R18" i="6"/>
  <c r="V46" i="4"/>
  <c r="V59" i="4" s="1"/>
  <c r="R28" i="6"/>
  <c r="Q30" i="6" s="1"/>
  <c r="Q31" i="6" s="1"/>
  <c r="W37" i="6" l="1"/>
  <c r="R37" i="6"/>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C48" i="42"/>
  <c r="G91" i="42" s="1"/>
  <c r="B48" i="42"/>
  <c r="E30" i="42"/>
  <c r="D30" i="42"/>
  <c r="C30" i="42"/>
  <c r="H91" i="42" l="1"/>
  <c r="H95" i="42" s="1"/>
  <c r="I95" i="42" s="1"/>
  <c r="D95" i="42"/>
  <c r="F71" i="42"/>
  <c r="C54" i="42"/>
  <c r="C40" i="42"/>
  <c r="C46" i="42" s="1"/>
  <c r="D49" i="42"/>
  <c r="F87" i="42"/>
  <c r="F30" i="42"/>
  <c r="G30" i="42"/>
  <c r="C20" i="42" s="1"/>
  <c r="I91" i="42"/>
  <c r="I48" i="42"/>
  <c r="I49" i="42" l="1"/>
  <c r="L34" i="53"/>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E32" i="32" s="1"/>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6" i="32" l="1"/>
  <c r="L36" i="32"/>
  <c r="P36" i="32"/>
  <c r="O36" i="32"/>
  <c r="I36" i="32"/>
  <c r="M36" i="32"/>
  <c r="E36" i="32"/>
  <c r="K36" i="32"/>
  <c r="F36" i="32"/>
  <c r="J36" i="32"/>
  <c r="N36" i="32"/>
  <c r="G36" i="32"/>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G85" i="47" l="1"/>
  <c r="E44" i="53"/>
  <c r="G69" i="47"/>
  <c r="G81" i="47"/>
  <c r="G70" i="47"/>
  <c r="G65" i="47"/>
  <c r="G67" i="47"/>
  <c r="G80" i="47"/>
  <c r="G66" i="47"/>
  <c r="G83" i="47"/>
  <c r="G84" i="47"/>
  <c r="G82" i="47"/>
  <c r="H82" i="47" s="1"/>
  <c r="G68" i="47"/>
  <c r="G86" i="47"/>
  <c r="H86" i="47" s="1"/>
  <c r="M28" i="51"/>
  <c r="M32" i="51"/>
  <c r="F44" i="53"/>
  <c r="G57" i="32"/>
  <c r="F46" i="53"/>
  <c r="F57" i="32"/>
  <c r="AX34" i="46"/>
  <c r="AV49" i="46" s="1"/>
  <c r="E46" i="53"/>
  <c r="E52" i="53" s="1"/>
  <c r="E57" i="32"/>
  <c r="S30" i="46"/>
  <c r="AU50" i="46"/>
  <c r="AD34" i="46"/>
  <c r="AB49" i="46" s="1"/>
  <c r="AC34" i="46"/>
  <c r="AA49" i="46" s="1"/>
  <c r="H30" i="46"/>
  <c r="H34" i="46" s="1"/>
  <c r="F50" i="46" s="1"/>
  <c r="N28" i="6"/>
  <c r="M30" i="6" s="1"/>
  <c r="M31" i="6" s="1"/>
  <c r="M43" i="6" s="1"/>
  <c r="H22" i="47"/>
  <c r="H115" i="47"/>
  <c r="H20" i="47"/>
  <c r="F99" i="47"/>
  <c r="H118" i="47"/>
  <c r="F113" i="47"/>
  <c r="H101" i="47"/>
  <c r="F82" i="47"/>
  <c r="H97" i="47"/>
  <c r="F101" i="47"/>
  <c r="H85"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F52" i="53" l="1"/>
  <c r="H83" i="47"/>
  <c r="H81" i="47"/>
  <c r="H87" i="47"/>
  <c r="H84" i="47"/>
  <c r="G89" i="47"/>
  <c r="H89" i="47" s="1"/>
  <c r="G73" i="47"/>
  <c r="N42" i="6"/>
  <c r="AV50" i="46"/>
  <c r="M42" i="6"/>
  <c r="N43" i="6"/>
  <c r="AB50" i="46"/>
  <c r="AA42" i="29"/>
  <c r="R31" i="46"/>
  <c r="P49" i="46" s="1"/>
  <c r="AA43" i="29"/>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52" i="4" s="1"/>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E22" i="6" l="1"/>
  <c r="C22" i="6"/>
  <c r="J43" i="6" l="1"/>
  <c r="J42" i="6"/>
  <c r="S42" i="29"/>
  <c r="S43" i="29"/>
  <c r="AI42" i="29"/>
  <c r="AI43" i="29"/>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H65" i="46" l="1"/>
  <c r="H61" i="46"/>
  <c r="H63" i="46"/>
  <c r="H59" i="46"/>
  <c r="H67" i="46"/>
  <c r="H66" i="46"/>
  <c r="H64" i="46"/>
  <c r="H62" i="46"/>
  <c r="H60" i="46"/>
  <c r="Q50" i="46"/>
  <c r="Q49" i="46"/>
  <c r="B92" i="52"/>
  <c r="B106" i="52" s="1"/>
  <c r="D21" i="29"/>
  <c r="L21" i="29" l="1"/>
  <c r="B42" i="51"/>
  <c r="B46" i="51"/>
  <c r="B50" i="51"/>
  <c r="B43" i="32"/>
  <c r="B47" i="32"/>
  <c r="B51" i="32"/>
  <c r="B40" i="29"/>
  <c r="J40" i="29"/>
  <c r="R40" i="29"/>
  <c r="O20" i="4"/>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V47" i="4"/>
  <c r="V60" i="4" s="1"/>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V55"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B18" i="6"/>
  <c r="E18" i="6"/>
  <c r="H18" i="6"/>
  <c r="AL22" i="46"/>
  <c r="B19" i="6"/>
  <c r="E19" i="6"/>
  <c r="P19" i="6"/>
  <c r="AL23" i="46"/>
  <c r="B20" i="6"/>
  <c r="U62" i="4" s="1"/>
  <c r="C20" i="6"/>
  <c r="E20" i="6"/>
  <c r="AL24" i="46"/>
  <c r="B21" i="6"/>
  <c r="B25" i="29" s="1"/>
  <c r="C21" i="6"/>
  <c r="E21" i="6"/>
  <c r="L22" i="6"/>
  <c r="AL25" i="46"/>
  <c r="B22" i="6"/>
  <c r="B23" i="6"/>
  <c r="C23" i="6"/>
  <c r="E23" i="6"/>
  <c r="AL27" i="46"/>
  <c r="B24" i="6"/>
  <c r="C24" i="6"/>
  <c r="E24" i="6"/>
  <c r="AL28" i="46"/>
  <c r="B25" i="6"/>
  <c r="B29" i="46" s="1"/>
  <c r="C25" i="6"/>
  <c r="E25" i="6"/>
  <c r="AL29" i="46"/>
  <c r="B26" i="6"/>
  <c r="U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C30" i="6" l="1"/>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D180" i="4"/>
  <c r="C180" i="4"/>
  <c r="H58" i="46"/>
  <c r="C181" i="4"/>
  <c r="D181" i="4"/>
  <c r="D176" i="4"/>
  <c r="U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G34" i="51"/>
  <c r="E34" i="51"/>
  <c r="K20" i="32"/>
  <c r="L24" i="32"/>
  <c r="K22" i="51" s="1"/>
  <c r="E28" i="32"/>
  <c r="D26" i="51" s="1"/>
  <c r="F34" i="51"/>
  <c r="L34" i="51"/>
  <c r="K28" i="32"/>
  <c r="J26" i="51" s="1"/>
  <c r="F28" i="32"/>
  <c r="E26" i="51" s="1"/>
  <c r="F24" i="32"/>
  <c r="E22" i="51" s="1"/>
  <c r="K32" i="32"/>
  <c r="J30" i="51" s="1"/>
  <c r="I34" i="51"/>
  <c r="H34" i="51"/>
  <c r="J20" i="32"/>
  <c r="I24" i="32"/>
  <c r="H22" i="51" s="1"/>
  <c r="D30" i="51"/>
  <c r="K24" i="32"/>
  <c r="J22" i="51" s="1"/>
  <c r="E20" i="32"/>
  <c r="J24" i="32"/>
  <c r="I22" i="51" s="1"/>
  <c r="N20" i="32"/>
  <c r="L20" i="32"/>
  <c r="G28" i="32"/>
  <c r="F26" i="51" s="1"/>
  <c r="M24" i="32"/>
  <c r="L22" i="51" s="1"/>
  <c r="G32" i="32"/>
  <c r="F30" i="51" s="1"/>
  <c r="M34" i="5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J34" i="51"/>
  <c r="M20" i="32"/>
  <c r="L28" i="32"/>
  <c r="K26" i="51" s="1"/>
  <c r="N28" i="32"/>
  <c r="M26" i="51" s="1"/>
  <c r="D34" i="51"/>
  <c r="H20" i="32"/>
  <c r="E24" i="32"/>
  <c r="D22" i="51" s="1"/>
  <c r="H32" i="32"/>
  <c r="G30" i="51" s="1"/>
  <c r="F66" i="46"/>
  <c r="AQ29" i="46"/>
  <c r="AG29" i="46"/>
  <c r="D22" i="6"/>
  <c r="L26" i="6"/>
  <c r="P24" i="6"/>
  <c r="D25" i="6"/>
  <c r="P18" i="6"/>
  <c r="F20" i="6"/>
  <c r="D36" i="6"/>
  <c r="D20" i="6"/>
  <c r="H24" i="6"/>
  <c r="D26" i="6"/>
  <c r="D28" i="6" s="1"/>
  <c r="H20" i="6"/>
  <c r="F18" i="6"/>
  <c r="H36" i="6"/>
  <c r="P20" i="6"/>
  <c r="F36" i="6"/>
  <c r="R136" i="4"/>
  <c r="R128" i="4"/>
  <c r="R91" i="4"/>
  <c r="R83" i="4"/>
  <c r="R78" i="4"/>
  <c r="R70" i="4"/>
  <c r="R49" i="4"/>
  <c r="R39" i="4"/>
  <c r="R123" i="4"/>
  <c r="R115" i="4"/>
  <c r="R107" i="4"/>
  <c r="R99" i="4"/>
  <c r="R62" i="4"/>
  <c r="R54" i="4"/>
  <c r="R31" i="4"/>
  <c r="R23" i="4"/>
  <c r="R122" i="4"/>
  <c r="R106" i="4"/>
  <c r="R98" i="4"/>
  <c r="R90" i="4"/>
  <c r="R82" i="4"/>
  <c r="R77" i="4"/>
  <c r="R61" i="4"/>
  <c r="R53" i="4"/>
  <c r="R46" i="4"/>
  <c r="R30" i="4"/>
  <c r="R22" i="4"/>
  <c r="R135" i="4"/>
  <c r="R114" i="4"/>
  <c r="R69" i="4"/>
  <c r="R48" i="4"/>
  <c r="R38" i="4"/>
  <c r="R131" i="4"/>
  <c r="R126" i="4"/>
  <c r="R118" i="4"/>
  <c r="R110" i="4"/>
  <c r="R102" i="4"/>
  <c r="R94" i="4"/>
  <c r="R86" i="4"/>
  <c r="R73" i="4"/>
  <c r="R65" i="4"/>
  <c r="R57" i="4"/>
  <c r="R42" i="4"/>
  <c r="R34" i="4"/>
  <c r="R26" i="4"/>
  <c r="R132" i="4"/>
  <c r="R119" i="4"/>
  <c r="R111" i="4"/>
  <c r="R95" i="4"/>
  <c r="R87" i="4"/>
  <c r="R74" i="4"/>
  <c r="R35" i="4"/>
  <c r="R27" i="4"/>
  <c r="R137" i="4"/>
  <c r="R129" i="4"/>
  <c r="R124" i="4"/>
  <c r="R116" i="4"/>
  <c r="R108" i="4"/>
  <c r="R100" i="4"/>
  <c r="R92" i="4"/>
  <c r="R84" i="4"/>
  <c r="R79" i="4"/>
  <c r="R71" i="4"/>
  <c r="R63" i="4"/>
  <c r="R55" i="4"/>
  <c r="R50" i="4"/>
  <c r="R40" i="4"/>
  <c r="R32" i="4"/>
  <c r="R24" i="4"/>
  <c r="R134" i="4"/>
  <c r="R121" i="4"/>
  <c r="R113" i="4"/>
  <c r="R105" i="4"/>
  <c r="R97" i="4"/>
  <c r="R89" i="4"/>
  <c r="R81" i="4"/>
  <c r="R76" i="4"/>
  <c r="R68" i="4"/>
  <c r="R60" i="4"/>
  <c r="R52" i="4"/>
  <c r="R45" i="4"/>
  <c r="R37" i="4"/>
  <c r="R29" i="4"/>
  <c r="R21" i="4"/>
  <c r="R127" i="4"/>
  <c r="R103" i="4"/>
  <c r="R66" i="4"/>
  <c r="R58" i="4"/>
  <c r="R43" i="4"/>
  <c r="R47" i="4"/>
  <c r="R133" i="4"/>
  <c r="R120" i="4"/>
  <c r="R112" i="4"/>
  <c r="R104" i="4"/>
  <c r="R96" i="4"/>
  <c r="R88" i="4"/>
  <c r="R80" i="4"/>
  <c r="R75" i="4"/>
  <c r="R67" i="4"/>
  <c r="R59" i="4"/>
  <c r="R44" i="4"/>
  <c r="R36" i="4"/>
  <c r="R28" i="4"/>
  <c r="R138" i="4"/>
  <c r="R130" i="4"/>
  <c r="R125" i="4"/>
  <c r="R117" i="4"/>
  <c r="R109" i="4"/>
  <c r="R101" i="4"/>
  <c r="R93" i="4"/>
  <c r="R85" i="4"/>
  <c r="R72" i="4"/>
  <c r="R64" i="4"/>
  <c r="R56" i="4"/>
  <c r="R51" i="4"/>
  <c r="R41" i="4"/>
  <c r="R33" i="4"/>
  <c r="R25" i="4"/>
  <c r="R139" i="4"/>
  <c r="H22" i="6"/>
  <c r="H26" i="6"/>
  <c r="F23" i="6"/>
  <c r="P22" i="6"/>
  <c r="R36" i="6"/>
  <c r="R42" i="6" s="1"/>
  <c r="D24" i="6"/>
  <c r="I42" i="6"/>
  <c r="D21" i="6"/>
  <c r="L20" i="6"/>
  <c r="H21" i="6"/>
  <c r="F24" i="6"/>
  <c r="L24" i="6"/>
  <c r="F22" i="6"/>
  <c r="P26" i="6"/>
  <c r="F26" i="6"/>
  <c r="W47"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F65" i="47"/>
  <c r="G18" i="51" l="1"/>
  <c r="L18" i="51"/>
  <c r="E18" i="51"/>
  <c r="K18" i="51"/>
  <c r="F18" i="51"/>
  <c r="M18" i="51"/>
  <c r="I18" i="51"/>
  <c r="H18" i="51"/>
  <c r="J18" i="51"/>
  <c r="F21" i="38" s="1"/>
  <c r="D14" i="51"/>
  <c r="I20" i="38"/>
  <c r="I21" i="38"/>
  <c r="W23" i="6"/>
  <c r="AM26" i="46"/>
  <c r="AM34" i="46" s="1"/>
  <c r="AN26" i="46"/>
  <c r="AN34" i="46" s="1"/>
  <c r="E14" i="51"/>
  <c r="F55" i="32"/>
  <c r="K150" i="4"/>
  <c r="K162" i="4" s="1"/>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K159" i="4" s="1"/>
  <c r="I63" i="46"/>
  <c r="I66" i="46"/>
  <c r="K149" i="4"/>
  <c r="K161" i="4" s="1"/>
  <c r="K148" i="4"/>
  <c r="K160" i="4" s="1"/>
  <c r="K145" i="4"/>
  <c r="K157" i="4" s="1"/>
  <c r="K141" i="4"/>
  <c r="K153" i="4" s="1"/>
  <c r="K151" i="4"/>
  <c r="K163" i="4" s="1"/>
  <c r="K152" i="4"/>
  <c r="K143" i="4"/>
  <c r="K155" i="4" s="1"/>
  <c r="K144" i="4"/>
  <c r="K156" i="4" s="1"/>
  <c r="K142" i="4"/>
  <c r="K154" i="4" s="1"/>
  <c r="K146" i="4"/>
  <c r="K158"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36" i="47"/>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38" i="47"/>
  <c r="C48" i="47"/>
  <c r="H15" i="38"/>
  <c r="C85" i="47"/>
  <c r="L20" i="38"/>
  <c r="K20" i="38"/>
  <c r="C65" i="47"/>
  <c r="I16" i="38"/>
  <c r="J16" i="38"/>
  <c r="C96" i="47"/>
  <c r="N15" i="38"/>
  <c r="M15" i="38"/>
  <c r="C89" i="47"/>
  <c r="K24" i="38"/>
  <c r="L24" i="38"/>
  <c r="C41" i="47"/>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F18" i="38"/>
  <c r="C35" i="47"/>
  <c r="F22" i="38"/>
  <c r="C39" i="47"/>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S31" i="4"/>
  <c r="X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W50" i="4"/>
  <c r="V63" i="4"/>
  <c r="J56" i="51"/>
  <c r="N23" i="29"/>
  <c r="R28" i="29"/>
  <c r="AH28" i="29" s="1"/>
  <c r="J28" i="29"/>
  <c r="Z28" i="29" s="1"/>
  <c r="T29" i="29"/>
  <c r="N29" i="29"/>
  <c r="M28" i="46"/>
  <c r="W28" i="46"/>
  <c r="M55" i="32"/>
  <c r="W31" i="46"/>
  <c r="W49" i="46" s="1"/>
  <c r="M31" i="46"/>
  <c r="M49" i="46" s="1"/>
  <c r="G54" i="51"/>
  <c r="I43" i="6"/>
  <c r="M22" i="46"/>
  <c r="W22" i="46"/>
  <c r="J23" i="29"/>
  <c r="Z23" i="29" s="1"/>
  <c r="R23" i="29"/>
  <c r="AH23" i="29" s="1"/>
  <c r="M23" i="46"/>
  <c r="W23" i="46"/>
  <c r="K55" i="32"/>
  <c r="H65" i="47"/>
  <c r="H53" i="47"/>
  <c r="V62" i="4"/>
  <c r="W49" i="4"/>
  <c r="N21" i="29"/>
  <c r="L30" i="29"/>
  <c r="N30" i="29" s="1"/>
  <c r="N31" i="29" s="1"/>
  <c r="M24" i="46"/>
  <c r="W24" i="46"/>
  <c r="W51" i="4"/>
  <c r="G55" i="32"/>
  <c r="L55" i="32"/>
  <c r="J32" i="29"/>
  <c r="Z32" i="29" s="1"/>
  <c r="R32" i="29"/>
  <c r="AH32" i="29" s="1"/>
  <c r="B43" i="29"/>
  <c r="J27" i="29"/>
  <c r="Z27" i="29" s="1"/>
  <c r="R27" i="29"/>
  <c r="AH27" i="29" s="1"/>
  <c r="M27" i="46"/>
  <c r="W27" i="46"/>
  <c r="H69" i="47"/>
  <c r="H57" i="47"/>
  <c r="H66" i="47"/>
  <c r="W54" i="4"/>
  <c r="V67" i="4"/>
  <c r="R24" i="29"/>
  <c r="AH24" i="29" s="1"/>
  <c r="J24" i="29"/>
  <c r="Z24" i="29" s="1"/>
  <c r="V66" i="4"/>
  <c r="W53" i="4"/>
  <c r="K56" i="51"/>
  <c r="F22" i="29"/>
  <c r="V65" i="4"/>
  <c r="W52" i="4"/>
  <c r="J31" i="29"/>
  <c r="Z31" i="29" s="1"/>
  <c r="R31" i="29"/>
  <c r="AH31" i="29" s="1"/>
  <c r="B42" i="29"/>
  <c r="F29" i="29"/>
  <c r="K54" i="51"/>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W55" i="4"/>
  <c r="H55"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E25" i="29"/>
  <c r="E26" i="29"/>
  <c r="M26" i="29" s="1"/>
  <c r="J25" i="32" s="1"/>
  <c r="I23" i="51" s="1"/>
  <c r="S127" i="4"/>
  <c r="X54" i="4" s="1"/>
  <c r="Z54" i="4" s="1"/>
  <c r="S139" i="4"/>
  <c r="E22" i="29"/>
  <c r="C17" i="47" l="1"/>
  <c r="F54" i="51"/>
  <c r="L54" i="51"/>
  <c r="F17" i="38"/>
  <c r="C40" i="47"/>
  <c r="F19" i="38"/>
  <c r="J54" i="51"/>
  <c r="I54" i="51"/>
  <c r="D54" i="51"/>
  <c r="C37" i="47"/>
  <c r="D38" i="47" s="1"/>
  <c r="C34" i="47"/>
  <c r="F23" i="38"/>
  <c r="X47" i="4"/>
  <c r="Z47" i="4" s="1"/>
  <c r="E53" i="47"/>
  <c r="X55" i="4"/>
  <c r="W68" i="4" s="1"/>
  <c r="X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34" i="47"/>
  <c r="D57" i="47"/>
  <c r="D50" i="47"/>
  <c r="D21" i="47"/>
  <c r="D53" i="47"/>
  <c r="D72" i="47"/>
  <c r="D87" i="47"/>
  <c r="D39" i="47"/>
  <c r="D54" i="47"/>
  <c r="D116" i="47"/>
  <c r="D65" i="47"/>
  <c r="D49" i="47"/>
  <c r="D103" i="47"/>
  <c r="D68" i="47"/>
  <c r="D23" i="47"/>
  <c r="D19" i="47"/>
  <c r="D118" i="47"/>
  <c r="D55" i="47"/>
  <c r="D35" i="47"/>
  <c r="D17" i="47"/>
  <c r="D25" i="47"/>
  <c r="D20" i="47"/>
  <c r="D24" i="47"/>
  <c r="D100" i="47"/>
  <c r="D102" i="47"/>
  <c r="D22" i="47"/>
  <c r="D18" i="47"/>
  <c r="D83" i="47"/>
  <c r="D69" i="47"/>
  <c r="D81" i="47"/>
  <c r="D70" i="47"/>
  <c r="D67" i="47"/>
  <c r="D51" i="47"/>
  <c r="D85" i="47"/>
  <c r="D89" i="47"/>
  <c r="D71" i="47"/>
  <c r="D52" i="47"/>
  <c r="D56" i="47"/>
  <c r="D73" i="47"/>
  <c r="D88" i="47"/>
  <c r="D119" i="47"/>
  <c r="D104" i="47"/>
  <c r="D105" i="47"/>
  <c r="D99" i="47"/>
  <c r="D40" i="47"/>
  <c r="D82" i="47"/>
  <c r="D66" i="47"/>
  <c r="D115" i="47"/>
  <c r="D117" i="47"/>
  <c r="D36"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W64" i="4"/>
  <c r="X64" i="4" s="1"/>
  <c r="Z51" i="4"/>
  <c r="Y54" i="4"/>
  <c r="M25" i="29"/>
  <c r="U25" i="29" s="1"/>
  <c r="G24" i="29"/>
  <c r="M30" i="29"/>
  <c r="W67" i="4"/>
  <c r="X67" i="4" s="1"/>
  <c r="Y52" i="4"/>
  <c r="G26" i="29"/>
  <c r="Z46" i="4"/>
  <c r="W59" i="4"/>
  <c r="X59" i="4" s="1"/>
  <c r="U26" i="29"/>
  <c r="O26" i="29"/>
  <c r="G22" i="29"/>
  <c r="M22" i="29"/>
  <c r="O27" i="29"/>
  <c r="U27" i="29"/>
  <c r="M21" i="29"/>
  <c r="G21" i="29"/>
  <c r="H21" i="29" s="1"/>
  <c r="O24" i="29"/>
  <c r="U24" i="29"/>
  <c r="D37" i="47" l="1"/>
  <c r="Y47" i="4"/>
  <c r="Y48" i="4"/>
  <c r="W60" i="4"/>
  <c r="X60" i="4" s="1"/>
  <c r="X69" i="4" s="1"/>
  <c r="Y55" i="4"/>
  <c r="Z55" i="4"/>
  <c r="K31" i="6"/>
  <c r="K43" i="6" s="1"/>
  <c r="G32" i="46" s="1"/>
  <c r="E50" i="46" s="1"/>
  <c r="C42" i="6"/>
  <c r="V30" i="6"/>
  <c r="P28" i="32"/>
  <c r="O26" i="51" s="1"/>
  <c r="G31" i="46"/>
  <c r="E49" i="46" s="1"/>
  <c r="O28" i="32"/>
  <c r="N26" i="51" s="1"/>
  <c r="O31" i="6"/>
  <c r="O43" i="6" s="1"/>
  <c r="AB32" i="46" s="1"/>
  <c r="Z50" i="46" s="1"/>
  <c r="E31" i="6"/>
  <c r="E43" i="6" s="1"/>
  <c r="K43" i="29" s="1"/>
  <c r="G31" i="6"/>
  <c r="G43" i="6" s="1"/>
  <c r="G42" i="6"/>
  <c r="Q43" i="6"/>
  <c r="Q42" i="6"/>
  <c r="W42" i="6"/>
  <c r="O140" i="4" s="1"/>
  <c r="O141" i="4" s="1"/>
  <c r="O142" i="4" s="1"/>
  <c r="O143" i="4" s="1"/>
  <c r="O144" i="4" s="1"/>
  <c r="O145" i="4" s="1"/>
  <c r="O146" i="4" s="1"/>
  <c r="O147" i="4" s="1"/>
  <c r="O148" i="4" s="1"/>
  <c r="O149" i="4" s="1"/>
  <c r="O150" i="4" s="1"/>
  <c r="O151" i="4" s="1"/>
  <c r="O152" i="4" s="1"/>
  <c r="O153" i="4" s="1"/>
  <c r="O154" i="4" s="1"/>
  <c r="O155" i="4" s="1"/>
  <c r="O156" i="4" s="1"/>
  <c r="O157" i="4" s="1"/>
  <c r="O158" i="4" s="1"/>
  <c r="O159" i="4" s="1"/>
  <c r="O160" i="4" s="1"/>
  <c r="O161" i="4" s="1"/>
  <c r="O162" i="4" s="1"/>
  <c r="O163" i="4" s="1"/>
  <c r="W43" i="6"/>
  <c r="P32" i="32"/>
  <c r="O30" i="51" s="1"/>
  <c r="AB31" i="46"/>
  <c r="Z49" i="46" s="1"/>
  <c r="O32" i="32"/>
  <c r="N30" i="51" s="1"/>
  <c r="K42" i="29"/>
  <c r="O20" i="32"/>
  <c r="C31" i="6"/>
  <c r="O16" i="32"/>
  <c r="N14" i="51" s="1"/>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X70" i="4" l="1"/>
  <c r="N18" i="51"/>
  <c r="C74" i="47"/>
  <c r="D74" i="47" s="1"/>
  <c r="C90" i="47"/>
  <c r="D90" i="47" s="1"/>
  <c r="C75" i="47"/>
  <c r="C91" i="47"/>
  <c r="P24" i="32"/>
  <c r="O22" i="51" s="1"/>
  <c r="P20" i="32"/>
  <c r="C43" i="6"/>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C42" i="47"/>
  <c r="D42" i="47" s="1"/>
  <c r="F25" i="38"/>
  <c r="C43" i="29"/>
  <c r="P16" i="32"/>
  <c r="O14" i="51" s="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O18" i="51" l="1"/>
  <c r="D91" i="47"/>
  <c r="D75" i="47"/>
  <c r="C122" i="47"/>
  <c r="D122" i="47" s="1"/>
  <c r="C123" i="47"/>
  <c r="D123" i="47" s="1"/>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D107" i="47"/>
  <c r="P55" i="32"/>
  <c r="D26" i="38"/>
  <c r="C27" i="47"/>
  <c r="D27" i="47" s="1"/>
  <c r="O54" i="51"/>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C43" i="47" l="1"/>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55" i="51" l="1"/>
  <c r="E57" i="47"/>
  <c r="F57" i="47" s="1"/>
  <c r="G24" i="38"/>
  <c r="E55" i="47"/>
  <c r="G22" i="38"/>
  <c r="F49" i="47"/>
  <c r="K55" i="51"/>
  <c r="F41" i="47"/>
  <c r="F40" i="47"/>
  <c r="R145" i="4"/>
  <c r="R152" i="4"/>
  <c r="R140" i="4"/>
  <c r="R143" i="4"/>
  <c r="R151" i="4"/>
  <c r="R144" i="4"/>
  <c r="R147" i="4"/>
  <c r="R150" i="4"/>
  <c r="R141" i="4"/>
  <c r="R148" i="4"/>
  <c r="R146" i="4"/>
  <c r="R142" i="4"/>
  <c r="R149" i="4"/>
  <c r="F55" i="47" l="1"/>
  <c r="F56" i="47"/>
  <c r="S151" i="4"/>
  <c r="E31" i="29"/>
  <c r="G31" i="29" s="1"/>
  <c r="R153" i="4"/>
  <c r="V76" i="4" l="1"/>
  <c r="W76" i="4" s="1"/>
  <c r="AR31" i="46"/>
  <c r="AT31" i="46" s="1"/>
  <c r="AW31" i="46" s="1"/>
  <c r="AH31" i="46"/>
  <c r="AJ31" i="46" s="1"/>
  <c r="X31" i="46"/>
  <c r="Z31" i="46" s="1"/>
  <c r="AA31" i="46" s="1"/>
  <c r="AE31" i="46" s="1"/>
  <c r="C31" i="46"/>
  <c r="E31" i="46" s="1"/>
  <c r="N31" i="46"/>
  <c r="P31" i="46" s="1"/>
  <c r="Q31" i="46" s="1"/>
  <c r="U31" i="46" s="1"/>
  <c r="H31" i="29"/>
  <c r="R154" i="4"/>
  <c r="M31" i="29"/>
  <c r="U31" i="29" s="1"/>
  <c r="F31" i="46" l="1"/>
  <c r="J31" i="46" s="1"/>
  <c r="I49" i="46"/>
  <c r="AK31" i="46"/>
  <c r="AO31" i="46" s="1"/>
  <c r="AN49" i="46"/>
  <c r="T49" i="46"/>
  <c r="AD49" i="46"/>
  <c r="AX49" i="46"/>
  <c r="AU31" i="46"/>
  <c r="AY49" i="46" s="1"/>
  <c r="D42" i="29"/>
  <c r="H42" i="29" s="1"/>
  <c r="W31" i="29"/>
  <c r="X31" i="29" s="1"/>
  <c r="AC31" i="29"/>
  <c r="R155" i="4"/>
  <c r="O31" i="29"/>
  <c r="P31" i="29" s="1"/>
  <c r="O29" i="32" l="1"/>
  <c r="H26" i="53" s="1"/>
  <c r="O33" i="32"/>
  <c r="H28" i="53" s="1"/>
  <c r="O41" i="32"/>
  <c r="H32" i="53" s="1"/>
  <c r="O37" i="32"/>
  <c r="H30" i="53" s="1"/>
  <c r="AD31" i="46"/>
  <c r="AC31" i="46"/>
  <c r="AE49" i="46"/>
  <c r="AO49" i="46"/>
  <c r="AN31" i="46"/>
  <c r="AM31" i="46"/>
  <c r="T31" i="46"/>
  <c r="U49" i="46"/>
  <c r="S31" i="46"/>
  <c r="AX31" i="46"/>
  <c r="J49" i="46"/>
  <c r="I31" i="46"/>
  <c r="H31" i="46"/>
  <c r="T42" i="29"/>
  <c r="L42" i="29"/>
  <c r="AE31" i="29"/>
  <c r="AF31" i="29" s="1"/>
  <c r="AK31" i="29"/>
  <c r="R156" i="4"/>
  <c r="O26" i="32" l="1"/>
  <c r="N24" i="51" s="1"/>
  <c r="O30" i="32"/>
  <c r="H44" i="53" s="1"/>
  <c r="N27" i="51"/>
  <c r="N31" i="51"/>
  <c r="O34" i="32"/>
  <c r="N32" i="51" s="1"/>
  <c r="N39" i="51"/>
  <c r="O38" i="32"/>
  <c r="N36" i="51" s="1"/>
  <c r="N35" i="51"/>
  <c r="O42" i="32"/>
  <c r="N40" i="51" s="1"/>
  <c r="N42" i="29"/>
  <c r="V42" i="29"/>
  <c r="X42" i="29" s="1"/>
  <c r="O25" i="32" s="1"/>
  <c r="AB42" i="29"/>
  <c r="AM31" i="29"/>
  <c r="AN31" i="29" s="1"/>
  <c r="R157" i="4"/>
  <c r="O25" i="38" l="1"/>
  <c r="E106" i="47"/>
  <c r="F106" i="47" s="1"/>
  <c r="E90" i="47"/>
  <c r="F90" i="47" s="1"/>
  <c r="E74" i="47"/>
  <c r="F74" i="47" s="1"/>
  <c r="H42" i="53"/>
  <c r="N28" i="51"/>
  <c r="I25" i="38"/>
  <c r="K25" i="38"/>
  <c r="H46" i="53"/>
  <c r="H48" i="53"/>
  <c r="E122" i="47"/>
  <c r="F122" i="47" s="1"/>
  <c r="H50" i="53"/>
  <c r="O57" i="32"/>
  <c r="M25" i="38"/>
  <c r="P42" i="29"/>
  <c r="O21" i="32" s="1"/>
  <c r="N23" i="51"/>
  <c r="H24" i="53"/>
  <c r="N56" i="51"/>
  <c r="G90" i="47"/>
  <c r="H90" i="47" s="1"/>
  <c r="L25" i="38"/>
  <c r="G106" i="47"/>
  <c r="H106" i="47" s="1"/>
  <c r="N25" i="38"/>
  <c r="G58" i="47"/>
  <c r="H58" i="47" s="1"/>
  <c r="H25" i="38"/>
  <c r="G122" i="47"/>
  <c r="H122" i="47" s="1"/>
  <c r="P25" i="38"/>
  <c r="AD42" i="29"/>
  <c r="AF42" i="29" s="1"/>
  <c r="AJ42" i="29"/>
  <c r="R158" i="4"/>
  <c r="G74" i="47" l="1"/>
  <c r="H74" i="47" s="1"/>
  <c r="J25" i="38"/>
  <c r="H52" i="53"/>
  <c r="H22" i="53"/>
  <c r="N19" i="51"/>
  <c r="E58" i="47"/>
  <c r="F58" i="47" s="1"/>
  <c r="G25" i="38"/>
  <c r="AL42" i="29"/>
  <c r="AN42" i="29" s="1"/>
  <c r="O17" i="32" s="1"/>
  <c r="R159" i="4"/>
  <c r="E42" i="47" l="1"/>
  <c r="F42" i="47" s="1"/>
  <c r="E25" i="38"/>
  <c r="N15" i="51"/>
  <c r="H20" i="53"/>
  <c r="H34" i="53" s="1"/>
  <c r="O56" i="32"/>
  <c r="R160" i="4"/>
  <c r="E26" i="47" l="1"/>
  <c r="F26" i="47" s="1"/>
  <c r="C25" i="38"/>
  <c r="N55" i="51"/>
  <c r="R161" i="4"/>
  <c r="R163" i="4" l="1"/>
  <c r="R162" i="4"/>
  <c r="S163" i="4" l="1"/>
  <c r="V77" i="4" s="1"/>
  <c r="W77" i="4" s="1"/>
  <c r="E32" i="29"/>
  <c r="C32" i="46" l="1"/>
  <c r="E32" i="46" s="1"/>
  <c r="I50" i="46" s="1"/>
  <c r="X32" i="46"/>
  <c r="Z32" i="46" s="1"/>
  <c r="N32" i="46"/>
  <c r="P32" i="46" s="1"/>
  <c r="Q32" i="46" s="1"/>
  <c r="U32" i="46" s="1"/>
  <c r="AH32" i="46"/>
  <c r="AJ32" i="46" s="1"/>
  <c r="AR32" i="46"/>
  <c r="AT32" i="46" s="1"/>
  <c r="AW32" i="46" s="1"/>
  <c r="M32" i="29"/>
  <c r="G32" i="29"/>
  <c r="AX50" i="46" l="1"/>
  <c r="AU32" i="46"/>
  <c r="AY50" i="46" s="1"/>
  <c r="AK32" i="46"/>
  <c r="AO32" i="46" s="1"/>
  <c r="AN50" i="46"/>
  <c r="T50" i="46"/>
  <c r="P29" i="32" s="1"/>
  <c r="I26" i="53" s="1"/>
  <c r="AA32" i="46"/>
  <c r="AE32" i="46" s="1"/>
  <c r="AD50" i="46"/>
  <c r="F32" i="46"/>
  <c r="J32" i="46" s="1"/>
  <c r="H32" i="29"/>
  <c r="D43" i="29" s="1"/>
  <c r="F43" i="29" s="1"/>
  <c r="U32" i="29"/>
  <c r="O32" i="29"/>
  <c r="P33" i="32" l="1"/>
  <c r="I28" i="53" s="1"/>
  <c r="P37" i="32"/>
  <c r="I30" i="53" s="1"/>
  <c r="P41" i="32"/>
  <c r="I32" i="53" s="1"/>
  <c r="S32" i="46"/>
  <c r="T32" i="46"/>
  <c r="U50" i="46"/>
  <c r="AM32" i="46"/>
  <c r="AN32" i="46"/>
  <c r="AO50" i="46"/>
  <c r="AC32" i="46"/>
  <c r="AD32" i="46"/>
  <c r="AE50" i="46"/>
  <c r="AX32" i="46"/>
  <c r="J50" i="46"/>
  <c r="I32" i="46"/>
  <c r="H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P25" i="32" s="1"/>
  <c r="I24" i="53" s="1"/>
  <c r="N42" i="53" s="1"/>
  <c r="N52" i="53" l="1"/>
  <c r="AD43" i="29"/>
  <c r="AF43" i="29" s="1"/>
  <c r="AJ43" i="29"/>
  <c r="AL43" i="29" l="1"/>
  <c r="AN43" i="29" s="1"/>
  <c r="P17" i="32" s="1"/>
  <c r="P56" i="32" s="1"/>
  <c r="I20" i="53" l="1"/>
  <c r="I34" i="53" l="1"/>
  <c r="K20" i="53" s="1"/>
  <c r="L20" i="53" s="1"/>
  <c r="M20" i="53" s="1"/>
  <c r="O20" i="53" s="1"/>
  <c r="O15" i="51" l="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I26" i="38"/>
  <c r="E27" i="47"/>
  <c r="F27" i="47" s="1"/>
  <c r="C26" i="38"/>
  <c r="O55" i="51" l="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<sst xmlns="http://schemas.openxmlformats.org/spreadsheetml/2006/main" count="1251" uniqueCount="362">
  <si>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</si>
  <si>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</si>
  <si>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</si>
  <si>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</si>
  <si>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</si>
  <si>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</si>
  <si>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</si>
  <si>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</si>
  <si>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</si>
  <si>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</si>
  <si>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</si>
  <si>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</si>
  <si>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</si>
  <si>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</si>
  <si>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</si>
  <si>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</si>
  <si>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</si>
  <si>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</si>
  <si>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</si>
  <si>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</si>
  <si>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</si>
  <si>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</si>
  <si>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</si>
  <si>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</si>
  <si>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</si>
  <si>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</si>
  <si>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</si>
  <si>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</si>
  <si>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</si>
  <si>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</si>
  <si>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</si>
  <si>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</si>
  <si>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</si>
  <si>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</si>
  <si>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</si>
  <si>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</si>
  <si>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</si>
  <si>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</si>
  <si>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</si>
  <si>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</si>
  <si>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</si>
  <si>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</si>
  <si>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</si>
  <si>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</si>
  <si>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</si>
  <si>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</si>
  <si>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</si>
  <si>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</si>
  <si>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</si>
  <si>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</si>
  <si>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</si>
  <si>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</si>
  <si>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</si>
  <si>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</si>
  <si>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</si>
  <si>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</si>
  <si>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</si>
  <si>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</si>
  <si>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</si>
  <si>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</si>
  <si>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</si>
  <si>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</si>
  <si>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</si>
  <si>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</si>
  <si>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</si>
  <si>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</si>
  <si>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</si>
  <si>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</si>
  <si>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</si>
  <si>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</si>
  <si>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</si>
  <si>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</si>
  <si>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</si>
  <si>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</si>
  <si>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</si>
  <si>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</si>
  <si>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</si>
  <si>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</si>
  <si>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</si>
  <si>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</si>
  <si>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</si>
  <si>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</si>
  <si>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</si>
  <si>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</si>
  <si>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</si>
  <si>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</si>
  <si>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</si>
  <si>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</si>
  <si>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</si>
  <si>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</si>
  <si>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</si>
  <si>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</si>
  <si>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</si>
  <si>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</si>
  <si>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</si>
  <si>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</si>
  <si>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</si>
  <si>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</si>
  <si>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</si>
  <si>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</si>
  <si>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</si>
  <si>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</si>
  <si>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</si>
  <si>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</si>
  <si>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</si>
  <si>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</si>
  <si>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</si>
  <si>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</si>
  <si>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</si>
  <si>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</si>
  <si>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</si>
  <si>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</si>
  <si>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</si>
  <si>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</si>
  <si>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</si>
  <si>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</si>
  <si>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</si>
  <si>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</si>
  <si>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</si>
  <si>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</si>
  <si>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</si>
  <si>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</si>
  <si>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</si>
  <si>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</si>
  <si>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</si>
  <si>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</si>
  <si>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</si>
  <si>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</si>
  <si>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</si>
  <si>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</si>
  <si>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</si>
  <si>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</si>
  <si>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</si>
  <si>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</si>
  <si>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</si>
  <si>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</si>
  <si>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</si>
  <si>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</si>
  <si>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</si>
  <si>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</si>
  <si>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</si>
  <si>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</si>
  <si>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</si>
  <si>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</si>
  <si>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</si>
  <si>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</si>
  <si>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</si>
  <si>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</si>
  <si>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</si>
  <si>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</si>
  <si>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</si>
  <si>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</si>
  <si>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</si>
  <si>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</si>
  <si>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</si>
  <si>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</si>
  <si>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</si>
  <si>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</si>
  <si>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</si>
  <si>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</si>
  <si>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</si>
  <si>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</si>
  <si>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</si>
  <si>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</si>
  <si>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</si>
  <si>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</si>
  <si>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</si>
  <si>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</si>
  <si>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</si>
  <si>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</si>
  <si>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</si>
  <si>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</si>
  <si>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</si>
  <si>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</si>
  <si>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</si>
  <si>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</si>
  <si>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</si>
  <si>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</si>
  <si>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</si>
  <si>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</si>
  <si>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</si>
  <si>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</si>
  <si>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</si>
  <si>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</si>
  <si>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</si>
  <si>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</si>
  <si>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</si>
  <si>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</si>
  <si>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</si>
  <si>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</si>
  <si>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</si>
  <si>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</si>
  <si>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</si>
  <si>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</si>
  <si>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</si>
  <si>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</si>
  <si>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</si>
  <si>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</si>
  <si>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</si>
  <si>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</si>
  <si>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</si>
  <si>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</si>
  <si>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</si>
  <si>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</si>
  <si>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</si>
  <si>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</si>
  <si>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</si>
  <si>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</si>
  <si>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</si>
  <si>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</si>
  <si>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</si>
  <si>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</si>
  <si>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</si>
  <si>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</si>
  <si>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</si>
  <si>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</si>
  <si>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</si>
  <si>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</si>
  <si>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</si>
  <si>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</si>
  <si>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</si>
  <si>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</si>
  <si>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</si>
  <si>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</si>
  <si>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</si>
  <si>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</si>
  <si>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</si>
  <si>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</si>
  <si>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</si>
  <si>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</si>
  <si>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</si>
  <si>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</si>
  <si>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</si>
  <si>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</si>
  <si>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</si>
  <si>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</si>
  <si>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</si>
  <si>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</si>
  <si>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</si>
  <si>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</si>
  <si>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</si>
  <si>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</si>
  <si>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</si>
  <si>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</si>
  <si>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</si>
  <si>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</si>
  <si>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</si>
  <si>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</si>
  <si>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</si>
  <si>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</si>
  <si>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</si>
  <si>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</si>
  <si>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</si>
  <si>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</si>
  <si>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</si>
  <si>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</si>
  <si>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</si>
  <si>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</si>
  <si>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</si>
  <si>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</si>
  <si>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</si>
  <si>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</si>
  <si>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Employment Stats</t>
  </si>
  <si>
    <t>Holiday Months</t>
  </si>
  <si>
    <t xml:space="preserve">Adjustment for loss of GS </t>
  </si>
  <si>
    <t>Winter Flag</t>
  </si>
  <si>
    <t xml:space="preserve">Load Forecast Model version 1.0 © CHEC </t>
  </si>
  <si>
    <t>Input cells</t>
  </si>
  <si>
    <t>Drop down cells</t>
  </si>
  <si>
    <t>Model Notes</t>
  </si>
  <si>
    <t>2016</t>
  </si>
  <si>
    <t>2017</t>
  </si>
  <si>
    <t>2013</t>
  </si>
  <si>
    <t>General Service 3000-4999 kW</t>
  </si>
  <si>
    <t>General Service &gt; 50 kW - 2999 kW</t>
  </si>
  <si>
    <t>Scenario #1 - all variables</t>
  </si>
  <si>
    <t>Number of Peak Hours</t>
  </si>
  <si>
    <t>Scenario #2 - no peak hours</t>
  </si>
  <si>
    <t>Scenario #3 - no number of days in month</t>
  </si>
  <si>
    <t>Scenario #4 - no winter flag</t>
  </si>
  <si>
    <t>Scenario #5 - all variables (revised)</t>
  </si>
  <si>
    <t>Scenario #6 - removed loss of customer and large customer data</t>
  </si>
  <si>
    <t>General Service &gt; 50 kW - 2999 kW-Non-WN/kW</t>
  </si>
  <si>
    <t>General Service 3000-4999 kW-Non-WN/kW</t>
  </si>
  <si>
    <t>Unmetered Scattered Load-Non-WN/kW</t>
  </si>
  <si>
    <t>Weather</t>
  </si>
  <si>
    <t>Normal</t>
  </si>
  <si>
    <t>Non-Weather</t>
  </si>
  <si>
    <t>1996</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</si>
  <si>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</si>
  <si>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</si>
  <si>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</si>
  <si>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</si>
  <si>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</si>
  <si>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</si>
  <si>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</si>
  <si>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</si>
  <si>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</si>
  <si>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</si>
  <si>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</si>
  <si>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</si>
  <si>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</si>
  <si>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</si>
  <si>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</si>
  <si>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</si>
  <si>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</si>
  <si>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</si>
  <si>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</si>
  <si>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</si>
  <si>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</si>
  <si>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</si>
  <si>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</si>
  <si>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</si>
  <si>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</si>
  <si>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</si>
  <si>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</si>
  <si>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</si>
  <si>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</si>
  <si>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</si>
  <si>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</si>
  <si>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</si>
  <si>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</si>
  <si>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</si>
  <si>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</si>
  <si>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</si>
  <si>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</si>
  <si>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</si>
  <si>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</si>
  <si>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</si>
  <si>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</si>
  <si>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</si>
  <si>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</si>
  <si>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</si>
  <si>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</si>
  <si>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</si>
  <si>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</si>
  <si>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</si>
  <si>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</si>
  <si>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</si>
  <si>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</si>
  <si>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</si>
  <si>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</si>
  <si>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</si>
  <si>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</si>
  <si>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</si>
  <si>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</si>
  <si>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</si>
  <si>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</si>
  <si>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</si>
  <si>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</si>
  <si>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</si>
  <si>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</si>
  <si>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</si>
  <si>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</si>
  <si>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</si>
  <si>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</si>
  <si>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</si>
  <si>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</si>
  <si>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Scenario #7 - updated 2015 data for actual, added CDM and MicroFIT variable</t>
  </si>
  <si>
    <t>Proposed Loss Factor (TLF)</t>
  </si>
  <si>
    <t xml:space="preserve">Spring and Fall </t>
  </si>
  <si>
    <t>Spring and Fall Flag</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</si>
</sst>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 #,##0.0000000_-;\-* #,##0.0000000_-;_-* &quot;-&quot;??_-;_-@_-"/>
  </numFmts>
  <fonts count="124"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s>
  <fills count="7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s>
  <cellStyleXfs count="1446">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165" fontId="14" fillId="0" borderId="0" applyFont="0" applyFill="0" applyBorder="0" applyAlignment="0" applyProtection="0"/>
    <xf numFmtId="43" fontId="23"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0" fillId="0" borderId="0"/>
    <xf numFmtId="0" fontId="13" fillId="0" borderId="0"/>
    <xf numFmtId="0" fontId="26" fillId="0" borderId="0"/>
    <xf numFmtId="0" fontId="1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58" fillId="0" borderId="0" applyFont="0" applyFill="0" applyBorder="0" applyAlignment="0" applyProtection="0"/>
    <xf numFmtId="43" fontId="10" fillId="0" borderId="0" applyFont="0" applyFill="0" applyBorder="0" applyAlignment="0" applyProtection="0"/>
    <xf numFmtId="165"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8"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8" fillId="37" borderId="1" applyNumberFormat="0" applyProtection="0">
      <alignment horizontal="left" vertical="center"/>
    </xf>
    <xf numFmtId="0" fontId="10" fillId="37"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0"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14" fillId="0" borderId="0"/>
    <xf numFmtId="165"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0"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4"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4"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81" fillId="19" borderId="0" applyNumberFormat="0" applyBorder="0" applyAlignment="0" applyProtection="0"/>
    <xf numFmtId="0" fontId="4" fillId="0" borderId="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77" fontId="10" fillId="0" borderId="0"/>
    <xf numFmtId="178" fontId="10" fillId="0" borderId="0"/>
    <xf numFmtId="177" fontId="10" fillId="0" borderId="0"/>
    <xf numFmtId="177" fontId="10" fillId="0" borderId="0"/>
    <xf numFmtId="177" fontId="10" fillId="0" borderId="0"/>
    <xf numFmtId="177" fontId="10" fillId="0" borderId="0"/>
    <xf numFmtId="179" fontId="10" fillId="0" borderId="0"/>
    <xf numFmtId="180" fontId="10" fillId="0" borderId="0"/>
    <xf numFmtId="179" fontId="10" fillId="0" borderId="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1" fontId="10" fillId="0" borderId="0"/>
    <xf numFmtId="181" fontId="10" fillId="0" borderId="0"/>
    <xf numFmtId="181" fontId="10" fillId="0" borderId="0"/>
    <xf numFmtId="181" fontId="10" fillId="0" borderId="0"/>
    <xf numFmtId="181" fontId="10" fillId="0" borderId="0"/>
    <xf numFmtId="183" fontId="10" fillId="0" borderId="0"/>
    <xf numFmtId="10" fontId="10"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82" fontId="10"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0"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89" fillId="50" borderId="0" applyNumberFormat="0" applyBorder="0" applyAlignment="0" applyProtection="0"/>
    <xf numFmtId="0" fontId="4" fillId="0" borderId="0"/>
    <xf numFmtId="0" fontId="4" fillId="0" borderId="0"/>
    <xf numFmtId="0" fontId="4" fillId="0" borderId="0"/>
    <xf numFmtId="0" fontId="89" fillId="55" borderId="0" applyNumberFormat="0" applyBorder="0" applyAlignment="0" applyProtection="0"/>
    <xf numFmtId="0" fontId="89" fillId="49" borderId="0" applyNumberFormat="0" applyBorder="0" applyAlignment="0" applyProtection="0"/>
    <xf numFmtId="165"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9" fillId="0" borderId="88" applyNumberFormat="0" applyFill="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7" fillId="0" borderId="0" applyNumberForma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8" fillId="43" borderId="83"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4"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02" fillId="0" borderId="0" applyNumberFormat="0" applyFill="0" applyBorder="0" applyAlignment="0" applyProtection="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8"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4" fillId="0" borderId="0"/>
    <xf numFmtId="165"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cellStyleXfs>
  <cellXfs count="991">
    <xf numFmtId="0" fontId="0" fillId="0" borderId="0" xfId="0"/>
    <xf numFmtId="0" fontId="10" fillId="0" borderId="0" xfId="0" applyFont="1"/>
    <xf numFmtId="1" fontId="10" fillId="33" borderId="2" xfId="379" applyNumberFormat="1" applyFont="1" applyFill="1" applyBorder="1" applyAlignment="1">
      <alignment horizontal="center"/>
    </xf>
    <xf numFmtId="0" fontId="44" fillId="0" borderId="0" xfId="0" applyFont="1" applyBorder="1" applyAlignment="1">
      <alignment horizontal="left" vertical="center"/>
    </xf>
    <xf numFmtId="0" fontId="10" fillId="0" borderId="6" xfId="0" applyFont="1" applyBorder="1" applyAlignment="1">
      <alignment horizontal="center"/>
    </xf>
    <xf numFmtId="49" fontId="10" fillId="0" borderId="7" xfId="0" applyNumberFormat="1" applyFont="1" applyBorder="1" applyAlignment="1">
      <alignment horizontal="center"/>
    </xf>
    <xf numFmtId="49" fontId="10" fillId="0" borderId="2" xfId="0" applyNumberFormat="1" applyFont="1" applyBorder="1" applyAlignment="1">
      <alignment horizontal="center"/>
    </xf>
    <xf numFmtId="166" fontId="10" fillId="0" borderId="1" xfId="0" applyNumberFormat="1" applyFont="1" applyBorder="1" applyAlignment="1">
      <alignment horizontal="center"/>
    </xf>
    <xf numFmtId="166" fontId="10" fillId="0" borderId="8" xfId="0" applyNumberFormat="1" applyFont="1" applyBorder="1" applyAlignment="1">
      <alignment horizontal="center"/>
    </xf>
    <xf numFmtId="14" fontId="10" fillId="0" borderId="2" xfId="0" applyNumberFormat="1" applyFont="1" applyBorder="1" applyAlignment="1">
      <alignment horizontal="center"/>
    </xf>
    <xf numFmtId="0" fontId="10" fillId="0" borderId="1" xfId="0" applyFont="1" applyBorder="1" applyAlignment="1">
      <alignment horizontal="center"/>
    </xf>
    <xf numFmtId="14" fontId="16" fillId="0" borderId="2" xfId="0" applyNumberFormat="1" applyFont="1" applyBorder="1" applyAlignment="1">
      <alignment horizontal="center"/>
    </xf>
    <xf numFmtId="166" fontId="16" fillId="0" borderId="1" xfId="0" applyNumberFormat="1" applyFont="1" applyBorder="1" applyAlignment="1">
      <alignment horizontal="center"/>
    </xf>
    <xf numFmtId="0" fontId="16" fillId="0" borderId="1" xfId="0" applyFont="1" applyBorder="1" applyAlignment="1">
      <alignment horizontal="center"/>
    </xf>
    <xf numFmtId="166" fontId="16"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49" fontId="10" fillId="0" borderId="9" xfId="0" applyNumberFormat="1" applyFont="1" applyBorder="1" applyAlignment="1">
      <alignment horizontal="center"/>
    </xf>
    <xf numFmtId="0" fontId="10" fillId="0" borderId="10"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166" fontId="10" fillId="0" borderId="11" xfId="0" applyNumberFormat="1" applyFont="1" applyBorder="1" applyAlignment="1">
      <alignment horizontal="center"/>
    </xf>
    <xf numFmtId="0" fontId="10" fillId="0" borderId="0" xfId="0" applyFont="1" applyFill="1" applyBorder="1"/>
    <xf numFmtId="2" fontId="43"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2" fontId="43" fillId="0" borderId="8"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2" fontId="43" fillId="0" borderId="11" xfId="0" applyNumberFormat="1" applyFont="1" applyFill="1" applyBorder="1" applyAlignment="1">
      <alignment horizontal="center"/>
    </xf>
    <xf numFmtId="0" fontId="10"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0" fillId="0" borderId="20" xfId="0" applyFont="1" applyFill="1" applyBorder="1" applyAlignment="1">
      <alignment horizontal="left"/>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0" fontId="10" fillId="0" borderId="1" xfId="0" applyFont="1" applyBorder="1"/>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6" fillId="0" borderId="0" xfId="0" applyFont="1" applyBorder="1" applyAlignment="1">
      <alignment horizontal="left" vertical="center"/>
    </xf>
    <xf numFmtId="0" fontId="10"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8"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10" fillId="0" borderId="23" xfId="0" applyFont="1" applyBorder="1"/>
    <xf numFmtId="0" fontId="10" fillId="0" borderId="2" xfId="0" applyFont="1" applyBorder="1"/>
    <xf numFmtId="0" fontId="10" fillId="0" borderId="9" xfId="0" applyFont="1" applyBorder="1"/>
    <xf numFmtId="0" fontId="10"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0" fillId="0" borderId="0" xfId="521" applyFont="1"/>
    <xf numFmtId="0" fontId="26" fillId="0" borderId="0" xfId="524" applyFont="1" applyFill="1"/>
    <xf numFmtId="0" fontId="10" fillId="0" borderId="0" xfId="521" applyFont="1" applyAlignment="1">
      <alignment horizontal="left"/>
    </xf>
    <xf numFmtId="0" fontId="26" fillId="0" borderId="0" xfId="524" applyFont="1"/>
    <xf numFmtId="9" fontId="10"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0" fillId="0" borderId="39" xfId="521" applyFont="1" applyBorder="1"/>
    <xf numFmtId="0" fontId="10" fillId="0" borderId="26" xfId="521" applyFont="1" applyBorder="1" applyAlignment="1">
      <alignment horizontal="center"/>
    </xf>
    <xf numFmtId="0" fontId="10" fillId="0" borderId="7" xfId="521" applyFont="1" applyBorder="1"/>
    <xf numFmtId="0" fontId="10" fillId="0" borderId="2" xfId="521" applyFont="1" applyBorder="1"/>
    <xf numFmtId="3" fontId="10" fillId="0" borderId="1" xfId="521" applyNumberFormat="1" applyFont="1" applyFill="1" applyBorder="1" applyAlignment="1">
      <alignment horizontal="center"/>
    </xf>
    <xf numFmtId="167" fontId="10" fillId="0" borderId="2" xfId="558" applyNumberFormat="1" applyFont="1" applyFill="1" applyBorder="1" applyAlignment="1">
      <alignment horizontal="center"/>
    </xf>
    <xf numFmtId="10" fontId="10" fillId="0" borderId="2" xfId="558" applyNumberFormat="1" applyFont="1" applyFill="1" applyBorder="1" applyAlignment="1">
      <alignment horizontal="center"/>
    </xf>
    <xf numFmtId="0" fontId="10" fillId="0" borderId="43" xfId="521" applyFont="1" applyBorder="1"/>
    <xf numFmtId="0" fontId="10" fillId="0" borderId="9" xfId="521" applyFont="1" applyBorder="1"/>
    <xf numFmtId="10" fontId="10" fillId="0" borderId="9" xfId="558" applyNumberFormat="1" applyFont="1" applyFill="1" applyBorder="1" applyAlignment="1">
      <alignment horizontal="center"/>
    </xf>
    <xf numFmtId="0" fontId="10" fillId="0" borderId="0" xfId="521" applyFont="1" applyFill="1" applyBorder="1"/>
    <xf numFmtId="1" fontId="10"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3" fontId="10"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0" fillId="0" borderId="1" xfId="521" applyFont="1" applyBorder="1" applyAlignment="1">
      <alignment horizontal="center"/>
    </xf>
    <xf numFmtId="0" fontId="10"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4"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1"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0" fontId="10" fillId="33" borderId="0" xfId="0" applyFont="1" applyFill="1" applyBorder="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0" fillId="0" borderId="38"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0" fontId="10" fillId="0" borderId="23" xfId="0" applyFont="1" applyFill="1" applyBorder="1" applyAlignment="1">
      <alignment horizontal="center"/>
    </xf>
    <xf numFmtId="0" fontId="10" fillId="0" borderId="4" xfId="0" applyFont="1" applyBorder="1" applyAlignment="1">
      <alignment horizontal="center" wrapText="1"/>
    </xf>
    <xf numFmtId="1" fontId="10" fillId="0" borderId="23" xfId="0" applyNumberFormat="1" applyFont="1" applyFill="1" applyBorder="1" applyAlignment="1">
      <alignment horizontal="center"/>
    </xf>
    <xf numFmtId="0" fontId="10" fillId="0" borderId="30" xfId="0" applyFont="1" applyFill="1" applyBorder="1" applyAlignment="1">
      <alignment horizontal="center"/>
    </xf>
    <xf numFmtId="166" fontId="10" fillId="0" borderId="1" xfId="0" applyNumberFormat="1" applyFont="1" applyFill="1" applyBorder="1" applyAlignment="1">
      <alignment horizontal="center"/>
    </xf>
    <xf numFmtId="166"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0" fillId="0" borderId="0" xfId="0" applyNumberFormat="1" applyFont="1"/>
    <xf numFmtId="168" fontId="45" fillId="0" borderId="0" xfId="0" applyNumberFormat="1" applyFont="1" applyBorder="1" applyAlignment="1">
      <alignment horizontal="center" vertical="center" wrapText="1"/>
    </xf>
    <xf numFmtId="168" fontId="16"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9" fontId="43" fillId="0" borderId="10" xfId="557" applyFont="1" applyFill="1" applyBorder="1" applyAlignment="1">
      <alignment horizontal="center" vertical="center" wrapText="1"/>
    </xf>
    <xf numFmtId="0" fontId="45" fillId="0" borderId="46" xfId="0" applyFont="1" applyBorder="1" applyAlignment="1">
      <alignment horizontal="center" vertical="center" wrapText="1"/>
    </xf>
    <xf numFmtId="3" fontId="16"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8"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0" fontId="10" fillId="0" borderId="43" xfId="0" applyFont="1" applyBorder="1"/>
    <xf numFmtId="0" fontId="10" fillId="0" borderId="44" xfId="0" applyFont="1" applyBorder="1"/>
    <xf numFmtId="49" fontId="10" fillId="0" borderId="43" xfId="0" applyNumberFormat="1" applyFont="1" applyBorder="1"/>
    <xf numFmtId="169" fontId="10" fillId="0" borderId="23" xfId="379" applyNumberFormat="1" applyFont="1" applyFill="1" applyBorder="1" applyAlignment="1">
      <alignment horizontal="center"/>
    </xf>
    <xf numFmtId="169" fontId="10" fillId="0" borderId="1" xfId="379" applyNumberFormat="1" applyFont="1" applyFill="1" applyBorder="1" applyAlignment="1">
      <alignment horizontal="center"/>
    </xf>
    <xf numFmtId="0" fontId="10" fillId="0" borderId="19" xfId="0" applyFont="1" applyFill="1" applyBorder="1"/>
    <xf numFmtId="49" fontId="10"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0" fillId="0" borderId="44" xfId="521" applyFont="1" applyBorder="1" applyAlignment="1">
      <alignment horizontal="center"/>
    </xf>
    <xf numFmtId="0" fontId="10" fillId="0" borderId="10" xfId="521" applyFont="1" applyBorder="1" applyAlignment="1">
      <alignment horizontal="center"/>
    </xf>
    <xf numFmtId="0" fontId="10" fillId="0" borderId="0" xfId="521" applyFont="1" applyAlignment="1">
      <alignment horizontal="center"/>
    </xf>
    <xf numFmtId="49" fontId="10" fillId="0" borderId="26" xfId="521" applyNumberFormat="1" applyFont="1" applyBorder="1" applyAlignment="1">
      <alignment horizontal="center"/>
    </xf>
    <xf numFmtId="0" fontId="17" fillId="0" borderId="43" xfId="0" applyFont="1" applyBorder="1"/>
    <xf numFmtId="0" fontId="17" fillId="0" borderId="44" xfId="0" applyFont="1" applyBorder="1"/>
    <xf numFmtId="0" fontId="17" fillId="0" borderId="9" xfId="0" applyFont="1" applyBorder="1"/>
    <xf numFmtId="0" fontId="17" fillId="0" borderId="10" xfId="0" applyFont="1" applyBorder="1"/>
    <xf numFmtId="0" fontId="27" fillId="0" borderId="0" xfId="0" applyFont="1" applyFill="1" applyBorder="1"/>
    <xf numFmtId="0" fontId="45" fillId="0" borderId="28" xfId="0" applyFont="1" applyBorder="1" applyAlignment="1">
      <alignment horizontal="center" wrapText="1"/>
    </xf>
    <xf numFmtId="0" fontId="17" fillId="0" borderId="39" xfId="0" applyFont="1" applyBorder="1" applyAlignment="1">
      <alignment horizontal="center"/>
    </xf>
    <xf numFmtId="165" fontId="10" fillId="0" borderId="1" xfId="379" applyFont="1" applyFill="1" applyBorder="1"/>
    <xf numFmtId="1" fontId="43" fillId="33" borderId="8" xfId="0" applyNumberFormat="1" applyFont="1" applyFill="1" applyBorder="1" applyAlignment="1">
      <alignment horizontal="center"/>
    </xf>
    <xf numFmtId="166" fontId="10" fillId="0" borderId="26" xfId="0" applyNumberFormat="1" applyFont="1" applyBorder="1"/>
    <xf numFmtId="1" fontId="10"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3" fontId="26" fillId="0" borderId="0" xfId="524" applyNumberFormat="1" applyFont="1"/>
    <xf numFmtId="174" fontId="26" fillId="0" borderId="0" xfId="524" applyNumberFormat="1" applyFont="1"/>
    <xf numFmtId="0" fontId="10" fillId="0" borderId="66" xfId="521" applyFont="1" applyBorder="1"/>
    <xf numFmtId="0" fontId="10" fillId="0" borderId="55" xfId="521" applyFont="1" applyBorder="1"/>
    <xf numFmtId="0" fontId="10" fillId="0" borderId="21" xfId="521" applyFont="1" applyBorder="1"/>
    <xf numFmtId="49" fontId="10" fillId="0" borderId="21" xfId="521" applyNumberFormat="1" applyFont="1" applyBorder="1"/>
    <xf numFmtId="0" fontId="10" fillId="0" borderId="17" xfId="521" applyFont="1" applyBorder="1"/>
    <xf numFmtId="0" fontId="10" fillId="0" borderId="22" xfId="521" applyFont="1" applyBorder="1"/>
    <xf numFmtId="175" fontId="26" fillId="0" borderId="0" xfId="379" applyNumberFormat="1" applyFont="1"/>
    <xf numFmtId="0" fontId="16" fillId="0" borderId="2" xfId="0" quotePrefix="1" applyFont="1" applyBorder="1" applyAlignment="1">
      <alignment horizontal="center" vertical="center" wrapText="1"/>
    </xf>
    <xf numFmtId="170" fontId="10" fillId="0" borderId="0" xfId="379" applyNumberFormat="1" applyFont="1" applyFill="1" applyBorder="1" applyAlignment="1">
      <alignment horizontal="center"/>
    </xf>
    <xf numFmtId="170" fontId="43" fillId="0" borderId="0" xfId="379" applyNumberFormat="1" applyFont="1" applyFill="1" applyBorder="1" applyAlignment="1">
      <alignment horizontal="center"/>
    </xf>
    <xf numFmtId="169" fontId="10" fillId="0" borderId="0" xfId="379" applyNumberFormat="1" applyFont="1" applyAlignment="1">
      <alignment horizontal="center"/>
    </xf>
    <xf numFmtId="169" fontId="10" fillId="0" borderId="0" xfId="379" applyNumberFormat="1" applyFont="1"/>
    <xf numFmtId="166" fontId="10" fillId="0" borderId="52" xfId="0" applyNumberFormat="1" applyFont="1" applyFill="1" applyBorder="1" applyAlignment="1">
      <alignment horizontal="center"/>
    </xf>
    <xf numFmtId="169" fontId="10" fillId="0" borderId="2" xfId="379" applyNumberFormat="1" applyFont="1" applyBorder="1"/>
    <xf numFmtId="0" fontId="10" fillId="0" borderId="8" xfId="0" applyFont="1" applyBorder="1"/>
    <xf numFmtId="166"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5" fillId="0" borderId="0" xfId="0" applyFont="1" applyAlignment="1" applyProtection="1">
      <alignment horizontal="left"/>
      <protection locked="0"/>
    </xf>
    <xf numFmtId="0" fontId="10" fillId="0" borderId="0" xfId="0" applyFont="1" applyBorder="1" applyProtection="1">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6" fontId="10" fillId="0" borderId="30" xfId="0" applyNumberFormat="1" applyFont="1" applyBorder="1" applyAlignment="1">
      <alignment horizontal="center"/>
    </xf>
    <xf numFmtId="166" fontId="10"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69" fontId="10" fillId="0" borderId="23" xfId="379" applyNumberFormat="1" applyFont="1" applyFill="1" applyBorder="1" applyAlignment="1" applyProtection="1">
      <alignment horizontal="center"/>
      <protection locked="0"/>
    </xf>
    <xf numFmtId="0" fontId="10" fillId="0" borderId="1" xfId="0" applyFont="1" applyFill="1" applyBorder="1" applyProtection="1">
      <protection locked="0"/>
    </xf>
    <xf numFmtId="165" fontId="10" fillId="0" borderId="1" xfId="379" applyFont="1" applyFill="1" applyBorder="1" applyProtection="1">
      <protection locked="0"/>
    </xf>
    <xf numFmtId="0" fontId="14" fillId="0" borderId="0" xfId="0" applyFont="1" applyProtection="1">
      <protection locked="0"/>
    </xf>
    <xf numFmtId="165" fontId="10" fillId="0" borderId="1" xfId="379" applyFont="1" applyBorder="1" applyAlignment="1" applyProtection="1">
      <alignment horizontal="center"/>
      <protection locked="0"/>
    </xf>
    <xf numFmtId="10" fontId="10" fillId="0" borderId="1" xfId="557" applyNumberFormat="1"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9" fontId="10" fillId="0" borderId="0" xfId="557" applyFont="1" applyProtection="1">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0" fillId="0" borderId="0" xfId="0" applyNumberFormat="1" applyFont="1" applyBorder="1" applyProtection="1">
      <protection locked="0"/>
    </xf>
    <xf numFmtId="172" fontId="10" fillId="0" borderId="0" xfId="379" applyNumberFormat="1" applyFont="1" applyBorder="1" applyProtection="1">
      <protection locked="0"/>
    </xf>
    <xf numFmtId="9" fontId="10" fillId="0" borderId="0" xfId="0" applyNumberFormat="1" applyFont="1" applyProtection="1">
      <protection locked="0"/>
    </xf>
    <xf numFmtId="3" fontId="10" fillId="0" borderId="0" xfId="0" applyNumberFormat="1" applyFont="1"/>
    <xf numFmtId="0" fontId="17"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1" fontId="43" fillId="33" borderId="51" xfId="0" applyNumberFormat="1" applyFont="1" applyFill="1" applyBorder="1" applyAlignment="1">
      <alignment horizontal="center"/>
    </xf>
    <xf numFmtId="1" fontId="43" fillId="33" borderId="67" xfId="0" applyNumberFormat="1" applyFont="1" applyFill="1" applyBorder="1" applyAlignment="1">
      <alignment horizontal="center"/>
    </xf>
    <xf numFmtId="0" fontId="10" fillId="0" borderId="39" xfId="0" applyFont="1" applyFill="1" applyBorder="1" applyAlignment="1">
      <alignment horizontal="left"/>
    </xf>
    <xf numFmtId="2" fontId="43" fillId="0" borderId="42" xfId="0" applyNumberFormat="1" applyFont="1" applyFill="1" applyBorder="1" applyAlignment="1">
      <alignment horizontal="center"/>
    </xf>
    <xf numFmtId="0" fontId="10" fillId="0" borderId="66" xfId="0" applyFont="1" applyFill="1" applyBorder="1" applyAlignment="1">
      <alignment horizontal="left"/>
    </xf>
    <xf numFmtId="0" fontId="10" fillId="0" borderId="26" xfId="0" applyFont="1" applyFill="1" applyBorder="1" applyAlignment="1">
      <alignment horizontal="center"/>
    </xf>
    <xf numFmtId="0" fontId="17" fillId="36" borderId="72" xfId="0" applyFont="1" applyFill="1" applyBorder="1" applyAlignment="1">
      <alignment horizontal="center"/>
    </xf>
    <xf numFmtId="0" fontId="17" fillId="36" borderId="73" xfId="0" applyFont="1" applyFill="1" applyBorder="1" applyAlignment="1">
      <alignment horizontal="center"/>
    </xf>
    <xf numFmtId="49" fontId="10" fillId="36" borderId="71" xfId="0" applyNumberFormat="1" applyFont="1" applyFill="1" applyBorder="1" applyAlignment="1">
      <alignment wrapText="1"/>
    </xf>
    <xf numFmtId="166" fontId="10" fillId="0" borderId="10" xfId="0" applyNumberFormat="1" applyFont="1" applyFill="1" applyBorder="1" applyAlignment="1">
      <alignment horizontal="center"/>
    </xf>
    <xf numFmtId="169" fontId="10" fillId="0" borderId="26" xfId="379" applyNumberFormat="1" applyFont="1" applyBorder="1"/>
    <xf numFmtId="169" fontId="10" fillId="0" borderId="1" xfId="379" applyNumberFormat="1" applyFont="1" applyBorder="1" applyAlignment="1">
      <alignment horizontal="center"/>
    </xf>
    <xf numFmtId="169" fontId="10" fillId="0" borderId="10" xfId="379" applyNumberFormat="1" applyFont="1" applyFill="1" applyBorder="1" applyAlignment="1">
      <alignment horizontal="center"/>
    </xf>
    <xf numFmtId="169" fontId="16" fillId="0" borderId="1" xfId="379" applyNumberFormat="1" applyFont="1" applyBorder="1" applyAlignment="1">
      <alignment horizontal="center"/>
    </xf>
    <xf numFmtId="169" fontId="10" fillId="33" borderId="1" xfId="379" applyNumberFormat="1" applyFont="1" applyFill="1" applyBorder="1" applyAlignment="1">
      <alignment horizontal="center"/>
    </xf>
    <xf numFmtId="169" fontId="10" fillId="33" borderId="10" xfId="379" applyNumberFormat="1" applyFont="1" applyFill="1" applyBorder="1" applyAlignment="1">
      <alignment horizontal="center"/>
    </xf>
    <xf numFmtId="169" fontId="10" fillId="0" borderId="0" xfId="0" applyNumberFormat="1" applyFont="1"/>
    <xf numFmtId="0" fontId="10"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0" fillId="0" borderId="74" xfId="0" applyFont="1" applyBorder="1"/>
    <xf numFmtId="2" fontId="10" fillId="0" borderId="0" xfId="379" applyNumberFormat="1" applyFont="1" applyFill="1" applyBorder="1" applyAlignment="1" applyProtection="1">
      <alignment horizontal="center"/>
      <protection locked="0"/>
    </xf>
    <xf numFmtId="0" fontId="17" fillId="0" borderId="0" xfId="0" applyFont="1" applyFill="1" applyAlignment="1" applyProtection="1">
      <alignment horizontal="center" vertical="center"/>
      <protection locked="0"/>
    </xf>
    <xf numFmtId="0" fontId="56" fillId="0" borderId="1" xfId="0" applyFont="1" applyBorder="1" applyAlignment="1">
      <alignment horizontal="center"/>
    </xf>
    <xf numFmtId="168" fontId="16"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0" fillId="0" borderId="0" xfId="0" applyFont="1" applyAlignment="1">
      <alignment horizontal="center" wrapText="1"/>
    </xf>
    <xf numFmtId="0" fontId="82" fillId="0" borderId="0" xfId="0" applyFont="1" applyAlignment="1">
      <alignment horizontal="left"/>
    </xf>
    <xf numFmtId="171" fontId="10"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6" fillId="0" borderId="50" xfId="0" applyNumberFormat="1" applyFont="1" applyBorder="1" applyAlignment="1">
      <alignment horizontal="center" vertical="center" wrapText="1"/>
    </xf>
    <xf numFmtId="0" fontId="10"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165" fontId="16"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0"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2" fontId="10" fillId="0" borderId="8" xfId="379" applyNumberFormat="1" applyFont="1" applyFill="1" applyBorder="1" applyAlignment="1"/>
    <xf numFmtId="1" fontId="10" fillId="0" borderId="1" xfId="0" applyNumberFormat="1" applyFont="1" applyBorder="1" applyAlignment="1">
      <alignment horizontal="center"/>
    </xf>
    <xf numFmtId="165" fontId="10" fillId="0" borderId="1" xfId="0" applyNumberFormat="1" applyFont="1" applyBorder="1" applyAlignment="1">
      <alignment horizontal="center"/>
    </xf>
    <xf numFmtId="169" fontId="10" fillId="0" borderId="8" xfId="379" applyNumberFormat="1" applyFont="1" applyBorder="1" applyAlignment="1">
      <alignment horizontal="center"/>
    </xf>
    <xf numFmtId="169"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5" fontId="10" fillId="0" borderId="50" xfId="0" applyNumberFormat="1" applyFont="1" applyBorder="1" applyAlignment="1">
      <alignment horizontal="center"/>
    </xf>
    <xf numFmtId="175" fontId="10" fillId="0" borderId="56" xfId="0" applyNumberFormat="1" applyFont="1" applyBorder="1" applyAlignment="1">
      <alignment horizontal="center"/>
    </xf>
    <xf numFmtId="169" fontId="10" fillId="0" borderId="21" xfId="379" applyNumberFormat="1" applyFont="1" applyBorder="1" applyAlignment="1">
      <alignment horizontal="center"/>
    </xf>
    <xf numFmtId="169" fontId="10" fillId="0" borderId="22" xfId="379" applyNumberFormat="1" applyFont="1" applyBorder="1" applyAlignment="1">
      <alignment horizontal="center"/>
    </xf>
    <xf numFmtId="0" fontId="10" fillId="0" borderId="36" xfId="0" applyFont="1" applyBorder="1" applyAlignment="1">
      <alignment horizontal="center" wrapText="1"/>
    </xf>
    <xf numFmtId="3" fontId="10"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165" fontId="45" fillId="0" borderId="50" xfId="379" applyFont="1" applyBorder="1" applyAlignment="1">
      <alignment horizontal="center" vertical="center" wrapText="1"/>
    </xf>
    <xf numFmtId="171" fontId="10" fillId="0" borderId="8" xfId="383" applyNumberFormat="1" applyFont="1" applyFill="1" applyBorder="1" applyAlignment="1"/>
    <xf numFmtId="165" fontId="10" fillId="0" borderId="10" xfId="0" applyNumberFormat="1" applyFont="1" applyBorder="1" applyAlignment="1">
      <alignment horizontal="center"/>
    </xf>
    <xf numFmtId="175"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1" fontId="10" fillId="0" borderId="11" xfId="383" applyNumberFormat="1" applyFont="1" applyFill="1" applyBorder="1" applyAlignment="1"/>
    <xf numFmtId="176" fontId="16" fillId="0" borderId="1" xfId="0" applyNumberFormat="1" applyFont="1" applyBorder="1" applyAlignment="1">
      <alignment horizontal="center" vertical="center" wrapText="1"/>
    </xf>
    <xf numFmtId="175" fontId="16" fillId="0" borderId="1" xfId="379" applyNumberFormat="1" applyFont="1" applyBorder="1" applyAlignment="1">
      <alignment horizontal="center" vertical="center" wrapText="1"/>
    </xf>
    <xf numFmtId="0" fontId="26" fillId="0" borderId="0" xfId="524" applyFont="1"/>
    <xf numFmtId="10" fontId="10"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69" fontId="10" fillId="0" borderId="23" xfId="379" applyNumberFormat="1" applyFont="1" applyFill="1" applyBorder="1" applyAlignment="1">
      <alignment horizontal="center"/>
    </xf>
    <xf numFmtId="169" fontId="10" fillId="0" borderId="30" xfId="379" applyNumberFormat="1" applyFont="1" applyFill="1" applyBorder="1" applyAlignment="1">
      <alignment horizontal="center"/>
    </xf>
    <xf numFmtId="169" fontId="10" fillId="0" borderId="1" xfId="379" applyNumberFormat="1" applyFont="1" applyFill="1" applyBorder="1" applyAlignment="1">
      <alignment horizontal="center"/>
    </xf>
    <xf numFmtId="169" fontId="10" fillId="0" borderId="8" xfId="379" applyNumberFormat="1" applyFont="1" applyFill="1" applyBorder="1" applyAlignment="1">
      <alignment horizontal="center"/>
    </xf>
    <xf numFmtId="169" fontId="10" fillId="0" borderId="33" xfId="379" applyNumberFormat="1" applyFont="1" applyFill="1" applyBorder="1" applyAlignment="1">
      <alignment horizontal="center"/>
    </xf>
    <xf numFmtId="169" fontId="10" fillId="0" borderId="44" xfId="379" applyNumberFormat="1" applyFont="1" applyFill="1" applyBorder="1" applyAlignment="1">
      <alignment horizontal="center"/>
    </xf>
    <xf numFmtId="169" fontId="43" fillId="0" borderId="44" xfId="379" applyNumberFormat="1" applyFont="1" applyFill="1" applyBorder="1" applyAlignment="1">
      <alignment horizontal="center"/>
    </xf>
    <xf numFmtId="169" fontId="17" fillId="0" borderId="44" xfId="379" applyNumberFormat="1" applyFont="1" applyFill="1" applyBorder="1" applyAlignment="1">
      <alignment horizontal="center"/>
    </xf>
    <xf numFmtId="169" fontId="17" fillId="0" borderId="18" xfId="379" applyNumberFormat="1" applyFont="1" applyFill="1" applyBorder="1" applyAlignment="1">
      <alignment horizontal="center"/>
    </xf>
    <xf numFmtId="169" fontId="17" fillId="0" borderId="10" xfId="379" applyNumberFormat="1" applyFont="1" applyFill="1" applyBorder="1" applyAlignment="1">
      <alignment horizontal="center"/>
    </xf>
    <xf numFmtId="169" fontId="17" fillId="0" borderId="11" xfId="379" applyNumberFormat="1" applyFont="1" applyFill="1" applyBorder="1" applyAlignment="1">
      <alignment horizontal="center"/>
    </xf>
    <xf numFmtId="169" fontId="10" fillId="0" borderId="2" xfId="379" applyNumberFormat="1" applyFont="1" applyBorder="1"/>
    <xf numFmtId="169" fontId="10" fillId="0" borderId="9" xfId="379" applyNumberFormat="1" applyFont="1" applyBorder="1"/>
    <xf numFmtId="2" fontId="10"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7" fillId="0" borderId="17" xfId="0" applyFont="1" applyBorder="1"/>
    <xf numFmtId="0" fontId="17" fillId="0" borderId="22" xfId="0" applyFont="1" applyBorder="1"/>
    <xf numFmtId="169" fontId="10" fillId="0" borderId="1" xfId="379" applyNumberFormat="1" applyFont="1" applyFill="1" applyBorder="1" applyAlignment="1">
      <alignment horizontal="right"/>
    </xf>
    <xf numFmtId="169" fontId="43" fillId="0" borderId="1" xfId="379" applyNumberFormat="1" applyFont="1" applyFill="1" applyBorder="1" applyAlignment="1">
      <alignment horizontal="right"/>
    </xf>
    <xf numFmtId="169" fontId="43" fillId="0" borderId="8" xfId="379" applyNumberFormat="1" applyFont="1" applyFill="1" applyBorder="1" applyAlignment="1">
      <alignment horizontal="right"/>
    </xf>
    <xf numFmtId="169" fontId="10" fillId="0" borderId="44" xfId="379" applyNumberFormat="1" applyFont="1" applyFill="1" applyBorder="1" applyAlignment="1">
      <alignment horizontal="right"/>
    </xf>
    <xf numFmtId="169" fontId="43" fillId="0" borderId="44" xfId="379" applyNumberFormat="1" applyFont="1" applyFill="1" applyBorder="1" applyAlignment="1">
      <alignment horizontal="right"/>
    </xf>
    <xf numFmtId="169" fontId="43" fillId="0" borderId="18" xfId="379" applyNumberFormat="1" applyFont="1" applyFill="1" applyBorder="1" applyAlignment="1">
      <alignment horizontal="right"/>
    </xf>
    <xf numFmtId="169" fontId="17" fillId="0" borderId="44" xfId="379" applyNumberFormat="1" applyFont="1" applyFill="1" applyBorder="1" applyAlignment="1">
      <alignment horizontal="right"/>
    </xf>
    <xf numFmtId="169" fontId="17" fillId="0" borderId="18" xfId="379" applyNumberFormat="1" applyFont="1" applyFill="1" applyBorder="1" applyAlignment="1">
      <alignment horizontal="right"/>
    </xf>
    <xf numFmtId="165" fontId="17" fillId="0" borderId="44" xfId="379" applyNumberFormat="1" applyFont="1" applyFill="1" applyBorder="1" applyAlignment="1">
      <alignment horizontal="right"/>
    </xf>
    <xf numFmtId="169" fontId="17" fillId="0" borderId="10" xfId="379" applyNumberFormat="1" applyFont="1" applyFill="1" applyBorder="1" applyAlignment="1">
      <alignment horizontal="right"/>
    </xf>
    <xf numFmtId="169" fontId="17" fillId="0" borderId="11" xfId="379" applyNumberFormat="1" applyFont="1" applyFill="1" applyBorder="1" applyAlignment="1">
      <alignment horizontal="right"/>
    </xf>
    <xf numFmtId="0" fontId="51" fillId="0" borderId="0" xfId="524" applyFont="1" applyAlignment="1">
      <alignment horizontal="center" vertical="center"/>
    </xf>
    <xf numFmtId="2" fontId="10" fillId="0" borderId="7" xfId="521" applyNumberFormat="1" applyFont="1" applyBorder="1"/>
    <xf numFmtId="2" fontId="10" fillId="0" borderId="2" xfId="521" applyNumberFormat="1" applyFont="1" applyBorder="1"/>
    <xf numFmtId="2" fontId="10" fillId="0" borderId="43" xfId="521" applyNumberFormat="1" applyFont="1" applyBorder="1"/>
    <xf numFmtId="49" fontId="10" fillId="0" borderId="42" xfId="521" applyNumberFormat="1" applyFont="1" applyBorder="1" applyAlignment="1">
      <alignment horizontal="center"/>
    </xf>
    <xf numFmtId="2" fontId="10" fillId="0" borderId="19" xfId="521" applyNumberFormat="1" applyFont="1" applyBorder="1"/>
    <xf numFmtId="0" fontId="10" fillId="0" borderId="20" xfId="521" applyFont="1" applyBorder="1"/>
    <xf numFmtId="0" fontId="10" fillId="0" borderId="12" xfId="521" applyFont="1" applyBorder="1" applyAlignment="1">
      <alignment horizontal="center"/>
    </xf>
    <xf numFmtId="169" fontId="10" fillId="0" borderId="18" xfId="379" applyNumberFormat="1" applyFont="1" applyFill="1" applyBorder="1" applyAlignment="1">
      <alignment horizontal="center"/>
    </xf>
    <xf numFmtId="169" fontId="26" fillId="0" borderId="12" xfId="379" applyNumberFormat="1" applyFont="1" applyBorder="1"/>
    <xf numFmtId="169" fontId="26" fillId="0" borderId="13" xfId="379" applyNumberFormat="1" applyFont="1" applyBorder="1"/>
    <xf numFmtId="169" fontId="26" fillId="0" borderId="1" xfId="379" applyNumberFormat="1" applyFont="1" applyBorder="1"/>
    <xf numFmtId="169" fontId="26" fillId="0" borderId="8" xfId="379" applyNumberFormat="1" applyFont="1" applyBorder="1"/>
    <xf numFmtId="169" fontId="10" fillId="0" borderId="11" xfId="379" applyNumberFormat="1" applyFont="1" applyFill="1" applyBorder="1" applyAlignment="1">
      <alignment horizontal="center"/>
    </xf>
    <xf numFmtId="3" fontId="10" fillId="0" borderId="1" xfId="558" applyNumberFormat="1" applyFont="1" applyFill="1" applyBorder="1" applyAlignment="1">
      <alignment horizontal="center"/>
    </xf>
    <xf numFmtId="3" fontId="10" fillId="0" borderId="1" xfId="379" applyNumberFormat="1" applyFont="1" applyFill="1" applyBorder="1" applyAlignment="1">
      <alignment horizontal="center"/>
    </xf>
    <xf numFmtId="3" fontId="10" fillId="0" borderId="10" xfId="558" applyNumberFormat="1" applyFont="1" applyFill="1" applyBorder="1" applyAlignment="1">
      <alignment horizontal="center"/>
    </xf>
    <xf numFmtId="0" fontId="10" fillId="0" borderId="36" xfId="521" applyFont="1" applyFill="1" applyBorder="1" applyAlignment="1">
      <alignment horizontal="center" wrapText="1"/>
    </xf>
    <xf numFmtId="10" fontId="10" fillId="0" borderId="19" xfId="558" applyNumberFormat="1" applyFont="1" applyFill="1" applyBorder="1" applyAlignment="1">
      <alignment horizontal="center"/>
    </xf>
    <xf numFmtId="3" fontId="10" fillId="0" borderId="12" xfId="379" applyNumberFormat="1" applyFont="1" applyFill="1" applyBorder="1" applyAlignment="1">
      <alignment horizontal="center"/>
    </xf>
    <xf numFmtId="3" fontId="10" fillId="0" borderId="13" xfId="0" applyNumberFormat="1" applyFont="1" applyBorder="1"/>
    <xf numFmtId="3" fontId="10" fillId="0" borderId="8" xfId="0" applyNumberFormat="1" applyFont="1" applyBorder="1"/>
    <xf numFmtId="0" fontId="10"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69" fontId="10" fillId="33" borderId="12" xfId="379" applyNumberFormat="1" applyFont="1" applyFill="1" applyBorder="1"/>
    <xf numFmtId="169" fontId="10" fillId="33" borderId="1" xfId="379" applyNumberFormat="1" applyFont="1" applyFill="1" applyBorder="1"/>
    <xf numFmtId="165" fontId="105" fillId="65" borderId="4" xfId="379" applyFont="1" applyFill="1" applyBorder="1" applyAlignment="1">
      <alignment horizontal="center" vertical="center"/>
    </xf>
    <xf numFmtId="0" fontId="14" fillId="0" borderId="0" xfId="0" applyFont="1" applyAlignment="1">
      <alignment horizontal="center" vertical="center"/>
    </xf>
    <xf numFmtId="3" fontId="10" fillId="0" borderId="12" xfId="521" applyNumberFormat="1" applyFont="1" applyFill="1" applyBorder="1" applyAlignment="1">
      <alignment horizontal="center"/>
    </xf>
    <xf numFmtId="0" fontId="10" fillId="0" borderId="35" xfId="521" applyFont="1" applyBorder="1" applyAlignment="1">
      <alignment horizontal="center" wrapText="1"/>
    </xf>
    <xf numFmtId="169" fontId="10" fillId="0" borderId="12" xfId="379" applyNumberFormat="1" applyFont="1" applyFill="1" applyBorder="1" applyAlignment="1">
      <alignment horizontal="center"/>
    </xf>
    <xf numFmtId="169" fontId="10" fillId="0" borderId="13" xfId="379" applyNumberFormat="1" applyFont="1" applyFill="1" applyBorder="1" applyAlignment="1">
      <alignment horizontal="center"/>
    </xf>
    <xf numFmtId="0" fontId="10" fillId="0" borderId="27" xfId="521" applyFont="1" applyBorder="1"/>
    <xf numFmtId="0" fontId="10" fillId="0" borderId="77" xfId="521" applyFont="1" applyBorder="1"/>
    <xf numFmtId="0" fontId="10" fillId="0" borderId="28" xfId="521" applyFont="1" applyBorder="1" applyAlignment="1">
      <alignment horizontal="center"/>
    </xf>
    <xf numFmtId="169" fontId="10" fillId="0" borderId="28" xfId="379" applyNumberFormat="1" applyFont="1" applyFill="1" applyBorder="1" applyAlignment="1">
      <alignment horizontal="center"/>
    </xf>
    <xf numFmtId="169" fontId="10" fillId="0" borderId="29" xfId="379" applyNumberFormat="1" applyFont="1" applyFill="1" applyBorder="1" applyAlignment="1">
      <alignment horizontal="center"/>
    </xf>
    <xf numFmtId="0" fontId="10" fillId="0" borderId="28" xfId="521" applyFont="1" applyBorder="1"/>
    <xf numFmtId="3" fontId="10" fillId="0" borderId="28" xfId="521" applyNumberFormat="1" applyFont="1" applyFill="1" applyBorder="1" applyAlignment="1">
      <alignment horizontal="center"/>
    </xf>
    <xf numFmtId="10" fontId="10" fillId="0" borderId="27" xfId="558" applyNumberFormat="1" applyFont="1" applyFill="1" applyBorder="1" applyAlignment="1">
      <alignment horizontal="center"/>
    </xf>
    <xf numFmtId="3" fontId="10" fillId="0" borderId="76" xfId="379" applyNumberFormat="1" applyFont="1" applyFill="1" applyBorder="1" applyAlignment="1">
      <alignment horizontal="center"/>
    </xf>
    <xf numFmtId="3" fontId="10" fillId="0" borderId="29" xfId="379" applyNumberFormat="1" applyFont="1" applyFill="1" applyBorder="1" applyAlignment="1">
      <alignment horizontal="center"/>
    </xf>
    <xf numFmtId="0" fontId="10" fillId="33" borderId="10" xfId="0" applyFont="1" applyFill="1" applyBorder="1"/>
    <xf numFmtId="3" fontId="43" fillId="0" borderId="27" xfId="521" applyNumberFormat="1" applyFont="1" applyFill="1" applyBorder="1" applyAlignment="1">
      <alignment horizontal="center"/>
    </xf>
    <xf numFmtId="3" fontId="10" fillId="0" borderId="29" xfId="521" applyNumberFormat="1" applyFont="1" applyFill="1" applyBorder="1" applyAlignment="1">
      <alignment horizontal="center"/>
    </xf>
    <xf numFmtId="0" fontId="17" fillId="0" borderId="32" xfId="0" applyFont="1" applyBorder="1"/>
    <xf numFmtId="0" fontId="17" fillId="0" borderId="68" xfId="0" applyFont="1" applyBorder="1"/>
    <xf numFmtId="0" fontId="17" fillId="0" borderId="33" xfId="0" applyFont="1" applyBorder="1"/>
    <xf numFmtId="169" fontId="17" fillId="0" borderId="33" xfId="379" applyNumberFormat="1" applyFont="1" applyFill="1" applyBorder="1" applyAlignment="1">
      <alignment horizontal="right"/>
    </xf>
    <xf numFmtId="169" fontId="17" fillId="0" borderId="34" xfId="379" applyNumberFormat="1" applyFont="1" applyFill="1" applyBorder="1" applyAlignment="1">
      <alignment horizontal="right"/>
    </xf>
    <xf numFmtId="0" fontId="10" fillId="0" borderId="22" xfId="0" applyFont="1" applyBorder="1"/>
    <xf numFmtId="169" fontId="10" fillId="0" borderId="10" xfId="379" applyNumberFormat="1" applyFont="1" applyFill="1" applyBorder="1" applyAlignment="1">
      <alignment horizontal="right"/>
    </xf>
    <xf numFmtId="169" fontId="43" fillId="0" borderId="10" xfId="379" applyNumberFormat="1" applyFont="1" applyFill="1" applyBorder="1" applyAlignment="1">
      <alignment horizontal="right"/>
    </xf>
    <xf numFmtId="169" fontId="43" fillId="0" borderId="11" xfId="379" applyNumberFormat="1" applyFont="1" applyFill="1" applyBorder="1" applyAlignment="1">
      <alignment horizontal="right"/>
    </xf>
    <xf numFmtId="49" fontId="10" fillId="0" borderId="32" xfId="0" applyNumberFormat="1" applyFont="1" applyBorder="1"/>
    <xf numFmtId="0" fontId="10" fillId="0" borderId="33" xfId="0" applyFont="1" applyBorder="1"/>
    <xf numFmtId="165" fontId="43" fillId="0" borderId="33" xfId="379" applyNumberFormat="1" applyFont="1" applyFill="1" applyBorder="1" applyAlignment="1">
      <alignment horizontal="center"/>
    </xf>
    <xf numFmtId="169" fontId="43" fillId="0" borderId="10" xfId="379" applyNumberFormat="1" applyFont="1" applyFill="1" applyBorder="1" applyAlignment="1">
      <alignment horizontal="center"/>
    </xf>
    <xf numFmtId="169" fontId="10" fillId="0" borderId="34" xfId="379" applyNumberFormat="1" applyFont="1" applyFill="1" applyBorder="1" applyAlignment="1">
      <alignment horizontal="center"/>
    </xf>
    <xf numFmtId="3" fontId="45" fillId="0" borderId="23" xfId="0" applyNumberFormat="1" applyFont="1" applyFill="1" applyBorder="1" applyAlignment="1">
      <alignment horizontal="center" vertical="center" wrapText="1"/>
    </xf>
    <xf numFmtId="3" fontId="45" fillId="0" borderId="30" xfId="0" applyNumberFormat="1" applyFont="1" applyFill="1" applyBorder="1" applyAlignment="1">
      <alignment horizontal="center" vertical="center" wrapText="1"/>
    </xf>
    <xf numFmtId="0" fontId="45" fillId="0" borderId="39"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26" xfId="0" applyFont="1" applyFill="1" applyBorder="1" applyAlignment="1">
      <alignment horizontal="center" vertical="center" wrapText="1"/>
    </xf>
    <xf numFmtId="0" fontId="45" fillId="0" borderId="42" xfId="0" applyFont="1" applyBorder="1" applyAlignment="1">
      <alignment horizontal="center" vertical="center" wrapText="1"/>
    </xf>
    <xf numFmtId="0" fontId="45" fillId="0" borderId="28" xfId="0" applyFont="1" applyFill="1" applyBorder="1" applyAlignment="1">
      <alignment horizontal="center" vertical="center" wrapText="1"/>
    </xf>
    <xf numFmtId="0" fontId="45" fillId="0" borderId="29" xfId="0" applyFont="1" applyBorder="1" applyAlignment="1">
      <alignment horizontal="center" vertical="center" wrapText="1"/>
    </xf>
    <xf numFmtId="9" fontId="45" fillId="0" borderId="8" xfId="557" applyFont="1" applyFill="1" applyBorder="1" applyAlignment="1">
      <alignment horizontal="center" vertical="center" wrapText="1"/>
    </xf>
    <xf numFmtId="9" fontId="43" fillId="0" borderId="8" xfId="557" applyFont="1" applyFill="1" applyBorder="1" applyAlignment="1">
      <alignment horizontal="center" vertical="center" wrapText="1"/>
    </xf>
    <xf numFmtId="9" fontId="43" fillId="0" borderId="11" xfId="557" applyFont="1" applyFill="1" applyBorder="1" applyAlignment="1">
      <alignment horizontal="center" vertical="center" wrapText="1"/>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6" fillId="0" borderId="55"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4"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0" fillId="36" borderId="112" xfId="0" applyNumberFormat="1" applyFont="1" applyFill="1" applyBorder="1" applyAlignment="1">
      <alignment wrapText="1"/>
    </xf>
    <xf numFmtId="0" fontId="17" fillId="36" borderId="113" xfId="0" applyFont="1" applyFill="1" applyBorder="1" applyAlignment="1">
      <alignment horizontal="center"/>
    </xf>
    <xf numFmtId="0" fontId="17" fillId="36" borderId="114" xfId="0" applyFont="1" applyFill="1" applyBorder="1" applyAlignment="1">
      <alignment horizontal="center"/>
    </xf>
    <xf numFmtId="0" fontId="62" fillId="0" borderId="0" xfId="0" applyFont="1" applyAlignment="1">
      <alignment vertical="center" wrapText="1"/>
    </xf>
    <xf numFmtId="169" fontId="45" fillId="0" borderId="23" xfId="379" applyNumberFormat="1" applyFont="1" applyBorder="1" applyAlignment="1">
      <alignment horizontal="right" vertical="center" wrapText="1"/>
    </xf>
    <xf numFmtId="169" fontId="45" fillId="0" borderId="30" xfId="379" applyNumberFormat="1" applyFont="1" applyBorder="1" applyAlignment="1">
      <alignment horizontal="right" vertical="center" wrapText="1"/>
    </xf>
    <xf numFmtId="169" fontId="10" fillId="0" borderId="8" xfId="379" applyNumberFormat="1" applyFont="1" applyFill="1" applyBorder="1" applyAlignment="1">
      <alignment horizontal="right"/>
    </xf>
    <xf numFmtId="169" fontId="45" fillId="0" borderId="1" xfId="379" applyNumberFormat="1" applyFont="1" applyBorder="1" applyAlignment="1">
      <alignment horizontal="right" vertical="center" wrapText="1"/>
    </xf>
    <xf numFmtId="169"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4" fillId="0" borderId="0" xfId="0" applyFont="1"/>
    <xf numFmtId="1" fontId="10" fillId="33" borderId="67" xfId="0" applyNumberFormat="1" applyFont="1" applyFill="1" applyBorder="1" applyAlignment="1">
      <alignment horizontal="center"/>
    </xf>
    <xf numFmtId="169" fontId="10" fillId="0" borderId="28" xfId="379" applyNumberFormat="1" applyFont="1" applyBorder="1"/>
    <xf numFmtId="0" fontId="10" fillId="0" borderId="51" xfId="0" applyFont="1" applyFill="1" applyBorder="1" applyAlignment="1">
      <alignment horizontal="center"/>
    </xf>
    <xf numFmtId="0" fontId="109" fillId="0" borderId="0" xfId="0" applyFont="1" applyAlignment="1" applyProtection="1">
      <alignment horizontal="right"/>
      <protection locked="0"/>
    </xf>
    <xf numFmtId="166" fontId="10" fillId="0" borderId="28" xfId="0" applyNumberFormat="1" applyFont="1" applyBorder="1"/>
    <xf numFmtId="1" fontId="10" fillId="33" borderId="51" xfId="0" applyNumberFormat="1" applyFont="1" applyFill="1" applyBorder="1" applyAlignment="1">
      <alignment horizontal="center"/>
    </xf>
    <xf numFmtId="17" fontId="10" fillId="65"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3"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69" fontId="10" fillId="33" borderId="1" xfId="379" applyNumberFormat="1" applyFont="1" applyFill="1" applyBorder="1" applyAlignment="1">
      <alignment horizontal="center"/>
    </xf>
    <xf numFmtId="169" fontId="10" fillId="33" borderId="1" xfId="379" applyNumberFormat="1" applyFont="1" applyFill="1" applyBorder="1" applyAlignment="1">
      <alignment horizontal="center"/>
    </xf>
    <xf numFmtId="2" fontId="10" fillId="33" borderId="23" xfId="379" applyNumberFormat="1" applyFont="1" applyFill="1" applyBorder="1" applyAlignment="1">
      <alignment horizontal="center"/>
    </xf>
    <xf numFmtId="2" fontId="10" fillId="33" borderId="1" xfId="379" applyNumberFormat="1" applyFont="1" applyFill="1" applyBorder="1" applyAlignment="1">
      <alignment horizontal="center"/>
    </xf>
    <xf numFmtId="165" fontId="10" fillId="0" borderId="1" xfId="379" applyFont="1" applyBorder="1" applyAlignment="1">
      <alignment horizontal="center"/>
    </xf>
    <xf numFmtId="10" fontId="10" fillId="0" borderId="1" xfId="933" applyNumberFormat="1" applyFont="1" applyBorder="1" applyAlignment="1">
      <alignment horizontal="center"/>
    </xf>
    <xf numFmtId="49" fontId="10" fillId="0" borderId="1" xfId="141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3" fontId="10"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7" fillId="0" borderId="27" xfId="0" applyFont="1" applyBorder="1" applyAlignment="1">
      <alignment horizontal="center"/>
    </xf>
    <xf numFmtId="0" fontId="61" fillId="0" borderId="81"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169" fontId="10"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7" fillId="0" borderId="44"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0"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99" xfId="769" applyNumberFormat="1" applyFont="1" applyBorder="1"/>
    <xf numFmtId="10" fontId="20" fillId="0" borderId="41" xfId="769" applyNumberFormat="1" applyFont="1" applyBorder="1"/>
    <xf numFmtId="0" fontId="49" fillId="0" borderId="0" xfId="767" applyFont="1" applyBorder="1"/>
    <xf numFmtId="0" fontId="49" fillId="0" borderId="93" xfId="767" applyFont="1" applyBorder="1"/>
    <xf numFmtId="0" fontId="49" fillId="0" borderId="98" xfId="767" applyFont="1" applyBorder="1"/>
    <xf numFmtId="10" fontId="20" fillId="0" borderId="100" xfId="769" applyNumberFormat="1" applyFont="1" applyBorder="1"/>
    <xf numFmtId="10" fontId="20" fillId="0" borderId="94" xfId="769" applyNumberFormat="1" applyFont="1" applyBorder="1"/>
    <xf numFmtId="0" fontId="50" fillId="0" borderId="45" xfId="767" applyFont="1" applyBorder="1"/>
    <xf numFmtId="10" fontId="50" fillId="0" borderId="0" xfId="767" applyNumberFormat="1" applyFont="1" applyBorder="1"/>
    <xf numFmtId="10" fontId="50" fillId="0" borderId="99" xfId="767" applyNumberFormat="1" applyFont="1" applyBorder="1"/>
    <xf numFmtId="10" fontId="50" fillId="0" borderId="41" xfId="767" applyNumberFormat="1" applyFont="1" applyBorder="1"/>
    <xf numFmtId="165" fontId="20" fillId="33" borderId="0" xfId="768" applyNumberFormat="1" applyFont="1" applyFill="1" applyBorder="1"/>
    <xf numFmtId="165" fontId="20" fillId="33" borderId="17" xfId="768" applyNumberFormat="1" applyFont="1" applyFill="1" applyBorder="1"/>
    <xf numFmtId="165" fontId="20" fillId="0" borderId="41" xfId="768" applyNumberFormat="1" applyFont="1" applyBorder="1"/>
    <xf numFmtId="165" fontId="20" fillId="0" borderId="0" xfId="768" applyNumberFormat="1" applyFont="1" applyBorder="1"/>
    <xf numFmtId="165" fontId="20" fillId="33" borderId="103" xfId="768" applyNumberFormat="1" applyFont="1" applyFill="1" applyBorder="1"/>
    <xf numFmtId="165" fontId="20" fillId="33" borderId="110" xfId="768" applyNumberFormat="1" applyFont="1" applyFill="1" applyBorder="1"/>
    <xf numFmtId="165" fontId="20" fillId="0" borderId="98" xfId="768" applyNumberFormat="1" applyFont="1" applyBorder="1"/>
    <xf numFmtId="165" fontId="20" fillId="0" borderId="111" xfId="768" applyNumberFormat="1" applyFont="1" applyBorder="1"/>
    <xf numFmtId="165" fontId="20" fillId="0" borderId="94" xfId="768" applyNumberFormat="1" applyFont="1" applyBorder="1"/>
    <xf numFmtId="0" fontId="50" fillId="0" borderId="46" xfId="767" applyFont="1" applyBorder="1"/>
    <xf numFmtId="165" fontId="50" fillId="0" borderId="25" xfId="768" applyNumberFormat="1" applyFont="1" applyBorder="1"/>
    <xf numFmtId="165" fontId="50" fillId="0" borderId="101" xfId="768" applyNumberFormat="1" applyFont="1" applyBorder="1"/>
    <xf numFmtId="165" fontId="50" fillId="0" borderId="40" xfId="768" applyNumberFormat="1" applyFont="1" applyBorder="1"/>
    <xf numFmtId="0" fontId="50" fillId="0" borderId="0" xfId="767" applyFont="1" applyBorder="1"/>
    <xf numFmtId="165"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99" xfId="769" applyNumberFormat="1" applyFont="1" applyFill="1" applyBorder="1"/>
    <xf numFmtId="0" fontId="50" fillId="0" borderId="104" xfId="767" applyFont="1" applyBorder="1"/>
    <xf numFmtId="10" fontId="50" fillId="0" borderId="105" xfId="767" applyNumberFormat="1" applyFont="1" applyBorder="1"/>
    <xf numFmtId="10" fontId="50" fillId="0" borderId="106" xfId="767" applyNumberFormat="1" applyFont="1" applyBorder="1"/>
    <xf numFmtId="10" fontId="50" fillId="0" borderId="107" xfId="767" applyNumberFormat="1" applyFont="1" applyBorder="1"/>
    <xf numFmtId="165" fontId="20" fillId="61" borderId="0" xfId="768" applyNumberFormat="1" applyFont="1" applyFill="1" applyBorder="1"/>
    <xf numFmtId="165" fontId="20" fillId="61" borderId="99" xfId="768" applyNumberFormat="1" applyFont="1" applyFill="1" applyBorder="1"/>
    <xf numFmtId="165" fontId="20" fillId="61" borderId="103" xfId="768" applyNumberFormat="1" applyFont="1" applyFill="1" applyBorder="1"/>
    <xf numFmtId="165" fontId="20" fillId="61" borderId="102" xfId="768" applyNumberFormat="1" applyFont="1" applyFill="1" applyBorder="1"/>
    <xf numFmtId="165" fontId="20" fillId="0" borderId="0" xfId="768" applyNumberFormat="1" applyFont="1" applyFill="1" applyBorder="1"/>
    <xf numFmtId="165" fontId="20" fillId="33" borderId="100"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3" xfId="767" applyFont="1" applyFill="1" applyBorder="1" applyAlignment="1">
      <alignment vertical="top"/>
    </xf>
    <xf numFmtId="0" fontId="49" fillId="0" borderId="98" xfId="767" applyFont="1" applyFill="1" applyBorder="1" applyAlignment="1">
      <alignment vertical="top"/>
    </xf>
    <xf numFmtId="0" fontId="50" fillId="33" borderId="98" xfId="767" applyFont="1" applyFill="1" applyBorder="1" applyAlignment="1">
      <alignment vertical="top"/>
    </xf>
    <xf numFmtId="0" fontId="49" fillId="0" borderId="25" xfId="767" applyFont="1" applyFill="1" applyBorder="1"/>
    <xf numFmtId="0" fontId="49" fillId="0" borderId="25" xfId="767" applyFont="1" applyBorder="1"/>
    <xf numFmtId="10" fontId="10"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0"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0"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49" fillId="0" borderId="7" xfId="767" applyFont="1" applyBorder="1"/>
    <xf numFmtId="0" fontId="49" fillId="0" borderId="32" xfId="767" applyFont="1" applyBorder="1" applyAlignment="1">
      <alignment wrapText="1"/>
    </xf>
    <xf numFmtId="165" fontId="49" fillId="0" borderId="0" xfId="767" applyNumberFormat="1" applyFont="1" applyBorder="1" applyAlignment="1">
      <alignment horizontal="center" vertical="center"/>
    </xf>
    <xf numFmtId="165" fontId="49" fillId="0" borderId="41" xfId="767" applyNumberFormat="1" applyFont="1" applyBorder="1" applyAlignment="1">
      <alignment horizontal="center" vertical="center"/>
    </xf>
    <xf numFmtId="0" fontId="49" fillId="0" borderId="7" xfId="767" applyFont="1" applyBorder="1" applyAlignment="1">
      <alignment wrapText="1"/>
    </xf>
    <xf numFmtId="165" fontId="10" fillId="33" borderId="70" xfId="796" applyFont="1" applyFill="1" applyBorder="1" applyAlignment="1">
      <alignment horizontal="center" vertical="center"/>
    </xf>
    <xf numFmtId="165" fontId="49" fillId="0" borderId="70" xfId="767" applyNumberFormat="1" applyFont="1" applyBorder="1" applyAlignment="1">
      <alignment horizontal="center" vertical="center"/>
    </xf>
    <xf numFmtId="165" fontId="49" fillId="0" borderId="78" xfId="767" applyNumberFormat="1" applyFont="1" applyBorder="1" applyAlignment="1">
      <alignment horizontal="center" vertical="center"/>
    </xf>
    <xf numFmtId="0" fontId="49" fillId="62" borderId="15" xfId="767" applyFont="1" applyFill="1" applyBorder="1" applyAlignment="1">
      <alignment wrapText="1"/>
    </xf>
    <xf numFmtId="165" fontId="49" fillId="62" borderId="51" xfId="767" applyNumberFormat="1" applyFont="1" applyFill="1" applyBorder="1" applyAlignment="1">
      <alignment horizontal="center" vertical="center"/>
    </xf>
    <xf numFmtId="0" fontId="49" fillId="0" borderId="96" xfId="767" applyFont="1" applyBorder="1" applyAlignment="1">
      <alignment wrapText="1"/>
    </xf>
    <xf numFmtId="165" fontId="49" fillId="0" borderId="81" xfId="767" applyNumberFormat="1" applyFont="1" applyBorder="1" applyAlignment="1">
      <alignment horizontal="center" vertical="center"/>
    </xf>
    <xf numFmtId="165" fontId="49" fillId="0" borderId="92" xfId="767" applyNumberFormat="1" applyFont="1" applyBorder="1" applyAlignment="1">
      <alignment horizontal="center" vertical="center"/>
    </xf>
    <xf numFmtId="165" fontId="49" fillId="0" borderId="95" xfId="767" applyNumberFormat="1" applyFont="1" applyBorder="1" applyAlignment="1">
      <alignment horizontal="center" vertical="center"/>
    </xf>
    <xf numFmtId="0" fontId="49" fillId="62" borderId="93" xfId="767" applyFont="1" applyFill="1" applyBorder="1" applyAlignment="1">
      <alignment wrapText="1"/>
    </xf>
    <xf numFmtId="165" fontId="49" fillId="62" borderId="108" xfId="767" applyNumberFormat="1" applyFont="1" applyFill="1" applyBorder="1" applyAlignment="1">
      <alignment horizontal="center" vertical="center"/>
    </xf>
    <xf numFmtId="165" fontId="49" fillId="62" borderId="109" xfId="767" applyNumberFormat="1" applyFont="1" applyFill="1" applyBorder="1" applyAlignment="1">
      <alignment horizontal="center" vertical="center"/>
    </xf>
    <xf numFmtId="165" fontId="10" fillId="62" borderId="51" xfId="768" applyNumberFormat="1" applyFont="1" applyFill="1" applyBorder="1" applyAlignment="1">
      <alignment horizontal="center" vertical="center"/>
    </xf>
    <xf numFmtId="165" fontId="10" fillId="62" borderId="52" xfId="768" applyNumberFormat="1" applyFont="1" applyFill="1" applyBorder="1" applyAlignment="1">
      <alignment horizontal="center" vertical="center"/>
    </xf>
    <xf numFmtId="1" fontId="10" fillId="33" borderId="23" xfId="634" applyNumberFormat="1" applyFont="1" applyFill="1" applyBorder="1" applyAlignment="1">
      <alignment horizontal="center"/>
    </xf>
    <xf numFmtId="165" fontId="10" fillId="33" borderId="23" xfId="379" applyFont="1" applyFill="1" applyBorder="1" applyAlignment="1">
      <alignment horizontal="center"/>
    </xf>
    <xf numFmtId="165" fontId="10" fillId="65" borderId="23" xfId="379" applyFont="1" applyFill="1" applyBorder="1" applyAlignment="1">
      <alignment horizontal="center"/>
    </xf>
    <xf numFmtId="165" fontId="10" fillId="33" borderId="23" xfId="379" applyFont="1" applyFill="1" applyBorder="1" applyAlignment="1" applyProtection="1">
      <alignment horizontal="center"/>
      <protection locked="0"/>
    </xf>
    <xf numFmtId="165" fontId="10" fillId="65" borderId="23" xfId="379"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lignment horizontal="center"/>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5" borderId="23" xfId="379" applyNumberFormat="1" applyFont="1" applyFill="1" applyBorder="1" applyAlignment="1" applyProtection="1">
      <alignment horizontal="center"/>
      <protection locked="0"/>
    </xf>
    <xf numFmtId="1" fontId="10" fillId="65" borderId="23" xfId="0"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165" fontId="10" fillId="0" borderId="0" xfId="379" applyFont="1" applyAlignment="1">
      <alignment horizontal="center"/>
    </xf>
    <xf numFmtId="165" fontId="10" fillId="0" borderId="0" xfId="379" applyFont="1" applyAlignment="1" applyProtection="1">
      <alignment horizontal="center"/>
      <protection locked="0"/>
    </xf>
    <xf numFmtId="165" fontId="53" fillId="0" borderId="0" xfId="379" applyFont="1" applyBorder="1" applyAlignment="1" applyProtection="1">
      <alignment horizontal="left" vertical="center"/>
      <protection locked="0"/>
    </xf>
    <xf numFmtId="165" fontId="17" fillId="0" borderId="0" xfId="379" applyFont="1" applyAlignment="1" applyProtection="1">
      <alignment horizontal="center"/>
      <protection locked="0"/>
    </xf>
    <xf numFmtId="165" fontId="17" fillId="0" borderId="44" xfId="379" applyFont="1" applyBorder="1" applyAlignment="1" applyProtection="1">
      <alignment horizontal="center" wrapText="1"/>
      <protection locked="0"/>
    </xf>
    <xf numFmtId="165" fontId="10" fillId="33" borderId="1" xfId="379" applyFont="1" applyFill="1" applyBorder="1" applyAlignment="1" applyProtection="1">
      <alignment horizontal="center"/>
      <protection locked="0"/>
    </xf>
    <xf numFmtId="165" fontId="10" fillId="0" borderId="0" xfId="379" applyFont="1" applyBorder="1" applyProtection="1">
      <protection locked="0"/>
    </xf>
    <xf numFmtId="165" fontId="10" fillId="0" borderId="0" xfId="379" applyFont="1" applyBorder="1"/>
    <xf numFmtId="165" fontId="10" fillId="0" borderId="70" xfId="379" applyFont="1" applyBorder="1" applyAlignment="1">
      <alignment horizontal="center"/>
    </xf>
    <xf numFmtId="165" fontId="66" fillId="0" borderId="17" xfId="379" applyFont="1" applyBorder="1" applyAlignment="1">
      <alignment horizontal="center"/>
    </xf>
    <xf numFmtId="165" fontId="66" fillId="0" borderId="21" xfId="379" applyFont="1" applyBorder="1" applyAlignment="1">
      <alignment horizontal="center"/>
    </xf>
    <xf numFmtId="165" fontId="66" fillId="0" borderId="55" xfId="379" applyFont="1" applyBorder="1" applyAlignment="1">
      <alignment horizontal="center"/>
    </xf>
    <xf numFmtId="165" fontId="66" fillId="0" borderId="1" xfId="379" applyFont="1" applyBorder="1" applyAlignment="1">
      <alignment horizontal="center"/>
    </xf>
    <xf numFmtId="165" fontId="107"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165" fontId="10" fillId="0" borderId="0" xfId="0" applyNumberFormat="1" applyFont="1" applyAlignment="1"/>
    <xf numFmtId="0" fontId="10" fillId="0" borderId="68" xfId="0" applyFont="1" applyBorder="1" applyAlignment="1">
      <alignment horizontal="center"/>
    </xf>
    <xf numFmtId="0" fontId="66" fillId="0" borderId="0" xfId="0" applyFont="1" applyBorder="1" applyAlignment="1">
      <alignment horizontal="center"/>
    </xf>
    <xf numFmtId="165" fontId="66" fillId="0" borderId="0" xfId="379" applyFont="1" applyBorder="1" applyAlignment="1">
      <alignment horizontal="center"/>
    </xf>
    <xf numFmtId="0" fontId="66" fillId="0" borderId="68" xfId="0" applyFont="1" applyBorder="1" applyAlignment="1">
      <alignment horizontal="center"/>
    </xf>
    <xf numFmtId="49" fontId="10" fillId="0" borderId="0" xfId="0" applyNumberFormat="1" applyFont="1" applyBorder="1" applyAlignment="1" applyProtection="1">
      <alignment horizontal="center"/>
      <protection locked="0"/>
    </xf>
    <xf numFmtId="165" fontId="10" fillId="0" borderId="0" xfId="379" applyFont="1" applyBorder="1" applyAlignment="1" applyProtection="1">
      <alignment horizontal="center"/>
      <protection locked="0"/>
    </xf>
    <xf numFmtId="10" fontId="10" fillId="0" borderId="0" xfId="557" applyNumberFormat="1" applyFont="1" applyBorder="1" applyAlignment="1" applyProtection="1">
      <alignment horizontal="center"/>
      <protection locked="0"/>
    </xf>
    <xf numFmtId="0" fontId="0" fillId="0" borderId="0" xfId="0" applyBorder="1" applyAlignment="1">
      <alignment vertical="center"/>
    </xf>
    <xf numFmtId="0" fontId="10" fillId="36" borderId="2" xfId="0" applyFont="1" applyFill="1" applyBorder="1" applyAlignment="1">
      <alignment wrapText="1"/>
    </xf>
    <xf numFmtId="0" fontId="10" fillId="36" borderId="9" xfId="0" applyFont="1" applyFill="1" applyBorder="1" applyAlignment="1">
      <alignment wrapText="1"/>
    </xf>
    <xf numFmtId="0" fontId="10" fillId="36" borderId="19" xfId="0" applyFont="1" applyFill="1" applyBorder="1" applyAlignment="1">
      <alignment wrapText="1"/>
    </xf>
    <xf numFmtId="49" fontId="10" fillId="36" borderId="2" xfId="0" applyNumberFormat="1" applyFont="1" applyFill="1" applyBorder="1" applyAlignment="1">
      <alignment wrapText="1"/>
    </xf>
    <xf numFmtId="0" fontId="17" fillId="0" borderId="115" xfId="0" applyFont="1" applyBorder="1" applyAlignment="1">
      <alignment wrapText="1"/>
    </xf>
    <xf numFmtId="0" fontId="17" fillId="0" borderId="116" xfId="0" applyFont="1" applyBorder="1" applyAlignment="1">
      <alignment horizontal="center" wrapText="1"/>
    </xf>
    <xf numFmtId="0" fontId="17" fillId="0" borderId="117" xfId="0" applyFont="1" applyBorder="1" applyAlignment="1">
      <alignment horizontal="center" wrapText="1"/>
    </xf>
    <xf numFmtId="49" fontId="10" fillId="36" borderId="43" xfId="0" applyNumberFormat="1" applyFont="1" applyFill="1" applyBorder="1" applyAlignment="1">
      <alignment wrapText="1"/>
    </xf>
    <xf numFmtId="0" fontId="10" fillId="36" borderId="39" xfId="0" applyFont="1" applyFill="1" applyBorder="1" applyAlignment="1">
      <alignment wrapText="1"/>
    </xf>
    <xf numFmtId="2" fontId="10"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69" fontId="10" fillId="65" borderId="28" xfId="379" applyNumberFormat="1" applyFont="1" applyFill="1" applyBorder="1"/>
    <xf numFmtId="169" fontId="10" fillId="65" borderId="26" xfId="379" applyNumberFormat="1" applyFont="1" applyFill="1" applyBorder="1"/>
    <xf numFmtId="166" fontId="10" fillId="65" borderId="28" xfId="0" applyNumberFormat="1" applyFont="1" applyFill="1" applyBorder="1"/>
    <xf numFmtId="166" fontId="10" fillId="65" borderId="26" xfId="0" applyNumberFormat="1" applyFont="1" applyFill="1" applyBorder="1"/>
    <xf numFmtId="0" fontId="10" fillId="65" borderId="1" xfId="0" applyFont="1" applyFill="1" applyBorder="1" applyAlignment="1">
      <alignment horizontal="center"/>
    </xf>
    <xf numFmtId="0" fontId="10" fillId="65" borderId="10" xfId="0" applyFont="1" applyFill="1" applyBorder="1" applyAlignment="1">
      <alignment horizontal="center"/>
    </xf>
    <xf numFmtId="0" fontId="118" fillId="0" borderId="0" xfId="0" applyFont="1" applyBorder="1" applyAlignment="1"/>
    <xf numFmtId="0" fontId="10" fillId="33" borderId="0" xfId="0" applyFont="1" applyFill="1"/>
    <xf numFmtId="2" fontId="10" fillId="66" borderId="7" xfId="379" applyNumberFormat="1" applyFont="1" applyFill="1" applyBorder="1" applyAlignment="1" applyProtection="1">
      <alignment horizontal="center"/>
      <protection locked="0"/>
    </xf>
    <xf numFmtId="2" fontId="10" fillId="66" borderId="23" xfId="379" applyNumberFormat="1" applyFont="1" applyFill="1" applyBorder="1" applyAlignment="1" applyProtection="1">
      <alignment horizontal="center"/>
      <protection locked="0"/>
    </xf>
    <xf numFmtId="2" fontId="10" fillId="66" borderId="2" xfId="379" applyNumberFormat="1" applyFont="1" applyFill="1" applyBorder="1" applyAlignment="1" applyProtection="1">
      <alignment horizontal="center"/>
      <protection locked="0"/>
    </xf>
    <xf numFmtId="0" fontId="10" fillId="66" borderId="0" xfId="0" applyFont="1" applyFill="1"/>
    <xf numFmtId="0" fontId="17" fillId="67" borderId="1" xfId="0" applyFont="1" applyFill="1" applyBorder="1" applyAlignment="1">
      <alignment horizontal="center"/>
    </xf>
    <xf numFmtId="0" fontId="17" fillId="67" borderId="8" xfId="0" applyFont="1" applyFill="1" applyBorder="1" applyAlignment="1">
      <alignment horizontal="center"/>
    </xf>
    <xf numFmtId="0" fontId="17" fillId="67" borderId="10" xfId="0" applyFont="1" applyFill="1" applyBorder="1" applyAlignment="1">
      <alignment horizontal="center"/>
    </xf>
    <xf numFmtId="0" fontId="17" fillId="67" borderId="11" xfId="0" applyFont="1" applyFill="1" applyBorder="1" applyAlignment="1">
      <alignment horizontal="center"/>
    </xf>
    <xf numFmtId="0" fontId="17" fillId="67" borderId="12" xfId="0" applyFont="1" applyFill="1" applyBorder="1" applyAlignment="1">
      <alignment horizontal="center"/>
    </xf>
    <xf numFmtId="0" fontId="17" fillId="67" borderId="13" xfId="0" applyFont="1" applyFill="1" applyBorder="1" applyAlignment="1">
      <alignment horizontal="center"/>
    </xf>
    <xf numFmtId="0" fontId="17" fillId="67" borderId="44" xfId="0" applyFont="1" applyFill="1" applyBorder="1" applyAlignment="1">
      <alignment horizontal="center"/>
    </xf>
    <xf numFmtId="0" fontId="17" fillId="67" borderId="18" xfId="0" applyFont="1" applyFill="1" applyBorder="1" applyAlignment="1">
      <alignment horizontal="center"/>
    </xf>
    <xf numFmtId="0" fontId="17" fillId="67" borderId="26" xfId="0" applyFont="1" applyFill="1" applyBorder="1" applyAlignment="1">
      <alignment horizontal="center"/>
    </xf>
    <xf numFmtId="0" fontId="17" fillId="67" borderId="42" xfId="0" applyFont="1" applyFill="1" applyBorder="1" applyAlignment="1">
      <alignment horizontal="center"/>
    </xf>
    <xf numFmtId="0" fontId="17" fillId="66" borderId="44" xfId="0" applyFont="1" applyFill="1" applyBorder="1" applyAlignment="1" applyProtection="1">
      <alignment horizontal="center" wrapText="1"/>
    </xf>
    <xf numFmtId="2" fontId="10" fillId="66" borderId="1" xfId="379" applyNumberFormat="1" applyFont="1" applyFill="1" applyBorder="1" applyAlignment="1" applyProtection="1">
      <alignment horizontal="center"/>
      <protection locked="0"/>
    </xf>
    <xf numFmtId="165" fontId="119" fillId="64" borderId="97" xfId="768" applyNumberFormat="1" applyFont="1" applyFill="1" applyBorder="1" applyAlignment="1">
      <alignment horizontal="center" vertical="center"/>
    </xf>
    <xf numFmtId="49" fontId="56" fillId="0" borderId="17" xfId="0" applyNumberFormat="1" applyFont="1" applyBorder="1"/>
    <xf numFmtId="0" fontId="56" fillId="0" borderId="17" xfId="0" applyFont="1" applyBorder="1"/>
    <xf numFmtId="0" fontId="56" fillId="0" borderId="22" xfId="0" applyFont="1" applyBorder="1"/>
    <xf numFmtId="0" fontId="17" fillId="68" borderId="0" xfId="0" applyFont="1" applyFill="1"/>
    <xf numFmtId="0" fontId="10" fillId="68" borderId="0" xfId="0" applyFont="1" applyFill="1"/>
    <xf numFmtId="0" fontId="17" fillId="69" borderId="0" xfId="0" applyFont="1" applyFill="1"/>
    <xf numFmtId="0" fontId="10" fillId="69" borderId="0" xfId="0" applyFont="1" applyFill="1"/>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7" fillId="0" borderId="81" xfId="0" applyFont="1" applyFill="1" applyBorder="1" applyAlignment="1" applyProtection="1">
      <alignment horizontal="center" vertical="center" wrapText="1"/>
      <protection locked="0"/>
    </xf>
    <xf numFmtId="0" fontId="10" fillId="0" borderId="0" xfId="0" applyFont="1" applyAlignment="1">
      <alignment vertical="center"/>
    </xf>
    <xf numFmtId="0" fontId="10" fillId="0" borderId="0" xfId="0" applyFont="1" applyAlignment="1" applyProtection="1">
      <alignment vertical="center"/>
      <protection locked="0"/>
    </xf>
    <xf numFmtId="0" fontId="53" fillId="0" borderId="0" xfId="0" applyFont="1" applyBorder="1" applyAlignment="1" applyProtection="1">
      <alignment horizontal="center" vertical="center"/>
      <protection locked="0"/>
    </xf>
    <xf numFmtId="17" fontId="10" fillId="0" borderId="0" xfId="0" applyNumberFormat="1" applyFont="1" applyBorder="1" applyAlignment="1" applyProtection="1">
      <alignment horizontal="center" vertical="center"/>
      <protection locked="0"/>
    </xf>
    <xf numFmtId="17" fontId="10" fillId="0" borderId="0" xfId="0" applyNumberFormat="1" applyFont="1" applyBorder="1" applyAlignment="1">
      <alignment horizontal="center" vertical="center"/>
    </xf>
    <xf numFmtId="0" fontId="111" fillId="0" borderId="0" xfId="0" applyFont="1" applyAlignment="1" applyProtection="1">
      <alignment horizontal="center"/>
      <protection locked="0"/>
    </xf>
    <xf numFmtId="0" fontId="17" fillId="0" borderId="68" xfId="0" applyFont="1" applyBorder="1" applyAlignment="1" applyProtection="1">
      <alignment horizontal="center"/>
      <protection locked="0"/>
    </xf>
    <xf numFmtId="0" fontId="111" fillId="0" borderId="0" xfId="0" applyFont="1" applyAlignment="1">
      <alignment horizontal="center"/>
    </xf>
    <xf numFmtId="0" fontId="17" fillId="0" borderId="0" xfId="0" applyFont="1" applyFill="1" applyAlignment="1" applyProtection="1">
      <alignment horizontal="center"/>
      <protection locked="0"/>
    </xf>
    <xf numFmtId="0" fontId="17" fillId="0" borderId="0" xfId="0" applyFont="1" applyAlignment="1">
      <alignment horizontal="center"/>
    </xf>
    <xf numFmtId="0" fontId="0" fillId="0" borderId="0" xfId="0" applyBorder="1" applyAlignment="1" applyProtection="1">
      <alignment vertical="center"/>
      <protection locked="0"/>
    </xf>
    <xf numFmtId="0" fontId="10" fillId="0" borderId="81" xfId="0" applyFont="1" applyBorder="1" applyAlignment="1" applyProtection="1">
      <alignment horizontal="center" vertical="center"/>
      <protection locked="0"/>
    </xf>
    <xf numFmtId="165" fontId="17" fillId="0" borderId="81" xfId="379" applyFont="1" applyBorder="1" applyAlignment="1" applyProtection="1">
      <alignment horizontal="center" vertical="center" wrapText="1"/>
      <protection locked="0"/>
    </xf>
    <xf numFmtId="0" fontId="17" fillId="0" borderId="81" xfId="0" applyFont="1" applyBorder="1" applyAlignment="1" applyProtection="1">
      <alignment horizontal="center" vertical="center" wrapText="1"/>
      <protection locked="0"/>
    </xf>
    <xf numFmtId="0" fontId="17" fillId="66" borderId="1" xfId="0" applyFont="1" applyFill="1" applyBorder="1" applyAlignment="1" applyProtection="1">
      <alignment horizontal="center" vertical="center" wrapText="1"/>
    </xf>
    <xf numFmtId="0" fontId="0" fillId="0" borderId="0" xfId="0" applyAlignment="1">
      <alignment vertical="center"/>
    </xf>
    <xf numFmtId="0" fontId="10" fillId="0" borderId="0" xfId="0" applyFont="1" applyFill="1" applyAlignment="1" applyProtection="1">
      <alignment vertical="center"/>
      <protection locked="0"/>
    </xf>
    <xf numFmtId="3" fontId="120" fillId="33" borderId="2" xfId="379" applyNumberFormat="1" applyFont="1" applyFill="1" applyBorder="1" applyAlignment="1">
      <alignment horizontal="center"/>
    </xf>
    <xf numFmtId="3" fontId="120" fillId="33" borderId="8" xfId="0" applyNumberFormat="1" applyFont="1" applyFill="1" applyBorder="1" applyAlignment="1">
      <alignment horizontal="center"/>
    </xf>
    <xf numFmtId="3" fontId="120" fillId="33" borderId="21" xfId="0" applyNumberFormat="1" applyFont="1" applyFill="1" applyBorder="1" applyAlignment="1">
      <alignment horizontal="center"/>
    </xf>
    <xf numFmtId="0" fontId="121" fillId="0" borderId="0" xfId="0" applyFont="1"/>
    <xf numFmtId="0" fontId="59" fillId="66" borderId="24" xfId="0" applyFont="1" applyFill="1" applyBorder="1" applyAlignment="1">
      <alignment horizontal="centerContinuous"/>
    </xf>
    <xf numFmtId="0" fontId="59" fillId="66" borderId="24" xfId="0" applyFont="1" applyFill="1" applyBorder="1" applyAlignment="1">
      <alignment horizontal="center"/>
    </xf>
    <xf numFmtId="0" fontId="17" fillId="66" borderId="1" xfId="0" applyFont="1" applyFill="1" applyBorder="1" applyAlignment="1" applyProtection="1">
      <alignment horizontal="center"/>
      <protection locked="0"/>
    </xf>
    <xf numFmtId="49" fontId="10" fillId="66" borderId="2" xfId="0" applyNumberFormat="1" applyFont="1" applyFill="1" applyBorder="1" applyAlignment="1">
      <alignment horizontal="center"/>
    </xf>
    <xf numFmtId="169" fontId="10" fillId="66" borderId="1" xfId="379" applyNumberFormat="1" applyFont="1" applyFill="1" applyBorder="1" applyAlignment="1">
      <alignment horizontal="center"/>
    </xf>
    <xf numFmtId="166" fontId="10" fillId="66" borderId="1" xfId="0" applyNumberFormat="1" applyFont="1" applyFill="1" applyBorder="1" applyAlignment="1">
      <alignment horizontal="center"/>
    </xf>
    <xf numFmtId="0" fontId="10" fillId="66" borderId="1" xfId="0" applyFont="1" applyFill="1" applyBorder="1" applyAlignment="1">
      <alignment horizontal="center"/>
    </xf>
    <xf numFmtId="1" fontId="10" fillId="66" borderId="1" xfId="0" applyNumberFormat="1" applyFont="1" applyFill="1" applyBorder="1" applyAlignment="1">
      <alignment horizontal="center"/>
    </xf>
    <xf numFmtId="0" fontId="10" fillId="66" borderId="8" xfId="0" applyFont="1" applyFill="1" applyBorder="1" applyAlignment="1">
      <alignment horizontal="center"/>
    </xf>
    <xf numFmtId="49" fontId="10" fillId="66" borderId="9" xfId="0" applyNumberFormat="1" applyFont="1" applyFill="1" applyBorder="1" applyAlignment="1">
      <alignment horizontal="center"/>
    </xf>
    <xf numFmtId="169" fontId="10" fillId="66" borderId="10" xfId="379" applyNumberFormat="1" applyFont="1" applyFill="1" applyBorder="1" applyAlignment="1">
      <alignment horizontal="center"/>
    </xf>
    <xf numFmtId="166" fontId="10" fillId="66" borderId="10" xfId="0" applyNumberFormat="1" applyFont="1" applyFill="1" applyBorder="1" applyAlignment="1">
      <alignment horizontal="center"/>
    </xf>
    <xf numFmtId="0" fontId="10" fillId="66" borderId="10" xfId="0" applyFont="1" applyFill="1" applyBorder="1" applyAlignment="1">
      <alignment horizontal="center"/>
    </xf>
    <xf numFmtId="1" fontId="10" fillId="66" borderId="10" xfId="0" applyNumberFormat="1" applyFont="1" applyFill="1" applyBorder="1" applyAlignment="1">
      <alignment horizontal="center"/>
    </xf>
    <xf numFmtId="0" fontId="10" fillId="66" borderId="11" xfId="0" applyFont="1" applyFill="1" applyBorder="1" applyAlignment="1">
      <alignment horizontal="center"/>
    </xf>
    <xf numFmtId="0" fontId="10" fillId="66" borderId="3" xfId="0" applyFont="1" applyFill="1" applyBorder="1" applyAlignment="1">
      <alignment horizontal="center"/>
    </xf>
    <xf numFmtId="169" fontId="10" fillId="66" borderId="2" xfId="379" applyNumberFormat="1" applyFont="1" applyFill="1" applyBorder="1"/>
    <xf numFmtId="0" fontId="10" fillId="66" borderId="8" xfId="0" applyFont="1" applyFill="1" applyBorder="1"/>
    <xf numFmtId="0" fontId="10" fillId="66" borderId="11" xfId="0" applyFont="1" applyFill="1" applyBorder="1"/>
    <xf numFmtId="0" fontId="10" fillId="66" borderId="4" xfId="0" applyFont="1" applyFill="1" applyBorder="1" applyAlignment="1">
      <alignment horizontal="center"/>
    </xf>
    <xf numFmtId="0" fontId="10" fillId="66" borderId="4" xfId="0" applyFont="1" applyFill="1" applyBorder="1" applyAlignment="1">
      <alignment horizontal="center" wrapText="1"/>
    </xf>
    <xf numFmtId="0" fontId="10" fillId="66" borderId="5" xfId="0" applyFont="1" applyFill="1" applyBorder="1" applyAlignment="1">
      <alignment horizontal="center"/>
    </xf>
    <xf numFmtId="0" fontId="10" fillId="66" borderId="6" xfId="0" applyFont="1" applyFill="1" applyBorder="1" applyAlignment="1">
      <alignment horizontal="center"/>
    </xf>
    <xf numFmtId="0" fontId="17" fillId="66" borderId="39" xfId="0" applyFont="1" applyFill="1" applyBorder="1"/>
    <xf numFmtId="2" fontId="17" fillId="66" borderId="7" xfId="0" applyNumberFormat="1" applyFont="1" applyFill="1" applyBorder="1"/>
    <xf numFmtId="0" fontId="17" fillId="0" borderId="2" xfId="0" applyFont="1" applyBorder="1"/>
    <xf numFmtId="2" fontId="17" fillId="66" borderId="2" xfId="0" applyNumberFormat="1" applyFont="1" applyFill="1" applyBorder="1"/>
    <xf numFmtId="2" fontId="17" fillId="66" borderId="43" xfId="0" applyNumberFormat="1" applyFont="1" applyFill="1" applyBorder="1"/>
    <xf numFmtId="0" fontId="17" fillId="66" borderId="26" xfId="0" applyFont="1" applyFill="1" applyBorder="1" applyAlignment="1">
      <alignment horizontal="center"/>
    </xf>
    <xf numFmtId="49" fontId="17" fillId="66" borderId="26" xfId="0" applyNumberFormat="1" applyFont="1" applyFill="1" applyBorder="1" applyAlignment="1">
      <alignment horizontal="center"/>
    </xf>
    <xf numFmtId="49" fontId="17" fillId="66" borderId="42" xfId="0" applyNumberFormat="1" applyFont="1" applyFill="1" applyBorder="1" applyAlignment="1">
      <alignment horizontal="center"/>
    </xf>
    <xf numFmtId="3" fontId="26" fillId="33" borderId="2" xfId="379" applyNumberFormat="1" applyFont="1" applyFill="1" applyBorder="1" applyAlignment="1">
      <alignment horizontal="center"/>
    </xf>
    <xf numFmtId="3" fontId="26" fillId="33" borderId="2" xfId="0" applyNumberFormat="1" applyFont="1" applyFill="1" applyBorder="1" applyAlignment="1">
      <alignment horizontal="center"/>
    </xf>
    <xf numFmtId="3" fontId="26" fillId="33" borderId="21" xfId="0" applyNumberFormat="1" applyFont="1" applyFill="1" applyBorder="1" applyAlignment="1">
      <alignment horizontal="center"/>
    </xf>
    <xf numFmtId="3" fontId="26" fillId="33" borderId="1" xfId="0" applyNumberFormat="1" applyFont="1" applyFill="1" applyBorder="1" applyAlignment="1">
      <alignment horizontal="center"/>
    </xf>
    <xf numFmtId="0" fontId="122" fillId="66" borderId="1" xfId="0" applyFont="1" applyFill="1" applyBorder="1" applyAlignment="1">
      <alignment horizontal="center"/>
    </xf>
    <xf numFmtId="0" fontId="122" fillId="66" borderId="1" xfId="0" applyFont="1" applyFill="1" applyBorder="1" applyAlignment="1">
      <alignment horizontal="center" wrapText="1"/>
    </xf>
    <xf numFmtId="0" fontId="123" fillId="0" borderId="0" xfId="0" applyFont="1"/>
    <xf numFmtId="0" fontId="122" fillId="66" borderId="44" xfId="0" applyFont="1" applyFill="1" applyBorder="1" applyAlignment="1">
      <alignment horizontal="center"/>
    </xf>
    <xf numFmtId="0" fontId="122" fillId="0" borderId="1" xfId="938" applyFont="1" applyBorder="1" applyAlignment="1">
      <alignment horizontal="center"/>
    </xf>
    <xf numFmtId="3" fontId="122" fillId="0" borderId="1" xfId="379" applyNumberFormat="1" applyFont="1" applyFill="1" applyBorder="1" applyAlignment="1">
      <alignment horizontal="center"/>
    </xf>
    <xf numFmtId="0" fontId="122" fillId="0" borderId="1" xfId="0" applyFont="1" applyBorder="1"/>
    <xf numFmtId="0" fontId="122" fillId="0" borderId="1" xfId="938" applyFont="1" applyFill="1" applyBorder="1" applyAlignment="1">
      <alignment horizontal="center"/>
    </xf>
    <xf numFmtId="0" fontId="122" fillId="62" borderId="1" xfId="0" applyFont="1" applyFill="1" applyBorder="1"/>
    <xf numFmtId="39" fontId="123" fillId="0" borderId="0" xfId="0" applyNumberFormat="1" applyFont="1"/>
    <xf numFmtId="39" fontId="123" fillId="0" borderId="0" xfId="0" applyNumberFormat="1" applyFont="1" applyAlignment="1">
      <alignment horizontal="center"/>
    </xf>
    <xf numFmtId="37" fontId="10" fillId="33" borderId="1" xfId="379" applyNumberFormat="1" applyFont="1" applyFill="1" applyBorder="1" applyAlignment="1" applyProtection="1">
      <alignment horizontal="center"/>
      <protection locked="0"/>
    </xf>
    <xf numFmtId="37" fontId="10" fillId="33" borderId="1" xfId="379" applyNumberFormat="1" applyFont="1" applyFill="1" applyBorder="1" applyAlignment="1" applyProtection="1">
      <alignment horizontal="center" vertical="center"/>
      <protection locked="0"/>
    </xf>
    <xf numFmtId="37" fontId="10" fillId="33" borderId="23" xfId="379" applyNumberFormat="1" applyFont="1" applyFill="1" applyBorder="1" applyAlignment="1">
      <alignment horizontal="center"/>
    </xf>
    <xf numFmtId="37" fontId="10" fillId="33" borderId="23" xfId="379" applyNumberFormat="1" applyFont="1" applyFill="1" applyBorder="1" applyAlignment="1">
      <alignment horizontal="center" vertical="center"/>
    </xf>
    <xf numFmtId="37" fontId="10" fillId="33" borderId="23" xfId="379" applyNumberFormat="1" applyFont="1" applyFill="1" applyBorder="1" applyAlignment="1" applyProtection="1">
      <alignment horizontal="center"/>
      <protection locked="0"/>
    </xf>
    <xf numFmtId="37" fontId="10" fillId="33" borderId="23" xfId="379" applyNumberFormat="1" applyFont="1" applyFill="1" applyBorder="1" applyAlignment="1" applyProtection="1">
      <alignment horizontal="center" vertical="center"/>
      <protection locked="0"/>
    </xf>
    <xf numFmtId="37" fontId="10" fillId="65" borderId="23" xfId="379" applyNumberFormat="1" applyFont="1" applyFill="1" applyBorder="1" applyAlignment="1" applyProtection="1">
      <alignment horizontal="center"/>
      <protection locked="0"/>
    </xf>
    <xf numFmtId="37" fontId="10" fillId="65" borderId="23" xfId="379" applyNumberFormat="1" applyFont="1" applyFill="1" applyBorder="1" applyAlignment="1" applyProtection="1">
      <alignment horizontal="center" vertical="center"/>
      <protection locked="0"/>
    </xf>
    <xf numFmtId="0" fontId="10" fillId="0" borderId="1" xfId="0" applyFont="1" applyFill="1" applyBorder="1"/>
    <xf numFmtId="0" fontId="10" fillId="66" borderId="26" xfId="0" applyFont="1" applyFill="1" applyBorder="1"/>
    <xf numFmtId="0" fontId="10" fillId="66" borderId="26" xfId="0" applyFont="1" applyFill="1" applyBorder="1" applyAlignment="1">
      <alignment horizontal="center"/>
    </xf>
    <xf numFmtId="49" fontId="10" fillId="66" borderId="26" xfId="0" applyNumberFormat="1" applyFont="1" applyFill="1" applyBorder="1" applyAlignment="1">
      <alignment horizontal="center"/>
    </xf>
    <xf numFmtId="49" fontId="10" fillId="66" borderId="42" xfId="0" applyNumberFormat="1" applyFont="1" applyFill="1" applyBorder="1" applyAlignment="1">
      <alignment horizontal="center"/>
    </xf>
    <xf numFmtId="0" fontId="10" fillId="66" borderId="39" xfId="521" applyFont="1" applyFill="1" applyBorder="1"/>
    <xf numFmtId="0" fontId="10" fillId="66" borderId="66" xfId="521" applyFont="1" applyFill="1" applyBorder="1"/>
    <xf numFmtId="0" fontId="10" fillId="66" borderId="26" xfId="521" applyFont="1" applyFill="1" applyBorder="1" applyAlignment="1">
      <alignment horizontal="center"/>
    </xf>
    <xf numFmtId="49" fontId="10" fillId="66" borderId="26" xfId="521" applyNumberFormat="1" applyFont="1" applyFill="1" applyBorder="1" applyAlignment="1">
      <alignment horizontal="center"/>
    </xf>
    <xf numFmtId="0" fontId="10" fillId="66" borderId="26" xfId="521" applyNumberFormat="1" applyFont="1" applyFill="1" applyBorder="1" applyAlignment="1">
      <alignment horizontal="center"/>
    </xf>
    <xf numFmtId="2" fontId="10" fillId="66" borderId="26" xfId="521" applyNumberFormat="1" applyFont="1" applyFill="1" applyBorder="1" applyAlignment="1">
      <alignment horizontal="center"/>
    </xf>
    <xf numFmtId="2" fontId="10" fillId="66" borderId="42" xfId="521" applyNumberFormat="1" applyFont="1" applyFill="1" applyBorder="1" applyAlignment="1">
      <alignment horizontal="center"/>
    </xf>
    <xf numFmtId="0" fontId="10" fillId="66" borderId="39" xfId="521" applyFont="1" applyFill="1" applyBorder="1" applyAlignment="1">
      <alignment horizontal="center" wrapText="1"/>
    </xf>
    <xf numFmtId="0" fontId="10" fillId="66" borderId="26" xfId="521" applyFont="1" applyFill="1" applyBorder="1" applyAlignment="1">
      <alignment horizontal="center" wrapText="1"/>
    </xf>
    <xf numFmtId="0" fontId="10" fillId="66" borderId="69" xfId="521" applyFont="1" applyFill="1" applyBorder="1" applyAlignment="1">
      <alignment horizontal="center" wrapText="1"/>
    </xf>
    <xf numFmtId="0" fontId="10" fillId="66" borderId="42" xfId="521" applyFont="1" applyFill="1" applyBorder="1" applyAlignment="1">
      <alignment horizontal="center" wrapText="1"/>
    </xf>
    <xf numFmtId="3" fontId="10" fillId="0" borderId="0" xfId="0" applyNumberFormat="1" applyFont="1" applyFill="1" applyBorder="1"/>
    <xf numFmtId="1" fontId="10" fillId="70" borderId="23" xfId="634" applyNumberFormat="1" applyFont="1" applyFill="1" applyBorder="1" applyAlignment="1">
      <alignment horizontal="center"/>
    </xf>
    <xf numFmtId="165" fontId="49" fillId="0" borderId="0" xfId="767" applyNumberFormat="1" applyFont="1" applyFill="1" applyBorder="1" applyAlignment="1">
      <alignment horizontal="center" vertical="center"/>
    </xf>
    <xf numFmtId="165" fontId="10" fillId="0" borderId="54" xfId="768" applyNumberFormat="1" applyFont="1" applyBorder="1" applyAlignment="1">
      <alignment horizontal="center" vertical="center"/>
    </xf>
    <xf numFmtId="165" fontId="10" fillId="0" borderId="70" xfId="768" applyNumberFormat="1" applyFont="1" applyBorder="1" applyAlignment="1">
      <alignment horizontal="center" vertical="center"/>
    </xf>
    <xf numFmtId="165" fontId="49" fillId="0" borderId="41" xfId="767" applyNumberFormat="1" applyFont="1" applyFill="1" applyBorder="1" applyAlignment="1">
      <alignment horizontal="center" vertical="center"/>
    </xf>
    <xf numFmtId="0" fontId="49" fillId="0" borderId="32" xfId="767" applyFont="1" applyFill="1" applyBorder="1" applyAlignment="1">
      <alignment wrapText="1"/>
    </xf>
    <xf numFmtId="0" fontId="1" fillId="0" borderId="32" xfId="767" applyFont="1" applyBorder="1" applyAlignment="1" applyProtection="1">
      <alignment wrapText="1"/>
      <protection locked="0"/>
    </xf>
    <xf numFmtId="165" fontId="116" fillId="64" borderId="78" xfId="768" applyNumberFormat="1" applyFont="1" applyFill="1" applyBorder="1" applyAlignment="1">
      <alignment horizontal="center" vertical="center"/>
    </xf>
    <xf numFmtId="0" fontId="26" fillId="0" borderId="68" xfId="524" applyFont="1" applyBorder="1"/>
    <xf numFmtId="165" fontId="49" fillId="62" borderId="55" xfId="767" applyNumberFormat="1" applyFont="1" applyFill="1" applyBorder="1" applyAlignment="1">
      <alignment horizontal="center" vertical="center"/>
    </xf>
    <xf numFmtId="165" fontId="49" fillId="62" borderId="120" xfId="767" applyNumberFormat="1" applyFont="1" applyFill="1" applyBorder="1" applyAlignment="1">
      <alignment horizontal="center" vertical="center"/>
    </xf>
    <xf numFmtId="0" fontId="26" fillId="0" borderId="55" xfId="524" applyFont="1" applyBorder="1"/>
    <xf numFmtId="0" fontId="50" fillId="65" borderId="121" xfId="767" applyFont="1" applyFill="1" applyBorder="1" applyAlignment="1">
      <alignment horizontal="center"/>
    </xf>
    <xf numFmtId="0" fontId="50" fillId="65" borderId="48" xfId="767" applyFont="1" applyFill="1" applyBorder="1" applyAlignment="1">
      <alignment horizontal="center"/>
    </xf>
    <xf numFmtId="0" fontId="50" fillId="65" borderId="48" xfId="767" applyFont="1" applyFill="1" applyBorder="1" applyAlignment="1">
      <alignment horizontal="center" vertical="center"/>
    </xf>
    <xf numFmtId="0" fontId="50" fillId="65" borderId="119" xfId="767" applyFont="1" applyFill="1" applyBorder="1" applyAlignment="1">
      <alignment horizontal="center" vertical="center"/>
    </xf>
    <xf numFmtId="0" fontId="50" fillId="65" borderId="49" xfId="767" applyFont="1" applyFill="1" applyBorder="1" applyAlignment="1">
      <alignment horizontal="center" vertical="center"/>
    </xf>
    <xf numFmtId="0" fontId="50" fillId="65" borderId="54" xfId="767" applyFont="1" applyFill="1" applyBorder="1" applyAlignment="1">
      <alignment horizontal="center" vertical="top"/>
    </xf>
    <xf numFmtId="0" fontId="50" fillId="65" borderId="70" xfId="767" applyFont="1" applyFill="1" applyBorder="1" applyAlignment="1">
      <alignment horizontal="center" vertical="top"/>
    </xf>
    <xf numFmtId="0" fontId="50" fillId="65" borderId="55" xfId="767" applyFont="1" applyFill="1" applyBorder="1" applyAlignment="1">
      <alignment horizontal="center" vertical="top"/>
    </xf>
    <xf numFmtId="165" fontId="49" fillId="65" borderId="78" xfId="767" applyNumberFormat="1" applyFont="1" applyFill="1" applyBorder="1" applyAlignment="1">
      <alignment horizontal="center" vertical="center"/>
    </xf>
    <xf numFmtId="165" fontId="49" fillId="62" borderId="78" xfId="767" applyNumberFormat="1" applyFont="1" applyFill="1" applyBorder="1" applyAlignment="1">
      <alignment horizontal="center" vertical="center"/>
    </xf>
    <xf numFmtId="165" fontId="10" fillId="62" borderId="70" xfId="768" applyNumberFormat="1" applyFont="1" applyFill="1" applyBorder="1" applyAlignment="1">
      <alignment horizontal="center" vertical="center"/>
    </xf>
    <xf numFmtId="10" fontId="49" fillId="0" borderId="118" xfId="767" applyNumberFormat="1" applyFont="1" applyFill="1" applyBorder="1" applyAlignment="1">
      <alignment horizontal="center" vertical="center"/>
    </xf>
    <xf numFmtId="2" fontId="10" fillId="70" borderId="23" xfId="379" applyNumberFormat="1" applyFont="1" applyFill="1" applyBorder="1" applyAlignment="1">
      <alignment horizontal="center"/>
    </xf>
    <xf numFmtId="2" fontId="10" fillId="70" borderId="1" xfId="379" applyNumberFormat="1" applyFont="1" applyFill="1" applyBorder="1" applyAlignment="1">
      <alignment horizontal="center"/>
    </xf>
    <xf numFmtId="3" fontId="10" fillId="0" borderId="75" xfId="379" applyNumberFormat="1" applyFont="1" applyFill="1" applyBorder="1" applyAlignment="1">
      <alignment horizontal="center"/>
    </xf>
    <xf numFmtId="3" fontId="10" fillId="0" borderId="50" xfId="379" applyNumberFormat="1" applyFont="1" applyFill="1" applyBorder="1" applyAlignment="1">
      <alignment horizontal="center"/>
    </xf>
    <xf numFmtId="3" fontId="10" fillId="0" borderId="56" xfId="379" applyNumberFormat="1" applyFont="1" applyFill="1" applyBorder="1" applyAlignment="1">
      <alignment horizontal="center"/>
    </xf>
    <xf numFmtId="0" fontId="14" fillId="0" borderId="0" xfId="0" applyFont="1" applyFill="1" applyBorder="1" applyAlignment="1"/>
    <xf numFmtId="0" fontId="10" fillId="66" borderId="39" xfId="0" applyFont="1" applyFill="1" applyBorder="1"/>
    <xf numFmtId="171" fontId="83" fillId="33" borderId="0" xfId="784" applyNumberFormat="1" applyFill="1" applyBorder="1" applyAlignment="1">
      <alignment horizontal="left"/>
    </xf>
    <xf numFmtId="171" fontId="10" fillId="33" borderId="0" xfId="383" applyNumberFormat="1" applyFont="1" applyFill="1" applyBorder="1" applyAlignment="1">
      <alignment horizontal="left"/>
    </xf>
    <xf numFmtId="171" fontId="10"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3" xfId="0" applyFont="1" applyFill="1" applyBorder="1" applyAlignment="1">
      <alignment horizontal="center" wrapText="1"/>
    </xf>
    <xf numFmtId="49" fontId="17" fillId="0" borderId="20" xfId="0" applyNumberFormat="1" applyFont="1" applyFill="1" applyBorder="1" applyAlignment="1">
      <alignment horizontal="center"/>
    </xf>
    <xf numFmtId="0" fontId="17" fillId="0" borderId="13" xfId="0" applyNumberFormat="1" applyFont="1" applyFill="1" applyBorder="1" applyAlignment="1">
      <alignment horizontal="center"/>
    </xf>
    <xf numFmtId="0" fontId="17" fillId="0" borderId="15" xfId="0" applyFont="1" applyFill="1" applyBorder="1" applyAlignment="1">
      <alignment horizontal="center"/>
    </xf>
    <xf numFmtId="0" fontId="17" fillId="0" borderId="52" xfId="0" applyFont="1" applyFill="1" applyBorder="1" applyAlignment="1">
      <alignment horizontal="center"/>
    </xf>
    <xf numFmtId="49" fontId="17" fillId="0" borderId="24" xfId="0" applyNumberFormat="1" applyFont="1" applyFill="1" applyBorder="1" applyAlignment="1">
      <alignment horizontal="center"/>
    </xf>
    <xf numFmtId="0" fontId="17" fillId="0" borderId="51"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0" fontId="17" fillId="0" borderId="20" xfId="0" applyNumberFormat="1" applyFont="1" applyFill="1" applyBorder="1" applyAlignment="1">
      <alignment horizontal="center"/>
    </xf>
    <xf numFmtId="169" fontId="10" fillId="0" borderId="14" xfId="379" applyNumberFormat="1" applyFont="1" applyBorder="1" applyAlignment="1">
      <alignment horizontal="center"/>
    </xf>
    <xf numFmtId="169" fontId="10" fillId="0" borderId="53" xfId="379" applyNumberFormat="1" applyFont="1" applyBorder="1" applyAlignment="1">
      <alignment horizontal="center"/>
    </xf>
    <xf numFmtId="0" fontId="10" fillId="66" borderId="47" xfId="0" applyFont="1" applyFill="1" applyBorder="1" applyAlignment="1">
      <alignment horizontal="center" vertical="center" wrapText="1"/>
    </xf>
    <xf numFmtId="0" fontId="10" fillId="66" borderId="49" xfId="0" applyFont="1" applyFill="1" applyBorder="1" applyAlignment="1">
      <alignment horizontal="center" vertical="center" wrapText="1"/>
    </xf>
    <xf numFmtId="0" fontId="17" fillId="0" borderId="50" xfId="0" applyFont="1" applyBorder="1" applyAlignment="1">
      <alignment horizontal="center"/>
    </xf>
    <xf numFmtId="0" fontId="17" fillId="0" borderId="51" xfId="0" applyFont="1" applyBorder="1" applyAlignment="1">
      <alignment horizontal="center"/>
    </xf>
    <xf numFmtId="0" fontId="17" fillId="0" borderId="21" xfId="0" applyFont="1" applyBorder="1" applyAlignment="1">
      <alignment horizontal="center"/>
    </xf>
    <xf numFmtId="49" fontId="10" fillId="66" borderId="47" xfId="0" applyNumberFormat="1" applyFont="1" applyFill="1" applyBorder="1" applyAlignment="1">
      <alignment horizontal="center"/>
    </xf>
    <xf numFmtId="0" fontId="10" fillId="66" borderId="49" xfId="0" applyFont="1" applyFill="1" applyBorder="1" applyAlignment="1">
      <alignment horizontal="center"/>
    </xf>
    <xf numFmtId="0" fontId="10" fillId="66" borderId="49" xfId="0" applyNumberFormat="1" applyFont="1" applyFill="1" applyBorder="1" applyAlignment="1">
      <alignment horizontal="center"/>
    </xf>
    <xf numFmtId="49" fontId="10" fillId="66" borderId="47" xfId="0" applyNumberFormat="1" applyFont="1" applyFill="1" applyBorder="1" applyAlignment="1">
      <alignment horizontal="center" vertical="center" wrapText="1"/>
    </xf>
    <xf numFmtId="0" fontId="17"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0" fontId="57" fillId="0" borderId="0" xfId="0" applyFont="1" applyBorder="1" applyAlignment="1">
      <alignment horizontal="center"/>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0" fontId="55" fillId="0" borderId="54" xfId="0" applyFont="1" applyBorder="1" applyAlignment="1">
      <alignment horizontal="center" vertical="center"/>
    </xf>
    <xf numFmtId="0" fontId="55" fillId="0" borderId="55" xfId="0" applyFont="1" applyBorder="1" applyAlignment="1">
      <alignment horizontal="center" vertical="center"/>
    </xf>
    <xf numFmtId="171" fontId="10" fillId="66" borderId="31" xfId="383" applyNumberFormat="1" applyFont="1" applyFill="1" applyBorder="1" applyAlignment="1">
      <alignment horizontal="center"/>
    </xf>
    <xf numFmtId="171" fontId="10" fillId="66" borderId="5" xfId="383" applyNumberFormat="1" applyFont="1" applyFill="1" applyBorder="1" applyAlignment="1">
      <alignment horizontal="center"/>
    </xf>
    <xf numFmtId="171" fontId="10" fillId="66" borderId="6" xfId="383" applyNumberFormat="1" applyFont="1" applyFill="1" applyBorder="1" applyAlignment="1">
      <alignment horizontal="center"/>
    </xf>
    <xf numFmtId="0" fontId="10" fillId="0" borderId="39" xfId="0" applyFont="1" applyBorder="1" applyAlignment="1">
      <alignment horizontal="center"/>
    </xf>
    <xf numFmtId="0" fontId="10" fillId="0" borderId="26" xfId="0" applyFont="1" applyBorder="1" applyAlignment="1">
      <alignment horizontal="center"/>
    </xf>
    <xf numFmtId="0" fontId="10" fillId="0" borderId="42" xfId="0" applyFont="1" applyBorder="1" applyAlignment="1">
      <alignment horizontal="center"/>
    </xf>
    <xf numFmtId="0" fontId="44" fillId="34" borderId="0" xfId="0" applyFont="1" applyFill="1" applyBorder="1" applyAlignment="1">
      <alignment horizontal="center" vertical="center"/>
    </xf>
    <xf numFmtId="0" fontId="10" fillId="34" borderId="48" xfId="0" applyFont="1" applyFill="1" applyBorder="1" applyAlignment="1">
      <alignment horizontal="left" vertical="center" wrapText="1"/>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171" fontId="10" fillId="0" borderId="31" xfId="383" applyNumberFormat="1" applyFont="1" applyFill="1" applyBorder="1" applyAlignment="1">
      <alignment horizontal="center"/>
    </xf>
    <xf numFmtId="171" fontId="10" fillId="0" borderId="5" xfId="383" applyNumberFormat="1" applyFont="1" applyFill="1" applyBorder="1" applyAlignment="1">
      <alignment horizontal="center"/>
    </xf>
    <xf numFmtId="171" fontId="10" fillId="0" borderId="6" xfId="383" applyNumberFormat="1" applyFont="1" applyFill="1" applyBorder="1" applyAlignment="1">
      <alignment horizontal="center"/>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10" fillId="34" borderId="48" xfId="0" applyFont="1" applyFill="1" applyBorder="1" applyAlignment="1">
      <alignment horizontal="center" vertical="center" wrapText="1"/>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25" fillId="0" borderId="0" xfId="696" applyFont="1" applyAlignment="1">
      <alignment horizontal="left"/>
    </xf>
    <xf numFmtId="0" fontId="49" fillId="0" borderId="0" xfId="767" applyFont="1" applyAlignment="1">
      <alignment horizontal="left" vertical="top" wrapText="1"/>
    </xf>
    <xf numFmtId="0" fontId="113" fillId="0" borderId="0" xfId="767" applyFont="1" applyBorder="1" applyAlignment="1">
      <alignment horizontal="left" vertical="top" wrapText="1"/>
    </xf>
    <xf numFmtId="0" fontId="49"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0" fontId="20" fillId="66" borderId="45" xfId="768" applyNumberFormat="1" applyFont="1" applyFill="1" applyBorder="1" applyAlignment="1">
      <alignment horizontal="center" vertical="top"/>
    </xf>
    <xf numFmtId="170" fontId="20" fillId="66" borderId="0" xfId="768" applyNumberFormat="1" applyFont="1" applyFill="1" applyBorder="1" applyAlignment="1">
      <alignment horizontal="center" vertical="top"/>
    </xf>
    <xf numFmtId="170" fontId="20" fillId="66" borderId="41" xfId="768" applyNumberFormat="1" applyFont="1" applyFill="1" applyBorder="1" applyAlignment="1">
      <alignment horizontal="center" vertical="top"/>
    </xf>
    <xf numFmtId="0" fontId="113" fillId="0" borderId="0" xfId="767" applyFont="1" applyAlignment="1">
      <alignment horizontal="left" vertical="top"/>
    </xf>
    <xf numFmtId="0" fontId="50" fillId="66" borderId="47" xfId="767" applyFont="1" applyFill="1" applyBorder="1" applyAlignment="1">
      <alignment horizontal="center" vertical="top"/>
    </xf>
    <xf numFmtId="0" fontId="50" fillId="66" borderId="48" xfId="767" applyFont="1" applyFill="1" applyBorder="1" applyAlignment="1">
      <alignment horizontal="center" vertical="top"/>
    </xf>
    <xf numFmtId="0" fontId="50" fillId="66" borderId="49" xfId="767" applyFont="1" applyFill="1" applyBorder="1" applyAlignment="1">
      <alignment horizontal="center" vertical="top"/>
    </xf>
    <xf numFmtId="170" fontId="20" fillId="66" borderId="45" xfId="768" applyNumberFormat="1" applyFont="1" applyFill="1" applyBorder="1" applyAlignment="1">
      <alignment horizontal="center"/>
    </xf>
    <xf numFmtId="170" fontId="20" fillId="66" borderId="0" xfId="768" applyNumberFormat="1" applyFont="1" applyFill="1" applyBorder="1" applyAlignment="1">
      <alignment horizontal="center"/>
    </xf>
    <xf numFmtId="170" fontId="20" fillId="66" borderId="41" xfId="768" applyNumberFormat="1" applyFont="1" applyFill="1" applyBorder="1" applyAlignment="1">
      <alignment horizontal="center"/>
    </xf>
    <xf numFmtId="0" fontId="50" fillId="66" borderId="47" xfId="767" applyFont="1" applyFill="1" applyBorder="1" applyAlignment="1">
      <alignment horizontal="center"/>
    </xf>
    <xf numFmtId="0" fontId="50" fillId="66" borderId="48" xfId="767" applyFont="1" applyFill="1" applyBorder="1" applyAlignment="1">
      <alignment horizontal="center"/>
    </xf>
    <xf numFmtId="0" fontId="50" fillId="66" borderId="49" xfId="767" applyFont="1" applyFill="1" applyBorder="1" applyAlignment="1">
      <alignment horizontal="center"/>
    </xf>
    <xf numFmtId="2" fontId="10" fillId="0" borderId="75"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53"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31" xfId="0" applyNumberFormat="1"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 #,##0.00_-;_-* "-"??_-;_-@_-</c:formatCode>
                <c:ptCount val="10"/>
                <c:pt idx="0">
                  <c:v>240687668</c:v>
                </c:pt>
                <c:pt idx="1">
                  <c:v>248683053.34999996</c:v>
                </c:pt>
                <c:pt idx="2">
                  <c:v>241507708</c:v>
                </c:pt>
                <c:pt idx="3">
                  <c:v>236526800</c:v>
                </c:pt>
                <c:pt idx="4">
                  <c:v>244543390.56</c:v>
                </c:pt>
                <c:pt idx="5">
                  <c:v>248601682.74000001</c:v>
                </c:pt>
                <c:pt idx="6">
                  <c:v>250144401.56999999</c:v>
                </c:pt>
                <c:pt idx="7">
                  <c:v>246166626.33000001</c:v>
                </c:pt>
                <c:pt idx="8">
                  <c:v>242535263.39000002</c:v>
                </c:pt>
                <c:pt idx="9">
                  <c:v>239401282.51999998</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 #,##0.00_-;_-* "-"??_-;_-@_-</c:formatCode>
                <c:ptCount val="10"/>
                <c:pt idx="0">
                  <c:v>244958698.73945877</c:v>
                </c:pt>
                <c:pt idx="1">
                  <c:v>248683575.31460232</c:v>
                </c:pt>
                <c:pt idx="2">
                  <c:v>247069840.93236792</c:v>
                </c:pt>
                <c:pt idx="3">
                  <c:v>245470671.7507762</c:v>
                </c:pt>
                <c:pt idx="4">
                  <c:v>247205392.77313605</c:v>
                </c:pt>
                <c:pt idx="5">
                  <c:v>248673994.55355757</c:v>
                </c:pt>
                <c:pt idx="6">
                  <c:v>250342774.98395351</c:v>
                </c:pt>
                <c:pt idx="7">
                  <c:v>249342246.0888707</c:v>
                </c:pt>
                <c:pt idx="8">
                  <c:v>249658428.47991201</c:v>
                </c:pt>
                <c:pt idx="9">
                  <c:v>247399736.29403827</c:v>
                </c:pt>
              </c:numCache>
            </c:numRef>
          </c:val>
        </c:ser>
        <c:dLbls>
          <c:showLegendKey val="0"/>
          <c:showVal val="0"/>
          <c:showCatName val="0"/>
          <c:showSerName val="0"/>
          <c:showPercent val="0"/>
          <c:showBubbleSize val="0"/>
        </c:dLbls>
        <c:gapWidth val="150"/>
        <c:axId val="356380776"/>
        <c:axId val="356383520"/>
      </c:barChart>
      <c:dateAx>
        <c:axId val="356380776"/>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356383520"/>
        <c:crosses val="autoZero"/>
        <c:auto val="0"/>
        <c:lblOffset val="100"/>
        <c:baseTimeUnit val="days"/>
      </c:dateAx>
      <c:valAx>
        <c:axId val="356383520"/>
        <c:scaling>
          <c:orientation val="minMax"/>
          <c:min val="0"/>
        </c:scaling>
        <c:delete val="0"/>
        <c:axPos val="l"/>
        <c:majorGridlines/>
        <c:numFmt formatCode="#,##0" sourceLinked="0"/>
        <c:majorTickMark val="out"/>
        <c:minorTickMark val="none"/>
        <c:tickLblPos val="nextTo"/>
        <c:crossAx val="356380776"/>
        <c:crossesAt val="1"/>
        <c:crossBetween val="between"/>
        <c:dispUnits>
          <c:builtInUnit val="millions"/>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178734</xdr:rowOff>
    </xdr:from>
    <xdr:to>
      <xdr:col>9</xdr:col>
      <xdr:colOff>910477</xdr:colOff>
      <xdr:row>18</xdr:row>
      <xdr:rowOff>205403</xdr:rowOff>
    </xdr:to>
    <xdr:sp macro="" textlink="">
      <xdr:nvSpPr>
        <xdr:cNvPr id="6" name="Right Arrow 5"/>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323850</xdr:colOff>
      <xdr:row>57</xdr:row>
      <xdr:rowOff>0</xdr:rowOff>
    </xdr:from>
    <xdr:to>
      <xdr:col>35</xdr:col>
      <xdr:colOff>140494</xdr:colOff>
      <xdr:row>80</xdr:row>
      <xdr:rowOff>125413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30" sqref="F30"/>
    </sheetView>
  </sheetViews>
  <sheetFormatPr defaultRowHeight="12.75" x14ac:dyDescent="0.2"/>
  <cols>
    <col min="1" max="1" width="13.6640625" style="1" customWidth="1"/>
    <col min="2" max="16384" width="9.33203125" style="1"/>
  </cols>
  <sheetData>
    <row r="1" spans="1:28" s="532" customFormat="1" x14ac:dyDescent="0.2">
      <c r="A1" s="726" t="s">
        <v>266</v>
      </c>
      <c r="B1" s="726"/>
    </row>
    <row r="2" spans="1:28" s="532" customFormat="1" x14ac:dyDescent="0.2"/>
    <row r="3" spans="1:28" s="532" customFormat="1" x14ac:dyDescent="0.2"/>
    <row r="4" spans="1:28" s="532" customFormat="1" x14ac:dyDescent="0.2"/>
    <row r="5" spans="1:28" s="532" customFormat="1" x14ac:dyDescent="0.2"/>
    <row r="6" spans="1:28" s="532" customFormat="1" x14ac:dyDescent="0.2"/>
    <row r="7" spans="1:28" s="532" customFormat="1" x14ac:dyDescent="0.2"/>
    <row r="8" spans="1:28" s="532" customFormat="1" x14ac:dyDescent="0.2"/>
    <row r="9" spans="1:28" s="532" customFormat="1" x14ac:dyDescent="0.2"/>
    <row r="10" spans="1:28" customFormat="1" ht="12.75" customHeight="1" x14ac:dyDescent="0.2">
      <c r="B10" s="881"/>
      <c r="C10" s="881"/>
      <c r="D10" s="881"/>
      <c r="E10" s="881"/>
      <c r="F10" s="881"/>
      <c r="G10" s="881"/>
      <c r="H10" s="881"/>
      <c r="I10" s="881"/>
      <c r="J10" s="136"/>
      <c r="K10" s="136"/>
      <c r="L10" s="136"/>
      <c r="M10" s="136"/>
    </row>
    <row r="11" spans="1:28" customFormat="1" ht="23.25" x14ac:dyDescent="0.2">
      <c r="B11" s="882" t="s">
        <v>100</v>
      </c>
      <c r="C11" s="882"/>
      <c r="D11" s="882"/>
      <c r="E11" s="882"/>
      <c r="F11" s="882"/>
      <c r="G11" s="882"/>
      <c r="H11" s="882"/>
      <c r="I11" s="882"/>
      <c r="J11" s="136"/>
      <c r="K11" s="136"/>
      <c r="L11" s="136"/>
      <c r="M11" s="136"/>
    </row>
    <row r="12" spans="1:28" x14ac:dyDescent="0.2">
      <c r="M12"/>
    </row>
    <row r="13" spans="1:28" ht="15" x14ac:dyDescent="0.2">
      <c r="B13" s="155" t="s">
        <v>86</v>
      </c>
      <c r="F13" s="143"/>
      <c r="G13" s="143"/>
      <c r="H13" s="143"/>
      <c r="I13" s="143"/>
      <c r="J13" s="143"/>
      <c r="K13" s="139"/>
      <c r="L13" s="139"/>
      <c r="AB13" s="133"/>
    </row>
    <row r="14" spans="1:28" x14ac:dyDescent="0.2">
      <c r="B14" s="156"/>
      <c r="F14" s="137"/>
      <c r="G14" s="138"/>
      <c r="H14" s="137"/>
      <c r="I14" s="137"/>
      <c r="J14" s="137"/>
      <c r="K14" s="140"/>
      <c r="L14" s="140"/>
      <c r="AB14" s="133"/>
    </row>
    <row r="15" spans="1:28" ht="15" x14ac:dyDescent="0.2">
      <c r="B15" s="155" t="s">
        <v>87</v>
      </c>
      <c r="F15" s="879"/>
      <c r="G15" s="879"/>
      <c r="H15" s="879"/>
      <c r="I15" s="879"/>
      <c r="J15" s="879"/>
      <c r="K15" s="140"/>
      <c r="L15" s="140"/>
      <c r="AB15" s="133"/>
    </row>
    <row r="16" spans="1:28" x14ac:dyDescent="0.2">
      <c r="B16" s="157"/>
      <c r="F16" s="134"/>
      <c r="G16" s="134"/>
      <c r="H16" s="134"/>
      <c r="I16" s="134"/>
      <c r="J16" s="134"/>
      <c r="K16" s="134"/>
      <c r="L16" s="134"/>
      <c r="AB16" s="133"/>
    </row>
    <row r="17" spans="2:28" ht="15" x14ac:dyDescent="0.2">
      <c r="B17" s="155" t="s">
        <v>88</v>
      </c>
      <c r="F17" s="879"/>
      <c r="G17" s="879"/>
      <c r="H17" s="879"/>
      <c r="I17" s="879"/>
      <c r="J17" s="879"/>
      <c r="K17" s="134"/>
      <c r="L17" s="134"/>
      <c r="AB17" s="133"/>
    </row>
    <row r="18" spans="2:28" x14ac:dyDescent="0.2">
      <c r="B18" s="157"/>
      <c r="F18" s="134"/>
      <c r="G18" s="134"/>
      <c r="H18" s="134"/>
      <c r="I18" s="134"/>
      <c r="J18" s="134"/>
      <c r="K18" s="134"/>
      <c r="L18" s="134"/>
      <c r="AB18" s="133"/>
    </row>
    <row r="19" spans="2:28" ht="15" x14ac:dyDescent="0.2">
      <c r="B19" s="155" t="s">
        <v>89</v>
      </c>
      <c r="F19" s="879"/>
      <c r="G19" s="879"/>
      <c r="H19" s="879"/>
      <c r="I19" s="879"/>
      <c r="J19" s="879"/>
      <c r="K19" s="880"/>
      <c r="L19" s="880"/>
      <c r="AB19" s="133"/>
    </row>
    <row r="20" spans="2:28" x14ac:dyDescent="0.2">
      <c r="B20" s="156"/>
      <c r="F20" s="141"/>
      <c r="G20" s="142"/>
      <c r="H20" s="141"/>
      <c r="I20" s="141"/>
      <c r="J20" s="141"/>
      <c r="K20" s="134"/>
      <c r="L20" s="134"/>
      <c r="AB20" s="133"/>
    </row>
    <row r="21" spans="2:28" ht="15" x14ac:dyDescent="0.2">
      <c r="B21" s="155" t="s">
        <v>90</v>
      </c>
      <c r="F21" s="879"/>
      <c r="G21" s="879"/>
      <c r="H21" s="879"/>
      <c r="I21" s="879"/>
      <c r="J21" s="879"/>
      <c r="K21" s="134"/>
      <c r="L21" s="134"/>
      <c r="AB21" s="133"/>
    </row>
    <row r="22" spans="2:28" x14ac:dyDescent="0.2">
      <c r="B22" s="156"/>
      <c r="F22" s="141"/>
      <c r="G22" s="142"/>
      <c r="H22" s="141"/>
      <c r="I22" s="141"/>
      <c r="J22" s="141"/>
      <c r="K22" s="134"/>
      <c r="L22" s="134"/>
      <c r="AB22" s="133"/>
    </row>
    <row r="23" spans="2:28" ht="15" x14ac:dyDescent="0.2">
      <c r="B23" s="155" t="s">
        <v>91</v>
      </c>
      <c r="F23" s="878"/>
      <c r="G23" s="879"/>
      <c r="H23" s="879"/>
      <c r="I23" s="879"/>
      <c r="J23" s="879"/>
      <c r="K23" s="134"/>
      <c r="L23" s="134"/>
      <c r="AB23" s="133"/>
    </row>
    <row r="24" spans="2:28" x14ac:dyDescent="0.2">
      <c r="B24" s="156"/>
      <c r="F24" s="141"/>
      <c r="G24" s="142"/>
      <c r="H24" s="141"/>
      <c r="I24" s="141"/>
      <c r="J24" s="141"/>
      <c r="K24" s="134"/>
      <c r="L24" s="134"/>
      <c r="AB24" s="133"/>
    </row>
    <row r="25" spans="2:28" ht="15" x14ac:dyDescent="0.2">
      <c r="B25" s="155" t="s">
        <v>92</v>
      </c>
      <c r="F25" s="159" t="s">
        <v>270</v>
      </c>
      <c r="G25" s="160"/>
      <c r="H25" s="160"/>
      <c r="I25" s="141"/>
      <c r="J25" s="141"/>
      <c r="K25" s="134"/>
      <c r="L25" s="134"/>
      <c r="AB25" s="133"/>
    </row>
    <row r="26" spans="2:28" x14ac:dyDescent="0.2">
      <c r="B26" s="55"/>
      <c r="F26" s="52"/>
      <c r="G26" s="161"/>
      <c r="H26" s="161"/>
      <c r="AB26" s="133"/>
    </row>
    <row r="27" spans="2:28" ht="15" x14ac:dyDescent="0.2">
      <c r="B27" s="155" t="s">
        <v>93</v>
      </c>
      <c r="F27" s="159" t="s">
        <v>271</v>
      </c>
      <c r="G27" s="160"/>
      <c r="H27" s="160"/>
      <c r="AB27" s="133"/>
    </row>
    <row r="28" spans="2:28" x14ac:dyDescent="0.2">
      <c r="B28" s="158"/>
      <c r="F28" s="52"/>
      <c r="G28" s="161"/>
      <c r="H28" s="161"/>
      <c r="AB28" s="133"/>
    </row>
    <row r="29" spans="2:28" ht="15" x14ac:dyDescent="0.2">
      <c r="B29" s="155" t="s">
        <v>94</v>
      </c>
      <c r="F29" s="159" t="s">
        <v>272</v>
      </c>
      <c r="G29" s="160"/>
      <c r="H29" s="160"/>
      <c r="AB29" s="133"/>
    </row>
    <row r="30" spans="2:28" x14ac:dyDescent="0.2">
      <c r="AB30" s="133"/>
    </row>
    <row r="32" spans="2:28" x14ac:dyDescent="0.2">
      <c r="B32" s="177" t="s">
        <v>269</v>
      </c>
      <c r="D32" s="56"/>
    </row>
    <row r="33" spans="2:4" x14ac:dyDescent="0.2">
      <c r="B33" s="1" t="s">
        <v>267</v>
      </c>
      <c r="D33" s="727"/>
    </row>
    <row r="34" spans="2:4" x14ac:dyDescent="0.2">
      <c r="B34" s="1" t="s">
        <v>268</v>
      </c>
      <c r="D34" s="731"/>
    </row>
  </sheetData>
  <mergeCells count="8">
    <mergeCell ref="F23:J23"/>
    <mergeCell ref="K19:L19"/>
    <mergeCell ref="F21:J21"/>
    <mergeCell ref="B10:I10"/>
    <mergeCell ref="B11:I11"/>
    <mergeCell ref="F15:J15"/>
    <mergeCell ref="F17:J17"/>
    <mergeCell ref="F19:J1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topLeftCell="A13" zoomScaleNormal="100" workbookViewId="0">
      <selection activeCell="B15" sqref="B15:P57"/>
    </sheetView>
  </sheetViews>
  <sheetFormatPr defaultColWidth="10.5" defaultRowHeight="12.75" x14ac:dyDescent="0.2"/>
  <cols>
    <col min="1" max="1" width="13.6640625" style="775" customWidth="1"/>
    <col min="2" max="3" width="50.1640625" style="1" customWidth="1"/>
    <col min="4" max="4" width="11.83203125" style="1" bestFit="1" customWidth="1"/>
    <col min="5" max="5" width="17.6640625" style="1" hidden="1" customWidth="1"/>
    <col min="6" max="6" width="21.1640625" style="1" hidden="1" customWidth="1"/>
    <col min="7" max="10" width="14.5" style="1" hidden="1" customWidth="1"/>
    <col min="11" max="16" width="16.33203125" style="1" bestFit="1" customWidth="1"/>
    <col min="17" max="18" width="10.5" style="1"/>
    <col min="19" max="20" width="1.83203125" style="1" bestFit="1" customWidth="1"/>
    <col min="21" max="16384" width="10.5" style="1"/>
  </cols>
  <sheetData>
    <row r="1" spans="1:16" s="532" customFormat="1" x14ac:dyDescent="0.2">
      <c r="A1" s="726" t="s">
        <v>266</v>
      </c>
    </row>
    <row r="2" spans="1:16" s="532" customFormat="1" x14ac:dyDescent="0.2">
      <c r="A2" s="775"/>
    </row>
    <row r="3" spans="1:16" s="532" customFormat="1" x14ac:dyDescent="0.2">
      <c r="A3" s="775"/>
    </row>
    <row r="4" spans="1:16" s="532" customFormat="1" x14ac:dyDescent="0.2">
      <c r="A4" s="775"/>
    </row>
    <row r="5" spans="1:16" s="532" customFormat="1" x14ac:dyDescent="0.2">
      <c r="A5" s="775"/>
    </row>
    <row r="6" spans="1:16" s="532" customFormat="1" x14ac:dyDescent="0.2">
      <c r="A6" s="775"/>
    </row>
    <row r="7" spans="1:16" s="532" customFormat="1" x14ac:dyDescent="0.2">
      <c r="A7" s="775"/>
    </row>
    <row r="8" spans="1:16" s="532" customFormat="1" x14ac:dyDescent="0.2">
      <c r="A8" s="775"/>
    </row>
    <row r="9" spans="1:16" s="532" customFormat="1" x14ac:dyDescent="0.2">
      <c r="A9" s="775"/>
    </row>
    <row r="11" spans="1:16" ht="23.25" x14ac:dyDescent="0.2">
      <c r="B11" s="132" t="s">
        <v>101</v>
      </c>
      <c r="C11" s="132"/>
    </row>
    <row r="12" spans="1:16" ht="13.5" customHeight="1" x14ac:dyDescent="0.2">
      <c r="B12" s="57" t="s">
        <v>63</v>
      </c>
      <c r="C12" s="132"/>
    </row>
    <row r="13" spans="1:16" ht="13.5" customHeight="1" x14ac:dyDescent="0.2">
      <c r="B13" s="99" t="s">
        <v>258</v>
      </c>
      <c r="C13" s="132"/>
    </row>
    <row r="14" spans="1:16" ht="13.5" customHeight="1" thickBot="1" x14ac:dyDescent="0.25"/>
    <row r="15" spans="1:16" ht="13.5" thickBot="1" x14ac:dyDescent="0.25">
      <c r="B15" s="877"/>
      <c r="C15" s="831"/>
      <c r="D15" s="832" t="s">
        <v>33</v>
      </c>
      <c r="E15" s="833">
        <f>'4. Customer Growth'!B17</f>
        <v>2006</v>
      </c>
      <c r="F15" s="833">
        <f>'4. Customer Growth'!B18</f>
        <v>2007</v>
      </c>
      <c r="G15" s="833">
        <f>'4. Customer Growth'!B19</f>
        <v>2008</v>
      </c>
      <c r="H15" s="833">
        <f>'4. Customer Growth'!B20</f>
        <v>2009</v>
      </c>
      <c r="I15" s="833">
        <f>'4. Customer Growth'!B21</f>
        <v>2010</v>
      </c>
      <c r="J15" s="833">
        <f>'4. Customer Growth'!B22</f>
        <v>2011</v>
      </c>
      <c r="K15" s="833">
        <f>'4. Customer Growth'!B23</f>
        <v>2012</v>
      </c>
      <c r="L15" s="833">
        <f>'4. Customer Growth'!B24</f>
        <v>2013</v>
      </c>
      <c r="M15" s="833">
        <f>'4. Customer Growth'!B25</f>
        <v>2014</v>
      </c>
      <c r="N15" s="833">
        <f>'4. Customer Growth'!B26</f>
        <v>2015</v>
      </c>
      <c r="O15" s="833" t="str">
        <f>'4. Customer Growth'!B30</f>
        <v>2016</v>
      </c>
      <c r="P15" s="834" t="str">
        <f>'4. Customer Growth'!B31</f>
        <v>2017</v>
      </c>
    </row>
    <row r="16" spans="1:16" x14ac:dyDescent="0.2">
      <c r="B16" s="728" t="s">
        <v>193</v>
      </c>
      <c r="C16" s="729" t="str">
        <f>IF($B16=$F$64,+$B$64,+IF($B16=$F$65,+$B$65,+IF($B16=$F$66,+$B$66,+IF($B16=$F$66,$B$66,+IF($B16=$F$67,+$B$67,+IF($B16=$F$68,+$B$68,+IF($B16=$F$69,+$B$69,+IF($B16=$F$70,+$B$70,+IF($B16=$F$71,+$B$71,+IF($B16=$F$72,+$B$72,+IF($B16=$F$73,+$B$73)))))))))))</f>
        <v>Residential</v>
      </c>
      <c r="D16" s="398" t="s">
        <v>129</v>
      </c>
      <c r="E16" s="506">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7704</v>
      </c>
      <c r="F16" s="506">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7842</v>
      </c>
      <c r="G16" s="506">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7956</v>
      </c>
      <c r="H16" s="506">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8187.5</v>
      </c>
      <c r="I16" s="506">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8296.5</v>
      </c>
      <c r="J16" s="506">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8425</v>
      </c>
      <c r="K16" s="506">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8525</v>
      </c>
      <c r="L16" s="506">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8627</v>
      </c>
      <c r="M16" s="506">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8760.5</v>
      </c>
      <c r="N16" s="506">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8885</v>
      </c>
      <c r="O16" s="506">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9026.923937540796</v>
      </c>
      <c r="P16" s="507">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9171.114887354759</v>
      </c>
    </row>
    <row r="17" spans="1:16" x14ac:dyDescent="0.2">
      <c r="B17" s="88"/>
      <c r="C17" s="830"/>
      <c r="D17" s="53" t="s">
        <v>36</v>
      </c>
      <c r="E17" s="506">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71590902.776568398</v>
      </c>
      <c r="F17" s="506">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72101506.334618852</v>
      </c>
      <c r="G17" s="506">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73848510.565233275</v>
      </c>
      <c r="H17" s="506">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74657177.211183861</v>
      </c>
      <c r="I17" s="506">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73436594.333625555</v>
      </c>
      <c r="J17" s="506">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73193400.880397737</v>
      </c>
      <c r="K17" s="506">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70966505.368845955</v>
      </c>
      <c r="L17" s="506">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74334017.121669263</v>
      </c>
      <c r="M17" s="506">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75761820.187371373</v>
      </c>
      <c r="N17" s="506">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79671289.320937395</v>
      </c>
      <c r="O17" s="506">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80450046.256808087</v>
      </c>
      <c r="P17" s="507">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80599694.152217165</v>
      </c>
    </row>
    <row r="18" spans="1:16" x14ac:dyDescent="0.2">
      <c r="B18" s="88"/>
      <c r="C18" s="830"/>
      <c r="D18" s="53" t="s">
        <v>37</v>
      </c>
      <c r="E18" s="404">
        <f>IF(B$16=$F$69,+'8. KW and Non-Weather Sensitive'!$F$21,IF($B16=$F$70,+'8. KW and Non-Weather Sensitive'!$Q$21,IF($B16=$F$71,+'8. KW and Non-Weather Sensitive'!$AA$21,IF($B16=$F$72,+'8. KW and Non-Weather Sensitive'!$AK$21,+IF($B16=$F$73,+'8. KW and Non-Weather Sensitive'!$AU$21,0)))))</f>
        <v>0</v>
      </c>
      <c r="F18" s="404">
        <f>IF($B16=$F$69,+'8. KW and Non-Weather Sensitive'!$F$22,IF($B16=$F$70,+'8. KW and Non-Weather Sensitive'!$Q$22,IF($B16=$F$71,+'8. KW and Non-Weather Sensitive'!$AA$22,IF($B16=$F$72,+'8. KW and Non-Weather Sensitive'!$AK$22,+IF($B16=$F$73,+'8. KW and Non-Weather Sensitive'!$AU$22,0)))))</f>
        <v>0</v>
      </c>
      <c r="G18" s="404">
        <f>IF($B16=$F$69,+'8. KW and Non-Weather Sensitive'!$F$23,IF($B16=$F$70,+'8. KW and Non-Weather Sensitive'!$Q$23,IF($B16=$F$71,+'8. KW and Non-Weather Sensitive'!$AA$23,IF($B16=$F$72,+'8. KW and Non-Weather Sensitive'!$AK$23,+IF($B16=$F$73,+'8. KW and Non-Weather Sensitive'!$AU$23,0)))))</f>
        <v>0</v>
      </c>
      <c r="H18" s="404">
        <f>IF($B16=$F$69,+'8. KW and Non-Weather Sensitive'!$F$24,IF($B16=$F$70,+'8. KW and Non-Weather Sensitive'!$Q$24,IF($B16=$F$71,+'8. KW and Non-Weather Sensitive'!$AA$24,IF($B16=$F$72,+'8. KW and Non-Weather Sensitive'!$AK$24,+IF($B16=$F$73,+'8. KW and Non-Weather Sensitive'!$AU$24,0)))))</f>
        <v>0</v>
      </c>
      <c r="I18" s="404">
        <f>IF($B16=$F$69,+'8. KW and Non-Weather Sensitive'!$F$25,IF($B16=$F$70,+'8. KW and Non-Weather Sensitive'!$Q$25,IF($B16=$F$71,+'8. KW and Non-Weather Sensitive'!$AA$25,IF($B16=$F$72,+'8. KW and Non-Weather Sensitive'!$AK$25,+IF($B16=$F$73,+'8. KW and Non-Weather Sensitive'!$AU$25,0)))))</f>
        <v>0</v>
      </c>
      <c r="J18" s="404">
        <f>IF($B16=$F$69,+'8. KW and Non-Weather Sensitive'!$F$26,IF($B16=$F$70,+'8. KW and Non-Weather Sensitive'!$Q$26,IF($B16=$F$71,+'8. KW and Non-Weather Sensitive'!$AA$26,IF($B16=$F$72,+'8. KW and Non-Weather Sensitive'!$AK$26,+IF($B16=$F$73,+'8. KW and Non-Weather Sensitive'!$AU$26,0)))))</f>
        <v>0</v>
      </c>
      <c r="K18" s="404">
        <f>IF($B16=$F$69,+'8. KW and Non-Weather Sensitive'!$F$27,IF($B16=$F$70,+'8. KW and Non-Weather Sensitive'!$Q$27,IF($B16=$F$71,+'8. KW and Non-Weather Sensitive'!$AA$27,IF($B16=$F$72,+'8. KW and Non-Weather Sensitive'!$AK$27,+IF($B16=$F$73,+'8. KW and Non-Weather Sensitive'!$AU$27,0)))))</f>
        <v>0</v>
      </c>
      <c r="L18" s="404">
        <f>IF($B16=$F$69,+'8. KW and Non-Weather Sensitive'!$F$28,IF($B16=$F$70,+'8. KW and Non-Weather Sensitive'!$Q$28,IF($B16=$F$71,+'8. KW and Non-Weather Sensitive'!$AA$28,IF($B16=$F$72,+'8. KW and Non-Weather Sensitive'!$AK$28,+IF($B16=$F$73,+'8. KW and Non-Weather Sensitive'!$AU$28,0)))))</f>
        <v>0</v>
      </c>
      <c r="M18" s="404">
        <f>IF($B16=$F$69,+'8. KW and Non-Weather Sensitive'!$F$29,IF($B16=$F$70,+'8. KW and Non-Weather Sensitive'!$Q$29,IF($B16=$F$71,+'8. KW and Non-Weather Sensitive'!$AA$29,IF($B16=$F$72,+'8. KW and Non-Weather Sensitive'!$AK$29,+IF($B16=$F$73,+'8. KW and Non-Weather Sensitive'!$AU$29,0)))))</f>
        <v>0</v>
      </c>
      <c r="N18" s="404">
        <f>IF($B16=$F$69,+'8. KW and Non-Weather Sensitive'!$F$30,IF($B16=$F$70,+'8. KW and Non-Weather Sensitive'!$Q$30,IF($B16=$F$71,+'8. KW and Non-Weather Sensitive'!$AA$30,IF($B16=$F$72,+'8. KW and Non-Weather Sensitive'!$AK$30,+IF($B16=$F$73,+'8. KW and Non-Weather Sensitive'!$AU$30,0)))))</f>
        <v>0</v>
      </c>
      <c r="O18" s="404">
        <f>IF($B16=$F$69,+'8. KW and Non-Weather Sensitive'!$J$49,IF($B16=$F$70,+'8. KW and Non-Weather Sensitive'!$U$49,IF($B16=$F$71,+'8. KW and Non-Weather Sensitive'!$AE$49,IF($B16=$F$72,+'8. KW and Non-Weather Sensitive'!$AO$49,+IF($B16=$F$73,+'8. KW and Non-Weather Sensitive'!$AY$49,0)))))</f>
        <v>0</v>
      </c>
      <c r="P18" s="508">
        <f>IF($B16=$F$69,+'8. KW and Non-Weather Sensitive'!$J$50,IF($B16=$F$70,+'8. KW and Non-Weather Sensitive'!$U$50,IF($B16=$F$71,+'8. KW and Non-Weather Sensitive'!$AE$50,IF($B16=$F$72,+'8. KW and Non-Weather Sensitive'!$AO$50,+IF($B16=$F$73,+'8. KW and Non-Weather Sensitive'!$AY$50,0)))))</f>
        <v>0</v>
      </c>
    </row>
    <row r="19" spans="1:16" x14ac:dyDescent="0.2">
      <c r="A19" s="775" t="s">
        <v>285</v>
      </c>
      <c r="B19" s="88"/>
      <c r="C19" s="830"/>
      <c r="D19" s="53"/>
      <c r="E19" s="404"/>
      <c r="F19" s="404"/>
      <c r="G19" s="404"/>
      <c r="H19" s="404"/>
      <c r="I19" s="404"/>
      <c r="J19" s="404"/>
      <c r="K19" s="404"/>
      <c r="L19" s="404"/>
      <c r="M19" s="404"/>
      <c r="N19" s="404"/>
      <c r="O19" s="405"/>
      <c r="P19" s="406"/>
    </row>
    <row r="20" spans="1:16" x14ac:dyDescent="0.2">
      <c r="A20" s="775" t="s">
        <v>286</v>
      </c>
      <c r="B20" s="730" t="s">
        <v>192</v>
      </c>
      <c r="C20" s="729" t="str">
        <f>IF($B20=$F$64,+$B$64,+IF($B20=$F$65,+$B$65,+IF($B20=$F$66,+$B$66,+IF($B20=$F$66,$B$66,+IF($B20=$F$67,+$B$67,+IF($B20=$F$68,+$B$68,+IF($B20=$F$69,+$B$69,+IF($B20=$F$70,+$B$70,+IF($B20=$F$71,+$B$71,+IF($B20=$F$72,+$B$72,+IF($B20=$F$73,+$B$73)))))))))))</f>
        <v>General Service &lt; 50 kW</v>
      </c>
      <c r="D20" s="87" t="s">
        <v>129</v>
      </c>
      <c r="E20" s="506">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1036.5</v>
      </c>
      <c r="F20" s="506">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1043</v>
      </c>
      <c r="G20" s="506">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1047.5</v>
      </c>
      <c r="H20" s="506">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1062.5</v>
      </c>
      <c r="I20" s="506">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1068.5</v>
      </c>
      <c r="J20" s="506">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1072.5</v>
      </c>
      <c r="K20" s="506">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1067</v>
      </c>
      <c r="L20" s="506">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1058</v>
      </c>
      <c r="M20" s="506">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1068.5</v>
      </c>
      <c r="N20" s="506">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1077.5</v>
      </c>
      <c r="O20" s="506">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1082.1545150107602</v>
      </c>
      <c r="P20" s="507">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1086.8291362952889</v>
      </c>
    </row>
    <row r="21" spans="1:16" x14ac:dyDescent="0.2">
      <c r="B21" s="88"/>
      <c r="C21" s="830"/>
      <c r="D21" s="53" t="s">
        <v>36</v>
      </c>
      <c r="E21" s="506">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32947635.677251581</v>
      </c>
      <c r="F21" s="506">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34123002.621133283</v>
      </c>
      <c r="G21" s="506">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35250366.032868199</v>
      </c>
      <c r="H21" s="506">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35803467.043011874</v>
      </c>
      <c r="I21" s="506">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34496063.808112673</v>
      </c>
      <c r="J21" s="506">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38814986.994877979</v>
      </c>
      <c r="K21" s="506">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33200382.221462574</v>
      </c>
      <c r="L21" s="506">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33337507.077357363</v>
      </c>
      <c r="M21" s="506">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32425865.201663207</v>
      </c>
      <c r="N21" s="506">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32930701.274226837</v>
      </c>
      <c r="O21" s="506">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33252586.513426181</v>
      </c>
      <c r="P21" s="507">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33314440.792201336</v>
      </c>
    </row>
    <row r="22" spans="1:16" x14ac:dyDescent="0.2">
      <c r="B22" s="88"/>
      <c r="C22" s="830"/>
      <c r="D22" s="53" t="s">
        <v>37</v>
      </c>
      <c r="E22" s="404">
        <f>IF(B$16=$F$69,+'8. KW and Non-Weather Sensitive'!$F$21,IF($B20=$F$70,+'8. KW and Non-Weather Sensitive'!$Q$21,IF($B20=$F$71,+'8. KW and Non-Weather Sensitive'!$AA$21,IF($B20=$F$72,+'8. KW and Non-Weather Sensitive'!$AK$21,+IF($B20=$F$73,+'8. KW and Non-Weather Sensitive'!$AU$21,0)))))</f>
        <v>0</v>
      </c>
      <c r="F22" s="404">
        <f>IF($B20=$F$69,+'8. KW and Non-Weather Sensitive'!$F$22,IF($B20=$F$70,+'8. KW and Non-Weather Sensitive'!$Q$22,IF($B20=$F$71,+'8. KW and Non-Weather Sensitive'!$AA$22,IF($B20=$F$72,+'8. KW and Non-Weather Sensitive'!$AK$22,+IF($B20=$F$73,+'8. KW and Non-Weather Sensitive'!$AU$22,0)))))</f>
        <v>0</v>
      </c>
      <c r="G22" s="404">
        <f>IF($B20=$F$69,+'8. KW and Non-Weather Sensitive'!$F$23,IF($B20=$F$70,+'8. KW and Non-Weather Sensitive'!$Q$23,IF($B20=$F$71,+'8. KW and Non-Weather Sensitive'!$AA$23,IF($B20=$F$72,+'8. KW and Non-Weather Sensitive'!$AK$23,+IF($B20=$F$73,+'8. KW and Non-Weather Sensitive'!$AU$23,0)))))</f>
        <v>0</v>
      </c>
      <c r="H22" s="404">
        <f>IF($B20=$F$69,+'8. KW and Non-Weather Sensitive'!$F$24,IF($B20=$F$70,+'8. KW and Non-Weather Sensitive'!$Q$24,IF($B20=$F$71,+'8. KW and Non-Weather Sensitive'!$AA$24,IF($B20=$F$72,+'8. KW and Non-Weather Sensitive'!$AK$24,+IF($B20=$F$73,+'8. KW and Non-Weather Sensitive'!$AU$24,0)))))</f>
        <v>0</v>
      </c>
      <c r="I22" s="404">
        <f>IF($B20=$F$69,+'8. KW and Non-Weather Sensitive'!$F$25,IF($B20=$F$70,+'8. KW and Non-Weather Sensitive'!$Q$25,IF($B20=$F$71,+'8. KW and Non-Weather Sensitive'!$AA$25,IF($B20=$F$72,+'8. KW and Non-Weather Sensitive'!$AK$25,+IF($B20=$F$73,+'8. KW and Non-Weather Sensitive'!$AU$25,0)))))</f>
        <v>0</v>
      </c>
      <c r="J22" s="404">
        <f>IF($B20=$F$69,+'8. KW and Non-Weather Sensitive'!$F$26,IF($B20=$F$70,+'8. KW and Non-Weather Sensitive'!$Q$26,IF($B20=$F$71,+'8. KW and Non-Weather Sensitive'!$AA$26,IF($B20=$F$72,+'8. KW and Non-Weather Sensitive'!$AK$26,+IF($B20=$F$73,+'8. KW and Non-Weather Sensitive'!$AU$26,0)))))</f>
        <v>0</v>
      </c>
      <c r="K22" s="404">
        <f>IF($B20=$F$69,+'8. KW and Non-Weather Sensitive'!$F$27,IF($B20=$F$70,+'8. KW and Non-Weather Sensitive'!$Q$27,IF($B20=$F$71,+'8. KW and Non-Weather Sensitive'!$AA$27,IF($B20=$F$72,+'8. KW and Non-Weather Sensitive'!$AK$27,+IF($B20=$F$73,+'8. KW and Non-Weather Sensitive'!$AU$27,0)))))</f>
        <v>0</v>
      </c>
      <c r="L22" s="404">
        <f>IF($B20=$F$69,+'8. KW and Non-Weather Sensitive'!$F$28,IF($B20=$F$70,+'8. KW and Non-Weather Sensitive'!$Q$28,IF($B20=$F$71,+'8. KW and Non-Weather Sensitive'!$AA$28,IF($B20=$F$72,+'8. KW and Non-Weather Sensitive'!$AK$28,+IF($B20=$F$73,+'8. KW and Non-Weather Sensitive'!$AU$28,0)))))</f>
        <v>0</v>
      </c>
      <c r="M22" s="404">
        <f>IF($B20=$F$69,+'8. KW and Non-Weather Sensitive'!$F$29,IF($B20=$F$70,+'8. KW and Non-Weather Sensitive'!$Q$29,IF($B20=$F$71,+'8. KW and Non-Weather Sensitive'!$AA$29,IF($B20=$F$72,+'8. KW and Non-Weather Sensitive'!$AK$29,+IF($B20=$F$73,+'8. KW and Non-Weather Sensitive'!$AU$29,0)))))</f>
        <v>0</v>
      </c>
      <c r="N22" s="404">
        <f>IF($B20=$F$69,+'8. KW and Non-Weather Sensitive'!$F$30,IF($B20=$F$70,+'8. KW and Non-Weather Sensitive'!$Q$30,IF($B20=$F$71,+'8. KW and Non-Weather Sensitive'!$AA$30,IF($B20=$F$72,+'8. KW and Non-Weather Sensitive'!$AK$30,+IF($B20=$F$73,+'8. KW and Non-Weather Sensitive'!$AU$30,0)))))</f>
        <v>0</v>
      </c>
      <c r="O22" s="404">
        <f>IF($B20=$F$69,+'8. KW and Non-Weather Sensitive'!$J$49,IF($B20=$F$70,+'8. KW and Non-Weather Sensitive'!$U$49,IF($B20=$F$71,+'8. KW and Non-Weather Sensitive'!$AE$49,IF($B20=$F$72,+'8. KW and Non-Weather Sensitive'!$AO$49,+IF($B20=$F$73,+'8. KW and Non-Weather Sensitive'!$AY$49,0)))))</f>
        <v>0</v>
      </c>
      <c r="P22" s="508">
        <f>IF($B20=$F$69,+'8. KW and Non-Weather Sensitive'!$J$50,IF($B20=$F$70,+'8. KW and Non-Weather Sensitive'!$U$50,IF($B20=$F$71,+'8. KW and Non-Weather Sensitive'!$AE$50,IF($B20=$F$72,+'8. KW and Non-Weather Sensitive'!$AO$50,+IF($B20=$F$73,+'8. KW and Non-Weather Sensitive'!$AY$50,0)))))</f>
        <v>0</v>
      </c>
    </row>
    <row r="23" spans="1:16" x14ac:dyDescent="0.2">
      <c r="B23" s="88"/>
      <c r="C23" s="830"/>
      <c r="D23" s="53"/>
      <c r="E23" s="404"/>
      <c r="F23" s="404"/>
      <c r="G23" s="404"/>
      <c r="H23" s="404"/>
      <c r="I23" s="404"/>
      <c r="J23" s="404"/>
      <c r="K23" s="404"/>
      <c r="L23" s="404"/>
      <c r="M23" s="404"/>
      <c r="N23" s="404"/>
      <c r="O23" s="405"/>
      <c r="P23" s="406"/>
    </row>
    <row r="24" spans="1:16" x14ac:dyDescent="0.2">
      <c r="B24" s="730" t="s">
        <v>282</v>
      </c>
      <c r="C24" s="729" t="str">
        <f>IF($B24=$F$64,+$B$64,+IF($B24=$F$65,+$B$65,+IF($B24=$F$66,+$B$66,+IF($B24=$F$66,$B$66,+IF($B24=$F$67,+$B$67,+IF($B24=$F$68,+$B$68,+IF($B24=$F$69,+$B$69,+IF($B24=$F$70,+$B$70,+IF($B24=$F$71,+$B$71,+IF($B24=$F$72,+$B$72,+IF($B24=$F$73,+$B$73)))))))))))</f>
        <v>General Service &gt; 50 kW - 2999 kW</v>
      </c>
      <c r="D24" s="87" t="s">
        <v>129</v>
      </c>
      <c r="E24" s="506">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145.5</v>
      </c>
      <c r="F24" s="506">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147.5</v>
      </c>
      <c r="G24" s="506">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133</v>
      </c>
      <c r="H24" s="506">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129.5</v>
      </c>
      <c r="I24" s="506">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131</v>
      </c>
      <c r="J24" s="506">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131.5</v>
      </c>
      <c r="K24" s="506">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137</v>
      </c>
      <c r="L24" s="506">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141.5</v>
      </c>
      <c r="M24" s="506">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138</v>
      </c>
      <c r="N24" s="506">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134</v>
      </c>
      <c r="O24" s="506">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132.77969465471912</v>
      </c>
      <c r="P24" s="507">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131.57050233283914</v>
      </c>
    </row>
    <row r="25" spans="1:16" x14ac:dyDescent="0.2">
      <c r="B25" s="88"/>
      <c r="C25" s="830"/>
      <c r="D25" s="53" t="s">
        <v>36</v>
      </c>
      <c r="E25" s="506">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120975702</v>
      </c>
      <c r="F25" s="506">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122417181</v>
      </c>
      <c r="G25" s="506">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121003376</v>
      </c>
      <c r="H25" s="506">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114875960</v>
      </c>
      <c r="I25" s="506">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120290733</v>
      </c>
      <c r="J25" s="506">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120834914</v>
      </c>
      <c r="K25" s="506">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128532327</v>
      </c>
      <c r="L25" s="506">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125354819</v>
      </c>
      <c r="M25" s="506">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119336146</v>
      </c>
      <c r="N25" s="506">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115685946</v>
      </c>
      <c r="O25" s="506">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116816732.68110102</v>
      </c>
      <c r="P25" s="507">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117034027.49953394</v>
      </c>
    </row>
    <row r="26" spans="1:16" x14ac:dyDescent="0.2">
      <c r="B26" s="88"/>
      <c r="C26" s="830"/>
      <c r="D26" s="53" t="s">
        <v>37</v>
      </c>
      <c r="E26" s="404">
        <f>IF(B$24=$F$69,+'8. KW and Non-Weather Sensitive'!$F$21,IF($B24=$F$70,+'8. KW and Non-Weather Sensitive'!$Q$21,IF($B24=$F$71,+'8. KW and Non-Weather Sensitive'!$AA$21,IF($B24=$F$72,+'8. KW and Non-Weather Sensitive'!$AK$21,+IF($B24=$F$73,+'8. KW and Non-Weather Sensitive'!$AU$21,0)))))</f>
        <v>297477.3</v>
      </c>
      <c r="F26" s="404">
        <f>IF($B24=$F$69,+'8. KW and Non-Weather Sensitive'!$F$22,IF($B24=$F$70,+'8. KW and Non-Weather Sensitive'!$Q$22,IF($B24=$F$71,+'8. KW and Non-Weather Sensitive'!$AA$22,IF($B24=$F$72,+'8. KW and Non-Weather Sensitive'!$AK$22,+IF($B24=$F$73,+'8. KW and Non-Weather Sensitive'!$AU$22,0)))))</f>
        <v>300809.10000000003</v>
      </c>
      <c r="G26" s="404">
        <f>IF($B24=$F$69,+'8. KW and Non-Weather Sensitive'!$F$23,IF($B24=$F$70,+'8. KW and Non-Weather Sensitive'!$Q$23,IF($B24=$F$71,+'8. KW and Non-Weather Sensitive'!$AA$23,IF($B24=$F$72,+'8. KW and Non-Weather Sensitive'!$AK$23,+IF($B24=$F$73,+'8. KW and Non-Weather Sensitive'!$AU$23,0)))))</f>
        <v>298912.40000000002</v>
      </c>
      <c r="H26" s="404">
        <f>IF($B24=$F$69,+'8. KW and Non-Weather Sensitive'!$F$24,IF($B24=$F$70,+'8. KW and Non-Weather Sensitive'!$Q$24,IF($B24=$F$71,+'8. KW and Non-Weather Sensitive'!$AA$24,IF($B24=$F$72,+'8. KW and Non-Weather Sensitive'!$AK$24,+IF($B24=$F$73,+'8. KW and Non-Weather Sensitive'!$AU$24,0)))))</f>
        <v>290142.59999999992</v>
      </c>
      <c r="I26" s="404">
        <f>IF($B24=$F$69,+'8. KW and Non-Weather Sensitive'!$F$25,IF($B24=$F$70,+'8. KW and Non-Weather Sensitive'!$Q$25,IF($B24=$F$71,+'8. KW and Non-Weather Sensitive'!$AA$25,IF($B24=$F$72,+'8. KW and Non-Weather Sensitive'!$AK$25,+IF($B24=$F$73,+'8. KW and Non-Weather Sensitive'!$AU$25,0)))))</f>
        <v>299040.51</v>
      </c>
      <c r="J26" s="404">
        <f>IF($B24=$F$69,+'8. KW and Non-Weather Sensitive'!$F$26,IF($B24=$F$70,+'8. KW and Non-Weather Sensitive'!$Q$26,IF($B24=$F$71,+'8. KW and Non-Weather Sensitive'!$AA$26,IF($B24=$F$72,+'8. KW and Non-Weather Sensitive'!$AK$26,+IF($B24=$F$73,+'8. KW and Non-Weather Sensitive'!$AU$26,0)))))</f>
        <v>300129.30000000005</v>
      </c>
      <c r="K26" s="404">
        <f>IF($B24=$F$69,+'8. KW and Non-Weather Sensitive'!$F$27,IF($B24=$F$70,+'8. KW and Non-Weather Sensitive'!$Q$27,IF($B24=$F$71,+'8. KW and Non-Weather Sensitive'!$AA$27,IF($B24=$F$72,+'8. KW and Non-Weather Sensitive'!$AK$27,+IF($B24=$F$73,+'8. KW and Non-Weather Sensitive'!$AU$27,0)))))</f>
        <v>322335</v>
      </c>
      <c r="L26" s="404">
        <f>IF($B24=$F$69,+'8. KW and Non-Weather Sensitive'!$F$28,IF($B24=$F$70,+'8. KW and Non-Weather Sensitive'!$Q$28,IF($B24=$F$71,+'8. KW and Non-Weather Sensitive'!$AA$28,IF($B24=$F$72,+'8. KW and Non-Weather Sensitive'!$AK$28,+IF($B24=$F$73,+'8. KW and Non-Weather Sensitive'!$AU$28,0)))))</f>
        <v>323427</v>
      </c>
      <c r="M26" s="404">
        <f>IF($B24=$F$69,+'8. KW and Non-Weather Sensitive'!$F$29,IF($B24=$F$70,+'8. KW and Non-Weather Sensitive'!$Q$29,IF($B24=$F$71,+'8. KW and Non-Weather Sensitive'!$AA$29,IF($B24=$F$72,+'8. KW and Non-Weather Sensitive'!$AK$29,+IF($B24=$F$73,+'8. KW and Non-Weather Sensitive'!$AU$29,0)))))</f>
        <v>314352.19999999995</v>
      </c>
      <c r="N26" s="404">
        <f>IF($B24=$F$69,+'8. KW and Non-Weather Sensitive'!$F$30,IF($B24=$F$70,+'8. KW and Non-Weather Sensitive'!$Q$30,IF($B24=$F$71,+'8. KW and Non-Weather Sensitive'!$AA$30,IF($B24=$F$72,+'8. KW and Non-Weather Sensitive'!$AK$30,+IF($B24=$F$73,+'8. KW and Non-Weather Sensitive'!$AU$30,0)))))</f>
        <v>306814.40000000002</v>
      </c>
      <c r="O26" s="404">
        <f>IF($B24=$F$69,+'8. KW and Non-Weather Sensitive'!$J$49,IF($B24=$F$70,+'8. KW and Non-Weather Sensitive'!$U$49,IF($B24=$F$71,+'8. KW and Non-Weather Sensitive'!$AE$49,IF($B24=$F$72,+'8. KW and Non-Weather Sensitive'!$AO$49,+IF($B24=$F$73,+'8. KW and Non-Weather Sensitive'!$AY$49,0)))))</f>
        <v>295034.71343124693</v>
      </c>
      <c r="P26" s="508">
        <f>IF($B24=$F$69,+'8. KW and Non-Weather Sensitive'!$J$50,IF($B24=$F$70,+'8. KW and Non-Weather Sensitive'!$U$50,IF($B24=$F$71,+'8. KW and Non-Weather Sensitive'!$AE$50,IF($B24=$F$72,+'8. KW and Non-Weather Sensitive'!$AO$50,+IF($B24=$F$73,+'8. KW and Non-Weather Sensitive'!$AY$50,0)))))</f>
        <v>295583.51763947163</v>
      </c>
    </row>
    <row r="27" spans="1:16" x14ac:dyDescent="0.2">
      <c r="B27" s="88"/>
      <c r="C27" s="830"/>
      <c r="D27" s="53"/>
      <c r="E27" s="404"/>
      <c r="F27" s="404"/>
      <c r="G27" s="404"/>
      <c r="H27" s="404"/>
      <c r="I27" s="404"/>
      <c r="J27" s="404"/>
      <c r="K27" s="404"/>
      <c r="L27" s="404"/>
      <c r="M27" s="404"/>
      <c r="N27" s="404"/>
      <c r="O27" s="405"/>
      <c r="P27" s="406"/>
    </row>
    <row r="28" spans="1:16" x14ac:dyDescent="0.2">
      <c r="B28" s="730" t="s">
        <v>238</v>
      </c>
      <c r="C28" s="729" t="str">
        <f>IF($B28=$F$64,+$B$64,+IF($B28=$F$65,+$B$65,+IF($B28=$F$66,+$B$66,+IF($B28=$F$66,$B$66,+IF($B28=$F$67,+$B$67,+IF($B28=$F$68,+$B$68,+IF($B28=$F$69,+$B$69,+IF($B28=$F$70,+$B$70,+IF($B28=$F$71,+$B$71,+IF($B28=$F$72,+$B$72,+IF($B28=$F$73,+$B$73)))))))))))</f>
        <v>Streetlighting</v>
      </c>
      <c r="D28" s="53" t="s">
        <v>129</v>
      </c>
      <c r="E28" s="506">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2671</v>
      </c>
      <c r="F28" s="506">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2743</v>
      </c>
      <c r="G28" s="506">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2793</v>
      </c>
      <c r="H28" s="506">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2815.5</v>
      </c>
      <c r="I28" s="506">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2752</v>
      </c>
      <c r="J28" s="506">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2759</v>
      </c>
      <c r="K28" s="506">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2802</v>
      </c>
      <c r="L28" s="506">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2862</v>
      </c>
      <c r="M28" s="506">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2634</v>
      </c>
      <c r="N28" s="506">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2694</v>
      </c>
      <c r="O28" s="506">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2696.567749993425</v>
      </c>
      <c r="P28" s="507">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2699.1379474033415</v>
      </c>
    </row>
    <row r="29" spans="1:16" x14ac:dyDescent="0.2">
      <c r="B29" s="88"/>
      <c r="C29" s="830"/>
      <c r="D29" s="53" t="s">
        <v>36</v>
      </c>
      <c r="E29" s="506">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1923289.8225330669</v>
      </c>
      <c r="F29" s="506">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1931928</v>
      </c>
      <c r="G29" s="506">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1867799.5215356699</v>
      </c>
      <c r="H29" s="506">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1350901.1708566549</v>
      </c>
      <c r="I29" s="506">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1194281.7307655821</v>
      </c>
      <c r="J29" s="506">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1222967</v>
      </c>
      <c r="K29" s="506">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1222128</v>
      </c>
      <c r="L29" s="506">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1249953</v>
      </c>
      <c r="M29" s="506">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1258253</v>
      </c>
      <c r="N29" s="506">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1439933</v>
      </c>
      <c r="O29" s="506">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1454007.8043680072</v>
      </c>
      <c r="P29" s="507">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1456712.4542464858</v>
      </c>
    </row>
    <row r="30" spans="1:16" x14ac:dyDescent="0.2">
      <c r="B30" s="88"/>
      <c r="C30" s="830"/>
      <c r="D30" s="53" t="s">
        <v>37</v>
      </c>
      <c r="E30" s="404">
        <f>IF(B$16=$F$69,+'8. KW and Non-Weather Sensitive'!$F$21,IF($B28=$F$70,+'8. KW and Non-Weather Sensitive'!$Q$21,IF($B28=$F$71,+'8. KW and Non-Weather Sensitive'!$AA$21,IF($B28=$F$72,+'8. KW and Non-Weather Sensitive'!$AK$21,+IF($B28=$F$73,+'8. KW and Non-Weather Sensitive'!$AU$21,0)))))</f>
        <v>5221.5</v>
      </c>
      <c r="F30" s="404">
        <f>IF($B28=$F$69,+'8. KW and Non-Weather Sensitive'!$F$22,IF($B28=$F$70,+'8. KW and Non-Weather Sensitive'!$Q$22,IF($B28=$F$71,+'8. KW and Non-Weather Sensitive'!$AA$22,IF($B28=$F$72,+'8. KW and Non-Weather Sensitive'!$AK$22,+IF($B28=$F$73,+'8. KW and Non-Weather Sensitive'!$AU$22,0)))))</f>
        <v>5239.8999999999996</v>
      </c>
      <c r="G30" s="404">
        <f>IF($B28=$F$69,+'8. KW and Non-Weather Sensitive'!$F$23,IF($B28=$F$70,+'8. KW and Non-Weather Sensitive'!$Q$23,IF($B28=$F$71,+'8. KW and Non-Weather Sensitive'!$AA$23,IF($B28=$F$72,+'8. KW and Non-Weather Sensitive'!$AK$23,+IF($B28=$F$73,+'8. KW and Non-Weather Sensitive'!$AU$23,0)))))</f>
        <v>5091.2000000000007</v>
      </c>
      <c r="H30" s="404">
        <f>IF($B28=$F$69,+'8. KW and Non-Weather Sensitive'!$F$24,IF($B28=$F$70,+'8. KW and Non-Weather Sensitive'!$Q$24,IF($B28=$F$71,+'8. KW and Non-Weather Sensitive'!$AA$24,IF($B28=$F$72,+'8. KW and Non-Weather Sensitive'!$AK$24,+IF($B28=$F$73,+'8. KW and Non-Weather Sensitive'!$AU$24,0)))))</f>
        <v>3654.0999999999995</v>
      </c>
      <c r="I30" s="404">
        <f>IF($B28=$F$69,+'8. KW and Non-Weather Sensitive'!$F$25,IF($B28=$F$70,+'8. KW and Non-Weather Sensitive'!$Q$25,IF($B28=$F$71,+'8. KW and Non-Weather Sensitive'!$AA$25,IF($B28=$F$72,+'8. KW and Non-Weather Sensitive'!$AK$25,+IF($B28=$F$73,+'8. KW and Non-Weather Sensitive'!$AU$25,0)))))</f>
        <v>3301.8999999999992</v>
      </c>
      <c r="J30" s="404">
        <f>IF($B28=$F$69,+'8. KW and Non-Weather Sensitive'!$F$26,IF($B28=$F$70,+'8. KW and Non-Weather Sensitive'!$Q$26,IF($B28=$F$71,+'8. KW and Non-Weather Sensitive'!$AA$26,IF($B28=$F$72,+'8. KW and Non-Weather Sensitive'!$AK$26,+IF($B28=$F$73,+'8. KW and Non-Weather Sensitive'!$AU$26,0)))))</f>
        <v>3321</v>
      </c>
      <c r="K30" s="404">
        <f>IF($B28=$F$69,+'8. KW and Non-Weather Sensitive'!$F$27,IF($B28=$F$70,+'8. KW and Non-Weather Sensitive'!$Q$27,IF($B28=$F$71,+'8. KW and Non-Weather Sensitive'!$AA$27,IF($B28=$F$72,+'8. KW and Non-Weather Sensitive'!$AK$27,+IF($B28=$F$73,+'8. KW and Non-Weather Sensitive'!$AU$27,0)))))</f>
        <v>3340</v>
      </c>
      <c r="L30" s="404">
        <f>IF($B28=$F$69,+'8. KW and Non-Weather Sensitive'!$F$28,IF($B28=$F$70,+'8. KW and Non-Weather Sensitive'!$Q$28,IF($B28=$F$71,+'8. KW and Non-Weather Sensitive'!$AA$28,IF($B28=$F$72,+'8. KW and Non-Weather Sensitive'!$AK$28,+IF($B28=$F$73,+'8. KW and Non-Weather Sensitive'!$AU$28,0)))))</f>
        <v>3386</v>
      </c>
      <c r="M30" s="404">
        <f>IF($B28=$F$69,+'8. KW and Non-Weather Sensitive'!$F$29,IF($B28=$F$70,+'8. KW and Non-Weather Sensitive'!$Q$29,IF($B28=$F$71,+'8. KW and Non-Weather Sensitive'!$AA$29,IF($B28=$F$72,+'8. KW and Non-Weather Sensitive'!$AK$29,+IF($B28=$F$73,+'8. KW and Non-Weather Sensitive'!$AU$29,0)))))</f>
        <v>3408.5999999999995</v>
      </c>
      <c r="N30" s="404">
        <f>IF($B28=$F$69,+'8. KW and Non-Weather Sensitive'!$F$30,IF($B28=$F$70,+'8. KW and Non-Weather Sensitive'!$Q$30,IF($B28=$F$71,+'8. KW and Non-Weather Sensitive'!$AA$30,IF($B28=$F$72,+'8. KW and Non-Weather Sensitive'!$AK$30,+IF($B28=$F$73,+'8. KW and Non-Weather Sensitive'!$AU$30,0)))))</f>
        <v>3416</v>
      </c>
      <c r="O30" s="404">
        <f>IF($B28=$F$69,+'8. KW and Non-Weather Sensitive'!$J$49,IF($B28=$F$70,+'8. KW and Non-Weather Sensitive'!$U$49,IF($B28=$F$71,+'8. KW and Non-Weather Sensitive'!$AE$49,IF($B28=$F$72,+'8. KW and Non-Weather Sensitive'!$AO$49,+IF($B28=$F$73,+'8. KW and Non-Weather Sensitive'!$AY$49,0)))))</f>
        <v>3905.6547356588153</v>
      </c>
      <c r="P30" s="508">
        <f>IF($B28=$F$69,+'8. KW and Non-Weather Sensitive'!$J$50,IF($B28=$F$70,+'8. KW and Non-Weather Sensitive'!$U$50,IF($B28=$F$71,+'8. KW and Non-Weather Sensitive'!$AE$50,IF($B28=$F$72,+'8. KW and Non-Weather Sensitive'!$AO$50,+IF($B28=$F$73,+'8. KW and Non-Weather Sensitive'!$AY$50,0)))))</f>
        <v>3912.919778235922</v>
      </c>
    </row>
    <row r="31" spans="1:16" x14ac:dyDescent="0.2">
      <c r="B31" s="88"/>
      <c r="C31" s="830"/>
      <c r="D31" s="53"/>
      <c r="E31" s="404"/>
      <c r="F31" s="404"/>
      <c r="G31" s="404"/>
      <c r="H31" s="404"/>
      <c r="I31" s="404"/>
      <c r="J31" s="404"/>
      <c r="K31" s="404"/>
      <c r="L31" s="404"/>
      <c r="M31" s="404"/>
      <c r="N31" s="404"/>
      <c r="O31" s="405"/>
      <c r="P31" s="406"/>
    </row>
    <row r="32" spans="1:16" x14ac:dyDescent="0.2">
      <c r="B32" s="730" t="s">
        <v>239</v>
      </c>
      <c r="C32" s="729" t="str">
        <f>IF($B32=$F$64,+$B$64,+IF($B32=$F$65,+$B$65,+IF($B32=$F$66,+$B$66,+IF($B32=$F$66,$B$66,+IF($B32=$F$67,+$B$67,+IF($B32=$F$68,+$B$68,+IF($B32=$F$69,+$B$69,+IF($B32=$F$70,+$B$70,+IF($B32=$F$71,+$B$71,+IF($B32=$F$72,+$B$72,+IF($B32=$F$73,+$B$73)))))))))))</f>
        <v>Sentinel Lighting</v>
      </c>
      <c r="D32" s="53" t="s">
        <v>129</v>
      </c>
      <c r="E32" s="506">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55</v>
      </c>
      <c r="F32" s="506">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55</v>
      </c>
      <c r="G32" s="506">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58</v>
      </c>
      <c r="H32" s="506">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59.5</v>
      </c>
      <c r="I32" s="506">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55</v>
      </c>
      <c r="J32" s="506">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53</v>
      </c>
      <c r="K32" s="506">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54</v>
      </c>
      <c r="L32" s="506">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54</v>
      </c>
      <c r="M32" s="506">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54</v>
      </c>
      <c r="N32" s="506">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54</v>
      </c>
      <c r="O32" s="506">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53.890017322054852</v>
      </c>
      <c r="P32" s="507">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53.780258647617998</v>
      </c>
    </row>
    <row r="33" spans="1:16" x14ac:dyDescent="0.2">
      <c r="B33" s="88"/>
      <c r="C33" s="830"/>
      <c r="D33" s="53" t="s">
        <v>36</v>
      </c>
      <c r="E33" s="506">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76063.696059073991</v>
      </c>
      <c r="F33" s="506">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76442.150921409208</v>
      </c>
      <c r="G33" s="506">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81053.799492218415</v>
      </c>
      <c r="H33" s="506">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78799.687128734338</v>
      </c>
      <c r="I33" s="506">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54122.065561244759</v>
      </c>
      <c r="J33" s="506">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43758</v>
      </c>
      <c r="K33" s="506">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41938</v>
      </c>
      <c r="L33" s="506">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44355</v>
      </c>
      <c r="M33" s="506">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42943</v>
      </c>
      <c r="N33" s="506">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43818</v>
      </c>
      <c r="O33" s="506">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44246.304495971228</v>
      </c>
      <c r="P33" s="507">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44328.608567323972</v>
      </c>
    </row>
    <row r="34" spans="1:16" x14ac:dyDescent="0.2">
      <c r="A34" s="775" t="s">
        <v>287</v>
      </c>
      <c r="B34" s="88"/>
      <c r="C34" s="830"/>
      <c r="D34" s="53" t="s">
        <v>37</v>
      </c>
      <c r="E34" s="404">
        <f>IF(B$16=$F$69,+'8. KW and Non-Weather Sensitive'!$F$21,IF($B32=$F$70,+'8. KW and Non-Weather Sensitive'!$Q$21,IF($B32=$F$71,+'8. KW and Non-Weather Sensitive'!$AA$21,IF($B32=$F$72,+'8. KW and Non-Weather Sensitive'!$AK$21,+IF($B32=$F$73,+'8. KW and Non-Weather Sensitive'!$AU$21,0)))))</f>
        <v>211.35349632855065</v>
      </c>
      <c r="F34" s="404">
        <f>IF($B32=$F$69,+'8. KW and Non-Weather Sensitive'!$F$22,IF($B32=$F$70,+'8. KW and Non-Weather Sensitive'!$Q$22,IF($B32=$F$71,+'8. KW and Non-Weather Sensitive'!$AA$22,IF($B32=$F$72,+'8. KW and Non-Weather Sensitive'!$AK$22,+IF($B32=$F$73,+'8. KW and Non-Weather Sensitive'!$AU$22,0)))))</f>
        <v>212.33930811502557</v>
      </c>
      <c r="G34" s="404">
        <f>IF($B32=$F$69,+'8. KW and Non-Weather Sensitive'!$F$23,IF($B32=$F$70,+'8. KW and Non-Weather Sensitive'!$Q$23,IF($B32=$F$71,+'8. KW and Non-Weather Sensitive'!$AA$23,IF($B32=$F$72,+'8. KW and Non-Weather Sensitive'!$AK$23,+IF($B32=$F$73,+'8. KW and Non-Weather Sensitive'!$AU$23,0)))))</f>
        <v>225.03441398199672</v>
      </c>
      <c r="H34" s="404">
        <f>IF($B32=$F$69,+'8. KW and Non-Weather Sensitive'!$F$24,IF($B32=$F$70,+'8. KW and Non-Weather Sensitive'!$Q$24,IF($B32=$F$71,+'8. KW and Non-Weather Sensitive'!$AA$24,IF($B32=$F$72,+'8. KW and Non-Weather Sensitive'!$AK$24,+IF($B32=$F$73,+'8. KW and Non-Weather Sensitive'!$AU$24,0)))))</f>
        <v>222.10830015479695</v>
      </c>
      <c r="I34" s="404">
        <f>IF($B32=$F$69,+'8. KW and Non-Weather Sensitive'!$F$25,IF($B32=$F$70,+'8. KW and Non-Weather Sensitive'!$Q$25,IF($B32=$F$71,+'8. KW and Non-Weather Sensitive'!$AA$25,IF($B32=$F$72,+'8. KW and Non-Weather Sensitive'!$AK$25,+IF($B32=$F$73,+'8. KW and Non-Weather Sensitive'!$AU$25,0)))))</f>
        <v>219.09108054779566</v>
      </c>
      <c r="J34" s="404">
        <f>IF($B32=$F$69,+'8. KW and Non-Weather Sensitive'!$F$26,IF($B32=$F$70,+'8. KW and Non-Weather Sensitive'!$Q$26,IF($B32=$F$71,+'8. KW and Non-Weather Sensitive'!$AA$26,IF($B32=$F$72,+'8. KW and Non-Weather Sensitive'!$AK$26,+IF($B32=$F$73,+'8. KW and Non-Weather Sensitive'!$AU$26,0)))))</f>
        <v>132</v>
      </c>
      <c r="K34" s="404">
        <f>IF($B32=$F$69,+'8. KW and Non-Weather Sensitive'!$F$27,IF($B32=$F$70,+'8. KW and Non-Weather Sensitive'!$Q$27,IF($B32=$F$71,+'8. KW and Non-Weather Sensitive'!$AA$27,IF($B32=$F$72,+'8. KW and Non-Weather Sensitive'!$AK$27,+IF($B32=$F$73,+'8. KW and Non-Weather Sensitive'!$AU$27,0)))))</f>
        <v>132</v>
      </c>
      <c r="L34" s="404">
        <f>IF($B32=$F$69,+'8. KW and Non-Weather Sensitive'!$F$28,IF($B32=$F$70,+'8. KW and Non-Weather Sensitive'!$Q$28,IF($B32=$F$71,+'8. KW and Non-Weather Sensitive'!$AA$28,IF($B32=$F$72,+'8. KW and Non-Weather Sensitive'!$AK$28,+IF($B32=$F$73,+'8. KW and Non-Weather Sensitive'!$AU$28,0)))))</f>
        <v>132</v>
      </c>
      <c r="M34" s="404">
        <f>IF($B32=$F$69,+'8. KW and Non-Weather Sensitive'!$F$29,IF($B32=$F$70,+'8. KW and Non-Weather Sensitive'!$Q$29,IF($B32=$F$71,+'8. KW and Non-Weather Sensitive'!$AA$29,IF($B32=$F$72,+'8. KW and Non-Weather Sensitive'!$AK$29,+IF($B32=$F$73,+'8. KW and Non-Weather Sensitive'!$AU$29,0)))))</f>
        <v>132</v>
      </c>
      <c r="N34" s="404">
        <f>IF($B32=$F$69,+'8. KW and Non-Weather Sensitive'!$F$30,IF($B32=$F$70,+'8. KW and Non-Weather Sensitive'!$Q$30,IF($B32=$F$71,+'8. KW and Non-Weather Sensitive'!$AA$30,IF($B32=$F$72,+'8. KW and Non-Weather Sensitive'!$AK$30,+IF($B32=$F$73,+'8. KW and Non-Weather Sensitive'!$AU$30,0)))))</f>
        <v>132</v>
      </c>
      <c r="O34" s="404">
        <f>IF($B32=$F$69,+'8. KW and Non-Weather Sensitive'!$J$49,IF($B32=$F$70,+'8. KW and Non-Weather Sensitive'!$U$49,IF($B32=$F$71,+'8. KW and Non-Weather Sensitive'!$AE$49,IF($B32=$F$72,+'8. KW and Non-Weather Sensitive'!$AO$49,+IF($B32=$F$73,+'8. KW and Non-Weather Sensitive'!$AY$49,0)))))</f>
        <v>134.62335169787229</v>
      </c>
      <c r="P34" s="508">
        <f>IF($B32=$F$69,+'8. KW and Non-Weather Sensitive'!$J$50,IF($B32=$F$70,+'8. KW and Non-Weather Sensitive'!$U$50,IF($B32=$F$71,+'8. KW and Non-Weather Sensitive'!$AE$50,IF($B32=$F$72,+'8. KW and Non-Weather Sensitive'!$AO$50,+IF($B32=$F$73,+'8. KW and Non-Weather Sensitive'!$AY$50,0)))))</f>
        <v>134.87376922019658</v>
      </c>
    </row>
    <row r="35" spans="1:16" x14ac:dyDescent="0.2">
      <c r="A35" s="775" t="s">
        <v>286</v>
      </c>
      <c r="B35" s="88"/>
      <c r="C35" s="830"/>
      <c r="D35" s="53"/>
      <c r="E35" s="404"/>
      <c r="F35" s="404"/>
      <c r="G35" s="404"/>
      <c r="H35" s="404"/>
      <c r="I35" s="404"/>
      <c r="J35" s="404"/>
      <c r="K35" s="404"/>
      <c r="L35" s="404"/>
      <c r="M35" s="404"/>
      <c r="N35" s="404"/>
      <c r="O35" s="405"/>
      <c r="P35" s="406"/>
    </row>
    <row r="36" spans="1:16" x14ac:dyDescent="0.2">
      <c r="B36" s="730" t="s">
        <v>283</v>
      </c>
      <c r="C36" s="729" t="str">
        <f>IF($B36=$F$64,+$B$64,+IF($B36=$F$65,+$B$65,+IF($B36=$F$66,+$B$66,+IF($B36=$F$66,$B$66,+IF($B36=$F$67,+$B$67,+IF($B36=$F$68,+$B$68,+IF($B36=$F$69,+$B$69,+IF($B36=$F$70,+$B$70,+IF($B36=$F$71,+$B$71,+IF($B36=$F$72,+$B$72,+IF($B36=$F$73,+$B$73)))))))))))</f>
        <v>General Service 3000-4999 kW</v>
      </c>
      <c r="D36" s="53" t="s">
        <v>129</v>
      </c>
      <c r="E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x14ac:dyDescent="0.2">
      <c r="B37" s="88"/>
      <c r="C37" s="830"/>
      <c r="D37" s="53" t="s">
        <v>36</v>
      </c>
      <c r="E37" s="506">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23443190</v>
      </c>
      <c r="F37" s="506">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20583615.100000001</v>
      </c>
      <c r="G37" s="506">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18805505.400000002</v>
      </c>
      <c r="H37" s="506">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19554366.59</v>
      </c>
      <c r="I37" s="506">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19036344.470000003</v>
      </c>
      <c r="J37" s="506">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15051682</v>
      </c>
      <c r="K37" s="506">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15193348</v>
      </c>
      <c r="L37" s="506">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13952451</v>
      </c>
      <c r="M37" s="506">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12584229</v>
      </c>
      <c r="N37" s="506">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14943860</v>
      </c>
      <c r="O37" s="506">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15089930.619954463</v>
      </c>
      <c r="P37" s="507">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15117999.918410014</v>
      </c>
    </row>
    <row r="38" spans="1:16" x14ac:dyDescent="0.2">
      <c r="B38" s="88"/>
      <c r="C38" s="830"/>
      <c r="D38" s="53" t="s">
        <v>37</v>
      </c>
      <c r="E38" s="404">
        <f>IF(B$16=$F$69,+'8. KW and Non-Weather Sensitive'!$F$21,IF($B36=$F$70,+'8. KW and Non-Weather Sensitive'!$Q$21,IF($B36=$F$71,+'8. KW and Non-Weather Sensitive'!$AA$21,IF($B36=$F$72,+'8. KW and Non-Weather Sensitive'!$AK$21,+IF($B36=$F$73,+'8. KW and Non-Weather Sensitive'!$AU$21,0)))))</f>
        <v>48478.95</v>
      </c>
      <c r="F38" s="404">
        <f>IF($B36=$F$69,+'8. KW and Non-Weather Sensitive'!$F$22,IF($B36=$F$70,+'8. KW and Non-Weather Sensitive'!$Q$22,IF($B36=$F$71,+'8. KW and Non-Weather Sensitive'!$AA$22,IF($B36=$F$72,+'8. KW and Non-Weather Sensitive'!$AK$22,+IF($B36=$F$73,+'8. KW and Non-Weather Sensitive'!$AU$22,0)))))</f>
        <v>46226.600000000006</v>
      </c>
      <c r="G38" s="404">
        <f>IF($B36=$F$69,+'8. KW and Non-Weather Sensitive'!$F$23,IF($B36=$F$70,+'8. KW and Non-Weather Sensitive'!$Q$23,IF($B36=$F$71,+'8. KW and Non-Weather Sensitive'!$AA$23,IF($B36=$F$72,+'8. KW and Non-Weather Sensitive'!$AK$23,+IF($B36=$F$73,+'8. KW and Non-Weather Sensitive'!$AU$23,0)))))</f>
        <v>40463.800000000003</v>
      </c>
      <c r="H38" s="404">
        <f>IF($B36=$F$69,+'8. KW and Non-Weather Sensitive'!$F$24,IF($B36=$F$70,+'8. KW and Non-Weather Sensitive'!$Q$24,IF($B36=$F$71,+'8. KW and Non-Weather Sensitive'!$AA$24,IF($B36=$F$72,+'8. KW and Non-Weather Sensitive'!$AK$24,+IF($B36=$F$73,+'8. KW and Non-Weather Sensitive'!$AU$24,0)))))</f>
        <v>49628.899999999994</v>
      </c>
      <c r="I38" s="404">
        <f>IF($B36=$F$69,+'8. KW and Non-Weather Sensitive'!$F$25,IF($B36=$F$70,+'8. KW and Non-Weather Sensitive'!$Q$25,IF($B36=$F$71,+'8. KW and Non-Weather Sensitive'!$AA$25,IF($B36=$F$72,+'8. KW and Non-Weather Sensitive'!$AK$25,+IF($B36=$F$73,+'8. KW and Non-Weather Sensitive'!$AU$25,0)))))</f>
        <v>45255.720000000008</v>
      </c>
      <c r="J38" s="404">
        <f>IF($B36=$F$69,+'8. KW and Non-Weather Sensitive'!$F$26,IF($B36=$F$70,+'8. KW and Non-Weather Sensitive'!$Q$26,IF($B36=$F$71,+'8. KW and Non-Weather Sensitive'!$AA$26,IF($B36=$F$72,+'8. KW and Non-Weather Sensitive'!$AK$26,+IF($B36=$F$73,+'8. KW and Non-Weather Sensitive'!$AU$26,0)))))</f>
        <v>42335.9</v>
      </c>
      <c r="K38" s="404">
        <f>IF($B36=$F$69,+'8. KW and Non-Weather Sensitive'!$F$27,IF($B36=$F$70,+'8. KW and Non-Weather Sensitive'!$Q$27,IF($B36=$F$71,+'8. KW and Non-Weather Sensitive'!$AA$27,IF($B36=$F$72,+'8. KW and Non-Weather Sensitive'!$AK$27,+IF($B36=$F$73,+'8. KW and Non-Weather Sensitive'!$AU$27,0)))))</f>
        <v>39662.6</v>
      </c>
      <c r="L38" s="404">
        <f>IF($B36=$F$69,+'8. KW and Non-Weather Sensitive'!$F$28,IF($B36=$F$70,+'8. KW and Non-Weather Sensitive'!$Q$28,IF($B36=$F$71,+'8. KW and Non-Weather Sensitive'!$AA$28,IF($B36=$F$72,+'8. KW and Non-Weather Sensitive'!$AK$28,+IF($B36=$F$73,+'8. KW and Non-Weather Sensitive'!$AU$28,0)))))</f>
        <v>37942.600000000006</v>
      </c>
      <c r="M38" s="404">
        <f>IF($B36=$F$69,+'8. KW and Non-Weather Sensitive'!$F$29,IF($B36=$F$70,+'8. KW and Non-Weather Sensitive'!$Q$29,IF($B36=$F$71,+'8. KW and Non-Weather Sensitive'!$AA$29,IF($B36=$F$72,+'8. KW and Non-Weather Sensitive'!$AK$29,+IF($B36=$F$73,+'8. KW and Non-Weather Sensitive'!$AU$29,0)))))</f>
        <v>36603.599999999999</v>
      </c>
      <c r="N38" s="404">
        <f>IF($B36=$F$69,+'8. KW and Non-Weather Sensitive'!$F$30,IF($B36=$F$70,+'8. KW and Non-Weather Sensitive'!$Q$30,IF($B36=$F$71,+'8. KW and Non-Weather Sensitive'!$AA$30,IF($B36=$F$72,+'8. KW and Non-Weather Sensitive'!$AK$30,+IF($B36=$F$73,+'8. KW and Non-Weather Sensitive'!$AU$30,0)))))</f>
        <v>33867.5</v>
      </c>
      <c r="O38" s="404">
        <f>IF($B36=$F$69,+'8. KW and Non-Weather Sensitive'!$J$49,IF($B36=$F$70,+'8. KW and Non-Weather Sensitive'!$U$49,IF($B36=$F$71,+'8. KW and Non-Weather Sensitive'!$AE$49,IF($B36=$F$72,+'8. KW and Non-Weather Sensitive'!$AO$49,+IF($B36=$F$73,+'8. KW and Non-Weather Sensitive'!$AY$49,0)))))</f>
        <v>37269.727733739157</v>
      </c>
      <c r="P38" s="508">
        <f>IF($B36=$F$69,+'8. KW and Non-Weather Sensitive'!$J$50,IF($B36=$F$70,+'8. KW and Non-Weather Sensitive'!$U$50,IF($B36=$F$71,+'8. KW and Non-Weather Sensitive'!$AE$50,IF($B36=$F$72,+'8. KW and Non-Weather Sensitive'!$AO$50,+IF($B36=$F$73,+'8. KW and Non-Weather Sensitive'!$AY$50,0)))))</f>
        <v>37339.054434932339</v>
      </c>
    </row>
    <row r="39" spans="1:16" x14ac:dyDescent="0.2">
      <c r="B39" s="88"/>
      <c r="C39" s="830"/>
      <c r="D39" s="53"/>
      <c r="E39" s="404"/>
      <c r="F39" s="404"/>
      <c r="G39" s="404"/>
      <c r="H39" s="404"/>
      <c r="I39" s="404"/>
      <c r="J39" s="404"/>
      <c r="K39" s="404"/>
      <c r="L39" s="404"/>
      <c r="M39" s="404"/>
      <c r="N39" s="404"/>
      <c r="O39" s="405"/>
      <c r="P39" s="406"/>
    </row>
    <row r="40" spans="1:16" x14ac:dyDescent="0.2">
      <c r="B40" s="730" t="s">
        <v>284</v>
      </c>
      <c r="C40" s="729" t="str">
        <f>IF($B40=$F$64,+$B$64,+IF($B40=$F$65,+$B$65,+IF($B40=$F$66,+$B$66,+IF($B40=$F$66,$B$66,+IF($B40=$F$67,+$B$67,+IF($B40=$F$68,+$B$68,+IF($B40=$F$69,+$B$69,+IF($B40=$F$70,+$B$70,+IF($B40=$F$71,+$B$71,+IF($B40=$F$72,+$B$72,+IF($B40=$F$73,+$B$73)))))))))))</f>
        <v>Unmetered Scattered Load</v>
      </c>
      <c r="D40" s="53" t="s">
        <v>129</v>
      </c>
      <c r="E40" s="509">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68.5</v>
      </c>
      <c r="F40" s="509">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80.5</v>
      </c>
      <c r="G40" s="509">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90</v>
      </c>
      <c r="H40" s="509">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95.5</v>
      </c>
      <c r="I40" s="509">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95</v>
      </c>
      <c r="J40" s="509">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96</v>
      </c>
      <c r="K40" s="509">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94.5</v>
      </c>
      <c r="L40" s="509">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93.5</v>
      </c>
      <c r="M40" s="509">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93</v>
      </c>
      <c r="N40" s="509">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90</v>
      </c>
      <c r="O40" s="509">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92.771578681015399</v>
      </c>
      <c r="P40" s="510">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95.628509010753675</v>
      </c>
    </row>
    <row r="41" spans="1:16" x14ac:dyDescent="0.2">
      <c r="B41" s="88"/>
      <c r="C41" s="830"/>
      <c r="D41" s="53" t="s">
        <v>36</v>
      </c>
      <c r="E41" s="506">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595250.77752402704</v>
      </c>
      <c r="F41" s="506">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605328</v>
      </c>
      <c r="G41" s="506">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720399.74271798297</v>
      </c>
      <c r="H41" s="506">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747874.03424722515</v>
      </c>
      <c r="I41" s="506">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716622.84621952369</v>
      </c>
      <c r="J41" s="506">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659574</v>
      </c>
      <c r="K41" s="506">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627467</v>
      </c>
      <c r="L41" s="506">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668402</v>
      </c>
      <c r="M41" s="506">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555548</v>
      </c>
      <c r="N41" s="506">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602228</v>
      </c>
      <c r="O41" s="509">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608114.55255830393</v>
      </c>
      <c r="P41" s="510">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609245.72733311378</v>
      </c>
    </row>
    <row r="42" spans="1:16" x14ac:dyDescent="0.2">
      <c r="B42" s="88"/>
      <c r="C42" s="830"/>
      <c r="D42" s="53" t="s">
        <v>37</v>
      </c>
      <c r="E42" s="404">
        <f>IF(B$16=$F$69,+'8. KW and Non-Weather Sensitive'!$F$21,IF($B40=$F$70,+'8. KW and Non-Weather Sensitive'!$Q$21,IF($B40=$F$71,+'8. KW and Non-Weather Sensitive'!$AA$21,IF($B40=$F$72,+'8. KW and Non-Weather Sensitive'!$AK$21,+IF($B40=$F$73,+'8. KW and Non-Weather Sensitive'!$AU$21,0)))))</f>
        <v>0</v>
      </c>
      <c r="F42" s="404">
        <f>IF($B40=$F$69,+'8. KW and Non-Weather Sensitive'!$F$22,IF($B40=$F$70,+'8. KW and Non-Weather Sensitive'!$Q$22,IF($B40=$F$71,+'8. KW and Non-Weather Sensitive'!$AA$22,IF($B40=$F$72,+'8. KW and Non-Weather Sensitive'!$AK$22,+IF($B40=$F$73,+'8. KW and Non-Weather Sensitive'!$AU$22,0)))))</f>
        <v>0</v>
      </c>
      <c r="G42" s="404">
        <f>IF($B40=$F$69,+'8. KW and Non-Weather Sensitive'!$F$23,IF($B40=$F$70,+'8. KW and Non-Weather Sensitive'!$Q$23,IF($B40=$F$71,+'8. KW and Non-Weather Sensitive'!$AA$23,IF($B40=$F$72,+'8. KW and Non-Weather Sensitive'!$AK$23,+IF($B40=$F$73,+'8. KW and Non-Weather Sensitive'!$AU$23,0)))))</f>
        <v>0</v>
      </c>
      <c r="H42" s="404">
        <f>IF($B40=$F$69,+'8. KW and Non-Weather Sensitive'!$F$24,IF($B40=$F$70,+'8. KW and Non-Weather Sensitive'!$Q$24,IF($B40=$F$71,+'8. KW and Non-Weather Sensitive'!$AA$24,IF($B40=$F$72,+'8. KW and Non-Weather Sensitive'!$AK$24,+IF($B40=$F$73,+'8. KW and Non-Weather Sensitive'!$AU$24,0)))))</f>
        <v>0</v>
      </c>
      <c r="I42" s="404">
        <f>IF($B40=$F$69,+'8. KW and Non-Weather Sensitive'!$F$25,IF($B40=$F$70,+'8. KW and Non-Weather Sensitive'!$Q$25,IF($B40=$F$71,+'8. KW and Non-Weather Sensitive'!$AA$25,IF($B40=$F$72,+'8. KW and Non-Weather Sensitive'!$AK$25,+IF($B40=$F$73,+'8. KW and Non-Weather Sensitive'!$AU$25,0)))))</f>
        <v>0</v>
      </c>
      <c r="J42" s="404">
        <f>IF($B40=$F$69,+'8. KW and Non-Weather Sensitive'!$F$26,IF($B40=$F$70,+'8. KW and Non-Weather Sensitive'!$Q$26,IF($B40=$F$71,+'8. KW and Non-Weather Sensitive'!$AA$26,IF($B40=$F$72,+'8. KW and Non-Weather Sensitive'!$AK$26,+IF($B40=$F$73,+'8. KW and Non-Weather Sensitive'!$AU$26,0)))))</f>
        <v>0</v>
      </c>
      <c r="K42" s="404">
        <f>IF($B40=$F$69,+'8. KW and Non-Weather Sensitive'!$F$27,IF($B40=$F$70,+'8. KW and Non-Weather Sensitive'!$Q$27,IF($B40=$F$71,+'8. KW and Non-Weather Sensitive'!$AA$27,IF($B40=$F$72,+'8. KW and Non-Weather Sensitive'!$AK$27,+IF($B40=$F$73,+'8. KW and Non-Weather Sensitive'!$AU$27,0)))))</f>
        <v>0</v>
      </c>
      <c r="L42" s="404">
        <f>IF($B40=$F$69,+'8. KW and Non-Weather Sensitive'!$F$28,IF($B40=$F$70,+'8. KW and Non-Weather Sensitive'!$Q$28,IF($B40=$F$71,+'8. KW and Non-Weather Sensitive'!$AA$28,IF($B40=$F$72,+'8. KW and Non-Weather Sensitive'!$AK$28,+IF($B40=$F$73,+'8. KW and Non-Weather Sensitive'!$AU$28,0)))))</f>
        <v>0</v>
      </c>
      <c r="M42" s="404">
        <f>IF($B40=$F$69,+'8. KW and Non-Weather Sensitive'!$F$29,IF($B40=$F$70,+'8. KW and Non-Weather Sensitive'!$Q$29,IF($B40=$F$71,+'8. KW and Non-Weather Sensitive'!$AA$29,IF($B40=$F$72,+'8. KW and Non-Weather Sensitive'!$AK$29,+IF($B40=$F$73,+'8. KW and Non-Weather Sensitive'!$AU$29,0)))))</f>
        <v>0</v>
      </c>
      <c r="N42" s="404">
        <f>IF($B40=$F$69,+'8. KW and Non-Weather Sensitive'!$F$30,IF($B40=$F$70,+'8. KW and Non-Weather Sensitive'!$Q$30,IF($B40=$F$71,+'8. KW and Non-Weather Sensitive'!$AA$30,IF($B40=$F$72,+'8. KW and Non-Weather Sensitive'!$AK$30,+IF($B40=$F$73,+'8. KW and Non-Weather Sensitive'!$AU$30,0)))))</f>
        <v>0</v>
      </c>
      <c r="O42" s="404">
        <f>IF($B40=$F$69,+'8. KW and Non-Weather Sensitive'!$J$49,IF($B40=$F$70,+'8. KW and Non-Weather Sensitive'!$U$49,IF($B40=$F$71,+'8. KW and Non-Weather Sensitive'!$AE$49,IF($B40=$F$72,+'8. KW and Non-Weather Sensitive'!$AO$49,+IF($B40=$F$73,+'8. KW and Non-Weather Sensitive'!$AY$49,0)))))</f>
        <v>0</v>
      </c>
      <c r="P42" s="508">
        <f>IF($B40=$F$69,+'8. KW and Non-Weather Sensitive'!$J$50,IF($B40=$F$70,+'8. KW and Non-Weather Sensitive'!$U$50,IF($B40=$F$71,+'8. KW and Non-Weather Sensitive'!$AE$50,IF($B40=$F$72,+'8. KW and Non-Weather Sensitive'!$AO$50,+IF($B40=$F$73,+'8. KW and Non-Weather Sensitive'!$AY$50,0)))))</f>
        <v>0</v>
      </c>
    </row>
    <row r="43" spans="1:16" hidden="1" x14ac:dyDescent="0.2">
      <c r="B43" s="199" t="str">
        <f>'2. Customer Classes'!B21</f>
        <v>General Service 3000-4999 kW</v>
      </c>
      <c r="C43" s="745"/>
      <c r="D43" s="53" t="s">
        <v>129</v>
      </c>
      <c r="E43" s="407"/>
      <c r="F43" s="407"/>
      <c r="G43" s="407"/>
      <c r="H43" s="407"/>
      <c r="I43" s="407"/>
      <c r="J43" s="407"/>
      <c r="K43" s="407"/>
      <c r="L43" s="407"/>
      <c r="M43" s="407"/>
      <c r="N43" s="407"/>
      <c r="O43" s="408"/>
      <c r="P43" s="409"/>
    </row>
    <row r="44" spans="1:16" hidden="1" x14ac:dyDescent="0.2">
      <c r="B44" s="197"/>
      <c r="C44" s="746"/>
      <c r="D44" s="53" t="s">
        <v>36</v>
      </c>
      <c r="E44" s="407"/>
      <c r="F44" s="407"/>
      <c r="G44" s="407"/>
      <c r="H44" s="407"/>
      <c r="I44" s="407"/>
      <c r="J44" s="407"/>
      <c r="K44" s="407"/>
      <c r="L44" s="407"/>
      <c r="M44" s="407"/>
      <c r="N44" s="407"/>
      <c r="O44" s="408"/>
      <c r="P44" s="409"/>
    </row>
    <row r="45" spans="1:16" hidden="1" x14ac:dyDescent="0.2">
      <c r="B45" s="197"/>
      <c r="C45" s="746"/>
      <c r="D45" s="53" t="s">
        <v>37</v>
      </c>
      <c r="E45" s="407"/>
      <c r="F45" s="407"/>
      <c r="G45" s="407"/>
      <c r="H45" s="407"/>
      <c r="I45" s="407"/>
      <c r="J45" s="407"/>
      <c r="K45" s="407"/>
      <c r="L45" s="407"/>
      <c r="M45" s="407"/>
      <c r="N45" s="407"/>
      <c r="O45" s="408"/>
      <c r="P45" s="409"/>
    </row>
    <row r="46" spans="1:16" hidden="1" x14ac:dyDescent="0.2">
      <c r="B46" s="197"/>
      <c r="C46" s="746"/>
      <c r="D46" s="53"/>
      <c r="E46" s="407"/>
      <c r="F46" s="407"/>
      <c r="G46" s="407"/>
      <c r="H46" s="407"/>
      <c r="I46" s="407"/>
      <c r="J46" s="407"/>
      <c r="K46" s="407"/>
      <c r="L46" s="407"/>
      <c r="M46" s="407"/>
      <c r="N46" s="407"/>
      <c r="O46" s="408"/>
      <c r="P46" s="409"/>
    </row>
    <row r="47" spans="1:16" hidden="1" x14ac:dyDescent="0.2">
      <c r="B47" s="199" t="str">
        <f>'2. Customer Classes'!B22</f>
        <v>other</v>
      </c>
      <c r="C47" s="745"/>
      <c r="D47" s="53" t="s">
        <v>129</v>
      </c>
      <c r="E47" s="407"/>
      <c r="F47" s="407"/>
      <c r="G47" s="407"/>
      <c r="H47" s="407"/>
      <c r="I47" s="407"/>
      <c r="J47" s="407"/>
      <c r="K47" s="407"/>
      <c r="L47" s="407"/>
      <c r="M47" s="407"/>
      <c r="N47" s="407"/>
      <c r="O47" s="408"/>
      <c r="P47" s="409"/>
    </row>
    <row r="48" spans="1:16" hidden="1" x14ac:dyDescent="0.2">
      <c r="B48" s="197"/>
      <c r="C48" s="746"/>
      <c r="D48" s="53" t="s">
        <v>36</v>
      </c>
      <c r="E48" s="407"/>
      <c r="F48" s="407"/>
      <c r="G48" s="407"/>
      <c r="H48" s="407"/>
      <c r="I48" s="407"/>
      <c r="J48" s="407"/>
      <c r="K48" s="407"/>
      <c r="L48" s="407"/>
      <c r="M48" s="407"/>
      <c r="N48" s="407"/>
      <c r="O48" s="408"/>
      <c r="P48" s="409"/>
    </row>
    <row r="49" spans="2:16" hidden="1" x14ac:dyDescent="0.2">
      <c r="B49" s="197"/>
      <c r="C49" s="746"/>
      <c r="D49" s="53" t="s">
        <v>37</v>
      </c>
      <c r="E49" s="407"/>
      <c r="F49" s="407"/>
      <c r="G49" s="407"/>
      <c r="H49" s="407"/>
      <c r="I49" s="407"/>
      <c r="J49" s="407"/>
      <c r="K49" s="407"/>
      <c r="L49" s="407"/>
      <c r="M49" s="407"/>
      <c r="N49" s="407"/>
      <c r="O49" s="408"/>
      <c r="P49" s="409"/>
    </row>
    <row r="50" spans="2:16" hidden="1" x14ac:dyDescent="0.2">
      <c r="B50" s="197"/>
      <c r="C50" s="746"/>
      <c r="D50" s="53"/>
      <c r="E50" s="407"/>
      <c r="F50" s="407"/>
      <c r="G50" s="407"/>
      <c r="H50" s="407"/>
      <c r="I50" s="407"/>
      <c r="J50" s="407"/>
      <c r="K50" s="407"/>
      <c r="L50" s="407"/>
      <c r="M50" s="407"/>
      <c r="N50" s="407"/>
      <c r="O50" s="408"/>
      <c r="P50" s="409"/>
    </row>
    <row r="51" spans="2:16" hidden="1" x14ac:dyDescent="0.2">
      <c r="B51" s="199" t="str">
        <f>'2. Customer Classes'!B23</f>
        <v>other</v>
      </c>
      <c r="C51" s="745"/>
      <c r="D51" s="53" t="s">
        <v>129</v>
      </c>
      <c r="E51" s="407"/>
      <c r="F51" s="407"/>
      <c r="G51" s="407"/>
      <c r="H51" s="407"/>
      <c r="I51" s="407"/>
      <c r="J51" s="407"/>
      <c r="K51" s="407"/>
      <c r="L51" s="407"/>
      <c r="M51" s="407"/>
      <c r="N51" s="407"/>
      <c r="O51" s="408"/>
      <c r="P51" s="409"/>
    </row>
    <row r="52" spans="2:16" hidden="1" x14ac:dyDescent="0.2">
      <c r="B52" s="197"/>
      <c r="C52" s="746"/>
      <c r="D52" s="53" t="s">
        <v>36</v>
      </c>
      <c r="E52" s="404"/>
      <c r="F52" s="404"/>
      <c r="G52" s="404"/>
      <c r="H52" s="404"/>
      <c r="I52" s="404"/>
      <c r="J52" s="404"/>
      <c r="K52" s="404"/>
      <c r="L52" s="404"/>
      <c r="M52" s="404"/>
      <c r="N52" s="404"/>
      <c r="O52" s="405"/>
      <c r="P52" s="406"/>
    </row>
    <row r="53" spans="2:16" hidden="1" x14ac:dyDescent="0.2">
      <c r="B53" s="197"/>
      <c r="C53" s="746"/>
      <c r="D53" s="53" t="s">
        <v>37</v>
      </c>
      <c r="E53" s="407"/>
      <c r="F53" s="407"/>
      <c r="G53" s="407"/>
      <c r="H53" s="407"/>
      <c r="I53" s="407"/>
      <c r="J53" s="407"/>
      <c r="K53" s="407"/>
      <c r="L53" s="407"/>
      <c r="M53" s="407"/>
      <c r="N53" s="407"/>
      <c r="O53" s="408"/>
      <c r="P53" s="409"/>
    </row>
    <row r="54" spans="2:16" ht="13.5" thickBot="1" x14ac:dyDescent="0.25">
      <c r="B54" s="89"/>
      <c r="C54" s="747"/>
      <c r="D54" s="90"/>
      <c r="E54" s="468"/>
      <c r="F54" s="468"/>
      <c r="G54" s="468"/>
      <c r="H54" s="468"/>
      <c r="I54" s="468"/>
      <c r="J54" s="468"/>
      <c r="K54" s="468"/>
      <c r="L54" s="468"/>
      <c r="M54" s="468"/>
      <c r="N54" s="468"/>
      <c r="O54" s="469"/>
      <c r="P54" s="470"/>
    </row>
    <row r="55" spans="2:16" x14ac:dyDescent="0.2">
      <c r="B55" s="462" t="s">
        <v>16</v>
      </c>
      <c r="C55" s="463"/>
      <c r="D55" s="464" t="s">
        <v>129</v>
      </c>
      <c r="E55" s="465">
        <f t="shared" ref="E55:P55" si="0">E16+E20+E24+E28+E32+E36+E40+E43+E47+E51</f>
        <v>11681.5</v>
      </c>
      <c r="F55" s="465">
        <f t="shared" si="0"/>
        <v>11912</v>
      </c>
      <c r="G55" s="465">
        <f t="shared" si="0"/>
        <v>12078.5</v>
      </c>
      <c r="H55" s="465">
        <f t="shared" si="0"/>
        <v>12351</v>
      </c>
      <c r="I55" s="465">
        <f t="shared" si="0"/>
        <v>12399</v>
      </c>
      <c r="J55" s="465">
        <f t="shared" si="0"/>
        <v>12538</v>
      </c>
      <c r="K55" s="465">
        <f t="shared" si="0"/>
        <v>12680.5</v>
      </c>
      <c r="L55" s="465">
        <f t="shared" si="0"/>
        <v>12837</v>
      </c>
      <c r="M55" s="465">
        <f t="shared" si="0"/>
        <v>12749</v>
      </c>
      <c r="N55" s="465">
        <f t="shared" si="0"/>
        <v>12935.5</v>
      </c>
      <c r="O55" s="465">
        <f t="shared" si="0"/>
        <v>13086.087493202769</v>
      </c>
      <c r="P55" s="466">
        <f t="shared" si="0"/>
        <v>13239.061241044601</v>
      </c>
    </row>
    <row r="56" spans="2:16" x14ac:dyDescent="0.2">
      <c r="B56" s="211"/>
      <c r="C56" s="402"/>
      <c r="D56" s="212" t="s">
        <v>36</v>
      </c>
      <c r="E56" s="412">
        <f t="shared" ref="E56:O56" si="1">E17+E21+E25+E29+E33+E37+E41+E44+E48+E52</f>
        <v>251552034.74993616</v>
      </c>
      <c r="F56" s="410">
        <f t="shared" si="1"/>
        <v>251839003.20667353</v>
      </c>
      <c r="G56" s="410">
        <f t="shared" si="1"/>
        <v>251577011.06184733</v>
      </c>
      <c r="H56" s="410">
        <f t="shared" si="1"/>
        <v>247068545.73642835</v>
      </c>
      <c r="I56" s="410">
        <f t="shared" si="1"/>
        <v>249224762.25428456</v>
      </c>
      <c r="J56" s="410">
        <f t="shared" si="1"/>
        <v>249821282.87527573</v>
      </c>
      <c r="K56" s="410">
        <f t="shared" si="1"/>
        <v>249784095.59030855</v>
      </c>
      <c r="L56" s="410">
        <f t="shared" si="1"/>
        <v>248941504.19902664</v>
      </c>
      <c r="M56" s="410">
        <f t="shared" si="1"/>
        <v>241964804.38903457</v>
      </c>
      <c r="N56" s="410">
        <f t="shared" si="1"/>
        <v>245317775.59516424</v>
      </c>
      <c r="O56" s="410">
        <f t="shared" si="1"/>
        <v>247715664.73271206</v>
      </c>
      <c r="P56" s="411">
        <f>P17+P21+P25+P29+P33+P37+P41+P44+P48+P52</f>
        <v>248176449.15250939</v>
      </c>
    </row>
    <row r="57" spans="2:16" ht="13.5" thickBot="1" x14ac:dyDescent="0.25">
      <c r="B57" s="213"/>
      <c r="C57" s="403"/>
      <c r="D57" s="214" t="s">
        <v>37</v>
      </c>
      <c r="E57" s="413">
        <f t="shared" ref="E57:P57" si="2">E18+E22+E26+E30+E34+E38+E42+E45+E49+E53</f>
        <v>351389.10349632858</v>
      </c>
      <c r="F57" s="413">
        <f t="shared" si="2"/>
        <v>352487.93930811505</v>
      </c>
      <c r="G57" s="413">
        <f t="shared" si="2"/>
        <v>344692.43441398203</v>
      </c>
      <c r="H57" s="413">
        <f t="shared" si="2"/>
        <v>343647.70830015466</v>
      </c>
      <c r="I57" s="413">
        <f t="shared" si="2"/>
        <v>347817.22108054784</v>
      </c>
      <c r="J57" s="413">
        <f t="shared" si="2"/>
        <v>345918.20000000007</v>
      </c>
      <c r="K57" s="413">
        <f t="shared" si="2"/>
        <v>365469.6</v>
      </c>
      <c r="L57" s="413">
        <f t="shared" si="2"/>
        <v>364887.6</v>
      </c>
      <c r="M57" s="413">
        <f t="shared" si="2"/>
        <v>354496.39999999991</v>
      </c>
      <c r="N57" s="413">
        <f t="shared" si="2"/>
        <v>344229.9</v>
      </c>
      <c r="O57" s="413">
        <f t="shared" si="2"/>
        <v>336344.71925234282</v>
      </c>
      <c r="P57" s="414">
        <f t="shared" si="2"/>
        <v>336970.36562186008</v>
      </c>
    </row>
    <row r="63" spans="2:16" x14ac:dyDescent="0.2">
      <c r="B63" s="946" t="s">
        <v>191</v>
      </c>
      <c r="C63" s="947"/>
      <c r="D63" s="947"/>
      <c r="E63" s="947"/>
      <c r="F63" s="947"/>
      <c r="G63" s="947"/>
      <c r="H63" s="948"/>
    </row>
    <row r="64" spans="2:16" x14ac:dyDescent="0.2">
      <c r="B64" s="357" t="str">
        <f>+'7. Weather Senstive Class'!B19</f>
        <v>Residential</v>
      </c>
      <c r="C64" s="359"/>
      <c r="D64" s="358" t="s">
        <v>190</v>
      </c>
      <c r="E64" s="359" t="s">
        <v>189</v>
      </c>
      <c r="F64" s="359" t="str">
        <f t="shared" ref="F64:F72" si="3">+CONCATENATE(B64,D64,E64)</f>
        <v>Residential-WN</v>
      </c>
      <c r="G64" s="360"/>
      <c r="H64" s="361"/>
    </row>
    <row r="65" spans="2:8" x14ac:dyDescent="0.2">
      <c r="B65" s="362" t="str">
        <f>+'7. Weather Senstive Class'!J19</f>
        <v>General Service &lt; 50 kW</v>
      </c>
      <c r="C65" s="364"/>
      <c r="D65" s="363" t="s">
        <v>190</v>
      </c>
      <c r="E65" s="364" t="s">
        <v>189</v>
      </c>
      <c r="F65" s="364" t="str">
        <f t="shared" si="3"/>
        <v>General Service &lt; 50 kW-WN</v>
      </c>
      <c r="G65" s="365"/>
      <c r="H65" s="366"/>
    </row>
    <row r="66" spans="2:8" x14ac:dyDescent="0.2">
      <c r="B66" s="362" t="str">
        <f>+'7. Weather Senstive Class'!R19</f>
        <v>Unmetered Scattered Load</v>
      </c>
      <c r="C66" s="364"/>
      <c r="D66" s="363" t="s">
        <v>190</v>
      </c>
      <c r="E66" s="364" t="s">
        <v>189</v>
      </c>
      <c r="F66" s="364" t="str">
        <f t="shared" si="3"/>
        <v>Unmetered Scattered Load-WN</v>
      </c>
      <c r="G66" s="365"/>
      <c r="H66" s="366"/>
    </row>
    <row r="67" spans="2:8" x14ac:dyDescent="0.2">
      <c r="B67" s="362">
        <f>+'7. Weather Senstive Class'!Z19</f>
        <v>0</v>
      </c>
      <c r="C67" s="364"/>
      <c r="D67" s="363" t="s">
        <v>190</v>
      </c>
      <c r="E67" s="364" t="s">
        <v>189</v>
      </c>
      <c r="F67" s="364" t="str">
        <f t="shared" si="3"/>
        <v>0-WN</v>
      </c>
      <c r="G67" s="365"/>
      <c r="H67" s="366"/>
    </row>
    <row r="68" spans="2:8" x14ac:dyDescent="0.2">
      <c r="B68" s="362">
        <f>+'7. Weather Senstive Class'!AH19</f>
        <v>0</v>
      </c>
      <c r="C68" s="364"/>
      <c r="D68" s="363" t="s">
        <v>190</v>
      </c>
      <c r="E68" s="364" t="s">
        <v>189</v>
      </c>
      <c r="F68" s="364" t="str">
        <f t="shared" si="3"/>
        <v>0-WN</v>
      </c>
      <c r="G68" s="365"/>
      <c r="H68" s="366"/>
    </row>
    <row r="69" spans="2:8" x14ac:dyDescent="0.2">
      <c r="B69" s="362" t="str">
        <f>+'8. KW and Non-Weather Sensitive'!B18</f>
        <v>General Service &gt; 50 kW - 2999 kW</v>
      </c>
      <c r="C69" s="364"/>
      <c r="D69" s="363" t="s">
        <v>190</v>
      </c>
      <c r="E69" s="364" t="s">
        <v>237</v>
      </c>
      <c r="F69" s="364" t="str">
        <f t="shared" si="3"/>
        <v>General Service &gt; 50 kW - 2999 kW-Non-WN/kW</v>
      </c>
      <c r="G69" s="365"/>
      <c r="H69" s="366"/>
    </row>
    <row r="70" spans="2:8" x14ac:dyDescent="0.2">
      <c r="B70" s="362" t="str">
        <f>+'8. KW and Non-Weather Sensitive'!M18</f>
        <v>Streetlighting</v>
      </c>
      <c r="C70" s="364"/>
      <c r="D70" s="363" t="s">
        <v>190</v>
      </c>
      <c r="E70" s="364" t="s">
        <v>237</v>
      </c>
      <c r="F70" s="364" t="str">
        <f t="shared" si="3"/>
        <v>Streetlighting-Non-WN/kW</v>
      </c>
      <c r="G70" s="365"/>
      <c r="H70" s="366"/>
    </row>
    <row r="71" spans="2:8" x14ac:dyDescent="0.2">
      <c r="B71" s="362" t="str">
        <f>+'8. KW and Non-Weather Sensitive'!W18</f>
        <v>Sentinel Lighting</v>
      </c>
      <c r="C71" s="364"/>
      <c r="D71" s="363" t="s">
        <v>190</v>
      </c>
      <c r="E71" s="364" t="s">
        <v>237</v>
      </c>
      <c r="F71" s="364" t="str">
        <f t="shared" si="3"/>
        <v>Sentinel Lighting-Non-WN/kW</v>
      </c>
      <c r="G71" s="365"/>
      <c r="H71" s="366"/>
    </row>
    <row r="72" spans="2:8" x14ac:dyDescent="0.2">
      <c r="B72" s="362" t="str">
        <f>+'8. KW and Non-Weather Sensitive'!AG18</f>
        <v>General Service 3000-4999 kW</v>
      </c>
      <c r="C72" s="364"/>
      <c r="D72" s="363" t="s">
        <v>190</v>
      </c>
      <c r="E72" s="364" t="s">
        <v>237</v>
      </c>
      <c r="F72" s="364" t="str">
        <f t="shared" si="3"/>
        <v>General Service 3000-4999 kW-Non-WN/kW</v>
      </c>
      <c r="G72" s="365"/>
      <c r="H72" s="366"/>
    </row>
    <row r="73" spans="2:8" x14ac:dyDescent="0.2">
      <c r="B73" s="367" t="str">
        <f>+'8. KW and Non-Weather Sensitive'!AQ18</f>
        <v>Unmetered Scattered Load</v>
      </c>
      <c r="C73" s="369"/>
      <c r="D73" s="368" t="s">
        <v>190</v>
      </c>
      <c r="E73" s="369" t="s">
        <v>237</v>
      </c>
      <c r="F73" s="369" t="str">
        <f t="shared" ref="F73" si="4">+CONCATENATE(B73,D73,E73)</f>
        <v>Unmetered Scattered Load-Non-WN/kW</v>
      </c>
      <c r="G73" s="370"/>
      <c r="H73" s="371"/>
    </row>
  </sheetData>
  <mergeCells count="1">
    <mergeCell ref="B63:H63"/>
  </mergeCells>
  <dataValidations count="1">
    <dataValidation type="list" allowBlank="1" showInputMessage="1" showErrorMessage="1" sqref="B16 B40 B20 B24 B28 B32 B36">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tabSelected="1" topLeftCell="A32" workbookViewId="0">
      <selection activeCell="B36" sqref="B36:I54"/>
    </sheetView>
  </sheetViews>
  <sheetFormatPr defaultColWidth="17.5" defaultRowHeight="12.75" x14ac:dyDescent="0.2"/>
  <cols>
    <col min="1" max="1" width="13.6640625" style="381" customWidth="1"/>
    <col min="2" max="2" width="30.83203125" style="381" bestFit="1" customWidth="1"/>
    <col min="3" max="9" width="19.83203125" style="381" customWidth="1"/>
    <col min="10" max="10" width="17" style="381" bestFit="1" customWidth="1"/>
    <col min="11" max="13" width="17.5" style="381"/>
    <col min="14" max="14" width="21" style="381" bestFit="1" customWidth="1"/>
    <col min="15" max="16384" width="17.5" style="381"/>
  </cols>
  <sheetData>
    <row r="1" spans="1:13" x14ac:dyDescent="0.2">
      <c r="A1" s="726" t="s">
        <v>266</v>
      </c>
    </row>
    <row r="10" spans="1:13" s="101" customFormat="1" x14ac:dyDescent="0.2">
      <c r="H10" s="103"/>
    </row>
    <row r="11" spans="1:13" ht="23.25" x14ac:dyDescent="0.35">
      <c r="B11" s="949" t="s">
        <v>209</v>
      </c>
      <c r="C11" s="949"/>
      <c r="D11" s="949"/>
      <c r="E11" s="949"/>
      <c r="F11" s="949"/>
      <c r="G11" s="949"/>
      <c r="H11" s="949"/>
      <c r="I11" s="949"/>
    </row>
    <row r="12" spans="1:13" ht="14.25" x14ac:dyDescent="0.2">
      <c r="B12" s="559"/>
      <c r="C12" s="559"/>
      <c r="D12" s="559"/>
      <c r="E12" s="559"/>
      <c r="F12" s="559"/>
      <c r="G12" s="559"/>
      <c r="H12" s="559"/>
      <c r="I12" s="559"/>
    </row>
    <row r="13" spans="1:13" ht="75" customHeight="1" x14ac:dyDescent="0.2">
      <c r="B13" s="950" t="s">
        <v>224</v>
      </c>
      <c r="C13" s="950"/>
      <c r="D13" s="950"/>
      <c r="E13" s="950"/>
      <c r="F13" s="950"/>
      <c r="G13" s="950"/>
      <c r="H13" s="950"/>
      <c r="I13" s="950"/>
      <c r="J13" s="105"/>
      <c r="K13" s="106"/>
      <c r="L13" s="107"/>
      <c r="M13" s="107"/>
    </row>
    <row r="14" spans="1:13" ht="14.25" x14ac:dyDescent="0.2">
      <c r="B14" s="559"/>
      <c r="C14" s="559"/>
      <c r="D14" s="559"/>
      <c r="E14" s="559"/>
      <c r="F14" s="559"/>
      <c r="G14" s="559"/>
      <c r="H14" s="559"/>
      <c r="I14" s="559"/>
      <c r="J14" s="102"/>
      <c r="K14" s="106"/>
      <c r="L14" s="107"/>
      <c r="M14" s="107"/>
    </row>
    <row r="15" spans="1:13" ht="23.25" x14ac:dyDescent="0.2">
      <c r="B15" s="973" t="s">
        <v>210</v>
      </c>
      <c r="C15" s="973"/>
      <c r="D15" s="973"/>
      <c r="E15" s="973"/>
      <c r="F15" s="973"/>
      <c r="G15" s="973"/>
      <c r="H15" s="973"/>
      <c r="I15" s="973"/>
    </row>
    <row r="16" spans="1:13" ht="15" thickBot="1" x14ac:dyDescent="0.25">
      <c r="B16" s="560"/>
      <c r="C16" s="561"/>
      <c r="D16" s="561"/>
      <c r="E16" s="561"/>
      <c r="F16" s="561"/>
      <c r="G16" s="561"/>
      <c r="H16" s="559"/>
      <c r="I16" s="559"/>
    </row>
    <row r="17" spans="2:9" ht="15" x14ac:dyDescent="0.25">
      <c r="B17" s="980" t="s">
        <v>49</v>
      </c>
      <c r="C17" s="981"/>
      <c r="D17" s="981"/>
      <c r="E17" s="981"/>
      <c r="F17" s="981"/>
      <c r="G17" s="982"/>
      <c r="H17" s="559"/>
      <c r="I17" s="559"/>
    </row>
    <row r="18" spans="2:9" ht="12.75" customHeight="1" x14ac:dyDescent="0.2">
      <c r="B18" s="977">
        <f>13.6*1000000</f>
        <v>13600000</v>
      </c>
      <c r="C18" s="978"/>
      <c r="D18" s="978"/>
      <c r="E18" s="978"/>
      <c r="F18" s="978"/>
      <c r="G18" s="979"/>
      <c r="H18" s="559"/>
      <c r="I18" s="559"/>
    </row>
    <row r="19" spans="2:9" ht="15" x14ac:dyDescent="0.25">
      <c r="B19" s="562"/>
      <c r="C19" s="563">
        <v>2011</v>
      </c>
      <c r="D19" s="563">
        <v>2012</v>
      </c>
      <c r="E19" s="563">
        <v>2013</v>
      </c>
      <c r="F19" s="563">
        <v>2014</v>
      </c>
      <c r="G19" s="564" t="s">
        <v>16</v>
      </c>
      <c r="H19" s="559"/>
      <c r="I19" s="559"/>
    </row>
    <row r="20" spans="2:9" ht="14.25" x14ac:dyDescent="0.2">
      <c r="B20" s="565" t="s">
        <v>50</v>
      </c>
      <c r="C20" s="719">
        <f>C26/$G$30</f>
        <v>0.13220018885741266</v>
      </c>
      <c r="D20" s="566">
        <f>D26/$G$30</f>
        <v>0.13220018885741266</v>
      </c>
      <c r="E20" s="566">
        <f>E26/$G$30</f>
        <v>0.13220018885741266</v>
      </c>
      <c r="F20" s="567">
        <f>F26/$G$30</f>
        <v>0.12275731822474033</v>
      </c>
      <c r="G20" s="568">
        <f>SUM(C20:F20)</f>
        <v>0.51935788479697831</v>
      </c>
      <c r="H20" s="559"/>
      <c r="I20" s="559"/>
    </row>
    <row r="21" spans="2:9" ht="14.25" x14ac:dyDescent="0.2">
      <c r="B21" s="565" t="s">
        <v>51</v>
      </c>
      <c r="C21" s="569"/>
      <c r="D21" s="566">
        <f>D27/$G$30</f>
        <v>6.6100094428706332E-2</v>
      </c>
      <c r="E21" s="566">
        <f>E27/$G$30</f>
        <v>6.6100094428706332E-2</v>
      </c>
      <c r="F21" s="567">
        <f>F27/$G$30</f>
        <v>6.6100094428706332E-2</v>
      </c>
      <c r="G21" s="568">
        <f t="shared" ref="G21:G23" si="0">SUM(C21:F21)</f>
        <v>0.19830028328611898</v>
      </c>
      <c r="H21" s="559"/>
      <c r="I21" s="559"/>
    </row>
    <row r="22" spans="2:9" ht="14.25" x14ac:dyDescent="0.2">
      <c r="B22" s="565" t="s">
        <v>52</v>
      </c>
      <c r="C22" s="569"/>
      <c r="D22" s="569"/>
      <c r="E22" s="566">
        <f>E28/$G$30</f>
        <v>7.5542965061378656E-2</v>
      </c>
      <c r="F22" s="567">
        <f>F28/$G$30</f>
        <v>7.5542965061378656E-2</v>
      </c>
      <c r="G22" s="568">
        <f t="shared" si="0"/>
        <v>0.15108593012275731</v>
      </c>
      <c r="H22" s="559"/>
      <c r="I22" s="559"/>
    </row>
    <row r="23" spans="2:9" ht="15" thickBot="1" x14ac:dyDescent="0.25">
      <c r="B23" s="570" t="s">
        <v>53</v>
      </c>
      <c r="C23" s="571"/>
      <c r="D23" s="571"/>
      <c r="E23" s="571"/>
      <c r="F23" s="572">
        <f>F29/$G$30</f>
        <v>0.11331444759206799</v>
      </c>
      <c r="G23" s="573">
        <f t="shared" si="0"/>
        <v>0.11331444759206799</v>
      </c>
      <c r="H23" s="559"/>
      <c r="I23" s="559"/>
    </row>
    <row r="24" spans="2:9" ht="12.75" customHeight="1" thickTop="1" x14ac:dyDescent="0.25">
      <c r="B24" s="574" t="s">
        <v>54</v>
      </c>
      <c r="C24" s="575">
        <f>SUM(C20:C23)</f>
        <v>0.13220018885741266</v>
      </c>
      <c r="D24" s="575">
        <f t="shared" ref="D24:F24" si="1">SUM(D20:D23)</f>
        <v>0.19830028328611898</v>
      </c>
      <c r="E24" s="575">
        <f t="shared" si="1"/>
        <v>0.27384324834749763</v>
      </c>
      <c r="F24" s="576">
        <f t="shared" si="1"/>
        <v>0.37771482530689332</v>
      </c>
      <c r="G24" s="577">
        <f>SUM(C24:F24)</f>
        <v>0.98205854579792251</v>
      </c>
      <c r="H24" s="559"/>
      <c r="I24" s="559"/>
    </row>
    <row r="25" spans="2:9" ht="12.75" customHeight="1" x14ac:dyDescent="0.2">
      <c r="B25" s="956" t="s">
        <v>36</v>
      </c>
      <c r="C25" s="957"/>
      <c r="D25" s="957"/>
      <c r="E25" s="957"/>
      <c r="F25" s="957"/>
      <c r="G25" s="958"/>
      <c r="H25" s="559"/>
      <c r="I25" s="559"/>
    </row>
    <row r="26" spans="2:9" ht="14.25" x14ac:dyDescent="0.2">
      <c r="B26" s="565" t="s">
        <v>50</v>
      </c>
      <c r="C26" s="578">
        <f>1.4*1000000</f>
        <v>1400000</v>
      </c>
      <c r="D26" s="578">
        <f>1.4*1000000</f>
        <v>1400000</v>
      </c>
      <c r="E26" s="578">
        <f>1.4*1000000</f>
        <v>1400000</v>
      </c>
      <c r="F26" s="579">
        <f>1.3*1000000</f>
        <v>1300000</v>
      </c>
      <c r="G26" s="580">
        <f>SUM(C26:F26)</f>
        <v>5500000</v>
      </c>
      <c r="H26" s="559"/>
      <c r="I26" s="559"/>
    </row>
    <row r="27" spans="2:9" ht="14.25" x14ac:dyDescent="0.2">
      <c r="B27" s="565" t="s">
        <v>51</v>
      </c>
      <c r="C27" s="581">
        <f>0.01*1000000</f>
        <v>10000</v>
      </c>
      <c r="D27" s="582">
        <f>0.7*1000000</f>
        <v>700000</v>
      </c>
      <c r="E27" s="582">
        <f>0.7*1000000</f>
        <v>700000</v>
      </c>
      <c r="F27" s="583">
        <f>0.7*1000000</f>
        <v>700000</v>
      </c>
      <c r="G27" s="580">
        <f t="shared" ref="G27:G29" si="2">SUM(C27:F27)</f>
        <v>2110000</v>
      </c>
      <c r="H27" s="559"/>
      <c r="I27" s="559"/>
    </row>
    <row r="28" spans="2:9" ht="14.25" x14ac:dyDescent="0.2">
      <c r="B28" s="565" t="s">
        <v>52</v>
      </c>
      <c r="C28" s="581"/>
      <c r="D28" s="581"/>
      <c r="E28" s="582">
        <f>0.8*1000000</f>
        <v>800000</v>
      </c>
      <c r="F28" s="583">
        <f>0.8*1000000</f>
        <v>800000</v>
      </c>
      <c r="G28" s="580">
        <f t="shared" si="2"/>
        <v>1600000</v>
      </c>
      <c r="H28" s="559"/>
      <c r="I28" s="559"/>
    </row>
    <row r="29" spans="2:9" ht="15" thickBot="1" x14ac:dyDescent="0.25">
      <c r="B29" s="570" t="s">
        <v>53</v>
      </c>
      <c r="C29" s="584"/>
      <c r="D29" s="584"/>
      <c r="E29" s="584">
        <f>0.18*1000000</f>
        <v>180000</v>
      </c>
      <c r="F29" s="585">
        <f>1.2*1000000</f>
        <v>1200000</v>
      </c>
      <c r="G29" s="580">
        <f t="shared" si="2"/>
        <v>1380000</v>
      </c>
      <c r="H29" s="559"/>
      <c r="I29" s="559"/>
    </row>
    <row r="30" spans="2:9" ht="16.5" thickTop="1" thickBot="1" x14ac:dyDescent="0.3">
      <c r="B30" s="587" t="s">
        <v>54</v>
      </c>
      <c r="C30" s="588">
        <f>SUM(C26:C29)</f>
        <v>1410000</v>
      </c>
      <c r="D30" s="588">
        <f t="shared" ref="D30:F30" si="3">SUM(D26:D29)</f>
        <v>2100000</v>
      </c>
      <c r="E30" s="588">
        <f t="shared" si="3"/>
        <v>3080000</v>
      </c>
      <c r="F30" s="589">
        <f t="shared" si="3"/>
        <v>4000000</v>
      </c>
      <c r="G30" s="590">
        <f>SUM(G26:G29)</f>
        <v>10590000</v>
      </c>
      <c r="H30" s="559"/>
      <c r="I30" s="559"/>
    </row>
    <row r="31" spans="2:9" ht="15" x14ac:dyDescent="0.25">
      <c r="B31" s="591"/>
      <c r="C31" s="592"/>
      <c r="D31" s="592"/>
      <c r="E31" s="592"/>
      <c r="F31" s="592"/>
      <c r="G31" s="592"/>
      <c r="H31" s="559"/>
      <c r="I31" s="559"/>
    </row>
    <row r="32" spans="2:9" ht="23.25" x14ac:dyDescent="0.2">
      <c r="B32" s="973" t="s">
        <v>194</v>
      </c>
      <c r="C32" s="973"/>
      <c r="D32" s="973"/>
      <c r="E32" s="973"/>
      <c r="F32" s="973"/>
      <c r="G32" s="973"/>
      <c r="H32" s="559"/>
      <c r="I32" s="559"/>
    </row>
    <row r="33" spans="2:9" ht="15" x14ac:dyDescent="0.25">
      <c r="B33" s="591"/>
      <c r="C33" s="592"/>
      <c r="D33" s="592"/>
      <c r="E33" s="592"/>
      <c r="F33" s="592"/>
      <c r="G33" s="592"/>
      <c r="H33" s="559"/>
      <c r="I33" s="559"/>
    </row>
    <row r="34" spans="2:9" ht="86.25" customHeight="1" x14ac:dyDescent="0.2">
      <c r="B34" s="952" t="s">
        <v>195</v>
      </c>
      <c r="C34" s="952"/>
      <c r="D34" s="952"/>
      <c r="E34" s="952"/>
      <c r="F34" s="952"/>
      <c r="G34" s="952"/>
      <c r="H34" s="952"/>
      <c r="I34" s="952"/>
    </row>
    <row r="35" spans="2:9" ht="15.75" thickBot="1" x14ac:dyDescent="0.3">
      <c r="B35" s="591"/>
      <c r="C35" s="592"/>
      <c r="D35" s="592"/>
      <c r="E35" s="592"/>
      <c r="F35" s="592"/>
      <c r="G35" s="592"/>
      <c r="H35" s="559"/>
      <c r="I35" s="559"/>
    </row>
    <row r="36" spans="2:9" ht="15" x14ac:dyDescent="0.2">
      <c r="B36" s="974" t="s">
        <v>196</v>
      </c>
      <c r="C36" s="975"/>
      <c r="D36" s="975"/>
      <c r="E36" s="975"/>
      <c r="F36" s="975"/>
      <c r="G36" s="975"/>
      <c r="H36" s="975"/>
      <c r="I36" s="976"/>
    </row>
    <row r="37" spans="2:9" ht="14.25" x14ac:dyDescent="0.2">
      <c r="B37" s="970">
        <v>12170000</v>
      </c>
      <c r="C37" s="971"/>
      <c r="D37" s="971"/>
      <c r="E37" s="971"/>
      <c r="F37" s="971"/>
      <c r="G37" s="971"/>
      <c r="H37" s="971"/>
      <c r="I37" s="972"/>
    </row>
    <row r="38" spans="2:9" ht="15" x14ac:dyDescent="0.25">
      <c r="B38" s="593"/>
      <c r="C38" s="594">
        <v>2015</v>
      </c>
      <c r="D38" s="594">
        <v>2016</v>
      </c>
      <c r="E38" s="594">
        <v>2017</v>
      </c>
      <c r="F38" s="594">
        <v>2018</v>
      </c>
      <c r="G38" s="594">
        <v>2019</v>
      </c>
      <c r="H38" s="594">
        <v>2020</v>
      </c>
      <c r="I38" s="595" t="s">
        <v>16</v>
      </c>
    </row>
    <row r="39" spans="2:9" ht="15" customHeight="1" x14ac:dyDescent="0.2">
      <c r="B39" s="953" t="s">
        <v>197</v>
      </c>
      <c r="C39" s="954"/>
      <c r="D39" s="954"/>
      <c r="E39" s="954"/>
      <c r="F39" s="954"/>
      <c r="G39" s="954"/>
      <c r="H39" s="954"/>
      <c r="I39" s="955"/>
    </row>
    <row r="40" spans="2:9" ht="14.25" x14ac:dyDescent="0.2">
      <c r="B40" s="565" t="s">
        <v>198</v>
      </c>
      <c r="C40" s="566">
        <f>C48/$I$54</f>
        <v>0.16666666666666666</v>
      </c>
      <c r="D40" s="596"/>
      <c r="E40" s="596"/>
      <c r="F40" s="596"/>
      <c r="G40" s="596"/>
      <c r="H40" s="597"/>
      <c r="I40" s="568">
        <f>SUM(C40:H40)</f>
        <v>0.16666666666666666</v>
      </c>
    </row>
    <row r="41" spans="2:9" ht="15" customHeight="1" x14ac:dyDescent="0.2">
      <c r="B41" s="565" t="s">
        <v>199</v>
      </c>
      <c r="C41" s="569"/>
      <c r="D41" s="566">
        <f>D49/$I$54</f>
        <v>0.16666666666666666</v>
      </c>
      <c r="E41" s="596"/>
      <c r="F41" s="596"/>
      <c r="G41" s="596"/>
      <c r="H41" s="597"/>
      <c r="I41" s="568">
        <f>SUM(C41:H41)</f>
        <v>0.16666666666666666</v>
      </c>
    </row>
    <row r="42" spans="2:9" ht="14.25" x14ac:dyDescent="0.2">
      <c r="B42" s="565" t="s">
        <v>200</v>
      </c>
      <c r="C42" s="569"/>
      <c r="D42" s="569"/>
      <c r="E42" s="566">
        <f>E50/$I$54</f>
        <v>0.16666666666666666</v>
      </c>
      <c r="F42" s="596"/>
      <c r="G42" s="596"/>
      <c r="H42" s="597"/>
      <c r="I42" s="568">
        <f>SUM(C42:H42)</f>
        <v>0.16666666666666666</v>
      </c>
    </row>
    <row r="43" spans="2:9" ht="14.25" x14ac:dyDescent="0.2">
      <c r="B43" s="565" t="s">
        <v>201</v>
      </c>
      <c r="C43" s="569"/>
      <c r="D43" s="569"/>
      <c r="E43" s="566"/>
      <c r="F43" s="566">
        <f>F51/$I$54</f>
        <v>0.16666666666666666</v>
      </c>
      <c r="G43" s="596"/>
      <c r="H43" s="597"/>
      <c r="I43" s="568">
        <f>SUM(F43:H43)</f>
        <v>0.16666666666666666</v>
      </c>
    </row>
    <row r="44" spans="2:9" ht="14.25" x14ac:dyDescent="0.2">
      <c r="B44" s="565" t="s">
        <v>202</v>
      </c>
      <c r="C44" s="569"/>
      <c r="D44" s="569"/>
      <c r="E44" s="566"/>
      <c r="F44" s="566"/>
      <c r="G44" s="566">
        <f>G52/$I$54</f>
        <v>0.16666666666666666</v>
      </c>
      <c r="H44" s="597"/>
      <c r="I44" s="568">
        <f>SUM(G44:H44)</f>
        <v>0.16666666666666666</v>
      </c>
    </row>
    <row r="45" spans="2:9" ht="15" thickBot="1" x14ac:dyDescent="0.25">
      <c r="B45" s="570" t="s">
        <v>203</v>
      </c>
      <c r="C45" s="571"/>
      <c r="D45" s="571"/>
      <c r="E45" s="571"/>
      <c r="F45" s="571"/>
      <c r="G45" s="571"/>
      <c r="H45" s="572">
        <f>H53/$I$54</f>
        <v>0.16666666666666666</v>
      </c>
      <c r="I45" s="573">
        <f>SUM(C45:H45)</f>
        <v>0.16666666666666666</v>
      </c>
    </row>
    <row r="46" spans="2:9" ht="15.75" thickTop="1" x14ac:dyDescent="0.25">
      <c r="B46" s="598" t="s">
        <v>54</v>
      </c>
      <c r="C46" s="599">
        <f>SUM(C40:C45)</f>
        <v>0.16666666666666666</v>
      </c>
      <c r="D46" s="599">
        <f>SUM(D40:D45)</f>
        <v>0.16666666666666666</v>
      </c>
      <c r="E46" s="599">
        <f>SUM(E40:E45)</f>
        <v>0.16666666666666666</v>
      </c>
      <c r="F46" s="599">
        <f>SUM(F40:F43)</f>
        <v>0.16666666666666666</v>
      </c>
      <c r="G46" s="599">
        <f>SUM(G40:G44)</f>
        <v>0.16666666666666666</v>
      </c>
      <c r="H46" s="600">
        <f>SUM(H40:H45)</f>
        <v>0.16666666666666666</v>
      </c>
      <c r="I46" s="601">
        <f>SUM(C46:H46)</f>
        <v>0.99999999999999989</v>
      </c>
    </row>
    <row r="47" spans="2:9" ht="15" x14ac:dyDescent="0.2">
      <c r="B47" s="956" t="s">
        <v>36</v>
      </c>
      <c r="C47" s="957"/>
      <c r="D47" s="957"/>
      <c r="E47" s="957"/>
      <c r="F47" s="957"/>
      <c r="G47" s="957"/>
      <c r="H47" s="957"/>
      <c r="I47" s="958"/>
    </row>
    <row r="48" spans="2:9" ht="15" customHeight="1" x14ac:dyDescent="0.2">
      <c r="B48" s="565" t="str">
        <f t="shared" ref="B48:B53" si="4">B40</f>
        <v>2015 CDM Programs</v>
      </c>
      <c r="C48" s="578">
        <f>1/6*B37</f>
        <v>2028333.3333333333</v>
      </c>
      <c r="D48" s="602"/>
      <c r="E48" s="596"/>
      <c r="F48" s="602"/>
      <c r="G48" s="602"/>
      <c r="H48" s="603"/>
      <c r="I48" s="580">
        <f>SUM(C48:H48)</f>
        <v>2028333.3333333333</v>
      </c>
    </row>
    <row r="49" spans="2:9" ht="14.25" x14ac:dyDescent="0.2">
      <c r="B49" s="565" t="str">
        <f t="shared" si="4"/>
        <v>2016 CDM Programs</v>
      </c>
      <c r="C49" s="581"/>
      <c r="D49" s="582">
        <f>C48</f>
        <v>2028333.3333333333</v>
      </c>
      <c r="E49" s="604"/>
      <c r="F49" s="604"/>
      <c r="G49" s="604"/>
      <c r="H49" s="605"/>
      <c r="I49" s="580">
        <f>SUM(C49:H49)</f>
        <v>2028333.3333333333</v>
      </c>
    </row>
    <row r="50" spans="2:9" ht="14.25" x14ac:dyDescent="0.2">
      <c r="B50" s="565" t="str">
        <f t="shared" si="4"/>
        <v>2017 CDM Programs</v>
      </c>
      <c r="C50" s="581"/>
      <c r="D50" s="581"/>
      <c r="E50" s="582">
        <f>D49</f>
        <v>2028333.3333333333</v>
      </c>
      <c r="F50" s="604"/>
      <c r="G50" s="604"/>
      <c r="H50" s="605"/>
      <c r="I50" s="580">
        <f>SUM(C50:H50)</f>
        <v>2028333.3333333333</v>
      </c>
    </row>
    <row r="51" spans="2:9" ht="14.25" x14ac:dyDescent="0.2">
      <c r="B51" s="565" t="str">
        <f t="shared" si="4"/>
        <v>2018 CDM Programs</v>
      </c>
      <c r="C51" s="581"/>
      <c r="D51" s="581"/>
      <c r="E51" s="606"/>
      <c r="F51" s="578">
        <f>E50</f>
        <v>2028333.3333333333</v>
      </c>
      <c r="G51" s="602"/>
      <c r="H51" s="603"/>
      <c r="I51" s="580">
        <f>SUM(F51:H51)</f>
        <v>2028333.3333333333</v>
      </c>
    </row>
    <row r="52" spans="2:9" ht="14.25" x14ac:dyDescent="0.2">
      <c r="B52" s="565" t="str">
        <f t="shared" si="4"/>
        <v>2019 CDM Programs</v>
      </c>
      <c r="C52" s="581"/>
      <c r="D52" s="581"/>
      <c r="E52" s="606"/>
      <c r="F52" s="606"/>
      <c r="G52" s="578">
        <f>F51</f>
        <v>2028333.3333333333</v>
      </c>
      <c r="H52" s="603"/>
      <c r="I52" s="580">
        <f>SUM(G52:H52)</f>
        <v>2028333.3333333333</v>
      </c>
    </row>
    <row r="53" spans="2:9" ht="16.5" customHeight="1" thickBot="1" x14ac:dyDescent="0.25">
      <c r="B53" s="570" t="str">
        <f t="shared" si="4"/>
        <v>2020 CDM Programs</v>
      </c>
      <c r="C53" s="584"/>
      <c r="D53" s="584"/>
      <c r="E53" s="584"/>
      <c r="F53" s="584"/>
      <c r="G53" s="584"/>
      <c r="H53" s="607">
        <f>G52</f>
        <v>2028333.3333333333</v>
      </c>
      <c r="I53" s="586">
        <f>SUM(C53:H53)</f>
        <v>2028333.3333333333</v>
      </c>
    </row>
    <row r="54" spans="2:9" ht="16.5" thickTop="1" thickBot="1" x14ac:dyDescent="0.3">
      <c r="B54" s="587" t="s">
        <v>54</v>
      </c>
      <c r="C54" s="588">
        <f>SUM(C48:C53)</f>
        <v>2028333.3333333333</v>
      </c>
      <c r="D54" s="588">
        <f t="shared" ref="D54:E54" si="5">SUM(D48:D53)</f>
        <v>2028333.3333333333</v>
      </c>
      <c r="E54" s="588">
        <f t="shared" si="5"/>
        <v>2028333.3333333333</v>
      </c>
      <c r="F54" s="588">
        <f>SUM(F48:F51)</f>
        <v>2028333.3333333333</v>
      </c>
      <c r="G54" s="588">
        <f>SUM(G48:G52)</f>
        <v>2028333.3333333333</v>
      </c>
      <c r="H54" s="589">
        <f>SUM(H48:H53)</f>
        <v>2028333.3333333333</v>
      </c>
      <c r="I54" s="590">
        <f>B37</f>
        <v>12170000</v>
      </c>
    </row>
    <row r="55" spans="2:9" ht="15" x14ac:dyDescent="0.25">
      <c r="B55" s="591"/>
      <c r="C55" s="592"/>
      <c r="D55" s="592"/>
      <c r="E55" s="592"/>
      <c r="F55" s="592"/>
      <c r="G55" s="592"/>
      <c r="H55" s="559"/>
      <c r="I55" s="559"/>
    </row>
    <row r="56" spans="2:9" ht="23.25" x14ac:dyDescent="0.35">
      <c r="B56" s="959" t="s">
        <v>204</v>
      </c>
      <c r="C56" s="959"/>
      <c r="D56" s="959"/>
      <c r="E56" s="959"/>
      <c r="F56" s="959"/>
      <c r="G56" s="959"/>
      <c r="H56" s="959"/>
      <c r="I56" s="959"/>
    </row>
    <row r="57" spans="2:9" ht="15" x14ac:dyDescent="0.25">
      <c r="B57" s="591"/>
      <c r="C57" s="592"/>
      <c r="D57" s="592"/>
      <c r="E57" s="592"/>
      <c r="F57" s="592"/>
      <c r="G57" s="592"/>
      <c r="H57" s="559"/>
      <c r="I57" s="559"/>
    </row>
    <row r="58" spans="2:9" ht="60" customHeight="1" x14ac:dyDescent="0.2">
      <c r="B58" s="952" t="s">
        <v>205</v>
      </c>
      <c r="C58" s="952"/>
      <c r="D58" s="952"/>
      <c r="E58" s="952"/>
      <c r="F58" s="952"/>
      <c r="G58" s="952"/>
      <c r="H58" s="952"/>
      <c r="I58" s="952"/>
    </row>
    <row r="59" spans="2:9" ht="15" customHeight="1" x14ac:dyDescent="0.2">
      <c r="B59" s="952" t="s">
        <v>206</v>
      </c>
      <c r="C59" s="952"/>
      <c r="D59" s="952"/>
      <c r="E59" s="952"/>
      <c r="F59" s="952"/>
      <c r="G59" s="952"/>
      <c r="H59" s="952"/>
      <c r="I59" s="952"/>
    </row>
    <row r="60" spans="2:9" ht="15" thickBot="1" x14ac:dyDescent="0.25">
      <c r="B60" s="608"/>
      <c r="C60" s="609"/>
      <c r="D60" s="609"/>
      <c r="E60" s="609"/>
      <c r="F60" s="609"/>
      <c r="G60" s="609"/>
      <c r="H60" s="559"/>
      <c r="I60" s="559"/>
    </row>
    <row r="61" spans="2:9" ht="15" x14ac:dyDescent="0.25">
      <c r="B61" s="961" t="s">
        <v>69</v>
      </c>
      <c r="C61" s="962"/>
      <c r="D61" s="962"/>
      <c r="E61" s="962"/>
      <c r="F61" s="962"/>
      <c r="G61" s="963"/>
      <c r="H61" s="559"/>
      <c r="I61" s="559"/>
    </row>
    <row r="62" spans="2:9" ht="15" x14ac:dyDescent="0.25">
      <c r="B62" s="610"/>
      <c r="C62" s="611"/>
      <c r="D62" s="611"/>
      <c r="E62" s="611"/>
      <c r="F62" s="611"/>
      <c r="G62" s="612"/>
      <c r="H62" s="559"/>
      <c r="I62" s="559"/>
    </row>
    <row r="63" spans="2:9" ht="15" x14ac:dyDescent="0.25">
      <c r="B63" s="964" t="s">
        <v>70</v>
      </c>
      <c r="C63" s="965"/>
      <c r="D63" s="965"/>
      <c r="E63" s="965"/>
      <c r="F63" s="965"/>
      <c r="G63" s="613" t="s">
        <v>71</v>
      </c>
      <c r="H63" s="559"/>
      <c r="I63" s="559"/>
    </row>
    <row r="64" spans="2:9" ht="15" x14ac:dyDescent="0.25">
      <c r="B64" s="614"/>
      <c r="C64" s="615"/>
      <c r="D64" s="615"/>
      <c r="E64" s="615"/>
      <c r="F64" s="615"/>
      <c r="G64" s="616"/>
      <c r="H64" s="559"/>
      <c r="I64" s="559"/>
    </row>
    <row r="65" spans="2:9" ht="45" x14ac:dyDescent="0.25">
      <c r="B65" s="617"/>
      <c r="C65" s="618"/>
      <c r="D65" s="611" t="s">
        <v>55</v>
      </c>
      <c r="E65" s="611" t="s">
        <v>56</v>
      </c>
      <c r="F65" s="611" t="s">
        <v>57</v>
      </c>
      <c r="G65" s="619" t="s">
        <v>72</v>
      </c>
      <c r="H65" s="559"/>
      <c r="I65" s="559"/>
    </row>
    <row r="66" spans="2:9" ht="15" customHeight="1" x14ac:dyDescent="0.2">
      <c r="B66" s="966" t="s">
        <v>73</v>
      </c>
      <c r="C66" s="967"/>
      <c r="D66" s="620" t="s">
        <v>36</v>
      </c>
      <c r="E66" s="620" t="s">
        <v>36</v>
      </c>
      <c r="F66" s="620" t="s">
        <v>36</v>
      </c>
      <c r="G66" s="621" t="s">
        <v>74</v>
      </c>
      <c r="H66" s="559"/>
      <c r="I66" s="559"/>
    </row>
    <row r="67" spans="2:9" ht="15" x14ac:dyDescent="0.2">
      <c r="B67" s="622" t="s">
        <v>75</v>
      </c>
      <c r="C67" s="623"/>
      <c r="D67" s="624"/>
      <c r="E67" s="624"/>
      <c r="F67" s="625"/>
      <c r="G67" s="626"/>
      <c r="H67" s="559"/>
      <c r="I67" s="559"/>
    </row>
    <row r="68" spans="2:9" ht="15" x14ac:dyDescent="0.2">
      <c r="B68" s="622" t="s">
        <v>76</v>
      </c>
      <c r="C68" s="623"/>
      <c r="D68" s="624"/>
      <c r="E68" s="624"/>
      <c r="F68" s="625"/>
      <c r="G68" s="626"/>
      <c r="H68" s="559"/>
      <c r="I68" s="559"/>
    </row>
    <row r="69" spans="2:9" ht="15" x14ac:dyDescent="0.2">
      <c r="B69" s="622" t="s">
        <v>77</v>
      </c>
      <c r="C69" s="623"/>
      <c r="D69" s="624"/>
      <c r="E69" s="624"/>
      <c r="F69" s="625"/>
      <c r="G69" s="626"/>
      <c r="H69" s="559"/>
      <c r="I69" s="559"/>
    </row>
    <row r="70" spans="2:9" ht="15.75" thickBot="1" x14ac:dyDescent="0.25">
      <c r="B70" s="627" t="s">
        <v>207</v>
      </c>
      <c r="C70" s="628"/>
      <c r="D70" s="629"/>
      <c r="E70" s="629"/>
      <c r="F70" s="625"/>
      <c r="G70" s="626"/>
      <c r="H70" s="559"/>
      <c r="I70" s="559"/>
    </row>
    <row r="71" spans="2:9" ht="16.5" customHeight="1" thickTop="1" thickBot="1" x14ac:dyDescent="0.25">
      <c r="B71" s="968" t="s">
        <v>208</v>
      </c>
      <c r="C71" s="969"/>
      <c r="D71" s="630">
        <f>SUM(D67:D70)</f>
        <v>0</v>
      </c>
      <c r="E71" s="630">
        <f>SUM(E67:E70)</f>
        <v>0</v>
      </c>
      <c r="F71" s="631">
        <f>D71-E71</f>
        <v>0</v>
      </c>
      <c r="G71" s="632">
        <f>IF(E71=0,0,IF(G63="net",0,F71/E71))</f>
        <v>0</v>
      </c>
      <c r="H71" s="559"/>
      <c r="I71" s="559"/>
    </row>
    <row r="72" spans="2:9" ht="15" x14ac:dyDescent="0.2">
      <c r="B72" s="633"/>
      <c r="C72" s="633"/>
      <c r="D72" s="634"/>
      <c r="E72" s="634"/>
      <c r="F72" s="569"/>
      <c r="G72" s="635"/>
      <c r="H72" s="559"/>
      <c r="I72" s="559"/>
    </row>
    <row r="73" spans="2:9" ht="38.25" customHeight="1" x14ac:dyDescent="0.2">
      <c r="B73" s="952" t="s">
        <v>78</v>
      </c>
      <c r="C73" s="952"/>
      <c r="D73" s="952"/>
      <c r="E73" s="952"/>
      <c r="F73" s="952"/>
      <c r="G73" s="952"/>
      <c r="H73" s="952"/>
      <c r="I73" s="952"/>
    </row>
    <row r="74" spans="2:9" ht="33.75" customHeight="1" x14ac:dyDescent="0.2">
      <c r="B74" s="952" t="s">
        <v>79</v>
      </c>
      <c r="C74" s="952"/>
      <c r="D74" s="952"/>
      <c r="E74" s="952"/>
      <c r="F74" s="952"/>
      <c r="G74" s="952"/>
      <c r="H74" s="952"/>
      <c r="I74" s="952"/>
    </row>
    <row r="75" spans="2:9" ht="15" x14ac:dyDescent="0.2">
      <c r="B75" s="633"/>
      <c r="C75" s="636"/>
      <c r="D75" s="634"/>
      <c r="E75" s="634"/>
      <c r="F75" s="634"/>
      <c r="G75" s="635"/>
      <c r="H75" s="559"/>
      <c r="I75" s="559"/>
    </row>
    <row r="76" spans="2:9" ht="15.75" customHeight="1" thickBot="1" x14ac:dyDescent="0.25">
      <c r="B76" s="960" t="s">
        <v>80</v>
      </c>
      <c r="C76" s="960"/>
      <c r="D76" s="960"/>
      <c r="E76" s="960"/>
      <c r="F76" s="960"/>
      <c r="G76" s="960"/>
      <c r="H76" s="569"/>
      <c r="I76" s="559"/>
    </row>
    <row r="77" spans="2:9" ht="15" x14ac:dyDescent="0.2">
      <c r="B77" s="637"/>
      <c r="C77" s="638">
        <v>2011</v>
      </c>
      <c r="D77" s="638">
        <v>2012</v>
      </c>
      <c r="E77" s="638">
        <v>2013</v>
      </c>
      <c r="F77" s="638">
        <v>2014</v>
      </c>
      <c r="G77" s="639">
        <v>2015</v>
      </c>
      <c r="H77" s="640"/>
      <c r="I77" s="559"/>
    </row>
    <row r="78" spans="2:9" ht="60" x14ac:dyDescent="0.2">
      <c r="B78" s="641" t="s">
        <v>81</v>
      </c>
      <c r="C78" s="642">
        <v>0</v>
      </c>
      <c r="D78" s="642">
        <v>0</v>
      </c>
      <c r="E78" s="642">
        <v>0</v>
      </c>
      <c r="F78" s="642">
        <v>0.5</v>
      </c>
      <c r="G78" s="642">
        <v>1</v>
      </c>
      <c r="H78" s="643" t="s">
        <v>211</v>
      </c>
      <c r="I78" s="559"/>
    </row>
    <row r="79" spans="2:9" ht="271.5" thickBot="1" x14ac:dyDescent="0.25">
      <c r="B79" s="644" t="s">
        <v>82</v>
      </c>
      <c r="C79" s="645" t="s">
        <v>212</v>
      </c>
      <c r="D79" s="645" t="s">
        <v>213</v>
      </c>
      <c r="E79" s="645" t="s">
        <v>214</v>
      </c>
      <c r="F79" s="645" t="s">
        <v>215</v>
      </c>
      <c r="G79" s="645" t="s">
        <v>216</v>
      </c>
      <c r="H79" s="632"/>
      <c r="I79" s="559"/>
    </row>
    <row r="80" spans="2:9" ht="14.25" x14ac:dyDescent="0.2">
      <c r="B80" s="646"/>
      <c r="C80" s="647"/>
      <c r="D80" s="647"/>
      <c r="E80" s="647"/>
      <c r="F80" s="647"/>
      <c r="G80" s="647"/>
      <c r="H80" s="635"/>
      <c r="I80" s="559"/>
    </row>
    <row r="81" spans="2:11" ht="23.25" x14ac:dyDescent="0.2">
      <c r="B81" s="951" t="s">
        <v>217</v>
      </c>
      <c r="C81" s="951"/>
      <c r="D81" s="951"/>
      <c r="E81" s="951"/>
      <c r="F81" s="951"/>
      <c r="G81" s="951"/>
      <c r="H81" s="951"/>
      <c r="I81" s="951"/>
    </row>
    <row r="82" spans="2:11" ht="18.75" x14ac:dyDescent="0.2">
      <c r="B82" s="648"/>
      <c r="C82" s="648"/>
      <c r="D82" s="648"/>
      <c r="E82" s="648"/>
      <c r="F82" s="648"/>
      <c r="G82" s="648"/>
      <c r="H82" s="648"/>
      <c r="I82" s="648"/>
    </row>
    <row r="83" spans="2:11" ht="34.5" customHeight="1" x14ac:dyDescent="0.2">
      <c r="B83" s="950" t="s">
        <v>218</v>
      </c>
      <c r="C83" s="950"/>
      <c r="D83" s="950"/>
      <c r="E83" s="950"/>
      <c r="F83" s="950"/>
      <c r="G83" s="950"/>
      <c r="H83" s="950"/>
      <c r="I83" s="950"/>
    </row>
    <row r="84" spans="2:11" ht="15.75" thickBot="1" x14ac:dyDescent="0.25">
      <c r="B84" s="633"/>
      <c r="C84" s="636"/>
      <c r="D84" s="634"/>
      <c r="E84" s="634"/>
      <c r="F84" s="634"/>
      <c r="G84" s="635"/>
      <c r="H84" s="559"/>
      <c r="I84" s="559"/>
    </row>
    <row r="85" spans="2:11" ht="15" x14ac:dyDescent="0.25">
      <c r="B85" s="649"/>
      <c r="C85" s="859">
        <v>2011</v>
      </c>
      <c r="D85" s="860">
        <v>2012</v>
      </c>
      <c r="E85" s="860">
        <v>2013</v>
      </c>
      <c r="F85" s="860">
        <v>2014</v>
      </c>
      <c r="G85" s="861">
        <v>2015</v>
      </c>
      <c r="H85" s="862">
        <v>2016</v>
      </c>
      <c r="I85" s="863" t="s">
        <v>159</v>
      </c>
    </row>
    <row r="86" spans="2:11" ht="15" x14ac:dyDescent="0.2">
      <c r="B86" s="650"/>
      <c r="C86" s="864" t="s">
        <v>36</v>
      </c>
      <c r="D86" s="865"/>
      <c r="E86" s="865"/>
      <c r="F86" s="865"/>
      <c r="G86" s="865"/>
      <c r="H86" s="866"/>
      <c r="I86" s="867"/>
    </row>
    <row r="87" spans="2:11" ht="42.75" x14ac:dyDescent="0.2">
      <c r="B87" s="651" t="s">
        <v>83</v>
      </c>
      <c r="C87" s="652">
        <f>F26</f>
        <v>1300000</v>
      </c>
      <c r="D87" s="652">
        <f>F27</f>
        <v>700000</v>
      </c>
      <c r="E87" s="652">
        <f>F28</f>
        <v>800000</v>
      </c>
      <c r="F87" s="652">
        <f>F29</f>
        <v>1200000</v>
      </c>
      <c r="G87" s="652"/>
      <c r="H87" s="855"/>
      <c r="I87" s="653"/>
    </row>
    <row r="88" spans="2:11" ht="14.25" x14ac:dyDescent="0.2">
      <c r="B88" s="651"/>
      <c r="C88" s="652"/>
      <c r="D88" s="652"/>
      <c r="E88" s="652"/>
      <c r="F88" s="652"/>
      <c r="G88" s="652"/>
      <c r="H88" s="855"/>
      <c r="I88" s="653"/>
    </row>
    <row r="89" spans="2:11" ht="57" x14ac:dyDescent="0.2">
      <c r="B89" s="654" t="s">
        <v>219</v>
      </c>
      <c r="C89" s="655"/>
      <c r="D89" s="656">
        <f>C89</f>
        <v>0</v>
      </c>
      <c r="E89" s="656">
        <f>C89</f>
        <v>0</v>
      </c>
      <c r="F89" s="656">
        <f>C89</f>
        <v>0</v>
      </c>
      <c r="G89" s="656"/>
      <c r="H89" s="858"/>
      <c r="I89" s="657"/>
    </row>
    <row r="90" spans="2:11" ht="14.25" x14ac:dyDescent="0.2">
      <c r="B90" s="658"/>
      <c r="C90" s="659"/>
      <c r="D90" s="659"/>
      <c r="E90" s="659"/>
      <c r="F90" s="659"/>
      <c r="G90" s="659"/>
      <c r="H90" s="856"/>
      <c r="I90" s="868"/>
    </row>
    <row r="91" spans="2:11" ht="43.5" thickBot="1" x14ac:dyDescent="0.25">
      <c r="B91" s="660" t="s">
        <v>220</v>
      </c>
      <c r="C91" s="661"/>
      <c r="D91" s="662"/>
      <c r="E91" s="662"/>
      <c r="F91" s="662"/>
      <c r="G91" s="662">
        <f>C48</f>
        <v>2028333.3333333333</v>
      </c>
      <c r="H91" s="662">
        <f>G91</f>
        <v>2028333.3333333333</v>
      </c>
      <c r="I91" s="663">
        <f>SUM(C91:G91)</f>
        <v>2028333.3333333333</v>
      </c>
    </row>
    <row r="92" spans="2:11" ht="15.75" thickTop="1" thickBot="1" x14ac:dyDescent="0.25">
      <c r="B92" s="664"/>
      <c r="C92" s="665"/>
      <c r="D92" s="665"/>
      <c r="E92" s="665"/>
      <c r="F92" s="665"/>
      <c r="G92" s="665"/>
      <c r="H92" s="857"/>
      <c r="I92" s="666"/>
    </row>
    <row r="93" spans="2:11" ht="15.75" thickTop="1" x14ac:dyDescent="0.25">
      <c r="B93" s="853" t="s">
        <v>359</v>
      </c>
      <c r="C93" s="870">
        <v>3.6900000000000002E-2</v>
      </c>
      <c r="D93" s="848"/>
      <c r="E93" s="848"/>
      <c r="F93" s="848"/>
      <c r="G93" s="848"/>
      <c r="H93" s="855"/>
      <c r="I93" s="851"/>
    </row>
    <row r="94" spans="2:11" ht="14.25" x14ac:dyDescent="0.2">
      <c r="B94" s="852"/>
      <c r="C94" s="848"/>
      <c r="D94" s="848"/>
      <c r="E94" s="848"/>
      <c r="F94" s="848"/>
      <c r="G94" s="848"/>
      <c r="H94" s="855"/>
      <c r="I94" s="851"/>
    </row>
    <row r="95" spans="2:11" ht="42.75" x14ac:dyDescent="0.2">
      <c r="B95" s="654" t="s">
        <v>221</v>
      </c>
      <c r="C95" s="849">
        <v>0</v>
      </c>
      <c r="D95" s="850">
        <f>D87*(1+G71)*D78</f>
        <v>0</v>
      </c>
      <c r="E95" s="850"/>
      <c r="F95" s="850">
        <f>F87*(1+G71)*F78*(1+C93)</f>
        <v>622140</v>
      </c>
      <c r="G95" s="850">
        <f>G91*(1+G71)*G78*(1+C93)</f>
        <v>2103178.833333333</v>
      </c>
      <c r="H95" s="850">
        <f>H91*(1+G71)*0.5*(1+C93)</f>
        <v>1051589.4166666665</v>
      </c>
      <c r="I95" s="854">
        <f>SUM(C95:H95)</f>
        <v>3776908.2499999995</v>
      </c>
      <c r="K95" s="415" t="s">
        <v>223</v>
      </c>
    </row>
    <row r="96" spans="2:11" ht="14.25" x14ac:dyDescent="0.2">
      <c r="B96" s="658"/>
      <c r="C96" s="667"/>
      <c r="D96" s="667"/>
      <c r="E96" s="667"/>
      <c r="F96" s="667"/>
      <c r="G96" s="869"/>
      <c r="H96" s="667"/>
      <c r="I96" s="668"/>
    </row>
    <row r="97" spans="1:15" x14ac:dyDescent="0.2">
      <c r="B97" s="383"/>
      <c r="C97" s="383"/>
      <c r="D97" s="384"/>
      <c r="E97" s="384"/>
      <c r="F97" s="384"/>
      <c r="G97" s="384"/>
      <c r="H97" s="382"/>
    </row>
    <row r="98" spans="1:15" x14ac:dyDescent="0.2">
      <c r="B98" s="383"/>
      <c r="C98" s="383"/>
      <c r="D98" s="384"/>
      <c r="E98" s="384"/>
      <c r="F98" s="384"/>
      <c r="G98" s="384"/>
      <c r="H98" s="382"/>
    </row>
    <row r="99" spans="1:15" ht="15" x14ac:dyDescent="0.25">
      <c r="A99" s="109"/>
    </row>
    <row r="100" spans="1:15" ht="14.25" x14ac:dyDescent="0.2">
      <c r="A100" s="108"/>
    </row>
    <row r="101" spans="1:15" ht="14.25" x14ac:dyDescent="0.2">
      <c r="A101" s="108"/>
    </row>
    <row r="102" spans="1:15" ht="14.25" x14ac:dyDescent="0.2">
      <c r="A102" s="108"/>
    </row>
    <row r="103" spans="1:15" ht="14.25" x14ac:dyDescent="0.2">
      <c r="A103" s="108"/>
      <c r="N103" s="224"/>
      <c r="O103" s="231"/>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09" spans="1:15" ht="14.25" x14ac:dyDescent="0.2">
      <c r="A109" s="108"/>
    </row>
    <row r="110" spans="1:15" ht="14.25" x14ac:dyDescent="0.2">
      <c r="A110" s="108"/>
    </row>
    <row r="111" spans="1:15" ht="14.25" x14ac:dyDescent="0.2">
      <c r="A111" s="108"/>
    </row>
    <row r="112" spans="1:15" ht="14.25" x14ac:dyDescent="0.2">
      <c r="A112" s="108"/>
    </row>
    <row r="113" spans="1:14" ht="14.25" x14ac:dyDescent="0.2">
      <c r="A113" s="108"/>
    </row>
    <row r="115" spans="1:14" x14ac:dyDescent="0.2">
      <c r="N115" s="223"/>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0" workbookViewId="0">
      <selection activeCell="B19" sqref="B19:M34"/>
    </sheetView>
  </sheetViews>
  <sheetFormatPr defaultRowHeight="12.75" x14ac:dyDescent="0.2"/>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x14ac:dyDescent="0.2">
      <c r="A1" s="726" t="s">
        <v>266</v>
      </c>
    </row>
    <row r="11" spans="1:2" ht="23.25" x14ac:dyDescent="0.2">
      <c r="B11" s="132" t="s">
        <v>222</v>
      </c>
    </row>
    <row r="12" spans="1:2" ht="15" x14ac:dyDescent="0.2">
      <c r="B12" s="57" t="s">
        <v>63</v>
      </c>
    </row>
    <row r="13" spans="1:2" ht="14.25" x14ac:dyDescent="0.2">
      <c r="B13" s="99" t="s">
        <v>259</v>
      </c>
    </row>
    <row r="14" spans="1:2" ht="14.25" x14ac:dyDescent="0.2">
      <c r="B14" s="99" t="s">
        <v>260</v>
      </c>
    </row>
    <row r="15" spans="1:2" ht="14.25" x14ac:dyDescent="0.2">
      <c r="B15" s="99" t="s">
        <v>261</v>
      </c>
    </row>
    <row r="17" spans="2:15" x14ac:dyDescent="0.2">
      <c r="B17" s="127" t="s">
        <v>225</v>
      </c>
      <c r="C17" s="127"/>
      <c r="D17" s="101"/>
      <c r="E17" s="101"/>
      <c r="F17" s="101"/>
      <c r="G17" s="101"/>
      <c r="H17" s="101"/>
      <c r="I17" s="101"/>
      <c r="J17" s="101"/>
      <c r="K17" s="101"/>
      <c r="L17" s="101"/>
      <c r="M17" s="101"/>
    </row>
    <row r="18" spans="2:15" ht="13.5" thickBot="1" x14ac:dyDescent="0.25">
      <c r="B18" s="101"/>
      <c r="C18" s="101"/>
      <c r="D18" s="101"/>
      <c r="E18" s="101"/>
      <c r="F18" s="101"/>
      <c r="G18" s="101"/>
      <c r="H18" s="101"/>
      <c r="I18" s="101"/>
      <c r="J18" s="101"/>
      <c r="K18" s="101"/>
      <c r="L18" s="101"/>
      <c r="M18" s="101"/>
    </row>
    <row r="19" spans="2:15" ht="27.75" customHeight="1" thickBot="1" x14ac:dyDescent="0.25">
      <c r="B19" s="835" t="s">
        <v>36</v>
      </c>
      <c r="C19" s="836"/>
      <c r="D19" s="837" t="s">
        <v>33</v>
      </c>
      <c r="E19" s="838">
        <f>'1. LDC Info'!$F$25-3</f>
        <v>2013</v>
      </c>
      <c r="F19" s="838">
        <f>'1. LDC Info'!$F$25-2</f>
        <v>2014</v>
      </c>
      <c r="G19" s="839">
        <f>'1. LDC Info'!$F$25-1</f>
        <v>2015</v>
      </c>
      <c r="H19" s="840" t="str">
        <f>'1. LDC Info'!F25</f>
        <v>2016</v>
      </c>
      <c r="I19" s="841" t="str">
        <f>'1. LDC Info'!F27</f>
        <v>2017</v>
      </c>
      <c r="J19" s="101"/>
      <c r="K19" s="842" t="s">
        <v>59</v>
      </c>
      <c r="L19" s="843" t="s">
        <v>60</v>
      </c>
      <c r="M19" s="844" t="s">
        <v>226</v>
      </c>
      <c r="N19" s="843" t="s">
        <v>228</v>
      </c>
      <c r="O19" s="845" t="s">
        <v>229</v>
      </c>
    </row>
    <row r="20" spans="2:15" x14ac:dyDescent="0.2">
      <c r="B20" s="420" t="str">
        <f>+'9. Weather Adj LF'!C16</f>
        <v>Residential</v>
      </c>
      <c r="C20" s="421"/>
      <c r="D20" s="422" t="s">
        <v>36</v>
      </c>
      <c r="E20" s="447">
        <f>+'9. Weather Adj LF'!L17</f>
        <v>74334017.121669263</v>
      </c>
      <c r="F20" s="447">
        <f>+'9. Weather Adj LF'!M17</f>
        <v>75761820.187371373</v>
      </c>
      <c r="G20" s="447">
        <f>+'9. Weather Adj LF'!N17</f>
        <v>79671289.320937395</v>
      </c>
      <c r="H20" s="447">
        <f>+'9. Weather Adj LF'!O17</f>
        <v>80450046.256808087</v>
      </c>
      <c r="I20" s="448">
        <f>+'9. Weather Adj LF'!P17</f>
        <v>80599694.152217165</v>
      </c>
      <c r="J20" s="101"/>
      <c r="K20" s="433">
        <f>I20/$I$34</f>
        <v>0.32476769825442642</v>
      </c>
      <c r="L20" s="434">
        <f>K20*$L$34</f>
        <v>1226617.7988706536</v>
      </c>
      <c r="M20" s="873">
        <f>I20-L20</f>
        <v>79373076.353346512</v>
      </c>
      <c r="N20" s="441"/>
      <c r="O20" s="435">
        <f>+M20-N20</f>
        <v>79373076.353346512</v>
      </c>
    </row>
    <row r="21" spans="2:15" x14ac:dyDescent="0.2">
      <c r="B21" s="113"/>
      <c r="C21" s="227"/>
      <c r="D21" s="128"/>
      <c r="E21" s="387"/>
      <c r="F21" s="387"/>
      <c r="G21" s="387"/>
      <c r="H21" s="387"/>
      <c r="I21" s="388"/>
      <c r="J21" s="101"/>
      <c r="K21" s="115"/>
      <c r="L21" s="429"/>
      <c r="M21" s="874"/>
      <c r="N21" s="442"/>
      <c r="O21" s="239"/>
    </row>
    <row r="22" spans="2:15" x14ac:dyDescent="0.2">
      <c r="B22" s="417" t="str">
        <f>+'9. Weather Adj LF'!C20</f>
        <v>General Service &lt; 50 kW</v>
      </c>
      <c r="C22" s="227"/>
      <c r="D22" s="128" t="s">
        <v>36</v>
      </c>
      <c r="E22" s="387">
        <f>+'9. Weather Adj LF'!L21</f>
        <v>33337507.077357363</v>
      </c>
      <c r="F22" s="387">
        <f>+'9. Weather Adj LF'!M21</f>
        <v>32425865.201663207</v>
      </c>
      <c r="G22" s="387">
        <f>+'9. Weather Adj LF'!N21</f>
        <v>32930701.274226837</v>
      </c>
      <c r="H22" s="387">
        <f>+'9. Weather Adj LF'!O21</f>
        <v>33252586.513426181</v>
      </c>
      <c r="I22" s="388">
        <f>+'9. Weather Adj LF'!P21</f>
        <v>33314440.792201336</v>
      </c>
      <c r="J22" s="101"/>
      <c r="K22" s="116">
        <f>I22/$I$34</f>
        <v>0.13423691452579753</v>
      </c>
      <c r="L22" s="430">
        <f>K22*$L$34</f>
        <v>507000.50992702949</v>
      </c>
      <c r="M22" s="874">
        <f>I22-L22</f>
        <v>32807440.282274306</v>
      </c>
      <c r="N22" s="442"/>
      <c r="O22" s="436">
        <f>+M22-N22</f>
        <v>32807440.282274306</v>
      </c>
    </row>
    <row r="23" spans="2:15" x14ac:dyDescent="0.2">
      <c r="B23" s="113"/>
      <c r="C23" s="227"/>
      <c r="D23" s="128"/>
      <c r="E23" s="387"/>
      <c r="F23" s="387"/>
      <c r="G23" s="387"/>
      <c r="H23" s="387"/>
      <c r="I23" s="388"/>
      <c r="J23" s="101"/>
      <c r="K23" s="116"/>
      <c r="L23" s="429"/>
      <c r="M23" s="874"/>
      <c r="N23" s="442"/>
      <c r="O23" s="239"/>
    </row>
    <row r="24" spans="2:15" x14ac:dyDescent="0.2">
      <c r="B24" s="417" t="str">
        <f>+'9. Weather Adj LF'!C24</f>
        <v>General Service &gt; 50 kW - 2999 kW</v>
      </c>
      <c r="C24" s="227"/>
      <c r="D24" s="128" t="s">
        <v>36</v>
      </c>
      <c r="E24" s="387">
        <f>+'9. Weather Adj LF'!L25</f>
        <v>125354819</v>
      </c>
      <c r="F24" s="387">
        <f>+'9. Weather Adj LF'!M25</f>
        <v>119336146</v>
      </c>
      <c r="G24" s="387">
        <f>+'9. Weather Adj LF'!N25</f>
        <v>115685946</v>
      </c>
      <c r="H24" s="387">
        <f>+'9. Weather Adj LF'!O25</f>
        <v>116816732.68110102</v>
      </c>
      <c r="I24" s="388">
        <f>+'9. Weather Adj LF'!P25</f>
        <v>117034027.49953394</v>
      </c>
      <c r="J24" s="101"/>
      <c r="K24" s="116">
        <f>I24/$I$34</f>
        <v>0.47157588038345327</v>
      </c>
      <c r="L24" s="430">
        <f>K24*$L$34</f>
        <v>1781098.8331212776</v>
      </c>
      <c r="M24" s="874">
        <f>I24-L24</f>
        <v>115252928.66641265</v>
      </c>
      <c r="N24" s="442"/>
      <c r="O24" s="436">
        <f>+M24-N24</f>
        <v>115252928.66641265</v>
      </c>
    </row>
    <row r="25" spans="2:15" x14ac:dyDescent="0.2">
      <c r="B25" s="113"/>
      <c r="C25" s="227"/>
      <c r="D25" s="128"/>
      <c r="E25" s="387"/>
      <c r="F25" s="387"/>
      <c r="G25" s="387"/>
      <c r="H25" s="387"/>
      <c r="I25" s="388"/>
      <c r="J25" s="101"/>
      <c r="K25" s="116"/>
      <c r="L25" s="430"/>
      <c r="M25" s="874"/>
      <c r="N25" s="442"/>
      <c r="O25" s="239"/>
    </row>
    <row r="26" spans="2:15" x14ac:dyDescent="0.2">
      <c r="B26" s="417" t="str">
        <f>+'9. Weather Adj LF'!C28</f>
        <v>Streetlighting</v>
      </c>
      <c r="C26" s="227"/>
      <c r="D26" s="128" t="s">
        <v>36</v>
      </c>
      <c r="E26" s="387">
        <f>+'9. Weather Adj LF'!L29</f>
        <v>1249953</v>
      </c>
      <c r="F26" s="387">
        <f>+'9. Weather Adj LF'!M29</f>
        <v>1258253</v>
      </c>
      <c r="G26" s="387">
        <f>+'9. Weather Adj LF'!N29</f>
        <v>1439933</v>
      </c>
      <c r="H26" s="387">
        <f>+'9. Weather Adj LF'!O29</f>
        <v>1454007.8043680072</v>
      </c>
      <c r="I26" s="388">
        <f>+'9. Weather Adj LF'!P29</f>
        <v>1456712.4542464858</v>
      </c>
      <c r="J26" s="101"/>
      <c r="K26" s="116">
        <f>I26/$I$34</f>
        <v>5.8696643425311763E-3</v>
      </c>
      <c r="L26" s="430">
        <f>K26*$L$34</f>
        <v>22169.183680036822</v>
      </c>
      <c r="M26" s="874">
        <f>I26-L26</f>
        <v>1434543.270566449</v>
      </c>
      <c r="N26" s="442"/>
      <c r="O26" s="436">
        <f>+M26+N26</f>
        <v>1434543.270566449</v>
      </c>
    </row>
    <row r="27" spans="2:15" x14ac:dyDescent="0.2">
      <c r="B27" s="113"/>
      <c r="C27" s="227"/>
      <c r="D27" s="128"/>
      <c r="E27" s="387"/>
      <c r="F27" s="387"/>
      <c r="G27" s="387"/>
      <c r="H27" s="387"/>
      <c r="I27" s="388"/>
      <c r="J27" s="101"/>
      <c r="K27" s="116"/>
      <c r="L27" s="430"/>
      <c r="M27" s="874"/>
      <c r="N27" s="442"/>
      <c r="O27" s="239"/>
    </row>
    <row r="28" spans="2:15" x14ac:dyDescent="0.2">
      <c r="B28" s="417" t="str">
        <f>+'9. Weather Adj LF'!C32</f>
        <v>Sentinel Lighting</v>
      </c>
      <c r="C28" s="227"/>
      <c r="D28" s="128" t="s">
        <v>36</v>
      </c>
      <c r="E28" s="387">
        <f>+'9. Weather Adj LF'!L33</f>
        <v>44355</v>
      </c>
      <c r="F28" s="387">
        <f>+'9. Weather Adj LF'!M33</f>
        <v>42943</v>
      </c>
      <c r="G28" s="387">
        <f>+'9. Weather Adj LF'!N33</f>
        <v>43818</v>
      </c>
      <c r="H28" s="387">
        <f>+'9. Weather Adj LF'!O33</f>
        <v>44246.304495971228</v>
      </c>
      <c r="I28" s="388">
        <f>+'9. Weather Adj LF'!P33</f>
        <v>44328.608567323972</v>
      </c>
      <c r="J28" s="101"/>
      <c r="K28" s="116">
        <f>I28/$I$34</f>
        <v>1.7861730522255621E-4</v>
      </c>
      <c r="L28" s="430">
        <f>K28*$L$34</f>
        <v>674.62117368784061</v>
      </c>
      <c r="M28" s="874">
        <f>I28-L28</f>
        <v>43653.987393636133</v>
      </c>
      <c r="N28" s="442"/>
      <c r="O28" s="436">
        <f>+M28-N28</f>
        <v>43653.987393636133</v>
      </c>
    </row>
    <row r="29" spans="2:15" x14ac:dyDescent="0.2">
      <c r="B29" s="113"/>
      <c r="C29" s="227"/>
      <c r="D29" s="128"/>
      <c r="E29" s="387"/>
      <c r="F29" s="387"/>
      <c r="G29" s="387"/>
      <c r="H29" s="387"/>
      <c r="I29" s="388"/>
      <c r="J29" s="101"/>
      <c r="K29" s="116"/>
      <c r="L29" s="429"/>
      <c r="M29" s="874"/>
      <c r="N29" s="442"/>
      <c r="O29" s="239"/>
    </row>
    <row r="30" spans="2:15" x14ac:dyDescent="0.2">
      <c r="B30" s="417" t="str">
        <f>'9. Weather Adj LF'!C36</f>
        <v>General Service 3000-4999 kW</v>
      </c>
      <c r="C30" s="228"/>
      <c r="D30" s="128" t="s">
        <v>36</v>
      </c>
      <c r="E30" s="387">
        <f>+'9. Weather Adj LF'!L37</f>
        <v>13952451</v>
      </c>
      <c r="F30" s="387">
        <f>+'9. Weather Adj LF'!M37</f>
        <v>12584229</v>
      </c>
      <c r="G30" s="387">
        <f>+'9. Weather Adj LF'!N37</f>
        <v>14943860</v>
      </c>
      <c r="H30" s="387">
        <f>+'9. Weather Adj LF'!O37</f>
        <v>15089930.619954463</v>
      </c>
      <c r="I30" s="388">
        <f>+'9. Weather Adj LF'!P37</f>
        <v>15117999.918410014</v>
      </c>
      <c r="J30" s="101"/>
      <c r="K30" s="116">
        <f>I30/$I$34</f>
        <v>6.0916335816859485E-2</v>
      </c>
      <c r="L30" s="430">
        <f>K30*$L$34</f>
        <v>230075.41130646705</v>
      </c>
      <c r="M30" s="874">
        <f>I30-L30</f>
        <v>14887924.507103547</v>
      </c>
      <c r="N30" s="442"/>
      <c r="O30" s="436">
        <f>+M30-N30</f>
        <v>14887924.507103547</v>
      </c>
    </row>
    <row r="31" spans="2:15" x14ac:dyDescent="0.2">
      <c r="B31" s="117"/>
      <c r="C31" s="229"/>
      <c r="D31" s="207"/>
      <c r="E31" s="390"/>
      <c r="F31" s="390"/>
      <c r="G31" s="390"/>
      <c r="H31" s="390"/>
      <c r="I31" s="423"/>
      <c r="J31" s="101"/>
      <c r="K31" s="116"/>
      <c r="L31" s="429"/>
      <c r="M31" s="874"/>
      <c r="N31" s="442"/>
      <c r="O31" s="239"/>
    </row>
    <row r="32" spans="2:15" x14ac:dyDescent="0.2">
      <c r="B32" s="418" t="str">
        <f>+'9. Weather Adj LF'!C40</f>
        <v>Unmetered Scattered Load</v>
      </c>
      <c r="C32" s="229"/>
      <c r="D32" s="128" t="s">
        <v>36</v>
      </c>
      <c r="E32" s="390">
        <f>+'9. Weather Adj LF'!L41</f>
        <v>668402</v>
      </c>
      <c r="F32" s="390">
        <f>+'9. Weather Adj LF'!M41</f>
        <v>555548</v>
      </c>
      <c r="G32" s="390">
        <f>+'9. Weather Adj LF'!N41</f>
        <v>602228</v>
      </c>
      <c r="H32" s="390">
        <f>+'9. Weather Adj LF'!O41</f>
        <v>608114.55255830393</v>
      </c>
      <c r="I32" s="423">
        <f>+'9. Weather Adj LF'!P41</f>
        <v>609245.72733311378</v>
      </c>
      <c r="J32" s="101"/>
      <c r="K32" s="116">
        <f>I32/$I$34</f>
        <v>2.4548893717095616E-3</v>
      </c>
      <c r="L32" s="430">
        <f>K32*$L$34</f>
        <v>9271.891920847158</v>
      </c>
      <c r="M32" s="874">
        <f>I32-L32</f>
        <v>599973.83541226666</v>
      </c>
      <c r="N32" s="442"/>
      <c r="O32" s="436">
        <f>+M32-N32</f>
        <v>599973.83541226666</v>
      </c>
    </row>
    <row r="33" spans="2:18" ht="13.5" thickBot="1" x14ac:dyDescent="0.25">
      <c r="B33" s="118"/>
      <c r="C33" s="230"/>
      <c r="D33" s="208"/>
      <c r="E33" s="294"/>
      <c r="F33" s="294"/>
      <c r="G33" s="294"/>
      <c r="H33" s="294"/>
      <c r="I33" s="428"/>
      <c r="J33" s="101"/>
      <c r="K33" s="119"/>
      <c r="L33" s="431"/>
      <c r="M33" s="875"/>
      <c r="N33" s="459"/>
      <c r="O33" s="196"/>
    </row>
    <row r="34" spans="2:18" ht="20.25" thickTop="1" thickBot="1" x14ac:dyDescent="0.25">
      <c r="B34" s="449" t="s">
        <v>16</v>
      </c>
      <c r="C34" s="450"/>
      <c r="D34" s="451"/>
      <c r="E34" s="452">
        <f>SUM(E20:E33)</f>
        <v>248941504.19902664</v>
      </c>
      <c r="F34" s="452">
        <f t="shared" ref="F34:I34" si="0">SUM(F20:F33)</f>
        <v>241964804.38903457</v>
      </c>
      <c r="G34" s="452">
        <f t="shared" si="0"/>
        <v>245317775.59516424</v>
      </c>
      <c r="H34" s="452">
        <f t="shared" si="0"/>
        <v>247715664.73271206</v>
      </c>
      <c r="I34" s="453">
        <f t="shared" si="0"/>
        <v>248176449.15250939</v>
      </c>
      <c r="J34" s="101"/>
      <c r="K34" s="456">
        <f>I34/$I$34</f>
        <v>1</v>
      </c>
      <c r="L34" s="744">
        <f>+'10. CDM Adjustment'!I95</f>
        <v>3776908.2499999995</v>
      </c>
      <c r="M34" s="457">
        <f>I34-L34</f>
        <v>244399540.90250939</v>
      </c>
      <c r="N34" s="457">
        <f>SUM(N20:N33)</f>
        <v>0</v>
      </c>
      <c r="O34" s="458">
        <f>SUM(O20:O33)</f>
        <v>244399540.90250939</v>
      </c>
      <c r="Q34" s="443">
        <f>+M34-O34</f>
        <v>0</v>
      </c>
      <c r="R34" s="444" t="s">
        <v>230</v>
      </c>
    </row>
    <row r="35" spans="2:18" x14ac:dyDescent="0.2">
      <c r="B35" s="120"/>
      <c r="C35" s="120"/>
      <c r="D35" s="124"/>
      <c r="E35" s="121"/>
      <c r="F35" s="121"/>
      <c r="G35" s="121"/>
      <c r="H35" s="122"/>
      <c r="I35" s="122"/>
      <c r="J35" s="123"/>
      <c r="K35" s="123"/>
      <c r="L35" s="123"/>
      <c r="M35" s="123"/>
    </row>
    <row r="36" spans="2:18" ht="13.5" thickBot="1" x14ac:dyDescent="0.25">
      <c r="B36" s="101"/>
      <c r="C36" s="101"/>
      <c r="D36" s="209"/>
      <c r="E36" s="101"/>
      <c r="F36" s="101"/>
      <c r="G36" s="101"/>
      <c r="H36" s="101"/>
      <c r="I36" s="101"/>
      <c r="J36" s="101"/>
      <c r="K36" s="101"/>
      <c r="L36" s="101"/>
      <c r="M36" s="123"/>
    </row>
    <row r="37" spans="2:18" ht="26.25" thickBot="1" x14ac:dyDescent="0.25">
      <c r="B37" s="110"/>
      <c r="C37" s="225"/>
      <c r="D37" s="111" t="s">
        <v>33</v>
      </c>
      <c r="E37" s="210">
        <f>E19</f>
        <v>2013</v>
      </c>
      <c r="F37" s="210">
        <f>F19</f>
        <v>2014</v>
      </c>
      <c r="G37" s="210">
        <f>G19</f>
        <v>2015</v>
      </c>
      <c r="H37" s="210" t="str">
        <f>H19</f>
        <v>2016</v>
      </c>
      <c r="I37" s="419" t="str">
        <f>I19</f>
        <v>2017</v>
      </c>
      <c r="J37" s="101"/>
      <c r="K37" s="124"/>
      <c r="L37" s="124"/>
      <c r="M37" s="446" t="s">
        <v>227</v>
      </c>
      <c r="N37" s="432" t="s">
        <v>228</v>
      </c>
      <c r="O37" s="437" t="s">
        <v>229</v>
      </c>
    </row>
    <row r="38" spans="2:18" x14ac:dyDescent="0.2">
      <c r="B38" s="420" t="str">
        <f>+B20</f>
        <v>Residential</v>
      </c>
      <c r="C38" s="421"/>
      <c r="D38" s="422" t="s">
        <v>37</v>
      </c>
      <c r="E38" s="424">
        <f>+'9. Weather Adj LF'!L18</f>
        <v>0</v>
      </c>
      <c r="F38" s="424">
        <f>+'9. Weather Adj LF'!M18</f>
        <v>0</v>
      </c>
      <c r="G38" s="424">
        <f>+'9. Weather Adj LF'!N18</f>
        <v>0</v>
      </c>
      <c r="H38" s="424">
        <f>+'9. Weather Adj LF'!O18</f>
        <v>0</v>
      </c>
      <c r="I38" s="425">
        <f>+'9. Weather Adj LF'!P18</f>
        <v>0</v>
      </c>
      <c r="J38" s="101"/>
      <c r="K38" s="125"/>
      <c r="L38" s="126"/>
      <c r="M38" s="438">
        <f>IF(I38&gt;0,+M20/I20*I38,0)</f>
        <v>0</v>
      </c>
      <c r="N38" s="445">
        <f>IF(I38&gt;0,+N20/I20*I38,0)</f>
        <v>0</v>
      </c>
      <c r="O38" s="435">
        <f>+M38-N38</f>
        <v>0</v>
      </c>
    </row>
    <row r="39" spans="2:18" x14ac:dyDescent="0.2">
      <c r="B39" s="112" t="s">
        <v>30</v>
      </c>
      <c r="C39" s="226"/>
      <c r="D39" s="128"/>
      <c r="E39" s="426"/>
      <c r="F39" s="426"/>
      <c r="G39" s="426"/>
      <c r="H39" s="426"/>
      <c r="I39" s="427"/>
      <c r="J39" s="101"/>
      <c r="K39" s="125"/>
      <c r="L39" s="126"/>
      <c r="M39" s="439"/>
      <c r="N39" s="53"/>
      <c r="O39" s="239"/>
    </row>
    <row r="40" spans="2:18" x14ac:dyDescent="0.2">
      <c r="B40" s="416" t="str">
        <f>+B22</f>
        <v>General Service &lt; 50 kW</v>
      </c>
      <c r="C40" s="226"/>
      <c r="D40" s="129" t="s">
        <v>37</v>
      </c>
      <c r="E40" s="426">
        <f>+'9. Weather Adj LF'!L22</f>
        <v>0</v>
      </c>
      <c r="F40" s="426">
        <f>+'9. Weather Adj LF'!M22</f>
        <v>0</v>
      </c>
      <c r="G40" s="426">
        <f>+'9. Weather Adj LF'!N22</f>
        <v>0</v>
      </c>
      <c r="H40" s="426">
        <f>+'9. Weather Adj LF'!O22</f>
        <v>0</v>
      </c>
      <c r="I40" s="427">
        <f>+'9. Weather Adj LF'!P22</f>
        <v>0</v>
      </c>
      <c r="J40" s="101"/>
      <c r="K40" s="125"/>
      <c r="L40" s="126"/>
      <c r="M40" s="439">
        <f t="shared" ref="M40:M50" si="1">IF(I40&gt;0,+M22/I22*I40,0)</f>
        <v>0</v>
      </c>
      <c r="N40" s="114">
        <f>IF(I40&gt;0,+N22/I22*I40,0)</f>
        <v>0</v>
      </c>
      <c r="O40" s="436">
        <f>+M40-N40</f>
        <v>0</v>
      </c>
    </row>
    <row r="41" spans="2:18" x14ac:dyDescent="0.2">
      <c r="B41" s="112" t="s">
        <v>30</v>
      </c>
      <c r="C41" s="226"/>
      <c r="D41" s="128"/>
      <c r="E41" s="426"/>
      <c r="F41" s="426"/>
      <c r="G41" s="426"/>
      <c r="H41" s="426"/>
      <c r="I41" s="427"/>
      <c r="J41" s="101"/>
      <c r="K41" s="125"/>
      <c r="L41" s="126"/>
      <c r="M41" s="439"/>
      <c r="N41" s="53"/>
      <c r="O41" s="239"/>
    </row>
    <row r="42" spans="2:18" x14ac:dyDescent="0.2">
      <c r="B42" s="416" t="str">
        <f>+B24</f>
        <v>General Service &gt; 50 kW - 2999 kW</v>
      </c>
      <c r="C42" s="226"/>
      <c r="D42" s="129" t="s">
        <v>37</v>
      </c>
      <c r="E42" s="385">
        <f>+'9. Weather Adj LF'!L26</f>
        <v>323427</v>
      </c>
      <c r="F42" s="385">
        <f>+'9. Weather Adj LF'!M26</f>
        <v>314352.19999999995</v>
      </c>
      <c r="G42" s="385">
        <f>+'9. Weather Adj LF'!N26</f>
        <v>306814.40000000002</v>
      </c>
      <c r="H42" s="385">
        <f>+'9. Weather Adj LF'!O26</f>
        <v>295034.71343124693</v>
      </c>
      <c r="I42" s="386">
        <f>+'9. Weather Adj LF'!P26</f>
        <v>295583.51763947163</v>
      </c>
      <c r="J42" s="101"/>
      <c r="K42" s="125"/>
      <c r="L42" s="126"/>
      <c r="M42" s="439">
        <f>IF(I42&gt;0,+M24/I24*I42,0)</f>
        <v>291085.13823985943</v>
      </c>
      <c r="N42" s="114">
        <f>IF(I42&gt;0,+N24/I24*I42,0)</f>
        <v>0</v>
      </c>
      <c r="O42" s="436">
        <f>+M42-N42</f>
        <v>291085.13823985943</v>
      </c>
    </row>
    <row r="43" spans="2:18" x14ac:dyDescent="0.2">
      <c r="B43" s="112" t="s">
        <v>30</v>
      </c>
      <c r="C43" s="226"/>
      <c r="D43" s="128"/>
      <c r="E43" s="387"/>
      <c r="F43" s="387"/>
      <c r="G43" s="387"/>
      <c r="H43" s="387"/>
      <c r="I43" s="388"/>
      <c r="J43" s="101"/>
      <c r="K43" s="125"/>
      <c r="L43" s="126"/>
      <c r="M43" s="439"/>
      <c r="N43" s="53"/>
      <c r="O43" s="239"/>
    </row>
    <row r="44" spans="2:18" x14ac:dyDescent="0.2">
      <c r="B44" s="416" t="str">
        <f>+B26</f>
        <v>Streetlighting</v>
      </c>
      <c r="C44" s="226"/>
      <c r="D44" s="129" t="s">
        <v>37</v>
      </c>
      <c r="E44" s="387">
        <f>+'9. Weather Adj LF'!L30</f>
        <v>3386</v>
      </c>
      <c r="F44" s="387">
        <f>+'9. Weather Adj LF'!M30</f>
        <v>3408.5999999999995</v>
      </c>
      <c r="G44" s="387">
        <f>+'9. Weather Adj LF'!N30</f>
        <v>3416</v>
      </c>
      <c r="H44" s="387">
        <f>+'9. Weather Adj LF'!O30</f>
        <v>3905.6547356588153</v>
      </c>
      <c r="I44" s="388">
        <f>+'9. Weather Adj LF'!P30</f>
        <v>3912.919778235922</v>
      </c>
      <c r="J44" s="101"/>
      <c r="K44" s="125"/>
      <c r="L44" s="126"/>
      <c r="M44" s="439">
        <f t="shared" si="1"/>
        <v>3853.3704574100543</v>
      </c>
      <c r="N44" s="114">
        <f>IF(I44&gt;0,+N26/I26*I44,0)</f>
        <v>0</v>
      </c>
      <c r="O44" s="436">
        <f>+M44-N44</f>
        <v>3853.3704574100543</v>
      </c>
    </row>
    <row r="45" spans="2:18" x14ac:dyDescent="0.2">
      <c r="B45" s="112" t="s">
        <v>30</v>
      </c>
      <c r="C45" s="226"/>
      <c r="D45" s="128"/>
      <c r="E45" s="387"/>
      <c r="F45" s="387"/>
      <c r="G45" s="387"/>
      <c r="H45" s="387"/>
      <c r="I45" s="388"/>
      <c r="J45" s="101"/>
      <c r="K45" s="125"/>
      <c r="L45" s="126"/>
      <c r="M45" s="439"/>
      <c r="N45" s="53"/>
      <c r="O45" s="239"/>
    </row>
    <row r="46" spans="2:18" x14ac:dyDescent="0.2">
      <c r="B46" s="416" t="str">
        <f>+B28</f>
        <v>Sentinel Lighting</v>
      </c>
      <c r="C46" s="226"/>
      <c r="D46" s="129" t="s">
        <v>37</v>
      </c>
      <c r="E46" s="387">
        <f>+'9. Weather Adj LF'!L34</f>
        <v>132</v>
      </c>
      <c r="F46" s="387">
        <f>+'9. Weather Adj LF'!M34</f>
        <v>132</v>
      </c>
      <c r="G46" s="387">
        <f>+'9. Weather Adj LF'!N34</f>
        <v>132</v>
      </c>
      <c r="H46" s="387">
        <f>+'9. Weather Adj LF'!O34</f>
        <v>134.62335169787229</v>
      </c>
      <c r="I46" s="388">
        <f>+'9. Weather Adj LF'!P34</f>
        <v>134.87376922019658</v>
      </c>
      <c r="J46" s="101"/>
      <c r="K46" s="125"/>
      <c r="L46" s="126"/>
      <c r="M46" s="439">
        <f>IF(I46&gt;0,+M28/I28*I46,0)</f>
        <v>132.82117376476191</v>
      </c>
      <c r="N46" s="114">
        <f>IF(I46&gt;0,+N28/I28*I46,0)</f>
        <v>0</v>
      </c>
      <c r="O46" s="436">
        <f>+M46-N46</f>
        <v>132.82117376476191</v>
      </c>
    </row>
    <row r="47" spans="2:18" x14ac:dyDescent="0.2">
      <c r="B47" s="112" t="s">
        <v>30</v>
      </c>
      <c r="C47" s="226"/>
      <c r="D47" s="128"/>
      <c r="E47" s="387"/>
      <c r="F47" s="387"/>
      <c r="G47" s="387"/>
      <c r="H47" s="387"/>
      <c r="I47" s="388"/>
      <c r="J47" s="101"/>
      <c r="K47" s="125"/>
      <c r="L47" s="126"/>
      <c r="M47" s="439"/>
      <c r="N47" s="53"/>
      <c r="O47" s="239"/>
    </row>
    <row r="48" spans="2:18" x14ac:dyDescent="0.2">
      <c r="B48" s="416" t="str">
        <f>+B30</f>
        <v>General Service 3000-4999 kW</v>
      </c>
      <c r="C48" s="226"/>
      <c r="D48" s="129" t="s">
        <v>37</v>
      </c>
      <c r="E48" s="387">
        <f>+'9. Weather Adj LF'!L38</f>
        <v>37942.600000000006</v>
      </c>
      <c r="F48" s="387">
        <f>+'9. Weather Adj LF'!M38</f>
        <v>36603.599999999999</v>
      </c>
      <c r="G48" s="387">
        <f>+'9. Weather Adj LF'!N38</f>
        <v>33867.5</v>
      </c>
      <c r="H48" s="387">
        <f>+'9. Weather Adj LF'!O38</f>
        <v>37269.727733739157</v>
      </c>
      <c r="I48" s="388">
        <f>+'9. Weather Adj LF'!P38</f>
        <v>37339.054434932339</v>
      </c>
      <c r="J48" s="101"/>
      <c r="K48" s="125"/>
      <c r="L48" s="126"/>
      <c r="M48" s="439">
        <f t="shared" si="1"/>
        <v>36770.80477536923</v>
      </c>
      <c r="N48" s="114">
        <f>IF(I48&gt;0,+N30/I30*I48,0)</f>
        <v>0</v>
      </c>
      <c r="O48" s="436">
        <f>+M48-N48</f>
        <v>36770.80477536923</v>
      </c>
    </row>
    <row r="49" spans="2:15" x14ac:dyDescent="0.2">
      <c r="B49" s="416"/>
      <c r="C49" s="226"/>
      <c r="D49" s="129"/>
      <c r="E49" s="387"/>
      <c r="F49" s="387"/>
      <c r="G49" s="387"/>
      <c r="H49" s="387"/>
      <c r="I49" s="388"/>
      <c r="J49" s="101"/>
      <c r="K49" s="125"/>
      <c r="L49" s="126"/>
      <c r="M49" s="439"/>
      <c r="N49" s="53"/>
      <c r="O49" s="239"/>
    </row>
    <row r="50" spans="2:15" x14ac:dyDescent="0.2">
      <c r="B50" s="416" t="str">
        <f>+B32</f>
        <v>Unmetered Scattered Load</v>
      </c>
      <c r="C50" s="226"/>
      <c r="D50" s="129" t="s">
        <v>37</v>
      </c>
      <c r="E50" s="387">
        <f>+'9. Weather Adj LF'!L42</f>
        <v>0</v>
      </c>
      <c r="F50" s="387">
        <f>+'9. Weather Adj LF'!M42</f>
        <v>0</v>
      </c>
      <c r="G50" s="387">
        <f>+'9. Weather Adj LF'!N42</f>
        <v>0</v>
      </c>
      <c r="H50" s="387">
        <f>+'9. Weather Adj LF'!O42</f>
        <v>0</v>
      </c>
      <c r="I50" s="388">
        <f>+'9. Weather Adj LF'!P42</f>
        <v>0</v>
      </c>
      <c r="J50" s="101"/>
      <c r="K50" s="125"/>
      <c r="L50" s="126"/>
      <c r="M50" s="439">
        <f t="shared" si="1"/>
        <v>0</v>
      </c>
      <c r="N50" s="114">
        <f>IF(I50&gt;0,+N32/I32*I50,0)</f>
        <v>0</v>
      </c>
      <c r="O50" s="436">
        <f>+M50-N50</f>
        <v>0</v>
      </c>
    </row>
    <row r="51" spans="2:15" ht="13.5" thickBot="1" x14ac:dyDescent="0.25">
      <c r="B51" s="118" t="s">
        <v>30</v>
      </c>
      <c r="C51" s="230"/>
      <c r="D51" s="208"/>
      <c r="E51" s="294"/>
      <c r="F51" s="294"/>
      <c r="G51" s="294"/>
      <c r="H51" s="294"/>
      <c r="I51" s="428"/>
      <c r="J51" s="101"/>
      <c r="K51" s="125"/>
      <c r="L51" s="126"/>
      <c r="M51" s="440"/>
      <c r="N51" s="90"/>
      <c r="O51" s="196"/>
    </row>
    <row r="52" spans="2:15" ht="13.5" thickBot="1" x14ac:dyDescent="0.25">
      <c r="B52" s="449" t="s">
        <v>16</v>
      </c>
      <c r="C52" s="454"/>
      <c r="D52" s="455" t="s">
        <v>30</v>
      </c>
      <c r="E52" s="452">
        <f>SUM(E38:E51)</f>
        <v>364887.6</v>
      </c>
      <c r="F52" s="452">
        <f t="shared" ref="F52:H52" si="2">SUM(F38:F51)</f>
        <v>354496.39999999991</v>
      </c>
      <c r="G52" s="452">
        <f t="shared" si="2"/>
        <v>344229.9</v>
      </c>
      <c r="H52" s="452">
        <f t="shared" si="2"/>
        <v>336344.71925234282</v>
      </c>
      <c r="I52" s="453">
        <f>SUM(I38:I51)</f>
        <v>336970.36562186008</v>
      </c>
      <c r="J52" s="101"/>
      <c r="K52" s="125"/>
      <c r="L52" s="126"/>
      <c r="M52" s="460">
        <f>SUM(M38:M51)</f>
        <v>331842.13464640349</v>
      </c>
      <c r="N52" s="455">
        <f t="shared" ref="N52:O52" si="3">SUM(N38:N51)</f>
        <v>0</v>
      </c>
      <c r="O52" s="461">
        <f t="shared" si="3"/>
        <v>331842.13464640349</v>
      </c>
    </row>
    <row r="53" spans="2:15" x14ac:dyDescent="0.2">
      <c r="B53" s="104"/>
      <c r="C53" s="104"/>
      <c r="D53" s="104"/>
      <c r="E53" s="104"/>
      <c r="F53" s="104"/>
      <c r="G53" s="104"/>
      <c r="H53" s="104"/>
      <c r="I53" s="104"/>
      <c r="J53" s="104"/>
      <c r="K53" s="104"/>
      <c r="L53" s="104"/>
      <c r="M53" s="10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61"/>
  <sheetViews>
    <sheetView showGridLines="0" topLeftCell="A7" zoomScaleNormal="100" workbookViewId="0">
      <selection activeCell="B13" sqref="B13:O56"/>
    </sheetView>
  </sheetViews>
  <sheetFormatPr defaultColWidth="10.5" defaultRowHeight="12.75" x14ac:dyDescent="0.2"/>
  <cols>
    <col min="1" max="1" width="13.6640625" style="1" customWidth="1"/>
    <col min="2" max="2" width="42.6640625" style="1" customWidth="1"/>
    <col min="3" max="3" width="11.83203125" style="1" bestFit="1" customWidth="1"/>
    <col min="4" max="9" width="14.5" style="1" hidden="1" customWidth="1"/>
    <col min="10" max="10" width="14.5" style="1" bestFit="1" customWidth="1"/>
    <col min="11" max="14" width="17.1640625" style="1" customWidth="1"/>
    <col min="15" max="15" width="17.1640625" style="206" customWidth="1"/>
    <col min="16" max="17" width="10.5" style="1"/>
    <col min="18" max="19" width="1.83203125" style="1" bestFit="1" customWidth="1"/>
    <col min="20" max="16384" width="10.5" style="1"/>
  </cols>
  <sheetData>
    <row r="1" spans="1:15" s="532" customFormat="1" x14ac:dyDescent="0.2">
      <c r="A1" s="726" t="s">
        <v>266</v>
      </c>
      <c r="O1" s="206"/>
    </row>
    <row r="2" spans="1:15" s="532" customFormat="1" x14ac:dyDescent="0.2">
      <c r="O2" s="206"/>
    </row>
    <row r="3" spans="1:15" s="532" customFormat="1" x14ac:dyDescent="0.2">
      <c r="O3" s="206"/>
    </row>
    <row r="4" spans="1:15" s="532" customFormat="1" x14ac:dyDescent="0.2">
      <c r="O4" s="206"/>
    </row>
    <row r="5" spans="1:15" s="532" customFormat="1" x14ac:dyDescent="0.2">
      <c r="O5" s="206"/>
    </row>
    <row r="6" spans="1:15" s="532" customFormat="1" x14ac:dyDescent="0.2">
      <c r="O6" s="206"/>
    </row>
    <row r="7" spans="1:15" s="532" customFormat="1" x14ac:dyDescent="0.2">
      <c r="O7" s="206"/>
    </row>
    <row r="8" spans="1:15" s="532" customFormat="1" x14ac:dyDescent="0.2">
      <c r="O8" s="206"/>
    </row>
    <row r="9" spans="1:15" s="532" customFormat="1" x14ac:dyDescent="0.2">
      <c r="O9" s="206"/>
    </row>
    <row r="11" spans="1:15" ht="23.25" x14ac:dyDescent="0.2">
      <c r="B11" s="132" t="s">
        <v>231</v>
      </c>
      <c r="O11" s="314"/>
    </row>
    <row r="12" spans="1:15" ht="13.5" thickBot="1" x14ac:dyDescent="0.25"/>
    <row r="13" spans="1:15" ht="13.5" thickBot="1" x14ac:dyDescent="0.25">
      <c r="B13" s="799"/>
      <c r="C13" s="804" t="s">
        <v>33</v>
      </c>
      <c r="D13" s="805">
        <f>'4. Customer Growth'!B17</f>
        <v>2006</v>
      </c>
      <c r="E13" s="805">
        <f>'4. Customer Growth'!B18</f>
        <v>2007</v>
      </c>
      <c r="F13" s="805">
        <f>'4. Customer Growth'!B19</f>
        <v>2008</v>
      </c>
      <c r="G13" s="805">
        <f>'4. Customer Growth'!B20</f>
        <v>2009</v>
      </c>
      <c r="H13" s="805">
        <f>'4. Customer Growth'!B21</f>
        <v>2010</v>
      </c>
      <c r="I13" s="805">
        <f>'4. Customer Growth'!B22</f>
        <v>2011</v>
      </c>
      <c r="J13" s="805">
        <f>'4. Customer Growth'!B23</f>
        <v>2012</v>
      </c>
      <c r="K13" s="805">
        <f>'4. Customer Growth'!B24</f>
        <v>2013</v>
      </c>
      <c r="L13" s="805">
        <f>'4. Customer Growth'!B25</f>
        <v>2014</v>
      </c>
      <c r="M13" s="805">
        <f>'4. Customer Growth'!B26</f>
        <v>2015</v>
      </c>
      <c r="N13" s="805" t="str">
        <f>'4. Customer Growth'!B30</f>
        <v>2016</v>
      </c>
      <c r="O13" s="806" t="str">
        <f>'4. Customer Growth'!B31</f>
        <v>2017</v>
      </c>
    </row>
    <row r="14" spans="1:15" x14ac:dyDescent="0.2">
      <c r="B14" s="800" t="str">
        <f>+'9. Weather Adj LF'!C16</f>
        <v>Residential</v>
      </c>
      <c r="C14" s="87" t="s">
        <v>129</v>
      </c>
      <c r="D14" s="385">
        <f>+'9. Weather Adj LF'!E16</f>
        <v>7704</v>
      </c>
      <c r="E14" s="385">
        <f>+'9. Weather Adj LF'!F16</f>
        <v>7842</v>
      </c>
      <c r="F14" s="385">
        <f>+'9. Weather Adj LF'!G16</f>
        <v>7956</v>
      </c>
      <c r="G14" s="385">
        <f>+'9. Weather Adj LF'!H16</f>
        <v>8187.5</v>
      </c>
      <c r="H14" s="385">
        <f>+'9. Weather Adj LF'!I16</f>
        <v>8296.5</v>
      </c>
      <c r="I14" s="385">
        <f>+'9. Weather Adj LF'!J16</f>
        <v>8425</v>
      </c>
      <c r="J14" s="385">
        <f>+'9. Weather Adj LF'!K16</f>
        <v>8525</v>
      </c>
      <c r="K14" s="385">
        <f>+'9. Weather Adj LF'!L16</f>
        <v>8627</v>
      </c>
      <c r="L14" s="385">
        <f>+'9. Weather Adj LF'!M16</f>
        <v>8760.5</v>
      </c>
      <c r="M14" s="385">
        <f>+'9. Weather Adj LF'!N16</f>
        <v>8885</v>
      </c>
      <c r="N14" s="385">
        <f>+'9. Weather Adj LF'!O16</f>
        <v>9026.923937540796</v>
      </c>
      <c r="O14" s="386">
        <f>+'9. Weather Adj LF'!P16</f>
        <v>9171.114887354759</v>
      </c>
    </row>
    <row r="15" spans="1:15" x14ac:dyDescent="0.2">
      <c r="B15" s="801"/>
      <c r="C15" s="53" t="s">
        <v>36</v>
      </c>
      <c r="D15" s="385">
        <f>+'9. Weather Adj LF'!E17</f>
        <v>71590902.776568398</v>
      </c>
      <c r="E15" s="385">
        <f>+'9. Weather Adj LF'!F17</f>
        <v>72101506.334618852</v>
      </c>
      <c r="F15" s="385">
        <f>+'9. Weather Adj LF'!G17</f>
        <v>73848510.565233275</v>
      </c>
      <c r="G15" s="385">
        <f>+'9. Weather Adj LF'!H17</f>
        <v>74657177.211183861</v>
      </c>
      <c r="H15" s="385">
        <f>+'9. Weather Adj LF'!I17</f>
        <v>73436594.333625555</v>
      </c>
      <c r="I15" s="385">
        <f>+'9. Weather Adj LF'!J17</f>
        <v>73193400.880397737</v>
      </c>
      <c r="J15" s="385">
        <f>+'9. Weather Adj LF'!K17</f>
        <v>70966505.368845955</v>
      </c>
      <c r="K15" s="385">
        <f>+'9. Weather Adj LF'!L17</f>
        <v>74334017.121669263</v>
      </c>
      <c r="L15" s="385">
        <f>+'9. Weather Adj LF'!M17</f>
        <v>75761820.187371373</v>
      </c>
      <c r="M15" s="385">
        <f>+'9. Weather Adj LF'!N17</f>
        <v>79671289.320937395</v>
      </c>
      <c r="N15" s="385">
        <f>+'9. Weather Adj LF'!O17</f>
        <v>80450046.256808087</v>
      </c>
      <c r="O15" s="386">
        <f>+'10.1 CDM Allocation'!O20</f>
        <v>79373076.353346512</v>
      </c>
    </row>
    <row r="16" spans="1:15" x14ac:dyDescent="0.2">
      <c r="B16" s="801"/>
      <c r="C16" s="53" t="s">
        <v>37</v>
      </c>
      <c r="D16" s="387">
        <f>+'9. Weather Adj LF'!E18</f>
        <v>0</v>
      </c>
      <c r="E16" s="387">
        <f>+'9. Weather Adj LF'!F18</f>
        <v>0</v>
      </c>
      <c r="F16" s="387">
        <f>+'9. Weather Adj LF'!G18</f>
        <v>0</v>
      </c>
      <c r="G16" s="387">
        <f>+'9. Weather Adj LF'!H18</f>
        <v>0</v>
      </c>
      <c r="H16" s="387">
        <f>+'9. Weather Adj LF'!I18</f>
        <v>0</v>
      </c>
      <c r="I16" s="387">
        <f>+'9. Weather Adj LF'!J18</f>
        <v>0</v>
      </c>
      <c r="J16" s="387">
        <f>+'9. Weather Adj LF'!K18</f>
        <v>0</v>
      </c>
      <c r="K16" s="387">
        <f>+'9. Weather Adj LF'!L18</f>
        <v>0</v>
      </c>
      <c r="L16" s="387">
        <f>+'9. Weather Adj LF'!M18</f>
        <v>0</v>
      </c>
      <c r="M16" s="387">
        <f>+'9. Weather Adj LF'!N18</f>
        <v>0</v>
      </c>
      <c r="N16" s="387">
        <f>+'9. Weather Adj LF'!O18</f>
        <v>0</v>
      </c>
      <c r="O16" s="388">
        <f>+'10.1 CDM Allocation'!O38</f>
        <v>0</v>
      </c>
    </row>
    <row r="17" spans="2:15" x14ac:dyDescent="0.2">
      <c r="B17" s="801"/>
      <c r="C17" s="53"/>
      <c r="D17" s="387"/>
      <c r="E17" s="387"/>
      <c r="F17" s="387"/>
      <c r="G17" s="387"/>
      <c r="H17" s="387"/>
      <c r="I17" s="387"/>
      <c r="J17" s="387"/>
      <c r="K17" s="387"/>
      <c r="L17" s="387"/>
      <c r="M17" s="387"/>
      <c r="N17" s="387"/>
      <c r="O17" s="388"/>
    </row>
    <row r="18" spans="2:15" x14ac:dyDescent="0.2">
      <c r="B18" s="802" t="str">
        <f>+'9. Weather Adj LF'!C20</f>
        <v>General Service &lt; 50 kW</v>
      </c>
      <c r="C18" s="87" t="s">
        <v>129</v>
      </c>
      <c r="D18" s="385">
        <f>+'9. Weather Adj LF'!E20</f>
        <v>1036.5</v>
      </c>
      <c r="E18" s="385">
        <f>+'9. Weather Adj LF'!F20</f>
        <v>1043</v>
      </c>
      <c r="F18" s="385">
        <f>+'9. Weather Adj LF'!G20</f>
        <v>1047.5</v>
      </c>
      <c r="G18" s="385">
        <f>+'9. Weather Adj LF'!H20</f>
        <v>1062.5</v>
      </c>
      <c r="H18" s="385">
        <f>+'9. Weather Adj LF'!I20</f>
        <v>1068.5</v>
      </c>
      <c r="I18" s="385">
        <f>+'9. Weather Adj LF'!J20</f>
        <v>1072.5</v>
      </c>
      <c r="J18" s="385">
        <f>+'9. Weather Adj LF'!K20</f>
        <v>1067</v>
      </c>
      <c r="K18" s="385">
        <f>+'9. Weather Adj LF'!L20</f>
        <v>1058</v>
      </c>
      <c r="L18" s="385">
        <f>+'9. Weather Adj LF'!M20</f>
        <v>1068.5</v>
      </c>
      <c r="M18" s="385">
        <f>+'9. Weather Adj LF'!N20</f>
        <v>1077.5</v>
      </c>
      <c r="N18" s="385">
        <f>+'9. Weather Adj LF'!O20</f>
        <v>1082.1545150107602</v>
      </c>
      <c r="O18" s="386">
        <f>+'9. Weather Adj LF'!P20</f>
        <v>1086.8291362952889</v>
      </c>
    </row>
    <row r="19" spans="2:15" x14ac:dyDescent="0.2">
      <c r="B19" s="801"/>
      <c r="C19" s="53" t="s">
        <v>36</v>
      </c>
      <c r="D19" s="385">
        <f>+'9. Weather Adj LF'!E21</f>
        <v>32947635.677251581</v>
      </c>
      <c r="E19" s="385">
        <f>+'9. Weather Adj LF'!F21</f>
        <v>34123002.621133283</v>
      </c>
      <c r="F19" s="385">
        <f>+'9. Weather Adj LF'!G21</f>
        <v>35250366.032868199</v>
      </c>
      <c r="G19" s="385">
        <f>+'9. Weather Adj LF'!H21</f>
        <v>35803467.043011874</v>
      </c>
      <c r="H19" s="385">
        <f>+'9. Weather Adj LF'!I21</f>
        <v>34496063.808112673</v>
      </c>
      <c r="I19" s="385">
        <f>+'9. Weather Adj LF'!J21</f>
        <v>38814986.994877979</v>
      </c>
      <c r="J19" s="385">
        <f>+'9. Weather Adj LF'!K21</f>
        <v>33200382.221462574</v>
      </c>
      <c r="K19" s="385">
        <f>+'9. Weather Adj LF'!L21</f>
        <v>33337507.077357363</v>
      </c>
      <c r="L19" s="385">
        <f>+'9. Weather Adj LF'!M21</f>
        <v>32425865.201663207</v>
      </c>
      <c r="M19" s="385">
        <f>+'9. Weather Adj LF'!N21</f>
        <v>32930701.274226837</v>
      </c>
      <c r="N19" s="385">
        <f>+'9. Weather Adj LF'!O21</f>
        <v>33252586.513426181</v>
      </c>
      <c r="O19" s="386">
        <f>+'10.1 CDM Allocation'!O22</f>
        <v>32807440.282274306</v>
      </c>
    </row>
    <row r="20" spans="2:15" x14ac:dyDescent="0.2">
      <c r="B20" s="801"/>
      <c r="C20" s="53" t="s">
        <v>37</v>
      </c>
      <c r="D20" s="387">
        <f>+'9. Weather Adj LF'!E22</f>
        <v>0</v>
      </c>
      <c r="E20" s="387">
        <f>+'9. Weather Adj LF'!F22</f>
        <v>0</v>
      </c>
      <c r="F20" s="387">
        <f>+'9. Weather Adj LF'!G22</f>
        <v>0</v>
      </c>
      <c r="G20" s="387">
        <f>+'9. Weather Adj LF'!H22</f>
        <v>0</v>
      </c>
      <c r="H20" s="387">
        <f>+'9. Weather Adj LF'!I22</f>
        <v>0</v>
      </c>
      <c r="I20" s="387">
        <f>+'9. Weather Adj LF'!J22</f>
        <v>0</v>
      </c>
      <c r="J20" s="387">
        <f>+'9. Weather Adj LF'!K22</f>
        <v>0</v>
      </c>
      <c r="K20" s="387">
        <f>+'9. Weather Adj LF'!L22</f>
        <v>0</v>
      </c>
      <c r="L20" s="387">
        <f>+'9. Weather Adj LF'!M22</f>
        <v>0</v>
      </c>
      <c r="M20" s="387">
        <f>+'9. Weather Adj LF'!N22</f>
        <v>0</v>
      </c>
      <c r="N20" s="387">
        <f>+'9. Weather Adj LF'!O22</f>
        <v>0</v>
      </c>
      <c r="O20" s="388">
        <f>+'10.1 CDM Allocation'!O40</f>
        <v>0</v>
      </c>
    </row>
    <row r="21" spans="2:15" x14ac:dyDescent="0.2">
      <c r="B21" s="801"/>
      <c r="C21" s="53"/>
      <c r="D21" s="387"/>
      <c r="E21" s="387"/>
      <c r="F21" s="387"/>
      <c r="G21" s="387"/>
      <c r="H21" s="387"/>
      <c r="I21" s="387"/>
      <c r="J21" s="387"/>
      <c r="K21" s="387"/>
      <c r="L21" s="387"/>
      <c r="M21" s="387"/>
      <c r="N21" s="387"/>
      <c r="O21" s="388"/>
    </row>
    <row r="22" spans="2:15" x14ac:dyDescent="0.2">
      <c r="B22" s="802" t="str">
        <f>+'9. Weather Adj LF'!C24</f>
        <v>General Service &gt; 50 kW - 2999 kW</v>
      </c>
      <c r="C22" s="87" t="s">
        <v>129</v>
      </c>
      <c r="D22" s="385">
        <f>+'9. Weather Adj LF'!E24</f>
        <v>145.5</v>
      </c>
      <c r="E22" s="385">
        <f>+'9. Weather Adj LF'!F24</f>
        <v>147.5</v>
      </c>
      <c r="F22" s="385">
        <f>+'9. Weather Adj LF'!G24</f>
        <v>133</v>
      </c>
      <c r="G22" s="385">
        <f>+'9. Weather Adj LF'!H24</f>
        <v>129.5</v>
      </c>
      <c r="H22" s="385">
        <f>+'9. Weather Adj LF'!I24</f>
        <v>131</v>
      </c>
      <c r="I22" s="385">
        <f>+'9. Weather Adj LF'!J24</f>
        <v>131.5</v>
      </c>
      <c r="J22" s="385">
        <f>+'9. Weather Adj LF'!K24</f>
        <v>137</v>
      </c>
      <c r="K22" s="385">
        <f>+'9. Weather Adj LF'!L24</f>
        <v>141.5</v>
      </c>
      <c r="L22" s="385">
        <f>+'9. Weather Adj LF'!M24</f>
        <v>138</v>
      </c>
      <c r="M22" s="385">
        <f>+'9. Weather Adj LF'!N24</f>
        <v>134</v>
      </c>
      <c r="N22" s="385">
        <f>+'9. Weather Adj LF'!O24</f>
        <v>132.77969465471912</v>
      </c>
      <c r="O22" s="386">
        <f>+'9. Weather Adj LF'!P24</f>
        <v>131.57050233283914</v>
      </c>
    </row>
    <row r="23" spans="2:15" x14ac:dyDescent="0.2">
      <c r="B23" s="801"/>
      <c r="C23" s="53" t="s">
        <v>36</v>
      </c>
      <c r="D23" s="385">
        <f>+'9. Weather Adj LF'!E25</f>
        <v>120975702</v>
      </c>
      <c r="E23" s="385">
        <f>+'9. Weather Adj LF'!F25</f>
        <v>122417181</v>
      </c>
      <c r="F23" s="385">
        <f>+'9. Weather Adj LF'!G25</f>
        <v>121003376</v>
      </c>
      <c r="G23" s="385">
        <f>+'9. Weather Adj LF'!H25</f>
        <v>114875960</v>
      </c>
      <c r="H23" s="385">
        <f>+'9. Weather Adj LF'!I25</f>
        <v>120290733</v>
      </c>
      <c r="I23" s="385">
        <f>+'9. Weather Adj LF'!J25</f>
        <v>120834914</v>
      </c>
      <c r="J23" s="385">
        <f>+'9. Weather Adj LF'!K25</f>
        <v>128532327</v>
      </c>
      <c r="K23" s="385">
        <f>+'9. Weather Adj LF'!L25</f>
        <v>125354819</v>
      </c>
      <c r="L23" s="385">
        <f>+'9. Weather Adj LF'!M25</f>
        <v>119336146</v>
      </c>
      <c r="M23" s="385">
        <f>+'9. Weather Adj LF'!N25</f>
        <v>115685946</v>
      </c>
      <c r="N23" s="385">
        <f>+'9. Weather Adj LF'!O25</f>
        <v>116816732.68110102</v>
      </c>
      <c r="O23" s="386">
        <f>+'10.1 CDM Allocation'!O24</f>
        <v>115252928.66641265</v>
      </c>
    </row>
    <row r="24" spans="2:15" x14ac:dyDescent="0.2">
      <c r="B24" s="801"/>
      <c r="C24" s="53" t="s">
        <v>37</v>
      </c>
      <c r="D24" s="387">
        <f>+'9. Weather Adj LF'!E26</f>
        <v>297477.3</v>
      </c>
      <c r="E24" s="387">
        <f>+'9. Weather Adj LF'!F26</f>
        <v>300809.10000000003</v>
      </c>
      <c r="F24" s="387">
        <f>+'9. Weather Adj LF'!G26</f>
        <v>298912.40000000002</v>
      </c>
      <c r="G24" s="387">
        <f>+'9. Weather Adj LF'!H26</f>
        <v>290142.59999999992</v>
      </c>
      <c r="H24" s="387">
        <f>+'9. Weather Adj LF'!I26</f>
        <v>299040.51</v>
      </c>
      <c r="I24" s="387">
        <f>+'9. Weather Adj LF'!J26</f>
        <v>300129.30000000005</v>
      </c>
      <c r="J24" s="387">
        <f>+'9. Weather Adj LF'!K26</f>
        <v>322335</v>
      </c>
      <c r="K24" s="387">
        <f>+'9. Weather Adj LF'!L26</f>
        <v>323427</v>
      </c>
      <c r="L24" s="387">
        <f>+'9. Weather Adj LF'!M26</f>
        <v>314352.19999999995</v>
      </c>
      <c r="M24" s="387">
        <f>+'9. Weather Adj LF'!N26</f>
        <v>306814.40000000002</v>
      </c>
      <c r="N24" s="387">
        <f>+'9. Weather Adj LF'!O26</f>
        <v>295034.71343124693</v>
      </c>
      <c r="O24" s="388">
        <f>+'10.1 CDM Allocation'!O42</f>
        <v>291085.13823985943</v>
      </c>
    </row>
    <row r="25" spans="2:15" x14ac:dyDescent="0.2">
      <c r="B25" s="801"/>
      <c r="C25" s="53"/>
      <c r="D25" s="387"/>
      <c r="E25" s="387"/>
      <c r="F25" s="387"/>
      <c r="G25" s="387"/>
      <c r="H25" s="387"/>
      <c r="I25" s="387"/>
      <c r="J25" s="387"/>
      <c r="K25" s="387"/>
      <c r="L25" s="387"/>
      <c r="M25" s="387"/>
      <c r="N25" s="387"/>
      <c r="O25" s="388"/>
    </row>
    <row r="26" spans="2:15" x14ac:dyDescent="0.2">
      <c r="B26" s="802" t="str">
        <f>+'9. Weather Adj LF'!C28</f>
        <v>Streetlighting</v>
      </c>
      <c r="C26" s="87" t="s">
        <v>129</v>
      </c>
      <c r="D26" s="385">
        <f>+'9. Weather Adj LF'!E28</f>
        <v>2671</v>
      </c>
      <c r="E26" s="385">
        <f>+'9. Weather Adj LF'!F28</f>
        <v>2743</v>
      </c>
      <c r="F26" s="385">
        <f>+'9. Weather Adj LF'!G28</f>
        <v>2793</v>
      </c>
      <c r="G26" s="385">
        <f>+'9. Weather Adj LF'!H28</f>
        <v>2815.5</v>
      </c>
      <c r="H26" s="385">
        <f>+'9. Weather Adj LF'!I28</f>
        <v>2752</v>
      </c>
      <c r="I26" s="385">
        <f>+'9. Weather Adj LF'!J28</f>
        <v>2759</v>
      </c>
      <c r="J26" s="385">
        <f>+'9. Weather Adj LF'!K28</f>
        <v>2802</v>
      </c>
      <c r="K26" s="385">
        <f>+'9. Weather Adj LF'!L28</f>
        <v>2862</v>
      </c>
      <c r="L26" s="385">
        <f>+'9. Weather Adj LF'!M28</f>
        <v>2634</v>
      </c>
      <c r="M26" s="385">
        <f>+'9. Weather Adj LF'!N28</f>
        <v>2694</v>
      </c>
      <c r="N26" s="385">
        <f>+'9. Weather Adj LF'!O28</f>
        <v>2696.567749993425</v>
      </c>
      <c r="O26" s="386">
        <f>+'9. Weather Adj LF'!P28</f>
        <v>2699.1379474033415</v>
      </c>
    </row>
    <row r="27" spans="2:15" x14ac:dyDescent="0.2">
      <c r="B27" s="801"/>
      <c r="C27" s="53" t="s">
        <v>36</v>
      </c>
      <c r="D27" s="385">
        <f>+'9. Weather Adj LF'!E29</f>
        <v>1923289.8225330669</v>
      </c>
      <c r="E27" s="385">
        <f>+'9. Weather Adj LF'!F29</f>
        <v>1931928</v>
      </c>
      <c r="F27" s="385">
        <f>+'9. Weather Adj LF'!G29</f>
        <v>1867799.5215356699</v>
      </c>
      <c r="G27" s="385">
        <f>+'9. Weather Adj LF'!H29</f>
        <v>1350901.1708566549</v>
      </c>
      <c r="H27" s="385">
        <f>+'9. Weather Adj LF'!I29</f>
        <v>1194281.7307655821</v>
      </c>
      <c r="I27" s="385">
        <f>+'9. Weather Adj LF'!J29</f>
        <v>1222967</v>
      </c>
      <c r="J27" s="385">
        <f>+'9. Weather Adj LF'!K29</f>
        <v>1222128</v>
      </c>
      <c r="K27" s="385">
        <f>+'9. Weather Adj LF'!L29</f>
        <v>1249953</v>
      </c>
      <c r="L27" s="385">
        <f>+'9. Weather Adj LF'!M29</f>
        <v>1258253</v>
      </c>
      <c r="M27" s="385">
        <f>+'9. Weather Adj LF'!N29</f>
        <v>1439933</v>
      </c>
      <c r="N27" s="385">
        <f>+'9. Weather Adj LF'!O29</f>
        <v>1454007.8043680072</v>
      </c>
      <c r="O27" s="386">
        <f>+'10.1 CDM Allocation'!O26</f>
        <v>1434543.270566449</v>
      </c>
    </row>
    <row r="28" spans="2:15" x14ac:dyDescent="0.2">
      <c r="B28" s="801"/>
      <c r="C28" s="53" t="s">
        <v>37</v>
      </c>
      <c r="D28" s="387">
        <f>+'9. Weather Adj LF'!E30</f>
        <v>5221.5</v>
      </c>
      <c r="E28" s="387">
        <f>+'9. Weather Adj LF'!F30</f>
        <v>5239.8999999999996</v>
      </c>
      <c r="F28" s="387">
        <f>+'9. Weather Adj LF'!G30</f>
        <v>5091.2000000000007</v>
      </c>
      <c r="G28" s="387">
        <f>+'9. Weather Adj LF'!H30</f>
        <v>3654.0999999999995</v>
      </c>
      <c r="H28" s="387">
        <f>+'9. Weather Adj LF'!I30</f>
        <v>3301.8999999999992</v>
      </c>
      <c r="I28" s="387">
        <f>+'9. Weather Adj LF'!J30</f>
        <v>3321</v>
      </c>
      <c r="J28" s="387">
        <f>+'9. Weather Adj LF'!K30</f>
        <v>3340</v>
      </c>
      <c r="K28" s="387">
        <f>+'9. Weather Adj LF'!L30</f>
        <v>3386</v>
      </c>
      <c r="L28" s="387">
        <f>+'9. Weather Adj LF'!M30</f>
        <v>3408.5999999999995</v>
      </c>
      <c r="M28" s="387">
        <f>+'9. Weather Adj LF'!N30</f>
        <v>3416</v>
      </c>
      <c r="N28" s="387">
        <f>+'9. Weather Adj LF'!O30</f>
        <v>3905.6547356588153</v>
      </c>
      <c r="O28" s="388">
        <f>+'10.1 CDM Allocation'!O44</f>
        <v>3853.3704574100543</v>
      </c>
    </row>
    <row r="29" spans="2:15" x14ac:dyDescent="0.2">
      <c r="B29" s="801"/>
      <c r="C29" s="53"/>
      <c r="D29" s="387"/>
      <c r="E29" s="387"/>
      <c r="F29" s="387"/>
      <c r="G29" s="387"/>
      <c r="H29" s="387"/>
      <c r="I29" s="387"/>
      <c r="J29" s="387"/>
      <c r="K29" s="387"/>
      <c r="L29" s="387"/>
      <c r="M29" s="387"/>
      <c r="N29" s="387"/>
      <c r="O29" s="388"/>
    </row>
    <row r="30" spans="2:15" x14ac:dyDescent="0.2">
      <c r="B30" s="802" t="str">
        <f>+'9. Weather Adj LF'!C32</f>
        <v>Sentinel Lighting</v>
      </c>
      <c r="C30" s="87" t="s">
        <v>129</v>
      </c>
      <c r="D30" s="385">
        <f>+'9. Weather Adj LF'!E32</f>
        <v>55</v>
      </c>
      <c r="E30" s="385">
        <f>+'9. Weather Adj LF'!F32</f>
        <v>55</v>
      </c>
      <c r="F30" s="385">
        <f>+'9. Weather Adj LF'!G32</f>
        <v>58</v>
      </c>
      <c r="G30" s="385">
        <f>+'9. Weather Adj LF'!H32</f>
        <v>59.5</v>
      </c>
      <c r="H30" s="385">
        <f>+'9. Weather Adj LF'!I32</f>
        <v>55</v>
      </c>
      <c r="I30" s="385">
        <f>+'9. Weather Adj LF'!J32</f>
        <v>53</v>
      </c>
      <c r="J30" s="385">
        <f>+'9. Weather Adj LF'!K32</f>
        <v>54</v>
      </c>
      <c r="K30" s="385">
        <f>+'9. Weather Adj LF'!L32</f>
        <v>54</v>
      </c>
      <c r="L30" s="385">
        <f>+'9. Weather Adj LF'!M32</f>
        <v>54</v>
      </c>
      <c r="M30" s="385">
        <f>+'9. Weather Adj LF'!N32</f>
        <v>54</v>
      </c>
      <c r="N30" s="385">
        <f>+'9. Weather Adj LF'!O32</f>
        <v>53.890017322054852</v>
      </c>
      <c r="O30" s="386">
        <f>+'9. Weather Adj LF'!P32</f>
        <v>53.780258647617998</v>
      </c>
    </row>
    <row r="31" spans="2:15" x14ac:dyDescent="0.2">
      <c r="B31" s="801"/>
      <c r="C31" s="53" t="s">
        <v>36</v>
      </c>
      <c r="D31" s="385">
        <f>+'9. Weather Adj LF'!E33</f>
        <v>76063.696059073991</v>
      </c>
      <c r="E31" s="385">
        <f>+'9. Weather Adj LF'!F33</f>
        <v>76442.150921409208</v>
      </c>
      <c r="F31" s="385">
        <f>+'9. Weather Adj LF'!G33</f>
        <v>81053.799492218415</v>
      </c>
      <c r="G31" s="385">
        <f>+'9. Weather Adj LF'!H33</f>
        <v>78799.687128734338</v>
      </c>
      <c r="H31" s="385">
        <f>+'9. Weather Adj LF'!I33</f>
        <v>54122.065561244759</v>
      </c>
      <c r="I31" s="385">
        <f>+'9. Weather Adj LF'!J33</f>
        <v>43758</v>
      </c>
      <c r="J31" s="385">
        <f>+'9. Weather Adj LF'!K33</f>
        <v>41938</v>
      </c>
      <c r="K31" s="385">
        <f>+'9. Weather Adj LF'!L33</f>
        <v>44355</v>
      </c>
      <c r="L31" s="385">
        <f>+'9. Weather Adj LF'!M33</f>
        <v>42943</v>
      </c>
      <c r="M31" s="385">
        <f>+'9. Weather Adj LF'!N33</f>
        <v>43818</v>
      </c>
      <c r="N31" s="385">
        <f>+'9. Weather Adj LF'!O33</f>
        <v>44246.304495971228</v>
      </c>
      <c r="O31" s="386">
        <f>+'10.1 CDM Allocation'!O28</f>
        <v>43653.987393636133</v>
      </c>
    </row>
    <row r="32" spans="2:15" x14ac:dyDescent="0.2">
      <c r="B32" s="801"/>
      <c r="C32" s="53" t="s">
        <v>37</v>
      </c>
      <c r="D32" s="387">
        <f>+'9. Weather Adj LF'!E34</f>
        <v>211.35349632855065</v>
      </c>
      <c r="E32" s="387">
        <f>+'9. Weather Adj LF'!F34</f>
        <v>212.33930811502557</v>
      </c>
      <c r="F32" s="387">
        <f>+'9. Weather Adj LF'!G34</f>
        <v>225.03441398199672</v>
      </c>
      <c r="G32" s="387">
        <f>+'9. Weather Adj LF'!H34</f>
        <v>222.10830015479695</v>
      </c>
      <c r="H32" s="387">
        <f>+'9. Weather Adj LF'!I34</f>
        <v>219.09108054779566</v>
      </c>
      <c r="I32" s="387">
        <f>+'9. Weather Adj LF'!J34</f>
        <v>132</v>
      </c>
      <c r="J32" s="387">
        <f>+'9. Weather Adj LF'!K34</f>
        <v>132</v>
      </c>
      <c r="K32" s="387">
        <f>+'9. Weather Adj LF'!L34</f>
        <v>132</v>
      </c>
      <c r="L32" s="387">
        <f>+'9. Weather Adj LF'!M34</f>
        <v>132</v>
      </c>
      <c r="M32" s="387">
        <f>+'9. Weather Adj LF'!N34</f>
        <v>132</v>
      </c>
      <c r="N32" s="387">
        <f>+'9. Weather Adj LF'!O34</f>
        <v>134.62335169787229</v>
      </c>
      <c r="O32" s="388">
        <f>+'10.1 CDM Allocation'!O46</f>
        <v>132.82117376476191</v>
      </c>
    </row>
    <row r="33" spans="2:15" x14ac:dyDescent="0.2">
      <c r="B33" s="801"/>
      <c r="C33" s="53"/>
      <c r="D33" s="387"/>
      <c r="E33" s="387"/>
      <c r="F33" s="387"/>
      <c r="G33" s="387"/>
      <c r="H33" s="387"/>
      <c r="I33" s="387"/>
      <c r="J33" s="387"/>
      <c r="K33" s="387"/>
      <c r="L33" s="387"/>
      <c r="M33" s="387"/>
      <c r="N33" s="387"/>
      <c r="O33" s="388"/>
    </row>
    <row r="34" spans="2:15" x14ac:dyDescent="0.2">
      <c r="B34" s="802" t="str">
        <f>+'9. Weather Adj LF'!C36</f>
        <v>General Service 3000-4999 kW</v>
      </c>
      <c r="C34" s="87" t="s">
        <v>129</v>
      </c>
      <c r="D34" s="387">
        <f>+'9. Weather Adj LF'!E36</f>
        <v>1</v>
      </c>
      <c r="E34" s="387">
        <f>+'9. Weather Adj LF'!F36</f>
        <v>1</v>
      </c>
      <c r="F34" s="387">
        <f>+'9. Weather Adj LF'!G36</f>
        <v>1</v>
      </c>
      <c r="G34" s="387">
        <f>+'9. Weather Adj LF'!H36</f>
        <v>1</v>
      </c>
      <c r="H34" s="387">
        <f>+'9. Weather Adj LF'!I36</f>
        <v>1</v>
      </c>
      <c r="I34" s="387">
        <f>+'9. Weather Adj LF'!J36</f>
        <v>1</v>
      </c>
      <c r="J34" s="387">
        <f>+'9. Weather Adj LF'!K36</f>
        <v>1</v>
      </c>
      <c r="K34" s="387">
        <f>+'9. Weather Adj LF'!L36</f>
        <v>1</v>
      </c>
      <c r="L34" s="387">
        <f>+'9. Weather Adj LF'!M36</f>
        <v>1</v>
      </c>
      <c r="M34" s="387">
        <f>+'9. Weather Adj LF'!N36</f>
        <v>1</v>
      </c>
      <c r="N34" s="387">
        <f>+'9. Weather Adj LF'!O36</f>
        <v>1</v>
      </c>
      <c r="O34" s="388">
        <f>+'9. Weather Adj LF'!P36</f>
        <v>1</v>
      </c>
    </row>
    <row r="35" spans="2:15" x14ac:dyDescent="0.2">
      <c r="B35" s="211"/>
      <c r="C35" s="53" t="s">
        <v>36</v>
      </c>
      <c r="D35" s="385">
        <f>+'9. Weather Adj LF'!E37</f>
        <v>23443190</v>
      </c>
      <c r="E35" s="385">
        <f>+'9. Weather Adj LF'!F37</f>
        <v>20583615.100000001</v>
      </c>
      <c r="F35" s="385">
        <f>+'9. Weather Adj LF'!G37</f>
        <v>18805505.400000002</v>
      </c>
      <c r="G35" s="385">
        <f>+'9. Weather Adj LF'!H37</f>
        <v>19554366.59</v>
      </c>
      <c r="H35" s="385">
        <f>+'9. Weather Adj LF'!I37</f>
        <v>19036344.470000003</v>
      </c>
      <c r="I35" s="385">
        <f>+'9. Weather Adj LF'!J37</f>
        <v>15051682</v>
      </c>
      <c r="J35" s="385">
        <f>+'9. Weather Adj LF'!K37</f>
        <v>15193348</v>
      </c>
      <c r="K35" s="385">
        <f>+'9. Weather Adj LF'!L37</f>
        <v>13952451</v>
      </c>
      <c r="L35" s="385">
        <f>+'9. Weather Adj LF'!M37</f>
        <v>12584229</v>
      </c>
      <c r="M35" s="385">
        <f>+'9. Weather Adj LF'!N37</f>
        <v>14943860</v>
      </c>
      <c r="N35" s="385">
        <f>+'9. Weather Adj LF'!O37</f>
        <v>15089930.619954463</v>
      </c>
      <c r="O35" s="386">
        <f>+'10.1 CDM Allocation'!O30</f>
        <v>14887924.507103547</v>
      </c>
    </row>
    <row r="36" spans="2:15" x14ac:dyDescent="0.2">
      <c r="B36" s="211"/>
      <c r="C36" s="53" t="s">
        <v>37</v>
      </c>
      <c r="D36" s="389">
        <f>+'9. Weather Adj LF'!E38</f>
        <v>48478.95</v>
      </c>
      <c r="E36" s="389">
        <f>+'9. Weather Adj LF'!F38</f>
        <v>46226.600000000006</v>
      </c>
      <c r="F36" s="389">
        <f>+'9. Weather Adj LF'!G38</f>
        <v>40463.800000000003</v>
      </c>
      <c r="G36" s="389">
        <f>+'9. Weather Adj LF'!H38</f>
        <v>49628.899999999994</v>
      </c>
      <c r="H36" s="389">
        <f>+'9. Weather Adj LF'!I38</f>
        <v>45255.720000000008</v>
      </c>
      <c r="I36" s="389">
        <f>+'9. Weather Adj LF'!J38</f>
        <v>42335.9</v>
      </c>
      <c r="J36" s="389">
        <f>+'9. Weather Adj LF'!K38</f>
        <v>39662.6</v>
      </c>
      <c r="K36" s="389">
        <f>+'9. Weather Adj LF'!L38</f>
        <v>37942.600000000006</v>
      </c>
      <c r="L36" s="389">
        <f>+'9. Weather Adj LF'!M38</f>
        <v>36603.599999999999</v>
      </c>
      <c r="M36" s="389">
        <f>+'9. Weather Adj LF'!N38</f>
        <v>33867.5</v>
      </c>
      <c r="N36" s="389">
        <f>+'9. Weather Adj LF'!O38</f>
        <v>37269.727733739157</v>
      </c>
      <c r="O36" s="475">
        <f>+'10.1 CDM Allocation'!O48</f>
        <v>36770.80477536923</v>
      </c>
    </row>
    <row r="37" spans="2:15" x14ac:dyDescent="0.2">
      <c r="B37" s="211"/>
      <c r="C37" s="198"/>
      <c r="D37" s="390"/>
      <c r="E37" s="390"/>
      <c r="F37" s="390"/>
      <c r="G37" s="390"/>
      <c r="H37" s="390"/>
      <c r="I37" s="390"/>
      <c r="J37" s="390"/>
      <c r="K37" s="390"/>
      <c r="L37" s="390"/>
      <c r="M37" s="390"/>
      <c r="N37" s="390"/>
      <c r="O37" s="423"/>
    </row>
    <row r="38" spans="2:15" x14ac:dyDescent="0.2">
      <c r="B38" s="803" t="str">
        <f>'9. Weather Adj LF'!C40</f>
        <v>Unmetered Scattered Load</v>
      </c>
      <c r="C38" s="87" t="s">
        <v>129</v>
      </c>
      <c r="D38" s="390">
        <f>+'9. Weather Adj LF'!E40</f>
        <v>68.5</v>
      </c>
      <c r="E38" s="390">
        <f>+'9. Weather Adj LF'!F40</f>
        <v>80.5</v>
      </c>
      <c r="F38" s="390">
        <f>+'9. Weather Adj LF'!G40</f>
        <v>90</v>
      </c>
      <c r="G38" s="390">
        <f>+'9. Weather Adj LF'!H40</f>
        <v>95.5</v>
      </c>
      <c r="H38" s="390">
        <f>+'9. Weather Adj LF'!I40</f>
        <v>95</v>
      </c>
      <c r="I38" s="390">
        <f>+'9. Weather Adj LF'!J40</f>
        <v>96</v>
      </c>
      <c r="J38" s="390">
        <f>+'9. Weather Adj LF'!K40</f>
        <v>94.5</v>
      </c>
      <c r="K38" s="390">
        <f>+'9. Weather Adj LF'!L40</f>
        <v>93.5</v>
      </c>
      <c r="L38" s="390">
        <f>+'9. Weather Adj LF'!M40</f>
        <v>93</v>
      </c>
      <c r="M38" s="390">
        <f>+'9. Weather Adj LF'!N40</f>
        <v>90</v>
      </c>
      <c r="N38" s="390">
        <f>+'9. Weather Adj LF'!O40</f>
        <v>92.771578681015399</v>
      </c>
      <c r="O38" s="423">
        <f>+'9. Weather Adj LF'!P40</f>
        <v>95.628509010753675</v>
      </c>
    </row>
    <row r="39" spans="2:15" x14ac:dyDescent="0.2">
      <c r="B39" s="211"/>
      <c r="C39" s="53" t="s">
        <v>36</v>
      </c>
      <c r="D39" s="390">
        <f>+'9. Weather Adj LF'!E41</f>
        <v>595250.77752402704</v>
      </c>
      <c r="E39" s="390">
        <f>+'9. Weather Adj LF'!F41</f>
        <v>605328</v>
      </c>
      <c r="F39" s="390">
        <f>+'9. Weather Adj LF'!G41</f>
        <v>720399.74271798297</v>
      </c>
      <c r="G39" s="390">
        <f>+'9. Weather Adj LF'!H41</f>
        <v>747874.03424722515</v>
      </c>
      <c r="H39" s="390">
        <f>+'9. Weather Adj LF'!I41</f>
        <v>716622.84621952369</v>
      </c>
      <c r="I39" s="390">
        <f>+'9. Weather Adj LF'!J41</f>
        <v>659574</v>
      </c>
      <c r="J39" s="390">
        <f>+'9. Weather Adj LF'!K41</f>
        <v>627467</v>
      </c>
      <c r="K39" s="390">
        <f>+'9. Weather Adj LF'!L41</f>
        <v>668402</v>
      </c>
      <c r="L39" s="390">
        <f>+'9. Weather Adj LF'!M41</f>
        <v>555548</v>
      </c>
      <c r="M39" s="390">
        <f>+'9. Weather Adj LF'!N41</f>
        <v>602228</v>
      </c>
      <c r="N39" s="390">
        <f>+'9. Weather Adj LF'!O41</f>
        <v>608114.55255830393</v>
      </c>
      <c r="O39" s="423">
        <f>+'10.1 CDM Allocation'!O32</f>
        <v>599973.83541226666</v>
      </c>
    </row>
    <row r="40" spans="2:15" x14ac:dyDescent="0.2">
      <c r="B40" s="211"/>
      <c r="C40" s="53" t="s">
        <v>37</v>
      </c>
      <c r="D40" s="390">
        <f>+'9. Weather Adj LF'!E42</f>
        <v>0</v>
      </c>
      <c r="E40" s="390">
        <f>+'9. Weather Adj LF'!F42</f>
        <v>0</v>
      </c>
      <c r="F40" s="390">
        <f>+'9. Weather Adj LF'!G42</f>
        <v>0</v>
      </c>
      <c r="G40" s="390">
        <f>+'9. Weather Adj LF'!H42</f>
        <v>0</v>
      </c>
      <c r="H40" s="390">
        <f>+'9. Weather Adj LF'!I42</f>
        <v>0</v>
      </c>
      <c r="I40" s="390">
        <f>+'9. Weather Adj LF'!J42</f>
        <v>0</v>
      </c>
      <c r="J40" s="390">
        <f>+'9. Weather Adj LF'!K42</f>
        <v>0</v>
      </c>
      <c r="K40" s="390">
        <f>+'9. Weather Adj LF'!L42</f>
        <v>0</v>
      </c>
      <c r="L40" s="390">
        <f>+'9. Weather Adj LF'!M42</f>
        <v>0</v>
      </c>
      <c r="M40" s="390">
        <f>+'9. Weather Adj LF'!N42</f>
        <v>0</v>
      </c>
      <c r="N40" s="390">
        <f>+'9. Weather Adj LF'!O42</f>
        <v>0</v>
      </c>
      <c r="O40" s="423">
        <f>+'10.1 CDM Allocation'!O50</f>
        <v>0</v>
      </c>
    </row>
    <row r="41" spans="2:15" ht="13.5" thickBot="1" x14ac:dyDescent="0.25">
      <c r="B41" s="89"/>
      <c r="C41" s="90"/>
      <c r="D41" s="294"/>
      <c r="E41" s="294"/>
      <c r="F41" s="294"/>
      <c r="G41" s="294"/>
      <c r="H41" s="294"/>
      <c r="I41" s="294"/>
      <c r="J41" s="294"/>
      <c r="K41" s="294"/>
      <c r="L41" s="294"/>
      <c r="M41" s="294"/>
      <c r="N41" s="474"/>
      <c r="O41" s="428"/>
    </row>
    <row r="42" spans="2:15" hidden="1" x14ac:dyDescent="0.2">
      <c r="B42" s="471" t="str">
        <f>'2. Customer Classes'!B21</f>
        <v>General Service 3000-4999 kW</v>
      </c>
      <c r="C42" s="472"/>
      <c r="D42" s="389"/>
      <c r="E42" s="389"/>
      <c r="F42" s="389"/>
      <c r="G42" s="389"/>
      <c r="H42" s="389"/>
      <c r="I42" s="389"/>
      <c r="J42" s="389"/>
      <c r="K42" s="389"/>
      <c r="L42" s="389"/>
      <c r="M42" s="389"/>
      <c r="N42" s="473"/>
      <c r="O42" s="475"/>
    </row>
    <row r="43" spans="2:15" hidden="1" x14ac:dyDescent="0.2">
      <c r="B43" s="197"/>
      <c r="C43" s="198"/>
      <c r="D43" s="390"/>
      <c r="E43" s="390"/>
      <c r="F43" s="390"/>
      <c r="G43" s="390"/>
      <c r="H43" s="390"/>
      <c r="I43" s="390"/>
      <c r="J43" s="390"/>
      <c r="K43" s="390"/>
      <c r="L43" s="390"/>
      <c r="M43" s="390"/>
      <c r="N43" s="391"/>
      <c r="O43" s="423"/>
    </row>
    <row r="44" spans="2:15" hidden="1" x14ac:dyDescent="0.2">
      <c r="B44" s="197"/>
      <c r="C44" s="198"/>
      <c r="D44" s="390"/>
      <c r="E44" s="390"/>
      <c r="F44" s="390"/>
      <c r="G44" s="390"/>
      <c r="H44" s="390"/>
      <c r="I44" s="390"/>
      <c r="J44" s="390"/>
      <c r="K44" s="390"/>
      <c r="L44" s="390"/>
      <c r="M44" s="390"/>
      <c r="N44" s="391"/>
      <c r="O44" s="423"/>
    </row>
    <row r="45" spans="2:15" hidden="1" x14ac:dyDescent="0.2">
      <c r="B45" s="197"/>
      <c r="C45" s="198"/>
      <c r="D45" s="390"/>
      <c r="E45" s="390"/>
      <c r="F45" s="390"/>
      <c r="G45" s="390"/>
      <c r="H45" s="390"/>
      <c r="I45" s="390"/>
      <c r="J45" s="390"/>
      <c r="K45" s="390"/>
      <c r="L45" s="390"/>
      <c r="M45" s="390"/>
      <c r="N45" s="391"/>
      <c r="O45" s="423"/>
    </row>
    <row r="46" spans="2:15" hidden="1" x14ac:dyDescent="0.2">
      <c r="B46" s="199" t="str">
        <f>'2. Customer Classes'!B22</f>
        <v>other</v>
      </c>
      <c r="C46" s="198"/>
      <c r="D46" s="390"/>
      <c r="E46" s="390"/>
      <c r="F46" s="390"/>
      <c r="G46" s="390"/>
      <c r="H46" s="390"/>
      <c r="I46" s="390"/>
      <c r="J46" s="390"/>
      <c r="K46" s="390"/>
      <c r="L46" s="390"/>
      <c r="M46" s="390"/>
      <c r="N46" s="391"/>
      <c r="O46" s="423"/>
    </row>
    <row r="47" spans="2:15" hidden="1" x14ac:dyDescent="0.2">
      <c r="B47" s="197"/>
      <c r="C47" s="198"/>
      <c r="D47" s="390"/>
      <c r="E47" s="390"/>
      <c r="F47" s="390"/>
      <c r="G47" s="390"/>
      <c r="H47" s="390"/>
      <c r="I47" s="390"/>
      <c r="J47" s="390"/>
      <c r="K47" s="390"/>
      <c r="L47" s="390"/>
      <c r="M47" s="390"/>
      <c r="N47" s="391"/>
      <c r="O47" s="423"/>
    </row>
    <row r="48" spans="2:15" hidden="1" x14ac:dyDescent="0.2">
      <c r="B48" s="197"/>
      <c r="C48" s="198"/>
      <c r="D48" s="390"/>
      <c r="E48" s="390"/>
      <c r="F48" s="390"/>
      <c r="G48" s="390"/>
      <c r="H48" s="390"/>
      <c r="I48" s="390"/>
      <c r="J48" s="390"/>
      <c r="K48" s="390"/>
      <c r="L48" s="390"/>
      <c r="M48" s="390"/>
      <c r="N48" s="391"/>
      <c r="O48" s="423"/>
    </row>
    <row r="49" spans="2:15" hidden="1" x14ac:dyDescent="0.2">
      <c r="B49" s="197"/>
      <c r="C49" s="198"/>
      <c r="D49" s="390"/>
      <c r="E49" s="390"/>
      <c r="F49" s="390"/>
      <c r="G49" s="390"/>
      <c r="H49" s="390"/>
      <c r="I49" s="390"/>
      <c r="J49" s="390"/>
      <c r="K49" s="390"/>
      <c r="L49" s="390"/>
      <c r="M49" s="390"/>
      <c r="N49" s="391"/>
      <c r="O49" s="423"/>
    </row>
    <row r="50" spans="2:15" hidden="1" x14ac:dyDescent="0.2">
      <c r="B50" s="199" t="str">
        <f>'2. Customer Classes'!B23</f>
        <v>other</v>
      </c>
      <c r="C50" s="198"/>
      <c r="D50" s="390"/>
      <c r="E50" s="390"/>
      <c r="F50" s="390"/>
      <c r="G50" s="390"/>
      <c r="H50" s="390"/>
      <c r="I50" s="390"/>
      <c r="J50" s="390"/>
      <c r="K50" s="390"/>
      <c r="L50" s="390"/>
      <c r="M50" s="390"/>
      <c r="N50" s="391"/>
      <c r="O50" s="423"/>
    </row>
    <row r="51" spans="2:15" hidden="1" x14ac:dyDescent="0.2">
      <c r="B51" s="199"/>
      <c r="C51" s="198"/>
      <c r="D51" s="390"/>
      <c r="E51" s="390"/>
      <c r="F51" s="390"/>
      <c r="G51" s="390"/>
      <c r="H51" s="390"/>
      <c r="I51" s="390"/>
      <c r="J51" s="390"/>
      <c r="K51" s="390"/>
      <c r="L51" s="390"/>
      <c r="M51" s="390"/>
      <c r="N51" s="391"/>
      <c r="O51" s="423"/>
    </row>
    <row r="52" spans="2:15" hidden="1" x14ac:dyDescent="0.2">
      <c r="B52" s="199"/>
      <c r="C52" s="198"/>
      <c r="D52" s="390"/>
      <c r="E52" s="390"/>
      <c r="F52" s="390"/>
      <c r="G52" s="390"/>
      <c r="H52" s="390"/>
      <c r="I52" s="390"/>
      <c r="J52" s="390"/>
      <c r="K52" s="390"/>
      <c r="L52" s="390"/>
      <c r="M52" s="390"/>
      <c r="N52" s="391"/>
      <c r="O52" s="423"/>
    </row>
    <row r="53" spans="2:15" hidden="1" x14ac:dyDescent="0.2">
      <c r="B53" s="199"/>
      <c r="C53" s="198"/>
      <c r="D53" s="390"/>
      <c r="E53" s="390"/>
      <c r="F53" s="390"/>
      <c r="G53" s="390"/>
      <c r="H53" s="390"/>
      <c r="I53" s="390"/>
      <c r="J53" s="390"/>
      <c r="K53" s="390"/>
      <c r="L53" s="390"/>
      <c r="M53" s="390"/>
      <c r="N53" s="391"/>
      <c r="O53" s="423"/>
    </row>
    <row r="54" spans="2:15" x14ac:dyDescent="0.2">
      <c r="B54" s="211" t="s">
        <v>16</v>
      </c>
      <c r="C54" s="212" t="s">
        <v>129</v>
      </c>
      <c r="D54" s="392">
        <f>D14+D18+D22+D26+D30+D34+D38+D42+D46+D50</f>
        <v>11681.5</v>
      </c>
      <c r="E54" s="392">
        <f t="shared" ref="E54:O56" si="0">E14+E18+E22+E26+E30+E34+E38+E42+E46+E50</f>
        <v>11912</v>
      </c>
      <c r="F54" s="392">
        <f t="shared" si="0"/>
        <v>12078.5</v>
      </c>
      <c r="G54" s="392">
        <f t="shared" si="0"/>
        <v>12351</v>
      </c>
      <c r="H54" s="392">
        <f t="shared" si="0"/>
        <v>12399</v>
      </c>
      <c r="I54" s="392">
        <f t="shared" si="0"/>
        <v>12538</v>
      </c>
      <c r="J54" s="392">
        <f t="shared" si="0"/>
        <v>12680.5</v>
      </c>
      <c r="K54" s="392">
        <f t="shared" si="0"/>
        <v>12837</v>
      </c>
      <c r="L54" s="392">
        <f t="shared" si="0"/>
        <v>12749</v>
      </c>
      <c r="M54" s="392">
        <f t="shared" si="0"/>
        <v>12935.5</v>
      </c>
      <c r="N54" s="392">
        <f t="shared" si="0"/>
        <v>13086.087493202769</v>
      </c>
      <c r="O54" s="393">
        <f t="shared" si="0"/>
        <v>13239.061241044601</v>
      </c>
    </row>
    <row r="55" spans="2:15" x14ac:dyDescent="0.2">
      <c r="B55" s="211"/>
      <c r="C55" s="212" t="s">
        <v>36</v>
      </c>
      <c r="D55" s="392">
        <f>D15+D19+D23+D27+D31+D35+D39+D43+D47+D51</f>
        <v>251552034.74993616</v>
      </c>
      <c r="E55" s="392">
        <f t="shared" si="0"/>
        <v>251839003.20667353</v>
      </c>
      <c r="F55" s="392">
        <f t="shared" si="0"/>
        <v>251577011.06184733</v>
      </c>
      <c r="G55" s="392">
        <f t="shared" si="0"/>
        <v>247068545.73642835</v>
      </c>
      <c r="H55" s="392">
        <f t="shared" si="0"/>
        <v>249224762.25428456</v>
      </c>
      <c r="I55" s="392">
        <f t="shared" si="0"/>
        <v>249821282.87527573</v>
      </c>
      <c r="J55" s="392">
        <f t="shared" si="0"/>
        <v>249784095.59030855</v>
      </c>
      <c r="K55" s="392">
        <f t="shared" si="0"/>
        <v>248941504.19902664</v>
      </c>
      <c r="L55" s="392">
        <f t="shared" si="0"/>
        <v>241964804.38903457</v>
      </c>
      <c r="M55" s="392">
        <f t="shared" si="0"/>
        <v>245317775.59516424</v>
      </c>
      <c r="N55" s="392">
        <f t="shared" si="0"/>
        <v>247715664.73271206</v>
      </c>
      <c r="O55" s="393">
        <f>O15+O19+O23+O27+O31+O35+O39+O43+O47+O51</f>
        <v>244399540.90250939</v>
      </c>
    </row>
    <row r="56" spans="2:15" ht="13.5" thickBot="1" x14ac:dyDescent="0.25">
      <c r="B56" s="213"/>
      <c r="C56" s="214" t="s">
        <v>37</v>
      </c>
      <c r="D56" s="394">
        <f>D16+D20+D24+D28+D32+D36+D40+D44+D48+D52</f>
        <v>351389.10349632858</v>
      </c>
      <c r="E56" s="394">
        <f t="shared" si="0"/>
        <v>352487.93930811505</v>
      </c>
      <c r="F56" s="394">
        <f t="shared" si="0"/>
        <v>344692.43441398203</v>
      </c>
      <c r="G56" s="394">
        <f t="shared" si="0"/>
        <v>343647.70830015466</v>
      </c>
      <c r="H56" s="394">
        <f t="shared" si="0"/>
        <v>347817.22108054784</v>
      </c>
      <c r="I56" s="394">
        <f t="shared" si="0"/>
        <v>345918.20000000007</v>
      </c>
      <c r="J56" s="394">
        <f t="shared" si="0"/>
        <v>365469.6</v>
      </c>
      <c r="K56" s="394">
        <f t="shared" si="0"/>
        <v>364887.6</v>
      </c>
      <c r="L56" s="394">
        <f t="shared" si="0"/>
        <v>354496.39999999991</v>
      </c>
      <c r="M56" s="394">
        <f t="shared" si="0"/>
        <v>344229.9</v>
      </c>
      <c r="N56" s="394">
        <f t="shared" si="0"/>
        <v>336344.71925234282</v>
      </c>
      <c r="O56" s="395">
        <f t="shared" si="0"/>
        <v>331842.13464640349</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81" orientation="landscape" horizontalDpi="4294967294" vertic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C25" sqref="C25"/>
    </sheetView>
  </sheetViews>
  <sheetFormatPr defaultColWidth="10.5" defaultRowHeight="12.75" x14ac:dyDescent="0.2"/>
  <cols>
    <col min="1" max="1" width="13.6640625" style="56" customWidth="1"/>
    <col min="2" max="2" width="24.5" style="56" customWidth="1"/>
    <col min="3" max="16" width="14.1640625" style="56" customWidth="1"/>
    <col min="17" max="17" width="10.83203125" style="56" customWidth="1"/>
    <col min="18" max="18" width="8.5" style="56" bestFit="1" customWidth="1"/>
    <col min="19" max="19" width="10.6640625" style="56" bestFit="1" customWidth="1"/>
    <col min="20" max="20" width="8.33203125" style="56" bestFit="1" customWidth="1"/>
    <col min="21" max="22" width="9" style="56" bestFit="1" customWidth="1"/>
    <col min="23" max="23" width="10.83203125" style="56" customWidth="1"/>
    <col min="24" max="24" width="9.6640625" style="56" bestFit="1" customWidth="1"/>
    <col min="25" max="25" width="8.5" style="56" bestFit="1" customWidth="1"/>
    <col min="26" max="26" width="9.5" style="56" bestFit="1" customWidth="1"/>
    <col min="27" max="27" width="8.33203125" style="56" bestFit="1" customWidth="1"/>
    <col min="28" max="29" width="9" style="56" bestFit="1" customWidth="1"/>
    <col min="30" max="30" width="10.83203125" style="56" bestFit="1" customWidth="1"/>
    <col min="31" max="31" width="8" style="56" bestFit="1" customWidth="1"/>
    <col min="32" max="32" width="9" style="56" bestFit="1" customWidth="1"/>
    <col min="33" max="16384" width="10.5" style="56"/>
  </cols>
  <sheetData>
    <row r="1" spans="1:16" x14ac:dyDescent="0.2">
      <c r="A1" s="726" t="s">
        <v>266</v>
      </c>
    </row>
    <row r="11" spans="1:16" ht="23.25" x14ac:dyDescent="0.2">
      <c r="B11" s="154" t="s">
        <v>58</v>
      </c>
    </row>
    <row r="12" spans="1:16" ht="13.5" thickBot="1" x14ac:dyDescent="0.25"/>
    <row r="13" spans="1:16" ht="40.5" customHeight="1" x14ac:dyDescent="0.2">
      <c r="B13" s="202"/>
      <c r="C13" s="983" t="str">
        <f>+'11. Final Load Forecast'!B14</f>
        <v>Residential</v>
      </c>
      <c r="D13" s="984"/>
      <c r="E13" s="983" t="str">
        <f>+'11. Final Load Forecast'!B18</f>
        <v>General Service &lt; 50 kW</v>
      </c>
      <c r="F13" s="984"/>
      <c r="G13" s="986" t="str">
        <f>+'11. Final Load Forecast'!B22</f>
        <v>General Service &gt; 50 kW - 2999 kW</v>
      </c>
      <c r="H13" s="987"/>
      <c r="I13" s="986" t="str">
        <f>+'11. Final Load Forecast'!B26</f>
        <v>Streetlighting</v>
      </c>
      <c r="J13" s="987"/>
      <c r="K13" s="986" t="str">
        <f>+'11. Final Load Forecast'!B30</f>
        <v>Sentinel Lighting</v>
      </c>
      <c r="L13" s="987"/>
      <c r="M13" s="983" t="str">
        <f>+'11. Final Load Forecast'!B34</f>
        <v>General Service 3000-4999 kW</v>
      </c>
      <c r="N13" s="984"/>
      <c r="O13" s="983" t="str">
        <f>+'11. Final Load Forecast'!B38</f>
        <v>Unmetered Scattered Load</v>
      </c>
      <c r="P13" s="985"/>
    </row>
    <row r="14" spans="1:16" ht="25.5" x14ac:dyDescent="0.2">
      <c r="B14" s="91" t="s">
        <v>33</v>
      </c>
      <c r="C14" s="92" t="s">
        <v>47</v>
      </c>
      <c r="D14" s="92" t="s">
        <v>130</v>
      </c>
      <c r="E14" s="92" t="s">
        <v>47</v>
      </c>
      <c r="F14" s="92" t="s">
        <v>130</v>
      </c>
      <c r="G14" s="92" t="s">
        <v>47</v>
      </c>
      <c r="H14" s="92" t="s">
        <v>130</v>
      </c>
      <c r="I14" s="92" t="s">
        <v>47</v>
      </c>
      <c r="J14" s="92" t="s">
        <v>130</v>
      </c>
      <c r="K14" s="92" t="s">
        <v>47</v>
      </c>
      <c r="L14" s="92" t="s">
        <v>130</v>
      </c>
      <c r="M14" s="92" t="s">
        <v>47</v>
      </c>
      <c r="N14" s="92" t="s">
        <v>130</v>
      </c>
      <c r="O14" s="92" t="s">
        <v>47</v>
      </c>
      <c r="P14" s="93" t="s">
        <v>130</v>
      </c>
    </row>
    <row r="15" spans="1:16" x14ac:dyDescent="0.2">
      <c r="B15" s="203">
        <f>'4. Customer Growth'!B17</f>
        <v>2006</v>
      </c>
      <c r="C15" s="94">
        <f>+'11. Final Load Forecast'!$D$15/'11. Final Load Forecast'!$D$14</f>
        <v>9292.6924684019214</v>
      </c>
      <c r="D15" s="94">
        <f>+'11. Final Load Forecast'!$D$16/'11. Final Load Forecast'!$D$14</f>
        <v>0</v>
      </c>
      <c r="E15" s="94">
        <f>+'11. Final Load Forecast'!$D$19/'11. Final Load Forecast'!$D$18</f>
        <v>31787.395732997185</v>
      </c>
      <c r="F15" s="94">
        <f>+'11. Final Load Forecast'!$D$20/'11. Final Load Forecast'!$D$18</f>
        <v>0</v>
      </c>
      <c r="G15" s="94">
        <f>+'11. Final Load Forecast'!$D$23/'11. Final Load Forecast'!$D$22</f>
        <v>831448.12371134025</v>
      </c>
      <c r="H15" s="94">
        <f>+'11. Final Load Forecast'!$D$24/'11. Final Load Forecast'!$D$22</f>
        <v>2044.5175257731958</v>
      </c>
      <c r="I15" s="94">
        <f>+'11. Final Load Forecast'!$D$27/'11. Final Load Forecast'!$D$26</f>
        <v>720.06358013218528</v>
      </c>
      <c r="J15" s="94">
        <f>+'11. Final Load Forecast'!$D$28/'11. Final Load Forecast'!$D$26</f>
        <v>1.9548858105578435</v>
      </c>
      <c r="K15" s="94">
        <f>+'11. Final Load Forecast'!$D$31/'11. Final Load Forecast'!$D$30</f>
        <v>1382.9762919831635</v>
      </c>
      <c r="L15" s="94">
        <f>+'11. Final Load Forecast'!$D$32/'11. Final Load Forecast'!$D$30</f>
        <v>3.8427908423372843</v>
      </c>
      <c r="M15" s="94">
        <f>+'11. Final Load Forecast'!$D$35/'11. Final Load Forecast'!$D$34</f>
        <v>23443190</v>
      </c>
      <c r="N15" s="94">
        <f>+'11. Final Load Forecast'!$D$36/'11. Final Load Forecast'!$D$34</f>
        <v>48478.95</v>
      </c>
      <c r="O15" s="94">
        <f>+'11. Final Load Forecast'!$D$39/'11. Final Load Forecast'!$D$39</f>
        <v>1</v>
      </c>
      <c r="P15" s="95">
        <f>+'11. Final Load Forecast'!$D$40/'11. Final Load Forecast'!$D$39</f>
        <v>0</v>
      </c>
    </row>
    <row r="16" spans="1:16" x14ac:dyDescent="0.2">
      <c r="B16" s="203">
        <f>'4. Customer Growth'!B18</f>
        <v>2007</v>
      </c>
      <c r="C16" s="94">
        <f>+'11. Final Load Forecast'!$E$15/'11. Final Load Forecast'!$E$14</f>
        <v>9194.2752275719013</v>
      </c>
      <c r="D16" s="94">
        <f>+'11. Final Load Forecast'!$E$16/'11. Final Load Forecast'!$E$14</f>
        <v>0</v>
      </c>
      <c r="E16" s="94">
        <f>+'11. Final Load Forecast'!$E$19/'11. Final Load Forecast'!$E$18</f>
        <v>32716.20577289864</v>
      </c>
      <c r="F16" s="94">
        <f>+'11. Final Load Forecast'!$E$20/'11. Final Load Forecast'!$E$18</f>
        <v>0</v>
      </c>
      <c r="G16" s="94">
        <f>+'11. Final Load Forecast'!$E$23/'11. Final Load Forecast'!$E$22</f>
        <v>829946.98983050848</v>
      </c>
      <c r="H16" s="94">
        <f>+'11. Final Load Forecast'!$E$24/'11. Final Load Forecast'!$E$22</f>
        <v>2039.3837288135596</v>
      </c>
      <c r="I16" s="94">
        <f>+'11. Final Load Forecast'!$E$27/'11. Final Load Forecast'!$E$26</f>
        <v>704.31206707983961</v>
      </c>
      <c r="J16" s="94">
        <f>+'11. Final Load Forecast'!$E$28/'11. Final Load Forecast'!$E$26</f>
        <v>1.9102807145461174</v>
      </c>
      <c r="K16" s="94">
        <f>+'11. Final Load Forecast'!$E$31/'11. Final Load Forecast'!$E$30</f>
        <v>1389.8572894801673</v>
      </c>
      <c r="L16" s="94">
        <f>+'11. Final Load Forecast'!$E$32/'11. Final Load Forecast'!$E$30</f>
        <v>3.8607146930004648</v>
      </c>
      <c r="M16" s="94">
        <f>+'11. Final Load Forecast'!$E$35/'11. Final Load Forecast'!$E$34</f>
        <v>20583615.100000001</v>
      </c>
      <c r="N16" s="94">
        <f>+'11. Final Load Forecast'!$E$36/'11. Final Load Forecast'!$E$34</f>
        <v>46226.600000000006</v>
      </c>
      <c r="O16" s="94">
        <f>+'11. Final Load Forecast'!$E$39/'11. Final Load Forecast'!$E$38</f>
        <v>7519.6024844720496</v>
      </c>
      <c r="P16" s="95">
        <f>+'11. Final Load Forecast'!$E$40/'11. Final Load Forecast'!$E$38</f>
        <v>0</v>
      </c>
    </row>
    <row r="17" spans="2:16" x14ac:dyDescent="0.2">
      <c r="B17" s="203">
        <f>'4. Customer Growth'!B19</f>
        <v>2008</v>
      </c>
      <c r="C17" s="94">
        <f>+'11. Final Load Forecast'!$F$15/'11. Final Load Forecast'!$F$14</f>
        <v>9282.1154556602905</v>
      </c>
      <c r="D17" s="94">
        <f>+'11. Final Load Forecast'!$F$16/'11. Final Load Forecast'!$F$14</f>
        <v>0</v>
      </c>
      <c r="E17" s="94">
        <f>+'11. Final Load Forecast'!$F$19/'11. Final Load Forecast'!$F$18</f>
        <v>33651.900747368207</v>
      </c>
      <c r="F17" s="94">
        <f>+'11. Final Load Forecast'!$F$20/'11. Final Load Forecast'!$F$18</f>
        <v>0</v>
      </c>
      <c r="G17" s="94">
        <f>+'11. Final Load Forecast'!$F$23/'11. Final Load Forecast'!$F$22</f>
        <v>909799.81954887218</v>
      </c>
      <c r="H17" s="94">
        <f>+'11. Final Load Forecast'!$F$24/'11. Final Load Forecast'!$F$22</f>
        <v>2247.4616541353384</v>
      </c>
      <c r="I17" s="94">
        <f>+'11. Final Load Forecast'!$F$27/'11. Final Load Forecast'!$F$26</f>
        <v>668.74311548001072</v>
      </c>
      <c r="J17" s="94">
        <f>+'11. Final Load Forecast'!$F$28/'11. Final Load Forecast'!$F$26</f>
        <v>1.8228428213390622</v>
      </c>
      <c r="K17" s="94">
        <f>+'11. Final Load Forecast'!$F$31/'11. Final Load Forecast'!$F$30</f>
        <v>1397.4793015899727</v>
      </c>
      <c r="L17" s="94">
        <f>+'11. Final Load Forecast'!$F$32/'11. Final Load Forecast'!$F$30</f>
        <v>3.8799036893447711</v>
      </c>
      <c r="M17" s="94">
        <f>+'11. Final Load Forecast'!$F$35/'11. Final Load Forecast'!$F$34</f>
        <v>18805505.400000002</v>
      </c>
      <c r="N17" s="94">
        <f>+'11. Final Load Forecast'!$F$36/'11. Final Load Forecast'!$F$34</f>
        <v>40463.800000000003</v>
      </c>
      <c r="O17" s="94">
        <f>+'11. Final Load Forecast'!$F$39/'11. Final Load Forecast'!$F$38</f>
        <v>8004.4415857553668</v>
      </c>
      <c r="P17" s="95">
        <f>+'11. Final Load Forecast'!$F$40/'11. Final Load Forecast'!$F$38</f>
        <v>0</v>
      </c>
    </row>
    <row r="18" spans="2:16" x14ac:dyDescent="0.2">
      <c r="B18" s="203">
        <f>'4. Customer Growth'!B20</f>
        <v>2009</v>
      </c>
      <c r="C18" s="94">
        <f>+'11. Final Load Forecast'!$G$15/'11. Final Load Forecast'!$G$14</f>
        <v>9118.4338578545176</v>
      </c>
      <c r="D18" s="94">
        <f>+'11. Final Load Forecast'!$G$16/'11. Final Load Forecast'!$G$14</f>
        <v>0</v>
      </c>
      <c r="E18" s="94">
        <f>+'11. Final Load Forecast'!$G$19/'11. Final Load Forecast'!$G$18</f>
        <v>33697.380746364113</v>
      </c>
      <c r="F18" s="94">
        <f>+'11. Final Load Forecast'!$G$20/'11. Final Load Forecast'!$G$18</f>
        <v>0</v>
      </c>
      <c r="G18" s="94">
        <f>+'11. Final Load Forecast'!$G$23/'11. Final Load Forecast'!$G$22</f>
        <v>887073.05019305018</v>
      </c>
      <c r="H18" s="94">
        <f>+'11. Final Load Forecast'!$G$24/'11. Final Load Forecast'!$G$22</f>
        <v>2240.483397683397</v>
      </c>
      <c r="I18" s="94">
        <f>+'11. Final Load Forecast'!$G$27/'11. Final Load Forecast'!$G$26</f>
        <v>479.80862044278274</v>
      </c>
      <c r="J18" s="94">
        <f>+'11. Final Load Forecast'!$G$28/'11. Final Load Forecast'!$G$26</f>
        <v>1.2978511809625286</v>
      </c>
      <c r="K18" s="94">
        <f>+'11. Final Load Forecast'!$G$31/'11. Final Load Forecast'!$G$30</f>
        <v>1324.3644895585603</v>
      </c>
      <c r="L18" s="94">
        <f>+'11. Final Load Forecast'!$G$32/'11. Final Load Forecast'!$G$30</f>
        <v>3.7329126076436463</v>
      </c>
      <c r="M18" s="94">
        <f>+'11. Final Load Forecast'!$G$35/'11. Final Load Forecast'!$G$34</f>
        <v>19554366.59</v>
      </c>
      <c r="N18" s="94">
        <f>+'11. Final Load Forecast'!$G$36/'11. Final Load Forecast'!$G$34</f>
        <v>49628.899999999994</v>
      </c>
      <c r="O18" s="94">
        <f>+'11. Final Load Forecast'!$G$39/'11. Final Load Forecast'!$G$38</f>
        <v>7831.1417198662321</v>
      </c>
      <c r="P18" s="95">
        <f>+'11. Final Load Forecast'!$G$40/'11. Final Load Forecast'!$G$38</f>
        <v>0</v>
      </c>
    </row>
    <row r="19" spans="2:16" x14ac:dyDescent="0.2">
      <c r="B19" s="203">
        <f>'4. Customer Growth'!B21</f>
        <v>2010</v>
      </c>
      <c r="C19" s="94">
        <f>+'11. Final Load Forecast'!$H$15/'11. Final Load Forecast'!$H$14</f>
        <v>8851.5150164075876</v>
      </c>
      <c r="D19" s="94">
        <f>+'11. Final Load Forecast'!$H$16/'11. Final Load Forecast'!$H$14</f>
        <v>0</v>
      </c>
      <c r="E19" s="94">
        <f>+'11. Final Load Forecast'!$H$19/'11. Final Load Forecast'!$H$18</f>
        <v>32284.570714190617</v>
      </c>
      <c r="F19" s="94">
        <f>+'11. Final Load Forecast'!$H$20/'11. Final Load Forecast'!$H$18</f>
        <v>0</v>
      </c>
      <c r="G19" s="94">
        <f>+'11. Final Load Forecast'!$H$23/'11. Final Load Forecast'!$H$22</f>
        <v>918249.87022900768</v>
      </c>
      <c r="H19" s="94">
        <f>+'11. Final Load Forecast'!$H$24/'11. Final Load Forecast'!$H$22</f>
        <v>2282.7519847328244</v>
      </c>
      <c r="I19" s="94">
        <f>+'11. Final Load Forecast'!$H$27/'11. Final Load Forecast'!$H$26</f>
        <v>433.96865216772602</v>
      </c>
      <c r="J19" s="94">
        <f>+'11. Final Load Forecast'!$H$28/'11. Final Load Forecast'!$H$26</f>
        <v>1.1998183139534881</v>
      </c>
      <c r="K19" s="94">
        <f>+'11. Final Load Forecast'!$H$31/'11. Final Load Forecast'!$H$30</f>
        <v>984.03755565899564</v>
      </c>
      <c r="L19" s="94">
        <f>+'11. Final Load Forecast'!$H$32/'11. Final Load Forecast'!$H$30</f>
        <v>3.9834741917781029</v>
      </c>
      <c r="M19" s="94">
        <f>+'11. Final Load Forecast'!$H$35/'11. Final Load Forecast'!$H$34</f>
        <v>19036344.470000003</v>
      </c>
      <c r="N19" s="94">
        <f>+'11. Final Load Forecast'!$H$36/'11. Final Load Forecast'!$H$34</f>
        <v>45255.720000000008</v>
      </c>
      <c r="O19" s="94">
        <f>+'11. Final Load Forecast'!$H$39/'11. Final Load Forecast'!$H$38</f>
        <v>7543.3983812581446</v>
      </c>
      <c r="P19" s="95">
        <f>+'11. Final Load Forecast'!$H$40/'11. Final Load Forecast'!$H$38</f>
        <v>0</v>
      </c>
    </row>
    <row r="20" spans="2:16" x14ac:dyDescent="0.2">
      <c r="B20" s="203">
        <f>'4. Customer Growth'!B22</f>
        <v>2011</v>
      </c>
      <c r="C20" s="94">
        <f>+'11. Final Load Forecast'!$I$15/'11. Final Load Forecast'!$I$14</f>
        <v>8687.644021412194</v>
      </c>
      <c r="D20" s="94">
        <f>+'11. Final Load Forecast'!$I$16/'11. Final Load Forecast'!$I$14</f>
        <v>0</v>
      </c>
      <c r="E20" s="94">
        <f>+'11. Final Load Forecast'!$I$19/'11. Final Load Forecast'!$I$18</f>
        <v>36191.130065154292</v>
      </c>
      <c r="F20" s="94">
        <f>+'11. Final Load Forecast'!$I$20/'11. Final Load Forecast'!$I$18</f>
        <v>0</v>
      </c>
      <c r="G20" s="94">
        <f>+'11. Final Load Forecast'!$I$23/'11. Final Load Forecast'!$I$22</f>
        <v>918896.68441064644</v>
      </c>
      <c r="H20" s="94">
        <f>+'11. Final Load Forecast'!$I$24/'11. Final Load Forecast'!$I$22</f>
        <v>2282.3520912547533</v>
      </c>
      <c r="I20" s="94">
        <f>+'11. Final Load Forecast'!$I$27/'11. Final Load Forecast'!$I$26</f>
        <v>443.26458861906485</v>
      </c>
      <c r="J20" s="94">
        <f>+'11. Final Load Forecast'!$I$28/'11. Final Load Forecast'!$I$26</f>
        <v>1.2036969916636462</v>
      </c>
      <c r="K20" s="94">
        <f>+'11. Final Load Forecast'!$I$31/'11. Final Load Forecast'!$I$30</f>
        <v>825.62264150943395</v>
      </c>
      <c r="L20" s="94">
        <f>+'11. Final Load Forecast'!$I$32/'11. Final Load Forecast'!$I$30</f>
        <v>2.4905660377358489</v>
      </c>
      <c r="M20" s="94">
        <f>+'11. Final Load Forecast'!$I$35/'11. Final Load Forecast'!$I$34</f>
        <v>15051682</v>
      </c>
      <c r="N20" s="94">
        <f>+'11. Final Load Forecast'!$I$36/'11. Final Load Forecast'!$I$34</f>
        <v>42335.9</v>
      </c>
      <c r="O20" s="94">
        <f>+'11. Final Load Forecast'!$I$39/'11. Final Load Forecast'!$I$38</f>
        <v>6870.5625</v>
      </c>
      <c r="P20" s="95">
        <f>+'11. Final Load Forecast'!$I$40/'11. Final Load Forecast'!$I$38</f>
        <v>0</v>
      </c>
    </row>
    <row r="21" spans="2:16" x14ac:dyDescent="0.2">
      <c r="B21" s="203">
        <f>'4. Customer Growth'!B23</f>
        <v>2012</v>
      </c>
      <c r="C21" s="94">
        <f>+'11. Final Load Forecast'!$J$15/'11. Final Load Forecast'!$J$14</f>
        <v>8324.5167588089098</v>
      </c>
      <c r="D21" s="94">
        <f>+'11. Final Load Forecast'!$J$16/'11. Final Load Forecast'!$J$14</f>
        <v>0</v>
      </c>
      <c r="E21" s="94">
        <f>+'11. Final Load Forecast'!$J$19/'11. Final Load Forecast'!$J$18</f>
        <v>31115.634696778419</v>
      </c>
      <c r="F21" s="94">
        <f>+'11. Final Load Forecast'!$J$20/'11. Final Load Forecast'!$J$18</f>
        <v>0</v>
      </c>
      <c r="G21" s="94">
        <f>+'11. Final Load Forecast'!$J$23/'11. Final Load Forecast'!$J$22</f>
        <v>938192.16788321163</v>
      </c>
      <c r="H21" s="94">
        <f>+'11. Final Load Forecast'!$J$24/'11. Final Load Forecast'!$J$22</f>
        <v>2352.8102189781021</v>
      </c>
      <c r="I21" s="94">
        <f>+'11. Final Load Forecast'!$J$27/'11. Final Load Forecast'!$J$26</f>
        <v>436.16274089935763</v>
      </c>
      <c r="J21" s="94">
        <f>+'11. Final Load Forecast'!$J$28/'11. Final Load Forecast'!$J$26</f>
        <v>1.192005710206995</v>
      </c>
      <c r="K21" s="94">
        <f>+'11. Final Load Forecast'!$J$31/'11. Final Load Forecast'!$J$30</f>
        <v>776.62962962962968</v>
      </c>
      <c r="L21" s="94">
        <f>+'11. Final Load Forecast'!$J$32/'11. Final Load Forecast'!$J$30</f>
        <v>2.4444444444444446</v>
      </c>
      <c r="M21" s="94">
        <f>+'11. Final Load Forecast'!$J$35/'11. Final Load Forecast'!$J$34</f>
        <v>15193348</v>
      </c>
      <c r="N21" s="94">
        <f>+'11. Final Load Forecast'!$J$36/'11. Final Load Forecast'!$J$34</f>
        <v>39662.6</v>
      </c>
      <c r="O21" s="94">
        <f>+'11. Final Load Forecast'!$J$39/'11. Final Load Forecast'!$J$38</f>
        <v>6639.862433862434</v>
      </c>
      <c r="P21" s="95">
        <f>+'11. Final Load Forecast'!$J$40/'11. Final Load Forecast'!$J$38</f>
        <v>0</v>
      </c>
    </row>
    <row r="22" spans="2:16" x14ac:dyDescent="0.2">
      <c r="B22" s="203">
        <f>'4. Customer Growth'!B24</f>
        <v>2013</v>
      </c>
      <c r="C22" s="94">
        <f>+'11. Final Load Forecast'!$K$15/'11. Final Load Forecast'!$K$14</f>
        <v>8616.4387529464784</v>
      </c>
      <c r="D22" s="94">
        <f>+'11. Final Load Forecast'!$K$16/'11. Final Load Forecast'!$K$14</f>
        <v>0</v>
      </c>
      <c r="E22" s="94">
        <f>+'11. Final Load Forecast'!$K$19/'11. Final Load Forecast'!$K$18</f>
        <v>31509.93107500696</v>
      </c>
      <c r="F22" s="94">
        <f>+'11. Final Load Forecast'!$K$20/'11. Final Load Forecast'!$K$18</f>
        <v>0</v>
      </c>
      <c r="G22" s="94">
        <f>+'11. Final Load Forecast'!$K$23/'11. Final Load Forecast'!$K$22</f>
        <v>885899.78091872786</v>
      </c>
      <c r="H22" s="94">
        <f>+'11. Final Load Forecast'!$K$24/'11. Final Load Forecast'!$K$22</f>
        <v>2285.7031802120141</v>
      </c>
      <c r="I22" s="94">
        <f>+'11. Final Load Forecast'!$K$27/'11. Final Load Forecast'!$K$26</f>
        <v>436.74109014675054</v>
      </c>
      <c r="J22" s="94">
        <f>+'11. Final Load Forecast'!$K$28/'11. Final Load Forecast'!$K$26</f>
        <v>1.183088749126485</v>
      </c>
      <c r="K22" s="94">
        <f>+'11. Final Load Forecast'!$K$31/'11. Final Load Forecast'!$K$30</f>
        <v>821.38888888888891</v>
      </c>
      <c r="L22" s="94">
        <f>+'11. Final Load Forecast'!$K$32/'11. Final Load Forecast'!$K$30</f>
        <v>2.4444444444444446</v>
      </c>
      <c r="M22" s="94">
        <f>+'11. Final Load Forecast'!$K$35/'11. Final Load Forecast'!$K$34</f>
        <v>13952451</v>
      </c>
      <c r="N22" s="94">
        <f>+'11. Final Load Forecast'!$K$36/'11. Final Load Forecast'!$K$34</f>
        <v>37942.600000000006</v>
      </c>
      <c r="O22" s="94">
        <f>+'11. Final Load Forecast'!$K$39/'11. Final Load Forecast'!$K$38</f>
        <v>7148.6844919786099</v>
      </c>
      <c r="P22" s="95">
        <f>+'11. Final Load Forecast'!$K$40/'11. Final Load Forecast'!$K$38</f>
        <v>0</v>
      </c>
    </row>
    <row r="23" spans="2:16" x14ac:dyDescent="0.2">
      <c r="B23" s="203">
        <f>'4. Customer Growth'!B25</f>
        <v>2014</v>
      </c>
      <c r="C23" s="94">
        <f>+'11. Final Load Forecast'!$L$15/'11. Final Load Forecast'!$L$14</f>
        <v>8648.1159965037805</v>
      </c>
      <c r="D23" s="94">
        <f>+'11. Final Load Forecast'!$L$16/'11. Final Load Forecast'!$L$14</f>
        <v>0</v>
      </c>
      <c r="E23" s="94">
        <f>+'11. Final Load Forecast'!$L$19/'11. Final Load Forecast'!$L$18</f>
        <v>30347.089566367064</v>
      </c>
      <c r="F23" s="94">
        <f>+'11. Final Load Forecast'!$L$20/'11. Final Load Forecast'!$L$18</f>
        <v>0</v>
      </c>
      <c r="G23" s="94">
        <f>+'11. Final Load Forecast'!$L$23/'11. Final Load Forecast'!$L$22</f>
        <v>864754.68115942029</v>
      </c>
      <c r="H23" s="94">
        <f>+'11. Final Load Forecast'!$L$24/'11. Final Load Forecast'!$L$22</f>
        <v>2277.9144927536227</v>
      </c>
      <c r="I23" s="94">
        <f>+'11. Final Load Forecast'!$L$27/'11. Final Load Forecast'!$L$26</f>
        <v>477.69665907365226</v>
      </c>
      <c r="J23" s="94">
        <f>+'11. Final Load Forecast'!$L$28/'11. Final Load Forecast'!$L$26</f>
        <v>1.2940774487471525</v>
      </c>
      <c r="K23" s="94">
        <f>+'11. Final Load Forecast'!$L$31/'11. Final Load Forecast'!$L$30</f>
        <v>795.24074074074076</v>
      </c>
      <c r="L23" s="94">
        <f>+'11. Final Load Forecast'!$L$32/'11. Final Load Forecast'!$L$30</f>
        <v>2.4444444444444446</v>
      </c>
      <c r="M23" s="94">
        <f>+'11. Final Load Forecast'!$L$35/'11. Final Load Forecast'!$L$34</f>
        <v>12584229</v>
      </c>
      <c r="N23" s="94">
        <f>+'11. Final Load Forecast'!$L$36/'11. Final Load Forecast'!$L$34</f>
        <v>36603.599999999999</v>
      </c>
      <c r="O23" s="94">
        <f>+'11. Final Load Forecast'!$L$39/'11. Final Load Forecast'!$L$38</f>
        <v>5973.6344086021509</v>
      </c>
      <c r="P23" s="95">
        <f>+'11. Final Load Forecast'!$L$40/'11. Final Load Forecast'!$L$38</f>
        <v>0</v>
      </c>
    </row>
    <row r="24" spans="2:16" x14ac:dyDescent="0.2">
      <c r="B24" s="203">
        <f>'4. Customer Growth'!B26</f>
        <v>2015</v>
      </c>
      <c r="C24" s="94">
        <f>+'11. Final Load Forecast'!$M$15/'11. Final Load Forecast'!$M$14</f>
        <v>8966.9430862056724</v>
      </c>
      <c r="D24" s="94">
        <f>+'11. Final Load Forecast'!$M$16/'11. Final Load Forecast'!$M$14</f>
        <v>0</v>
      </c>
      <c r="E24" s="94">
        <f>+'11. Final Load Forecast'!$M$19/'11. Final Load Forecast'!$M$18</f>
        <v>30562.135753342773</v>
      </c>
      <c r="F24" s="94">
        <f>+'11. Final Load Forecast'!$M$20/'11. Final Load Forecast'!$M$18</f>
        <v>0</v>
      </c>
      <c r="G24" s="94">
        <f>+'11. Final Load Forecast'!$M$23/'11. Final Load Forecast'!$M$22</f>
        <v>863327.95522388059</v>
      </c>
      <c r="H24" s="94">
        <f>+'11. Final Load Forecast'!$M$24/'11. Final Load Forecast'!$M$22</f>
        <v>2289.6597014925374</v>
      </c>
      <c r="I24" s="94">
        <f>+'11. Final Load Forecast'!$M$27/'11. Final Load Forecast'!$M$26</f>
        <v>534.49628804751296</v>
      </c>
      <c r="J24" s="94">
        <f>+'11. Final Load Forecast'!$M$28/'11. Final Load Forecast'!$M$26</f>
        <v>1.2680029695619897</v>
      </c>
      <c r="K24" s="94">
        <f>+'11. Final Load Forecast'!$M$31/'11. Final Load Forecast'!$M$30</f>
        <v>811.44444444444446</v>
      </c>
      <c r="L24" s="94">
        <f>+'11. Final Load Forecast'!$M$32/'11. Final Load Forecast'!$M$30</f>
        <v>2.4444444444444446</v>
      </c>
      <c r="M24" s="94">
        <f>+'11. Final Load Forecast'!$M$35/'11. Final Load Forecast'!$M$34</f>
        <v>14943860</v>
      </c>
      <c r="N24" s="94">
        <f>+'11. Final Load Forecast'!$M$36/'11. Final Load Forecast'!$M$34</f>
        <v>33867.5</v>
      </c>
      <c r="O24" s="94">
        <f>+'11. Final Load Forecast'!$M$39/'11. Final Load Forecast'!$M$38</f>
        <v>6691.4222222222224</v>
      </c>
      <c r="P24" s="95">
        <f>+'11. Final Load Forecast'!$M$40/'11. Final Load Forecast'!$M$38</f>
        <v>0</v>
      </c>
    </row>
    <row r="25" spans="2:16" x14ac:dyDescent="0.2">
      <c r="B25" s="204" t="str">
        <f>'4. Customer Growth'!B30</f>
        <v>2016</v>
      </c>
      <c r="C25" s="94">
        <f>+'11. Final Load Forecast'!$N$15/'11. Final Load Forecast'!$N$14</f>
        <v>8912.2326512839863</v>
      </c>
      <c r="D25" s="94">
        <f>+'11. Final Load Forecast'!$N$16/'11. Final Load Forecast'!$N$14</f>
        <v>0</v>
      </c>
      <c r="E25" s="94">
        <f>+'11. Final Load Forecast'!$N$19/'11. Final Load Forecast'!$N$18</f>
        <v>30728.131752142199</v>
      </c>
      <c r="F25" s="94">
        <f>+'11. Final Load Forecast'!$N$20/'11. Final Load Forecast'!$N$18</f>
        <v>0</v>
      </c>
      <c r="G25" s="94">
        <f>+'11. Final Load Forecast'!$N$23/'11. Final Load Forecast'!$N$22</f>
        <v>879778.59103285149</v>
      </c>
      <c r="H25" s="94">
        <f>+'11. Final Load Forecast'!$N$24/'11. Final Load Forecast'!$N$22</f>
        <v>2221.9866840216528</v>
      </c>
      <c r="I25" s="94">
        <f>+'11. Final Load Forecast'!$N$27/'11. Final Load Forecast'!$N$26</f>
        <v>539.20685077226506</v>
      </c>
      <c r="J25" s="94">
        <f>+'11. Final Load Forecast'!$N$28/'11. Final Load Forecast'!$N$26</f>
        <v>1.4483799769793799</v>
      </c>
      <c r="K25" s="94">
        <f>+'11. Final Load Forecast'!$N$31/'11. Final Load Forecast'!$N$30</f>
        <v>821.04825150729971</v>
      </c>
      <c r="L25" s="94">
        <f>+'11. Final Load Forecast'!$N$32/'11. Final Load Forecast'!$N$30</f>
        <v>2.4981129787608509</v>
      </c>
      <c r="M25" s="94">
        <f>+'11. Final Load Forecast'!$N$35/'11. Final Load Forecast'!$N$34</f>
        <v>15089930.619954463</v>
      </c>
      <c r="N25" s="94">
        <f>+'11. Final Load Forecast'!$N$36/'11. Final Load Forecast'!$N$34</f>
        <v>37269.727733739157</v>
      </c>
      <c r="O25" s="94">
        <f>+'11. Final Load Forecast'!$N$39/'11. Final Load Forecast'!$N$38</f>
        <v>6554.9660920316683</v>
      </c>
      <c r="P25" s="95">
        <f>+'11. Final Load Forecast'!$N$40/'11. Final Load Forecast'!$N$38</f>
        <v>0</v>
      </c>
    </row>
    <row r="26" spans="2:16" ht="13.5" thickBot="1" x14ac:dyDescent="0.25">
      <c r="B26" s="205" t="str">
        <f>'4. Customer Growth'!B31</f>
        <v>2017</v>
      </c>
      <c r="C26" s="96">
        <f>+'11. Final Load Forecast'!$O$15/'11. Final Load Forecast'!$O$14</f>
        <v>8654.6812822928478</v>
      </c>
      <c r="D26" s="96">
        <f>+'11. Final Load Forecast'!$O$16/'11. Final Load Forecast'!$O$14</f>
        <v>0</v>
      </c>
      <c r="E26" s="96">
        <f>+'11. Final Load Forecast'!$O$19/'11. Final Load Forecast'!$O$18</f>
        <v>30186.382740994719</v>
      </c>
      <c r="F26" s="96">
        <f>+'11. Final Load Forecast'!$O$20/'11. Final Load Forecast'!$O$18</f>
        <v>0</v>
      </c>
      <c r="G26" s="96">
        <f>+'11. Final Load Forecast'!$O$23/'11. Final Load Forecast'!$O$22</f>
        <v>875978.48015243362</v>
      </c>
      <c r="H26" s="96">
        <f>+'11. Final Load Forecast'!$O$24/'11. Final Load Forecast'!$O$22</f>
        <v>2212.3890467750116</v>
      </c>
      <c r="I26" s="96">
        <f>+'11. Final Load Forecast'!$O$27/'11. Final Load Forecast'!$O$26</f>
        <v>531.48201333930569</v>
      </c>
      <c r="J26" s="96">
        <f>+'11. Final Load Forecast'!$O$28/'11. Final Load Forecast'!$O$26</f>
        <v>1.4276300554097734</v>
      </c>
      <c r="K26" s="96">
        <f>+'11. Final Load Forecast'!$O$31/'11. Final Load Forecast'!$O$30</f>
        <v>811.71025375069723</v>
      </c>
      <c r="L26" s="96">
        <f>+'11. Final Load Forecast'!$O$32/'11. Final Load Forecast'!$O$30</f>
        <v>2.4697012826777236</v>
      </c>
      <c r="M26" s="96">
        <f>+'11. Final Load Forecast'!$O$35/'11. Final Load Forecast'!$O$34</f>
        <v>14887924.507103547</v>
      </c>
      <c r="N26" s="96">
        <f>+'11. Final Load Forecast'!$O$36/'11. Final Load Forecast'!$O$34</f>
        <v>36770.80477536923</v>
      </c>
      <c r="O26" s="96">
        <f>+'11. Final Load Forecast'!$O$39/'11. Final Load Forecast'!$O$38</f>
        <v>6274.0059592981634</v>
      </c>
      <c r="P26" s="97">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workbookViewId="0">
      <selection activeCell="T31" sqref="T31"/>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32" customFormat="1" x14ac:dyDescent="0.2">
      <c r="A1" s="726" t="s">
        <v>266</v>
      </c>
    </row>
    <row r="2" spans="1:8" s="532" customFormat="1" x14ac:dyDescent="0.2"/>
    <row r="3" spans="1:8" s="532" customFormat="1" x14ac:dyDescent="0.2"/>
    <row r="4" spans="1:8" s="532" customFormat="1" x14ac:dyDescent="0.2"/>
    <row r="5" spans="1:8" s="532" customFormat="1" x14ac:dyDescent="0.2"/>
    <row r="6" spans="1:8" s="532" customFormat="1" x14ac:dyDescent="0.2"/>
    <row r="7" spans="1:8" s="532" customFormat="1" x14ac:dyDescent="0.2"/>
    <row r="8" spans="1:8" s="532" customFormat="1" x14ac:dyDescent="0.2"/>
    <row r="9" spans="1:8" s="532" customFormat="1" x14ac:dyDescent="0.2"/>
    <row r="11" spans="1:8" ht="23.25" x14ac:dyDescent="0.2">
      <c r="B11" s="132" t="s">
        <v>101</v>
      </c>
    </row>
    <row r="12" spans="1:8" ht="15" x14ac:dyDescent="0.2">
      <c r="B12" s="3"/>
    </row>
    <row r="13" spans="1:8" ht="13.5" thickBot="1" x14ac:dyDescent="0.25">
      <c r="B13" s="58"/>
      <c r="C13" s="145" t="s">
        <v>30</v>
      </c>
      <c r="D13" s="145"/>
      <c r="E13" s="145"/>
      <c r="F13" s="145"/>
    </row>
    <row r="14" spans="1:8" ht="13.5" thickBot="1" x14ac:dyDescent="0.25">
      <c r="B14" s="988" t="str">
        <f>+'11. Final Load Forecast'!B14</f>
        <v>Residential</v>
      </c>
      <c r="C14" s="989"/>
      <c r="D14" s="989"/>
      <c r="E14" s="989"/>
      <c r="F14" s="989"/>
      <c r="G14" s="989"/>
      <c r="H14" s="990"/>
    </row>
    <row r="15" spans="1:8" ht="13.5" thickBot="1" x14ac:dyDescent="0.25">
      <c r="B15" s="81" t="s">
        <v>33</v>
      </c>
      <c r="C15" s="478" t="s">
        <v>48</v>
      </c>
      <c r="D15" s="479" t="s">
        <v>61</v>
      </c>
      <c r="E15" s="480" t="s">
        <v>36</v>
      </c>
      <c r="F15" s="479" t="s">
        <v>61</v>
      </c>
      <c r="G15" s="480" t="s">
        <v>37</v>
      </c>
      <c r="H15" s="481" t="s">
        <v>61</v>
      </c>
    </row>
    <row r="16" spans="1:8" x14ac:dyDescent="0.2">
      <c r="B16" s="82">
        <v>2003</v>
      </c>
      <c r="C16" s="476">
        <f>'11. Final Load Forecast'!$D$14</f>
        <v>7704</v>
      </c>
      <c r="D16" s="476"/>
      <c r="E16" s="476">
        <f>+'11. Final Load Forecast'!$D$15</f>
        <v>71590902.776568398</v>
      </c>
      <c r="F16" s="476"/>
      <c r="G16" s="476">
        <f>+'11. Final Load Forecast'!$D$16</f>
        <v>0</v>
      </c>
      <c r="H16" s="477"/>
    </row>
    <row r="17" spans="2:30" x14ac:dyDescent="0.2">
      <c r="B17" s="83">
        <v>2004</v>
      </c>
      <c r="C17" s="94">
        <f>'11. Final Load Forecast'!$E$14</f>
        <v>7842</v>
      </c>
      <c r="D17" s="187">
        <f t="shared" ref="D17:D27" si="0">(C17-C16)/C16</f>
        <v>1.791277258566978E-2</v>
      </c>
      <c r="E17" s="94">
        <f>+'11. Final Load Forecast'!$E$15</f>
        <v>72101506.334618852</v>
      </c>
      <c r="F17" s="187">
        <f t="shared" ref="F17:F27" si="1">(E17-E16)/E16</f>
        <v>7.1322408050087261E-3</v>
      </c>
      <c r="G17" s="94">
        <f>+'11. Final Load Forecast'!$E$16</f>
        <v>0</v>
      </c>
      <c r="H17" s="484" t="e">
        <f t="shared" ref="H17:H27" si="2">(G17-G16)/G16</f>
        <v>#DIV/0!</v>
      </c>
    </row>
    <row r="18" spans="2:30" x14ac:dyDescent="0.2">
      <c r="B18" s="83">
        <v>2005</v>
      </c>
      <c r="C18" s="94">
        <f>'11. Final Load Forecast'!$F$14</f>
        <v>7956</v>
      </c>
      <c r="D18" s="187">
        <f t="shared" si="0"/>
        <v>1.4537107880642693E-2</v>
      </c>
      <c r="E18" s="94">
        <f>+'11. Final Load Forecast'!$F$15</f>
        <v>73848510.565233275</v>
      </c>
      <c r="F18" s="187">
        <f t="shared" si="1"/>
        <v>2.4229788244737632E-2</v>
      </c>
      <c r="G18" s="94">
        <f>+'11. Final Load Forecast'!$F$16</f>
        <v>0</v>
      </c>
      <c r="H18" s="484" t="e">
        <f t="shared" si="2"/>
        <v>#DIV/0!</v>
      </c>
    </row>
    <row r="19" spans="2:30" x14ac:dyDescent="0.2">
      <c r="B19" s="83">
        <v>2006</v>
      </c>
      <c r="C19" s="94">
        <f>'11. Final Load Forecast'!$G$14</f>
        <v>8187.5</v>
      </c>
      <c r="D19" s="187">
        <f t="shared" si="0"/>
        <v>2.9097536450477628E-2</v>
      </c>
      <c r="E19" s="94">
        <f>+'11. Final Load Forecast'!$G$15</f>
        <v>74657177.211183861</v>
      </c>
      <c r="F19" s="187">
        <f t="shared" si="1"/>
        <v>1.0950344695662599E-2</v>
      </c>
      <c r="G19" s="94">
        <f>+'11. Final Load Forecast'!$G$16</f>
        <v>0</v>
      </c>
      <c r="H19" s="484" t="e">
        <f t="shared" si="2"/>
        <v>#DIV/0!</v>
      </c>
    </row>
    <row r="20" spans="2:30" x14ac:dyDescent="0.2">
      <c r="B20" s="84">
        <v>2007</v>
      </c>
      <c r="C20" s="94">
        <f>'11. Final Load Forecast'!$H$14</f>
        <v>8296.5</v>
      </c>
      <c r="D20" s="187">
        <f t="shared" si="0"/>
        <v>1.3312977099236642E-2</v>
      </c>
      <c r="E20" s="94">
        <f>+'11. Final Load Forecast'!$H$15</f>
        <v>73436594.333625555</v>
      </c>
      <c r="F20" s="187">
        <f t="shared" si="1"/>
        <v>-1.6349169941231839E-2</v>
      </c>
      <c r="G20" s="94">
        <f>+'11. Final Load Forecast'!$H$16</f>
        <v>0</v>
      </c>
      <c r="H20" s="484" t="e">
        <f t="shared" si="2"/>
        <v>#DIV/0!</v>
      </c>
    </row>
    <row r="21" spans="2:30" x14ac:dyDescent="0.2">
      <c r="B21" s="84">
        <v>2008</v>
      </c>
      <c r="C21" s="94">
        <f>'11. Final Load Forecast'!$I$14</f>
        <v>8425</v>
      </c>
      <c r="D21" s="187">
        <f t="shared" si="0"/>
        <v>1.5488458988730188E-2</v>
      </c>
      <c r="E21" s="94">
        <f>+'11. Final Load Forecast'!$I$15</f>
        <v>73193400.880397737</v>
      </c>
      <c r="F21" s="187">
        <f t="shared" si="1"/>
        <v>-3.31161126730605E-3</v>
      </c>
      <c r="G21" s="94">
        <f>+'11. Final Load Forecast'!$I$16</f>
        <v>0</v>
      </c>
      <c r="H21" s="484" t="e">
        <f t="shared" si="2"/>
        <v>#DIV/0!</v>
      </c>
    </row>
    <row r="22" spans="2:30" x14ac:dyDescent="0.2">
      <c r="B22" s="84">
        <v>2009</v>
      </c>
      <c r="C22" s="94">
        <f>'11. Final Load Forecast'!$J$14</f>
        <v>8525</v>
      </c>
      <c r="D22" s="187">
        <f t="shared" si="0"/>
        <v>1.1869436201780416E-2</v>
      </c>
      <c r="E22" s="94">
        <f>+'11. Final Load Forecast'!$J$15</f>
        <v>70966505.368845955</v>
      </c>
      <c r="F22" s="187">
        <f t="shared" si="1"/>
        <v>-3.042481268483014E-2</v>
      </c>
      <c r="G22" s="94">
        <f>+'11. Final Load Forecast'!$J$16</f>
        <v>0</v>
      </c>
      <c r="H22" s="484" t="e">
        <f t="shared" si="2"/>
        <v>#DIV/0!</v>
      </c>
    </row>
    <row r="23" spans="2:30" x14ac:dyDescent="0.2">
      <c r="B23" s="84">
        <v>2010</v>
      </c>
      <c r="C23" s="94">
        <f>'11. Final Load Forecast'!$K$14</f>
        <v>8627</v>
      </c>
      <c r="D23" s="187">
        <f t="shared" si="0"/>
        <v>1.1964809384164223E-2</v>
      </c>
      <c r="E23" s="94">
        <f>+'11. Final Load Forecast'!$K$15</f>
        <v>74334017.121669263</v>
      </c>
      <c r="F23" s="187">
        <f t="shared" si="1"/>
        <v>4.7452128794010388E-2</v>
      </c>
      <c r="G23" s="94">
        <f>+'11. Final Load Forecast'!$K$16</f>
        <v>0</v>
      </c>
      <c r="H23" s="484" t="e">
        <f t="shared" si="2"/>
        <v>#DIV/0!</v>
      </c>
    </row>
    <row r="24" spans="2:30" x14ac:dyDescent="0.2">
      <c r="B24" s="84">
        <v>2011</v>
      </c>
      <c r="C24" s="94">
        <f>'11. Final Load Forecast'!$L$14</f>
        <v>8760.5</v>
      </c>
      <c r="D24" s="187">
        <f t="shared" si="0"/>
        <v>1.5474672539700939E-2</v>
      </c>
      <c r="E24" s="94">
        <f>+'11. Final Load Forecast'!$L$15</f>
        <v>75761820.187371373</v>
      </c>
      <c r="F24" s="187">
        <f t="shared" si="1"/>
        <v>1.9207936298735143E-2</v>
      </c>
      <c r="G24" s="94">
        <f>+'11. Final Load Forecast'!$L$16</f>
        <v>0</v>
      </c>
      <c r="H24" s="484" t="e">
        <f t="shared" si="2"/>
        <v>#DIV/0!</v>
      </c>
    </row>
    <row r="25" spans="2:30" x14ac:dyDescent="0.2">
      <c r="B25" s="84">
        <v>2012</v>
      </c>
      <c r="C25" s="94">
        <f>'11. Final Load Forecast'!$M$14</f>
        <v>8885</v>
      </c>
      <c r="D25" s="187">
        <f t="shared" si="0"/>
        <v>1.4211517607442497E-2</v>
      </c>
      <c r="E25" s="94">
        <f>+'11. Final Load Forecast'!$M$15</f>
        <v>79671289.320937395</v>
      </c>
      <c r="F25" s="187">
        <f t="shared" si="1"/>
        <v>5.1602101479310623E-2</v>
      </c>
      <c r="G25" s="94">
        <f>+'11. Final Load Forecast'!$M$16</f>
        <v>0</v>
      </c>
      <c r="H25" s="484" t="e">
        <f t="shared" si="2"/>
        <v>#DIV/0!</v>
      </c>
    </row>
    <row r="26" spans="2:30" x14ac:dyDescent="0.2">
      <c r="B26" s="85">
        <v>2013</v>
      </c>
      <c r="C26" s="94">
        <f>'11. Final Load Forecast'!$N$14</f>
        <v>9026.923937540796</v>
      </c>
      <c r="D26" s="188">
        <f t="shared" si="0"/>
        <v>1.5973431349554985E-2</v>
      </c>
      <c r="E26" s="94">
        <f>+'11. Final Load Forecast'!$N$15</f>
        <v>80450046.256808087</v>
      </c>
      <c r="F26" s="188">
        <f t="shared" si="1"/>
        <v>9.7746244915611902E-3</v>
      </c>
      <c r="G26" s="94">
        <f>+'11. Final Load Forecast'!$N$16</f>
        <v>0</v>
      </c>
      <c r="H26" s="485" t="e">
        <f t="shared" si="2"/>
        <v>#DIV/0!</v>
      </c>
      <c r="AC26" s="1" t="s">
        <v>30</v>
      </c>
      <c r="AD26" s="1" t="s">
        <v>30</v>
      </c>
    </row>
    <row r="27" spans="2:30" ht="13.5" thickBot="1" x14ac:dyDescent="0.25">
      <c r="B27" s="86">
        <v>2014</v>
      </c>
      <c r="C27" s="96">
        <f>'11. Final Load Forecast'!$O$14</f>
        <v>9171.114887354759</v>
      </c>
      <c r="D27" s="189">
        <f t="shared" si="0"/>
        <v>1.5973431349555044E-2</v>
      </c>
      <c r="E27" s="96">
        <f>+'11. Final Load Forecast'!$O$15</f>
        <v>79373076.353346512</v>
      </c>
      <c r="F27" s="189">
        <f t="shared" si="1"/>
        <v>-1.3386815217280711E-2</v>
      </c>
      <c r="G27" s="96">
        <f>+'11. Final Load Forecast'!$O$16</f>
        <v>0</v>
      </c>
      <c r="H27" s="486" t="e">
        <f t="shared" si="2"/>
        <v>#DIV/0!</v>
      </c>
    </row>
    <row r="29" spans="2:30" ht="13.5" thickBot="1" x14ac:dyDescent="0.25">
      <c r="C29" s="145"/>
      <c r="D29" s="145"/>
      <c r="E29" s="145"/>
      <c r="F29" s="145"/>
    </row>
    <row r="30" spans="2:30" ht="13.5" thickBot="1" x14ac:dyDescent="0.25">
      <c r="B30" s="988" t="str">
        <f>+'11. Final Load Forecast'!B18</f>
        <v>General Service &lt; 50 kW</v>
      </c>
      <c r="C30" s="989"/>
      <c r="D30" s="989"/>
      <c r="E30" s="989"/>
      <c r="F30" s="989"/>
      <c r="G30" s="989"/>
      <c r="H30" s="990"/>
    </row>
    <row r="31" spans="2:30" ht="13.5" thickBot="1" x14ac:dyDescent="0.25">
      <c r="B31" s="81" t="s">
        <v>33</v>
      </c>
      <c r="C31" s="478" t="s">
        <v>48</v>
      </c>
      <c r="D31" s="479" t="s">
        <v>61</v>
      </c>
      <c r="E31" s="480" t="s">
        <v>36</v>
      </c>
      <c r="F31" s="479" t="s">
        <v>61</v>
      </c>
      <c r="G31" s="480" t="s">
        <v>37</v>
      </c>
      <c r="H31" s="481" t="s">
        <v>61</v>
      </c>
    </row>
    <row r="32" spans="2:30" x14ac:dyDescent="0.2">
      <c r="B32" s="82">
        <v>2003</v>
      </c>
      <c r="C32" s="476">
        <f>'11. Final Load Forecast'!$D$18</f>
        <v>1036.5</v>
      </c>
      <c r="D32" s="476"/>
      <c r="E32" s="476">
        <f>+'11. Final Load Forecast'!$D$19</f>
        <v>32947635.677251581</v>
      </c>
      <c r="F32" s="476"/>
      <c r="G32" s="476">
        <f>+'11. Final Load Forecast'!$D$20</f>
        <v>0</v>
      </c>
      <c r="H32" s="477"/>
    </row>
    <row r="33" spans="2:9" x14ac:dyDescent="0.2">
      <c r="B33" s="83">
        <v>2004</v>
      </c>
      <c r="C33" s="94">
        <f>'11. Final Load Forecast'!$E$18</f>
        <v>1043</v>
      </c>
      <c r="D33" s="187">
        <f t="shared" ref="D33:D43" si="3">(C33-C32)/C32</f>
        <v>6.2711046792088762E-3</v>
      </c>
      <c r="E33" s="94">
        <f>+'11. Final Load Forecast'!$E$19</f>
        <v>34123002.621133283</v>
      </c>
      <c r="F33" s="187">
        <f t="shared" ref="F33:F43" si="4">(E33-E32)/E32</f>
        <v>3.5673787199644917E-2</v>
      </c>
      <c r="G33" s="94">
        <f>+'11. Final Load Forecast'!$E$20</f>
        <v>0</v>
      </c>
      <c r="H33" s="484" t="e">
        <f t="shared" ref="H33:H43" si="5">(G33-G32)/G32</f>
        <v>#DIV/0!</v>
      </c>
    </row>
    <row r="34" spans="2:9" x14ac:dyDescent="0.2">
      <c r="B34" s="83">
        <v>2005</v>
      </c>
      <c r="C34" s="94">
        <f>'11. Final Load Forecast'!$F$18</f>
        <v>1047.5</v>
      </c>
      <c r="D34" s="187">
        <f t="shared" si="3"/>
        <v>4.314477468839885E-3</v>
      </c>
      <c r="E34" s="94">
        <f>+'11. Final Load Forecast'!$F$19</f>
        <v>35250366.032868199</v>
      </c>
      <c r="F34" s="187">
        <f t="shared" si="4"/>
        <v>3.3038224222293675E-2</v>
      </c>
      <c r="G34" s="94">
        <f>+'11. Final Load Forecast'!$F$20</f>
        <v>0</v>
      </c>
      <c r="H34" s="484" t="e">
        <f t="shared" si="5"/>
        <v>#DIV/0!</v>
      </c>
    </row>
    <row r="35" spans="2:9" x14ac:dyDescent="0.2">
      <c r="B35" s="83">
        <v>2006</v>
      </c>
      <c r="C35" s="94">
        <f>'11. Final Load Forecast'!$G$18</f>
        <v>1062.5</v>
      </c>
      <c r="D35" s="187">
        <f t="shared" si="3"/>
        <v>1.4319809069212411E-2</v>
      </c>
      <c r="E35" s="94">
        <f>+'11. Final Load Forecast'!$G$19</f>
        <v>35803467.043011874</v>
      </c>
      <c r="F35" s="187">
        <f t="shared" si="4"/>
        <v>1.5690645868129474E-2</v>
      </c>
      <c r="G35" s="94">
        <f>+'11. Final Load Forecast'!$G$20</f>
        <v>0</v>
      </c>
      <c r="H35" s="484" t="e">
        <f t="shared" si="5"/>
        <v>#DIV/0!</v>
      </c>
    </row>
    <row r="36" spans="2:9" x14ac:dyDescent="0.2">
      <c r="B36" s="84">
        <v>2007</v>
      </c>
      <c r="C36" s="94">
        <f>'11. Final Load Forecast'!$H$18</f>
        <v>1068.5</v>
      </c>
      <c r="D36" s="187">
        <f t="shared" si="3"/>
        <v>5.6470588235294121E-3</v>
      </c>
      <c r="E36" s="94">
        <f>+'11. Final Load Forecast'!$H$19</f>
        <v>34496063.808112673</v>
      </c>
      <c r="F36" s="187">
        <f t="shared" si="4"/>
        <v>-3.6516107038700313E-2</v>
      </c>
      <c r="G36" s="94">
        <f>+'11. Final Load Forecast'!$H$20</f>
        <v>0</v>
      </c>
      <c r="H36" s="484" t="e">
        <f t="shared" si="5"/>
        <v>#DIV/0!</v>
      </c>
    </row>
    <row r="37" spans="2:9" x14ac:dyDescent="0.2">
      <c r="B37" s="84">
        <v>2008</v>
      </c>
      <c r="C37" s="94">
        <f>'11. Final Load Forecast'!$I$18</f>
        <v>1072.5</v>
      </c>
      <c r="D37" s="187">
        <f t="shared" si="3"/>
        <v>3.7435657463734209E-3</v>
      </c>
      <c r="E37" s="94">
        <f>+'11. Final Load Forecast'!$I$19</f>
        <v>38814986.994877979</v>
      </c>
      <c r="F37" s="187">
        <f t="shared" si="4"/>
        <v>0.12520046376275532</v>
      </c>
      <c r="G37" s="94">
        <f>+'11. Final Load Forecast'!$I$20</f>
        <v>0</v>
      </c>
      <c r="H37" s="484" t="e">
        <f t="shared" si="5"/>
        <v>#DIV/0!</v>
      </c>
    </row>
    <row r="38" spans="2:9" x14ac:dyDescent="0.2">
      <c r="B38" s="84">
        <v>2009</v>
      </c>
      <c r="C38" s="94">
        <f>'11. Final Load Forecast'!$J$18</f>
        <v>1067</v>
      </c>
      <c r="D38" s="187">
        <f t="shared" si="3"/>
        <v>-5.1282051282051282E-3</v>
      </c>
      <c r="E38" s="94">
        <f>+'11. Final Load Forecast'!$J$19</f>
        <v>33200382.221462574</v>
      </c>
      <c r="F38" s="187">
        <f t="shared" si="4"/>
        <v>-0.14465043551750534</v>
      </c>
      <c r="G38" s="94">
        <f>+'11. Final Load Forecast'!$J$20</f>
        <v>0</v>
      </c>
      <c r="H38" s="484" t="e">
        <f t="shared" si="5"/>
        <v>#DIV/0!</v>
      </c>
    </row>
    <row r="39" spans="2:9" x14ac:dyDescent="0.2">
      <c r="B39" s="84">
        <v>2010</v>
      </c>
      <c r="C39" s="94">
        <f>'11. Final Load Forecast'!$K$18</f>
        <v>1058</v>
      </c>
      <c r="D39" s="187">
        <f t="shared" si="3"/>
        <v>-8.4348641049671984E-3</v>
      </c>
      <c r="E39" s="94">
        <f>+'11. Final Load Forecast'!$K$19</f>
        <v>33337507.077357363</v>
      </c>
      <c r="F39" s="187">
        <f t="shared" si="4"/>
        <v>4.130219193866508E-3</v>
      </c>
      <c r="G39" s="94">
        <f>+'11. Final Load Forecast'!$K$20</f>
        <v>0</v>
      </c>
      <c r="H39" s="484" t="e">
        <f t="shared" si="5"/>
        <v>#DIV/0!</v>
      </c>
    </row>
    <row r="40" spans="2:9" x14ac:dyDescent="0.2">
      <c r="B40" s="84">
        <v>2011</v>
      </c>
      <c r="C40" s="94">
        <f>+'11. Final Load Forecast'!$L$18</f>
        <v>1068.5</v>
      </c>
      <c r="D40" s="187">
        <f t="shared" si="3"/>
        <v>9.9243856332703207E-3</v>
      </c>
      <c r="E40" s="94">
        <f>+'11. Final Load Forecast'!$L$19</f>
        <v>32425865.201663207</v>
      </c>
      <c r="F40" s="187">
        <f t="shared" si="4"/>
        <v>-2.7345832235708394E-2</v>
      </c>
      <c r="G40" s="94">
        <f>+'11. Final Load Forecast'!$L$20</f>
        <v>0</v>
      </c>
      <c r="H40" s="484" t="e">
        <f t="shared" si="5"/>
        <v>#DIV/0!</v>
      </c>
    </row>
    <row r="41" spans="2:9" x14ac:dyDescent="0.2">
      <c r="B41" s="84">
        <v>2012</v>
      </c>
      <c r="C41" s="94">
        <f>'11. Final Load Forecast'!$M$18</f>
        <v>1077.5</v>
      </c>
      <c r="D41" s="187">
        <f t="shared" si="3"/>
        <v>8.4230229293401973E-3</v>
      </c>
      <c r="E41" s="94">
        <f>+'11. Final Load Forecast'!$M$19</f>
        <v>32930701.274226837</v>
      </c>
      <c r="F41" s="187">
        <f t="shared" si="4"/>
        <v>1.5568931450986702E-2</v>
      </c>
      <c r="G41" s="94">
        <f>+'11. Final Load Forecast'!$M$20</f>
        <v>0</v>
      </c>
      <c r="H41" s="484" t="e">
        <f t="shared" si="5"/>
        <v>#DIV/0!</v>
      </c>
    </row>
    <row r="42" spans="2:9" x14ac:dyDescent="0.2">
      <c r="B42" s="85">
        <v>2013</v>
      </c>
      <c r="C42" s="94">
        <f>'11. Final Load Forecast'!$N$18</f>
        <v>1082.1545150107602</v>
      </c>
      <c r="D42" s="188">
        <f t="shared" si="3"/>
        <v>4.3197355088261521E-3</v>
      </c>
      <c r="E42" s="94">
        <f>+'11. Final Load Forecast'!$N$19</f>
        <v>33252586.513426181</v>
      </c>
      <c r="F42" s="188">
        <f t="shared" si="4"/>
        <v>9.7746244915612249E-3</v>
      </c>
      <c r="G42" s="94">
        <f>+'11. Final Load Forecast'!$N$20</f>
        <v>0</v>
      </c>
      <c r="H42" s="485" t="e">
        <f t="shared" si="5"/>
        <v>#DIV/0!</v>
      </c>
    </row>
    <row r="43" spans="2:9" ht="13.5" thickBot="1" x14ac:dyDescent="0.25">
      <c r="B43" s="86">
        <v>2014</v>
      </c>
      <c r="C43" s="96">
        <f>'11. Final Load Forecast'!$O$18</f>
        <v>1086.8291362952889</v>
      </c>
      <c r="D43" s="189">
        <f t="shared" si="3"/>
        <v>4.3197355088263256E-3</v>
      </c>
      <c r="E43" s="96">
        <f>+'11. Final Load Forecast'!$O$19</f>
        <v>32807440.282274306</v>
      </c>
      <c r="F43" s="189">
        <f t="shared" si="4"/>
        <v>-1.3386815217280655E-2</v>
      </c>
      <c r="G43" s="96">
        <f>+'11. Final Load Forecast'!$O$20</f>
        <v>0</v>
      </c>
      <c r="H43" s="486" t="e">
        <f t="shared" si="5"/>
        <v>#DIV/0!</v>
      </c>
    </row>
    <row r="45" spans="2:9" ht="13.5" thickBot="1" x14ac:dyDescent="0.25">
      <c r="C45" s="145"/>
      <c r="D45" s="145"/>
      <c r="E45" s="145"/>
      <c r="F45" s="145"/>
      <c r="G45" s="145"/>
      <c r="H45" s="145"/>
      <c r="I45" s="58"/>
    </row>
    <row r="46" spans="2:9" ht="13.5" thickBot="1" x14ac:dyDescent="0.25">
      <c r="B46" s="988" t="str">
        <f>+'11. Final Load Forecast'!B22</f>
        <v>General Service &gt; 50 kW - 2999 kW</v>
      </c>
      <c r="C46" s="989"/>
      <c r="D46" s="989"/>
      <c r="E46" s="989"/>
      <c r="F46" s="989"/>
      <c r="G46" s="989"/>
      <c r="H46" s="990"/>
    </row>
    <row r="47" spans="2:9" ht="13.5" thickBot="1" x14ac:dyDescent="0.25">
      <c r="B47" s="81" t="s">
        <v>33</v>
      </c>
      <c r="C47" s="59" t="s">
        <v>48</v>
      </c>
      <c r="D47" s="60" t="s">
        <v>61</v>
      </c>
      <c r="E47" s="482" t="s">
        <v>36</v>
      </c>
      <c r="F47" s="60" t="s">
        <v>61</v>
      </c>
      <c r="G47" s="482" t="s">
        <v>37</v>
      </c>
      <c r="H47" s="483" t="s">
        <v>61</v>
      </c>
    </row>
    <row r="48" spans="2:9" x14ac:dyDescent="0.2">
      <c r="B48" s="82">
        <v>2003</v>
      </c>
      <c r="C48" s="476">
        <f>'11. Final Load Forecast'!$D$22</f>
        <v>145.5</v>
      </c>
      <c r="D48" s="476"/>
      <c r="E48" s="476">
        <f>+'11. Final Load Forecast'!$D$23</f>
        <v>120975702</v>
      </c>
      <c r="F48" s="476"/>
      <c r="G48" s="476">
        <f>+'11. Final Load Forecast'!$D$24</f>
        <v>297477.3</v>
      </c>
      <c r="H48" s="477"/>
    </row>
    <row r="49" spans="2:8" x14ac:dyDescent="0.2">
      <c r="B49" s="83">
        <v>2004</v>
      </c>
      <c r="C49" s="94">
        <f>'11. Final Load Forecast'!$E$22</f>
        <v>147.5</v>
      </c>
      <c r="D49" s="187">
        <f t="shared" ref="D49:D59" si="6">(C49-C48)/C48</f>
        <v>1.3745704467353952E-2</v>
      </c>
      <c r="E49" s="94">
        <f>+'11. Final Load Forecast'!$E$23</f>
        <v>122417181</v>
      </c>
      <c r="F49" s="187">
        <f t="shared" ref="F49:F59" si="7">(E49-E48)/E48</f>
        <v>1.191544232576555E-2</v>
      </c>
      <c r="G49" s="94">
        <f>+'11. Final Load Forecast'!$E$24</f>
        <v>300809.10000000003</v>
      </c>
      <c r="H49" s="484">
        <f t="shared" ref="H49:H59" si="8">(G49-G48)/G48</f>
        <v>1.1200182333240374E-2</v>
      </c>
    </row>
    <row r="50" spans="2:8" x14ac:dyDescent="0.2">
      <c r="B50" s="83">
        <v>2005</v>
      </c>
      <c r="C50" s="94">
        <f>'11. Final Load Forecast'!$F$22</f>
        <v>133</v>
      </c>
      <c r="D50" s="187">
        <f t="shared" si="6"/>
        <v>-9.8305084745762716E-2</v>
      </c>
      <c r="E50" s="94">
        <f>+'11. Final Load Forecast'!$F$23</f>
        <v>121003376</v>
      </c>
      <c r="F50" s="187">
        <f t="shared" si="7"/>
        <v>-1.1549073328195656E-2</v>
      </c>
      <c r="G50" s="94">
        <f>+'11. Final Load Forecast'!$F$24</f>
        <v>298912.40000000002</v>
      </c>
      <c r="H50" s="484">
        <f t="shared" si="8"/>
        <v>-6.3053278640839367E-3</v>
      </c>
    </row>
    <row r="51" spans="2:8" x14ac:dyDescent="0.2">
      <c r="B51" s="83">
        <v>2006</v>
      </c>
      <c r="C51" s="94">
        <f>'11. Final Load Forecast'!$G$22</f>
        <v>129.5</v>
      </c>
      <c r="D51" s="187">
        <f t="shared" si="6"/>
        <v>-2.6315789473684209E-2</v>
      </c>
      <c r="E51" s="94">
        <f>+'11. Final Load Forecast'!$G$23</f>
        <v>114875960</v>
      </c>
      <c r="F51" s="187">
        <f t="shared" si="7"/>
        <v>-5.0638388799995132E-2</v>
      </c>
      <c r="G51" s="94">
        <f>+'11. Final Load Forecast'!$G$24</f>
        <v>290142.59999999992</v>
      </c>
      <c r="H51" s="484">
        <f t="shared" si="8"/>
        <v>-2.9339030431658586E-2</v>
      </c>
    </row>
    <row r="52" spans="2:8" x14ac:dyDescent="0.2">
      <c r="B52" s="84">
        <v>2007</v>
      </c>
      <c r="C52" s="94">
        <f>'11. Final Load Forecast'!$H$22</f>
        <v>131</v>
      </c>
      <c r="D52" s="187">
        <f t="shared" si="6"/>
        <v>1.1583011583011582E-2</v>
      </c>
      <c r="E52" s="94">
        <f>+'11. Final Load Forecast'!$H$23</f>
        <v>120290733</v>
      </c>
      <c r="F52" s="187">
        <f t="shared" si="7"/>
        <v>4.7135823718034653E-2</v>
      </c>
      <c r="G52" s="94">
        <f>+'11. Final Load Forecast'!$H$24</f>
        <v>299040.51</v>
      </c>
      <c r="H52" s="484">
        <f t="shared" si="8"/>
        <v>3.0667368390577921E-2</v>
      </c>
    </row>
    <row r="53" spans="2:8" x14ac:dyDescent="0.2">
      <c r="B53" s="84">
        <v>2008</v>
      </c>
      <c r="C53" s="94">
        <f>+'11. Final Load Forecast'!$I$22</f>
        <v>131.5</v>
      </c>
      <c r="D53" s="187">
        <f t="shared" si="6"/>
        <v>3.8167938931297708E-3</v>
      </c>
      <c r="E53" s="94">
        <f>+'11. Final Load Forecast'!$I$23</f>
        <v>120834914</v>
      </c>
      <c r="F53" s="187">
        <f t="shared" si="7"/>
        <v>4.5238813201013582E-3</v>
      </c>
      <c r="G53" s="94">
        <f>+'11. Final Load Forecast'!$I$24</f>
        <v>300129.30000000005</v>
      </c>
      <c r="H53" s="484">
        <f t="shared" si="8"/>
        <v>3.6409448338622658E-3</v>
      </c>
    </row>
    <row r="54" spans="2:8" x14ac:dyDescent="0.2">
      <c r="B54" s="84">
        <v>2009</v>
      </c>
      <c r="C54" s="94">
        <f>'11. Final Load Forecast'!$J$22</f>
        <v>137</v>
      </c>
      <c r="D54" s="187">
        <f t="shared" si="6"/>
        <v>4.1825095057034217E-2</v>
      </c>
      <c r="E54" s="94">
        <f>+'11. Final Load Forecast'!$J$23</f>
        <v>128532327</v>
      </c>
      <c r="F54" s="187">
        <f t="shared" si="7"/>
        <v>6.3701894967211209E-2</v>
      </c>
      <c r="G54" s="94">
        <f>+'11. Final Load Forecast'!$J$24</f>
        <v>322335</v>
      </c>
      <c r="H54" s="484">
        <f t="shared" si="8"/>
        <v>7.398711155491966E-2</v>
      </c>
    </row>
    <row r="55" spans="2:8" x14ac:dyDescent="0.2">
      <c r="B55" s="84">
        <v>2010</v>
      </c>
      <c r="C55" s="94">
        <f>'11. Final Load Forecast'!$K$22</f>
        <v>141.5</v>
      </c>
      <c r="D55" s="187">
        <f t="shared" si="6"/>
        <v>3.2846715328467155E-2</v>
      </c>
      <c r="E55" s="94">
        <f>+'11. Final Load Forecast'!$K$23</f>
        <v>125354819</v>
      </c>
      <c r="F55" s="187">
        <f t="shared" si="7"/>
        <v>-2.472146948681634E-2</v>
      </c>
      <c r="G55" s="94">
        <f>+'11. Final Load Forecast'!$K$24</f>
        <v>323427</v>
      </c>
      <c r="H55" s="484">
        <f t="shared" si="8"/>
        <v>3.3877797943133695E-3</v>
      </c>
    </row>
    <row r="56" spans="2:8" x14ac:dyDescent="0.2">
      <c r="B56" s="84">
        <v>2011</v>
      </c>
      <c r="C56" s="94">
        <f>'11. Final Load Forecast'!$L$22</f>
        <v>138</v>
      </c>
      <c r="D56" s="187">
        <f t="shared" si="6"/>
        <v>-2.4734982332155476E-2</v>
      </c>
      <c r="E56" s="94">
        <f>+'11. Final Load Forecast'!$L$23</f>
        <v>119336146</v>
      </c>
      <c r="F56" s="187">
        <f t="shared" si="7"/>
        <v>-4.8013096329388022E-2</v>
      </c>
      <c r="G56" s="94">
        <f>+'11. Final Load Forecast'!$L$24</f>
        <v>314352.19999999995</v>
      </c>
      <c r="H56" s="484">
        <f t="shared" si="8"/>
        <v>-2.8058263533966076E-2</v>
      </c>
    </row>
    <row r="57" spans="2:8" x14ac:dyDescent="0.2">
      <c r="B57" s="84">
        <v>2012</v>
      </c>
      <c r="C57" s="94">
        <f>'11. Final Load Forecast'!$M$22</f>
        <v>134</v>
      </c>
      <c r="D57" s="187">
        <f t="shared" si="6"/>
        <v>-2.8985507246376812E-2</v>
      </c>
      <c r="E57" s="94">
        <f>+'11. Final Load Forecast'!$M$23</f>
        <v>115685946</v>
      </c>
      <c r="F57" s="187">
        <f t="shared" si="7"/>
        <v>-3.0587547213063174E-2</v>
      </c>
      <c r="G57" s="94">
        <f>+'11. Final Load Forecast'!$M$24</f>
        <v>306814.40000000002</v>
      </c>
      <c r="H57" s="484">
        <f t="shared" si="8"/>
        <v>-2.3978836477046864E-2</v>
      </c>
    </row>
    <row r="58" spans="2:8" x14ac:dyDescent="0.2">
      <c r="B58" s="85">
        <v>2013</v>
      </c>
      <c r="C58" s="94">
        <f>'11. Final Load Forecast'!$N$22</f>
        <v>132.77969465471912</v>
      </c>
      <c r="D58" s="188">
        <f t="shared" si="6"/>
        <v>-9.1067563080662502E-3</v>
      </c>
      <c r="E58" s="94">
        <f>+'11. Final Load Forecast'!$N$23</f>
        <v>116816732.68110102</v>
      </c>
      <c r="F58" s="188">
        <f t="shared" si="7"/>
        <v>9.7746244915611798E-3</v>
      </c>
      <c r="G58" s="94">
        <f>+'11. Final Load Forecast'!$N$24</f>
        <v>295034.71343124693</v>
      </c>
      <c r="H58" s="485">
        <f t="shared" si="8"/>
        <v>-3.8393525756134958E-2</v>
      </c>
    </row>
    <row r="59" spans="2:8" ht="13.5" thickBot="1" x14ac:dyDescent="0.25">
      <c r="B59" s="86">
        <v>2014</v>
      </c>
      <c r="C59" s="96">
        <f>'11. Final Load Forecast'!$O$22</f>
        <v>131.57050233283914</v>
      </c>
      <c r="D59" s="189">
        <f t="shared" si="6"/>
        <v>-9.1067563080663109E-3</v>
      </c>
      <c r="E59" s="96">
        <f>+'11. Final Load Forecast'!$O$23</f>
        <v>115252928.66641265</v>
      </c>
      <c r="F59" s="189">
        <f t="shared" si="7"/>
        <v>-1.3386815217280681E-2</v>
      </c>
      <c r="G59" s="96">
        <f>+'11. Final Load Forecast'!$O$24</f>
        <v>291085.13823985943</v>
      </c>
      <c r="H59" s="486">
        <f t="shared" si="8"/>
        <v>-1.3386815217280809E-2</v>
      </c>
    </row>
    <row r="61" spans="2:8" ht="13.5" thickBot="1" x14ac:dyDescent="0.25">
      <c r="B61" s="24"/>
      <c r="C61" s="26" t="s">
        <v>30</v>
      </c>
      <c r="D61" s="26"/>
      <c r="E61" s="26"/>
      <c r="F61" s="26"/>
      <c r="G61" s="26"/>
      <c r="H61" s="26"/>
    </row>
    <row r="62" spans="2:8" ht="13.5" thickBot="1" x14ac:dyDescent="0.25">
      <c r="B62" s="988" t="str">
        <f>+'11. Final Load Forecast'!B26</f>
        <v>Streetlighting</v>
      </c>
      <c r="C62" s="989"/>
      <c r="D62" s="989"/>
      <c r="E62" s="989"/>
      <c r="F62" s="989"/>
      <c r="G62" s="989"/>
      <c r="H62" s="990"/>
    </row>
    <row r="63" spans="2:8" ht="13.5" thickBot="1" x14ac:dyDescent="0.25">
      <c r="B63" s="190" t="s">
        <v>33</v>
      </c>
      <c r="C63" s="59" t="s">
        <v>48</v>
      </c>
      <c r="D63" s="60" t="s">
        <v>61</v>
      </c>
      <c r="E63" s="482" t="s">
        <v>36</v>
      </c>
      <c r="F63" s="60" t="s">
        <v>61</v>
      </c>
      <c r="G63" s="482" t="s">
        <v>37</v>
      </c>
      <c r="H63" s="62"/>
    </row>
    <row r="64" spans="2:8" x14ac:dyDescent="0.2">
      <c r="B64" s="82">
        <v>2003</v>
      </c>
      <c r="C64" s="476">
        <f>'11. Final Load Forecast'!$D$26</f>
        <v>2671</v>
      </c>
      <c r="D64" s="476"/>
      <c r="E64" s="476">
        <f>+'11. Final Load Forecast'!$D$27</f>
        <v>1923289.8225330669</v>
      </c>
      <c r="F64" s="476"/>
      <c r="G64" s="476">
        <f>+'11. Final Load Forecast'!$D$28</f>
        <v>5221.5</v>
      </c>
      <c r="H64" s="477"/>
    </row>
    <row r="65" spans="2:8" x14ac:dyDescent="0.2">
      <c r="B65" s="83">
        <v>2004</v>
      </c>
      <c r="C65" s="94">
        <f>'11. Final Load Forecast'!$E$26</f>
        <v>2743</v>
      </c>
      <c r="D65" s="187">
        <f t="shared" ref="D65:D75" si="9">(C65-C64)/C64</f>
        <v>2.6956196181205542E-2</v>
      </c>
      <c r="E65" s="94">
        <f>+'11. Final Load Forecast'!$E$27</f>
        <v>1931928</v>
      </c>
      <c r="F65" s="187">
        <f t="shared" ref="F65:F75" si="10">(E65-E64)/E64</f>
        <v>4.4913550551399723E-3</v>
      </c>
      <c r="G65" s="94">
        <f>+'11. Final Load Forecast'!$E$28</f>
        <v>5239.8999999999996</v>
      </c>
      <c r="H65" s="484">
        <f t="shared" ref="H65:H75" si="11">(G65-G64)/G64</f>
        <v>3.5238916020299983E-3</v>
      </c>
    </row>
    <row r="66" spans="2:8" x14ac:dyDescent="0.2">
      <c r="B66" s="83">
        <v>2005</v>
      </c>
      <c r="C66" s="94">
        <f>'11. Final Load Forecast'!$F$26</f>
        <v>2793</v>
      </c>
      <c r="D66" s="187">
        <f t="shared" si="9"/>
        <v>1.8228217280349981E-2</v>
      </c>
      <c r="E66" s="94">
        <f>+'11. Final Load Forecast'!$F$27</f>
        <v>1867799.5215356699</v>
      </c>
      <c r="F66" s="187">
        <f t="shared" si="10"/>
        <v>-3.3194031280839698E-2</v>
      </c>
      <c r="G66" s="94">
        <f>+'11. Final Load Forecast'!$F$28</f>
        <v>5091.2000000000007</v>
      </c>
      <c r="H66" s="484">
        <f t="shared" si="11"/>
        <v>-2.8378404168018269E-2</v>
      </c>
    </row>
    <row r="67" spans="2:8" x14ac:dyDescent="0.2">
      <c r="B67" s="83">
        <v>2006</v>
      </c>
      <c r="C67" s="94">
        <f>'11. Final Load Forecast'!$G$26</f>
        <v>2815.5</v>
      </c>
      <c r="D67" s="187">
        <f t="shared" si="9"/>
        <v>8.0558539205155752E-3</v>
      </c>
      <c r="E67" s="94">
        <f>+'11. Final Load Forecast'!$G$27</f>
        <v>1350901.1708566549</v>
      </c>
      <c r="F67" s="187">
        <f t="shared" si="10"/>
        <v>-0.27674187979983572</v>
      </c>
      <c r="G67" s="94">
        <f>+'11. Final Load Forecast'!$G$28</f>
        <v>3654.0999999999995</v>
      </c>
      <c r="H67" s="484">
        <f t="shared" si="11"/>
        <v>-0.28227137020741694</v>
      </c>
    </row>
    <row r="68" spans="2:8" x14ac:dyDescent="0.2">
      <c r="B68" s="84">
        <v>2007</v>
      </c>
      <c r="C68" s="94">
        <f>+'11. Final Load Forecast'!$H$26</f>
        <v>2752</v>
      </c>
      <c r="D68" s="187">
        <f t="shared" si="9"/>
        <v>-2.2553720475936779E-2</v>
      </c>
      <c r="E68" s="94">
        <f>+'11. Final Load Forecast'!$H$27</f>
        <v>1194281.7307655821</v>
      </c>
      <c r="F68" s="187">
        <f t="shared" si="10"/>
        <v>-0.11593700817636779</v>
      </c>
      <c r="G68" s="94">
        <f>+'11. Final Load Forecast'!$H$28</f>
        <v>3301.8999999999992</v>
      </c>
      <c r="H68" s="484">
        <f t="shared" si="11"/>
        <v>-9.6384882734462746E-2</v>
      </c>
    </row>
    <row r="69" spans="2:8" x14ac:dyDescent="0.2">
      <c r="B69" s="84">
        <v>2008</v>
      </c>
      <c r="C69" s="94">
        <f>+'11. Final Load Forecast'!$I$26</f>
        <v>2759</v>
      </c>
      <c r="D69" s="187">
        <f t="shared" si="9"/>
        <v>2.5436046511627909E-3</v>
      </c>
      <c r="E69" s="94">
        <f>+'11. Final Load Forecast'!$I$26</f>
        <v>2759</v>
      </c>
      <c r="F69" s="187">
        <f t="shared" si="10"/>
        <v>-0.9976898248303343</v>
      </c>
      <c r="G69" s="94">
        <f>+'11. Final Load Forecast'!$I$28</f>
        <v>3321</v>
      </c>
      <c r="H69" s="484">
        <f t="shared" si="11"/>
        <v>5.784548290378516E-3</v>
      </c>
    </row>
    <row r="70" spans="2:8" x14ac:dyDescent="0.2">
      <c r="B70" s="84">
        <v>2009</v>
      </c>
      <c r="C70" s="94">
        <f>'11. Final Load Forecast'!$J$26</f>
        <v>2802</v>
      </c>
      <c r="D70" s="187">
        <f t="shared" si="9"/>
        <v>1.5585357013410656E-2</v>
      </c>
      <c r="E70" s="94">
        <f>+'11. Final Load Forecast'!$J$27</f>
        <v>1222128</v>
      </c>
      <c r="F70" s="187">
        <f t="shared" si="10"/>
        <v>441.96049293222183</v>
      </c>
      <c r="G70" s="94">
        <f>+'11. Final Load Forecast'!$J$28</f>
        <v>3340</v>
      </c>
      <c r="H70" s="484">
        <f t="shared" si="11"/>
        <v>5.7211683227943394E-3</v>
      </c>
    </row>
    <row r="71" spans="2:8" x14ac:dyDescent="0.2">
      <c r="B71" s="84">
        <v>2010</v>
      </c>
      <c r="C71" s="94">
        <f>'11. Final Load Forecast'!$K$26</f>
        <v>2862</v>
      </c>
      <c r="D71" s="187">
        <f t="shared" si="9"/>
        <v>2.1413276231263382E-2</v>
      </c>
      <c r="E71" s="94">
        <f>+'11. Final Load Forecast'!$K$27</f>
        <v>1249953</v>
      </c>
      <c r="F71" s="187">
        <f t="shared" si="10"/>
        <v>2.2767664270845606E-2</v>
      </c>
      <c r="G71" s="94">
        <f>+'11. Final Load Forecast'!$K$28</f>
        <v>3386</v>
      </c>
      <c r="H71" s="484">
        <f t="shared" si="11"/>
        <v>1.3772455089820359E-2</v>
      </c>
    </row>
    <row r="72" spans="2:8" x14ac:dyDescent="0.2">
      <c r="B72" s="84">
        <v>2011</v>
      </c>
      <c r="C72" s="94">
        <f>'11. Final Load Forecast'!$L$26</f>
        <v>2634</v>
      </c>
      <c r="D72" s="187">
        <f t="shared" si="9"/>
        <v>-7.9664570230607967E-2</v>
      </c>
      <c r="E72" s="94">
        <f>+'11. Final Load Forecast'!$L$27</f>
        <v>1258253</v>
      </c>
      <c r="F72" s="187">
        <f t="shared" si="10"/>
        <v>6.6402496733877197E-3</v>
      </c>
      <c r="G72" s="94">
        <f>+'11. Final Load Forecast'!$L$28</f>
        <v>3408.5999999999995</v>
      </c>
      <c r="H72" s="484">
        <f t="shared" si="11"/>
        <v>6.6745422327228162E-3</v>
      </c>
    </row>
    <row r="73" spans="2:8" x14ac:dyDescent="0.2">
      <c r="B73" s="84">
        <v>2012</v>
      </c>
      <c r="C73" s="94">
        <f>'11. Final Load Forecast'!$M$26</f>
        <v>2694</v>
      </c>
      <c r="D73" s="187">
        <f t="shared" si="9"/>
        <v>2.2779043280182234E-2</v>
      </c>
      <c r="E73" s="94">
        <f>+'11. Final Load Forecast'!$M$27</f>
        <v>1439933</v>
      </c>
      <c r="F73" s="187">
        <f t="shared" si="10"/>
        <v>0.1443906750073316</v>
      </c>
      <c r="G73" s="94">
        <f>+'11. Final Load Forecast'!$M$28</f>
        <v>3416</v>
      </c>
      <c r="H73" s="484">
        <f t="shared" si="11"/>
        <v>2.1709792876842536E-3</v>
      </c>
    </row>
    <row r="74" spans="2:8" x14ac:dyDescent="0.2">
      <c r="B74" s="85">
        <v>2013</v>
      </c>
      <c r="C74" s="94">
        <f>'11. Final Load Forecast'!$N$26</f>
        <v>2696.567749993425</v>
      </c>
      <c r="D74" s="188">
        <f t="shared" si="9"/>
        <v>9.5313659741090128E-4</v>
      </c>
      <c r="E74" s="94">
        <f>+'11. Final Load Forecast'!$N$27</f>
        <v>1454007.8043680072</v>
      </c>
      <c r="F74" s="188">
        <f t="shared" si="10"/>
        <v>9.7746244915612249E-3</v>
      </c>
      <c r="G74" s="94">
        <f>+'11. Final Load Forecast'!$N$28</f>
        <v>3905.6547356588153</v>
      </c>
      <c r="H74" s="485">
        <f t="shared" si="11"/>
        <v>0.14334155025140963</v>
      </c>
    </row>
    <row r="75" spans="2:8" ht="13.5" thickBot="1" x14ac:dyDescent="0.25">
      <c r="B75" s="86">
        <v>2014</v>
      </c>
      <c r="C75" s="96">
        <f>'11. Final Load Forecast'!$O$26</f>
        <v>2699.1379474033415</v>
      </c>
      <c r="D75" s="189">
        <f t="shared" si="9"/>
        <v>9.5313659741084284E-4</v>
      </c>
      <c r="E75" s="96">
        <f>+'11. Final Load Forecast'!$O$27</f>
        <v>1434543.270566449</v>
      </c>
      <c r="F75" s="189">
        <f t="shared" si="10"/>
        <v>-1.3386815217280464E-2</v>
      </c>
      <c r="G75" s="96">
        <f>+'11. Final Load Forecast'!$O$28</f>
        <v>3853.3704574100543</v>
      </c>
      <c r="H75" s="486">
        <f t="shared" si="11"/>
        <v>-1.3386815217280476E-2</v>
      </c>
    </row>
    <row r="77" spans="2:8" ht="13.5" thickBot="1" x14ac:dyDescent="0.25">
      <c r="B77" s="58"/>
      <c r="C77" s="145"/>
      <c r="D77" s="145"/>
      <c r="E77" s="145"/>
      <c r="F77" s="58"/>
    </row>
    <row r="78" spans="2:8" ht="13.5" thickBot="1" x14ac:dyDescent="0.25">
      <c r="B78" s="988" t="str">
        <f>+'11. Final Load Forecast'!B30</f>
        <v>Sentinel Lighting</v>
      </c>
      <c r="C78" s="989"/>
      <c r="D78" s="989"/>
      <c r="E78" s="989"/>
      <c r="F78" s="989"/>
      <c r="G78" s="989"/>
      <c r="H78" s="990"/>
    </row>
    <row r="79" spans="2:8" ht="13.5" thickBot="1" x14ac:dyDescent="0.25">
      <c r="B79" s="81" t="s">
        <v>33</v>
      </c>
      <c r="C79" s="59" t="s">
        <v>48</v>
      </c>
      <c r="D79" s="60" t="s">
        <v>61</v>
      </c>
      <c r="E79" s="482" t="s">
        <v>36</v>
      </c>
      <c r="F79" s="60" t="s">
        <v>61</v>
      </c>
      <c r="G79" s="482" t="s">
        <v>37</v>
      </c>
      <c r="H79" s="483" t="s">
        <v>61</v>
      </c>
    </row>
    <row r="80" spans="2:8" x14ac:dyDescent="0.2">
      <c r="B80" s="82">
        <v>2003</v>
      </c>
      <c r="C80" s="476">
        <f>'11. Final Load Forecast'!$D$30</f>
        <v>55</v>
      </c>
      <c r="D80" s="476"/>
      <c r="E80" s="476">
        <f>+'11. Final Load Forecast'!$D$31</f>
        <v>76063.696059073991</v>
      </c>
      <c r="F80" s="476"/>
      <c r="G80" s="476">
        <f>+'11. Final Load Forecast'!$D$32</f>
        <v>211.35349632855065</v>
      </c>
      <c r="H80" s="477"/>
    </row>
    <row r="81" spans="2:8" x14ac:dyDescent="0.2">
      <c r="B81" s="83">
        <v>2004</v>
      </c>
      <c r="C81" s="94">
        <f>'11. Final Load Forecast'!$E$30</f>
        <v>55</v>
      </c>
      <c r="D81" s="187">
        <f t="shared" ref="D81:D91" si="12">(C81-C80)/C80</f>
        <v>0</v>
      </c>
      <c r="E81" s="94">
        <f>+'11. Final Load Forecast'!$E$31</f>
        <v>76442.150921409208</v>
      </c>
      <c r="F81" s="187">
        <f t="shared" ref="F81:F91" si="13">(E81-E80)/E80</f>
        <v>4.9754992452811396E-3</v>
      </c>
      <c r="G81" s="94">
        <f>+'11. Final Load Forecast'!$E$32</f>
        <v>212.33930811502557</v>
      </c>
      <c r="H81" s="484">
        <f t="shared" ref="H81:H91" si="14">(G81-G80)/G80</f>
        <v>4.6642795297905746E-3</v>
      </c>
    </row>
    <row r="82" spans="2:8" x14ac:dyDescent="0.2">
      <c r="B82" s="83">
        <v>2005</v>
      </c>
      <c r="C82" s="94">
        <f>'11. Final Load Forecast'!$F$30</f>
        <v>58</v>
      </c>
      <c r="D82" s="187">
        <f t="shared" si="12"/>
        <v>5.4545454545454543E-2</v>
      </c>
      <c r="E82" s="94">
        <f>+'11. Final Load Forecast'!$F$31</f>
        <v>81053.799492218415</v>
      </c>
      <c r="F82" s="187">
        <f t="shared" si="13"/>
        <v>6.0328608172609911E-2</v>
      </c>
      <c r="G82" s="94">
        <f>+'11. Final Load Forecast'!$F$32</f>
        <v>225.03441398199672</v>
      </c>
      <c r="H82" s="484">
        <f t="shared" si="14"/>
        <v>5.9786885337754454E-2</v>
      </c>
    </row>
    <row r="83" spans="2:8" x14ac:dyDescent="0.2">
      <c r="B83" s="83">
        <v>2006</v>
      </c>
      <c r="C83" s="94">
        <f>'11. Final Load Forecast'!$G$30</f>
        <v>59.5</v>
      </c>
      <c r="D83" s="187">
        <f t="shared" si="12"/>
        <v>2.5862068965517241E-2</v>
      </c>
      <c r="E83" s="94">
        <f>+'11. Final Load Forecast'!$G$31</f>
        <v>78799.687128734338</v>
      </c>
      <c r="F83" s="187">
        <f t="shared" si="13"/>
        <v>-2.7810076487536941E-2</v>
      </c>
      <c r="G83" s="94">
        <f>+'11. Final Load Forecast'!$G$32</f>
        <v>222.10830015479695</v>
      </c>
      <c r="H83" s="484">
        <f t="shared" si="14"/>
        <v>-1.3002961526737271E-2</v>
      </c>
    </row>
    <row r="84" spans="2:8" x14ac:dyDescent="0.2">
      <c r="B84" s="84">
        <v>2007</v>
      </c>
      <c r="C84" s="94">
        <f>'11. Final Load Forecast'!$H$30</f>
        <v>55</v>
      </c>
      <c r="D84" s="187">
        <f t="shared" si="12"/>
        <v>-7.5630252100840331E-2</v>
      </c>
      <c r="E84" s="94">
        <f>+'11. Final Load Forecast'!$H$31</f>
        <v>54122.065561244759</v>
      </c>
      <c r="F84" s="187">
        <f t="shared" si="13"/>
        <v>-0.31316902981066375</v>
      </c>
      <c r="G84" s="94">
        <f>+'11. Final Load Forecast'!$H$32</f>
        <v>219.09108054779566</v>
      </c>
      <c r="H84" s="484">
        <f t="shared" si="14"/>
        <v>-1.3584452291510325E-2</v>
      </c>
    </row>
    <row r="85" spans="2:8" x14ac:dyDescent="0.2">
      <c r="B85" s="84">
        <v>2008</v>
      </c>
      <c r="C85" s="94">
        <f>'11. Final Load Forecast'!$I$30</f>
        <v>53</v>
      </c>
      <c r="D85" s="187">
        <f t="shared" si="12"/>
        <v>-3.6363636363636362E-2</v>
      </c>
      <c r="E85" s="94">
        <f>+'11. Final Load Forecast'!$I$31</f>
        <v>43758</v>
      </c>
      <c r="F85" s="187">
        <f t="shared" si="13"/>
        <v>-0.19149427232256572</v>
      </c>
      <c r="G85" s="94">
        <f>+'11. Final Load Forecast'!$I$32</f>
        <v>132</v>
      </c>
      <c r="H85" s="484">
        <f t="shared" si="14"/>
        <v>-0.39751084494193439</v>
      </c>
    </row>
    <row r="86" spans="2:8" x14ac:dyDescent="0.2">
      <c r="B86" s="84">
        <v>2009</v>
      </c>
      <c r="C86" s="94">
        <f>'11. Final Load Forecast'!$J$30</f>
        <v>54</v>
      </c>
      <c r="D86" s="187">
        <f t="shared" si="12"/>
        <v>1.8867924528301886E-2</v>
      </c>
      <c r="E86" s="94">
        <f>+'11. Final Load Forecast'!$J$31</f>
        <v>41938</v>
      </c>
      <c r="F86" s="187">
        <f t="shared" si="13"/>
        <v>-4.1592394533571005E-2</v>
      </c>
      <c r="G86" s="94">
        <f>+'11. Final Load Forecast'!$J$32</f>
        <v>132</v>
      </c>
      <c r="H86" s="484">
        <f t="shared" si="14"/>
        <v>0</v>
      </c>
    </row>
    <row r="87" spans="2:8" x14ac:dyDescent="0.2">
      <c r="B87" s="84">
        <v>2010</v>
      </c>
      <c r="C87" s="94">
        <f>'11. Final Load Forecast'!$K$30</f>
        <v>54</v>
      </c>
      <c r="D87" s="187">
        <f t="shared" si="12"/>
        <v>0</v>
      </c>
      <c r="E87" s="94">
        <f>+'11. Final Load Forecast'!$K$31</f>
        <v>44355</v>
      </c>
      <c r="F87" s="187">
        <f t="shared" si="13"/>
        <v>5.7632695884400779E-2</v>
      </c>
      <c r="G87" s="94">
        <f>+'11. Final Load Forecast'!$K$32</f>
        <v>132</v>
      </c>
      <c r="H87" s="484">
        <f t="shared" si="14"/>
        <v>0</v>
      </c>
    </row>
    <row r="88" spans="2:8" x14ac:dyDescent="0.2">
      <c r="B88" s="84">
        <v>2011</v>
      </c>
      <c r="C88" s="94">
        <f>'11. Final Load Forecast'!$L$30</f>
        <v>54</v>
      </c>
      <c r="D88" s="187">
        <f t="shared" si="12"/>
        <v>0</v>
      </c>
      <c r="E88" s="94">
        <f>+'11. Final Load Forecast'!$L$31</f>
        <v>42943</v>
      </c>
      <c r="F88" s="187">
        <f t="shared" si="13"/>
        <v>-3.1834066057941604E-2</v>
      </c>
      <c r="G88" s="94">
        <f>+'11. Final Load Forecast'!$L$32</f>
        <v>132</v>
      </c>
      <c r="H88" s="484">
        <f t="shared" si="14"/>
        <v>0</v>
      </c>
    </row>
    <row r="89" spans="2:8" x14ac:dyDescent="0.2">
      <c r="B89" s="84">
        <v>2012</v>
      </c>
      <c r="C89" s="94">
        <f>'11. Final Load Forecast'!$M$30</f>
        <v>54</v>
      </c>
      <c r="D89" s="187">
        <f t="shared" si="12"/>
        <v>0</v>
      </c>
      <c r="E89" s="94">
        <f>+'11. Final Load Forecast'!$M$31</f>
        <v>43818</v>
      </c>
      <c r="F89" s="187">
        <f t="shared" si="13"/>
        <v>2.0375847053070349E-2</v>
      </c>
      <c r="G89" s="94">
        <f>+'11. Final Load Forecast'!$M$32</f>
        <v>132</v>
      </c>
      <c r="H89" s="484">
        <f t="shared" si="14"/>
        <v>0</v>
      </c>
    </row>
    <row r="90" spans="2:8" x14ac:dyDescent="0.2">
      <c r="B90" s="85">
        <v>2013</v>
      </c>
      <c r="C90" s="94">
        <f>'11. Final Load Forecast'!$N$30</f>
        <v>53.890017322054852</v>
      </c>
      <c r="D90" s="188">
        <f t="shared" si="12"/>
        <v>-2.036716258243474E-3</v>
      </c>
      <c r="E90" s="94">
        <f>+'11. Final Load Forecast'!$N$31</f>
        <v>44246.304495971228</v>
      </c>
      <c r="F90" s="188">
        <f t="shared" si="13"/>
        <v>9.7746244915611815E-3</v>
      </c>
      <c r="G90" s="94">
        <f>+'11. Final Load Forecast'!$N$32</f>
        <v>134.62335169787229</v>
      </c>
      <c r="H90" s="485">
        <f t="shared" si="14"/>
        <v>1.9873876499032536E-2</v>
      </c>
    </row>
    <row r="91" spans="2:8" ht="13.5" thickBot="1" x14ac:dyDescent="0.25">
      <c r="B91" s="86">
        <v>2014</v>
      </c>
      <c r="C91" s="96">
        <f>'11. Final Load Forecast'!$O$30</f>
        <v>53.780258647617998</v>
      </c>
      <c r="D91" s="189">
        <f t="shared" si="12"/>
        <v>-2.0367162582435225E-3</v>
      </c>
      <c r="E91" s="96">
        <f>+'11. Final Load Forecast'!$O$31</f>
        <v>43653.987393636133</v>
      </c>
      <c r="F91" s="189">
        <f t="shared" si="13"/>
        <v>-1.338681521728052E-2</v>
      </c>
      <c r="G91" s="96">
        <f>+'11. Final Load Forecast'!$O$32</f>
        <v>132.82117376476191</v>
      </c>
      <c r="H91" s="486">
        <f t="shared" si="14"/>
        <v>-1.3386815217280532E-2</v>
      </c>
    </row>
    <row r="93" spans="2:8" ht="13.5" thickBot="1" x14ac:dyDescent="0.25"/>
    <row r="94" spans="2:8" ht="13.5" thickBot="1" x14ac:dyDescent="0.25">
      <c r="B94" s="988" t="str">
        <f>+'11. Final Load Forecast'!B34</f>
        <v>General Service 3000-4999 kW</v>
      </c>
      <c r="C94" s="989"/>
      <c r="D94" s="989"/>
      <c r="E94" s="989"/>
      <c r="F94" s="989"/>
      <c r="G94" s="989"/>
      <c r="H94" s="990"/>
    </row>
    <row r="95" spans="2:8" ht="13.5" thickBot="1" x14ac:dyDescent="0.25">
      <c r="B95" s="81" t="s">
        <v>33</v>
      </c>
      <c r="C95" s="59" t="s">
        <v>48</v>
      </c>
      <c r="D95" s="60" t="s">
        <v>61</v>
      </c>
      <c r="E95" s="482" t="s">
        <v>36</v>
      </c>
      <c r="F95" s="60" t="s">
        <v>61</v>
      </c>
      <c r="G95" s="482" t="s">
        <v>37</v>
      </c>
      <c r="H95" s="483" t="s">
        <v>61</v>
      </c>
    </row>
    <row r="96" spans="2:8" x14ac:dyDescent="0.2">
      <c r="B96" s="82">
        <v>2003</v>
      </c>
      <c r="C96" s="476">
        <f>'11. Final Load Forecast'!$D$34</f>
        <v>1</v>
      </c>
      <c r="D96" s="476"/>
      <c r="E96" s="476">
        <f>+'11. Final Load Forecast'!$D$35</f>
        <v>23443190</v>
      </c>
      <c r="F96" s="476"/>
      <c r="G96" s="476">
        <f>+'11. Final Load Forecast'!$D$36</f>
        <v>48478.95</v>
      </c>
      <c r="H96" s="477"/>
    </row>
    <row r="97" spans="2:8" x14ac:dyDescent="0.2">
      <c r="B97" s="83">
        <v>2004</v>
      </c>
      <c r="C97" s="94">
        <f>'11. Final Load Forecast'!$E$34</f>
        <v>1</v>
      </c>
      <c r="D97" s="187">
        <f t="shared" ref="D97:D107" si="15">(C97-C96)/C96</f>
        <v>0</v>
      </c>
      <c r="E97" s="94">
        <f>+'11. Final Load Forecast'!$E$35</f>
        <v>20583615.100000001</v>
      </c>
      <c r="F97" s="187">
        <f t="shared" ref="F97:F107" si="16">(E97-E96)/E96</f>
        <v>-0.12197891583867206</v>
      </c>
      <c r="G97" s="94">
        <f>+'11. Final Load Forecast'!$E$36</f>
        <v>46226.600000000006</v>
      </c>
      <c r="H97" s="484">
        <f t="shared" ref="H97:H107" si="17">(G97-G96)/G96</f>
        <v>-4.646037094450254E-2</v>
      </c>
    </row>
    <row r="98" spans="2:8" x14ac:dyDescent="0.2">
      <c r="B98" s="83">
        <v>2005</v>
      </c>
      <c r="C98" s="94">
        <f>'11. Final Load Forecast'!$F$34</f>
        <v>1</v>
      </c>
      <c r="D98" s="187">
        <f t="shared" si="15"/>
        <v>0</v>
      </c>
      <c r="E98" s="94">
        <f>+'11. Final Load Forecast'!$F$35</f>
        <v>18805505.400000002</v>
      </c>
      <c r="F98" s="187">
        <f t="shared" si="16"/>
        <v>-8.638471382998214E-2</v>
      </c>
      <c r="G98" s="94">
        <f>+'11. Final Load Forecast'!$F$36</f>
        <v>40463.800000000003</v>
      </c>
      <c r="H98" s="484">
        <f t="shared" si="17"/>
        <v>-0.12466415440460692</v>
      </c>
    </row>
    <row r="99" spans="2:8" x14ac:dyDescent="0.2">
      <c r="B99" s="83">
        <v>2006</v>
      </c>
      <c r="C99" s="94">
        <f>'11. Final Load Forecast'!$G$34</f>
        <v>1</v>
      </c>
      <c r="D99" s="187">
        <f t="shared" si="15"/>
        <v>0</v>
      </c>
      <c r="E99" s="94">
        <f>+'11. Final Load Forecast'!$G$35</f>
        <v>19554366.59</v>
      </c>
      <c r="F99" s="187">
        <f t="shared" si="16"/>
        <v>3.9821380711203724E-2</v>
      </c>
      <c r="G99" s="94">
        <f>+'11. Final Load Forecast'!$G$36</f>
        <v>49628.899999999994</v>
      </c>
      <c r="H99" s="484">
        <f t="shared" si="17"/>
        <v>0.22650121837296525</v>
      </c>
    </row>
    <row r="100" spans="2:8" x14ac:dyDescent="0.2">
      <c r="B100" s="84">
        <v>2007</v>
      </c>
      <c r="C100" s="94">
        <f>'11. Final Load Forecast'!$H$34</f>
        <v>1</v>
      </c>
      <c r="D100" s="187">
        <f t="shared" si="15"/>
        <v>0</v>
      </c>
      <c r="E100" s="94">
        <f>+'11. Final Load Forecast'!$H$35</f>
        <v>19036344.470000003</v>
      </c>
      <c r="F100" s="187">
        <f t="shared" si="16"/>
        <v>-2.6491378159234833E-2</v>
      </c>
      <c r="G100" s="94">
        <f>+'11. Final Load Forecast'!$H$36</f>
        <v>45255.720000000008</v>
      </c>
      <c r="H100" s="484">
        <f t="shared" si="17"/>
        <v>-8.8117608893205093E-2</v>
      </c>
    </row>
    <row r="101" spans="2:8" x14ac:dyDescent="0.2">
      <c r="B101" s="84">
        <v>2008</v>
      </c>
      <c r="C101" s="94">
        <f>'11. Final Load Forecast'!$I$34</f>
        <v>1</v>
      </c>
      <c r="D101" s="187">
        <f t="shared" si="15"/>
        <v>0</v>
      </c>
      <c r="E101" s="94">
        <f>+'11. Final Load Forecast'!$I$35</f>
        <v>15051682</v>
      </c>
      <c r="F101" s="187">
        <f t="shared" si="16"/>
        <v>-0.20931867860867734</v>
      </c>
      <c r="G101" s="94">
        <f>+'11. Final Load Forecast'!$I$36</f>
        <v>42335.9</v>
      </c>
      <c r="H101" s="484">
        <f t="shared" si="17"/>
        <v>-6.4518253162252334E-2</v>
      </c>
    </row>
    <row r="102" spans="2:8" x14ac:dyDescent="0.2">
      <c r="B102" s="84">
        <v>2009</v>
      </c>
      <c r="C102" s="94">
        <f>'11. Final Load Forecast'!$J$34</f>
        <v>1</v>
      </c>
      <c r="D102" s="187">
        <f t="shared" si="15"/>
        <v>0</v>
      </c>
      <c r="E102" s="94">
        <f>+'11. Final Load Forecast'!$J$35</f>
        <v>15193348</v>
      </c>
      <c r="F102" s="187">
        <f t="shared" si="16"/>
        <v>9.4119713663894846E-3</v>
      </c>
      <c r="G102" s="94">
        <f>+'11. Final Load Forecast'!$J$36</f>
        <v>39662.6</v>
      </c>
      <c r="H102" s="484">
        <f t="shared" si="17"/>
        <v>-6.314499042184063E-2</v>
      </c>
    </row>
    <row r="103" spans="2:8" x14ac:dyDescent="0.2">
      <c r="B103" s="84">
        <v>2010</v>
      </c>
      <c r="C103" s="94">
        <f>'11. Final Load Forecast'!$K$34</f>
        <v>1</v>
      </c>
      <c r="D103" s="187">
        <f t="shared" si="15"/>
        <v>0</v>
      </c>
      <c r="E103" s="94">
        <f>+'11. Final Load Forecast'!$K$35</f>
        <v>13952451</v>
      </c>
      <c r="F103" s="187">
        <f t="shared" si="16"/>
        <v>-8.1673703518144916E-2</v>
      </c>
      <c r="G103" s="94">
        <f>+'11. Final Load Forecast'!$K$36</f>
        <v>37942.600000000006</v>
      </c>
      <c r="H103" s="484">
        <f t="shared" si="17"/>
        <v>-4.3365790442381306E-2</v>
      </c>
    </row>
    <row r="104" spans="2:8" x14ac:dyDescent="0.2">
      <c r="B104" s="84">
        <v>2011</v>
      </c>
      <c r="C104" s="94">
        <f>'11. Final Load Forecast'!$L$34</f>
        <v>1</v>
      </c>
      <c r="D104" s="187">
        <f t="shared" si="15"/>
        <v>0</v>
      </c>
      <c r="E104" s="94">
        <f>+'11. Final Load Forecast'!$L$35</f>
        <v>12584229</v>
      </c>
      <c r="F104" s="187">
        <f t="shared" si="16"/>
        <v>-9.8063200508641812E-2</v>
      </c>
      <c r="G104" s="94">
        <f>+'11. Final Load Forecast'!$L$36</f>
        <v>36603.599999999999</v>
      </c>
      <c r="H104" s="484">
        <f t="shared" si="17"/>
        <v>-3.5290148803719487E-2</v>
      </c>
    </row>
    <row r="105" spans="2:8" x14ac:dyDescent="0.2">
      <c r="B105" s="84">
        <v>2012</v>
      </c>
      <c r="C105" s="94">
        <f>'11. Final Load Forecast'!$M$34</f>
        <v>1</v>
      </c>
      <c r="D105" s="187">
        <f t="shared" si="15"/>
        <v>0</v>
      </c>
      <c r="E105" s="94">
        <f>+'11. Final Load Forecast'!$M$35</f>
        <v>14943860</v>
      </c>
      <c r="F105" s="187">
        <f t="shared" si="16"/>
        <v>0.18750699784627251</v>
      </c>
      <c r="G105" s="94">
        <f>+'11. Final Load Forecast'!$M$36</f>
        <v>33867.5</v>
      </c>
      <c r="H105" s="484">
        <f t="shared" si="17"/>
        <v>-7.4749478193401706E-2</v>
      </c>
    </row>
    <row r="106" spans="2:8" x14ac:dyDescent="0.2">
      <c r="B106" s="85">
        <v>2013</v>
      </c>
      <c r="C106" s="94">
        <f>'11. Final Load Forecast'!$N$34</f>
        <v>1</v>
      </c>
      <c r="D106" s="188">
        <f t="shared" si="15"/>
        <v>0</v>
      </c>
      <c r="E106" s="94">
        <f>+'11. Final Load Forecast'!$N$35</f>
        <v>15089930.619954463</v>
      </c>
      <c r="F106" s="188">
        <f t="shared" si="16"/>
        <v>9.7746244915612891E-3</v>
      </c>
      <c r="G106" s="94">
        <f>+'11. Final Load Forecast'!$N$36</f>
        <v>37269.727733739157</v>
      </c>
      <c r="H106" s="485">
        <f t="shared" si="17"/>
        <v>0.10045700845173565</v>
      </c>
    </row>
    <row r="107" spans="2:8" ht="13.5" thickBot="1" x14ac:dyDescent="0.25">
      <c r="B107" s="86">
        <v>2014</v>
      </c>
      <c r="C107" s="96">
        <f>'11. Final Load Forecast'!$O$34</f>
        <v>1</v>
      </c>
      <c r="D107" s="189">
        <f t="shared" si="15"/>
        <v>0</v>
      </c>
      <c r="E107" s="96">
        <f>+'11. Final Load Forecast'!$O$35</f>
        <v>14887924.507103547</v>
      </c>
      <c r="F107" s="189">
        <f t="shared" si="16"/>
        <v>-1.338681521728065E-2</v>
      </c>
      <c r="G107" s="96">
        <f>+'11. Final Load Forecast'!$O$36</f>
        <v>36770.80477536923</v>
      </c>
      <c r="H107" s="486">
        <f t="shared" si="17"/>
        <v>-1.3386815217280678E-2</v>
      </c>
    </row>
    <row r="109" spans="2:8" ht="13.5" thickBot="1" x14ac:dyDescent="0.25"/>
    <row r="110" spans="2:8" ht="13.5" thickBot="1" x14ac:dyDescent="0.25">
      <c r="B110" s="988" t="str">
        <f>+'11. Final Load Forecast'!B38</f>
        <v>Unmetered Scattered Load</v>
      </c>
      <c r="C110" s="989"/>
      <c r="D110" s="989"/>
      <c r="E110" s="989"/>
      <c r="F110" s="989"/>
      <c r="G110" s="989"/>
      <c r="H110" s="990"/>
    </row>
    <row r="111" spans="2:8" ht="13.5" thickBot="1" x14ac:dyDescent="0.25">
      <c r="B111" s="81" t="s">
        <v>33</v>
      </c>
      <c r="C111" s="59" t="s">
        <v>48</v>
      </c>
      <c r="D111" s="60" t="s">
        <v>61</v>
      </c>
      <c r="E111" s="482" t="s">
        <v>36</v>
      </c>
      <c r="F111" s="60" t="s">
        <v>61</v>
      </c>
      <c r="G111" s="482" t="s">
        <v>37</v>
      </c>
      <c r="H111" s="483" t="s">
        <v>61</v>
      </c>
    </row>
    <row r="112" spans="2:8" x14ac:dyDescent="0.2">
      <c r="B112" s="82">
        <v>2003</v>
      </c>
      <c r="C112" s="476">
        <f>'11. Final Load Forecast'!$D$39</f>
        <v>595250.77752402704</v>
      </c>
      <c r="D112" s="476"/>
      <c r="E112" s="476">
        <f>+'11. Final Load Forecast'!$D$39</f>
        <v>595250.77752402704</v>
      </c>
      <c r="F112" s="476"/>
      <c r="G112" s="477">
        <f>+'11. Final Load Forecast'!$D$40</f>
        <v>0</v>
      </c>
      <c r="H112" s="477"/>
    </row>
    <row r="113" spans="2:8" x14ac:dyDescent="0.2">
      <c r="B113" s="83">
        <v>2004</v>
      </c>
      <c r="C113" s="94">
        <f>'11. Final Load Forecast'!$E$38</f>
        <v>80.5</v>
      </c>
      <c r="D113" s="187">
        <f t="shared" ref="D113:D123" si="18">(C113-C112)/C112</f>
        <v>-0.99986476288139459</v>
      </c>
      <c r="E113" s="94">
        <f>+'11. Final Load Forecast'!$E$39</f>
        <v>605328</v>
      </c>
      <c r="F113" s="187">
        <f t="shared" ref="F113:F123" si="19">(E113-E112)/E112</f>
        <v>1.6929373058342953E-2</v>
      </c>
      <c r="G113" s="95">
        <f>+'11. Final Load Forecast'!$E$40</f>
        <v>0</v>
      </c>
      <c r="H113" s="484" t="e">
        <f t="shared" ref="H113:H123" si="20">(G113-G112)/G112</f>
        <v>#DIV/0!</v>
      </c>
    </row>
    <row r="114" spans="2:8" x14ac:dyDescent="0.2">
      <c r="B114" s="83">
        <v>2005</v>
      </c>
      <c r="C114" s="94">
        <f>'11. Final Load Forecast'!$F$38</f>
        <v>90</v>
      </c>
      <c r="D114" s="187">
        <f t="shared" si="18"/>
        <v>0.11801242236024845</v>
      </c>
      <c r="E114" s="94">
        <f>+'11. Final Load Forecast'!$F$39</f>
        <v>720399.74271798297</v>
      </c>
      <c r="F114" s="187">
        <f t="shared" si="19"/>
        <v>0.1900981661479115</v>
      </c>
      <c r="G114" s="95">
        <f>+'11. Final Load Forecast'!$F$40</f>
        <v>0</v>
      </c>
      <c r="H114" s="484" t="e">
        <f t="shared" si="20"/>
        <v>#DIV/0!</v>
      </c>
    </row>
    <row r="115" spans="2:8" x14ac:dyDescent="0.2">
      <c r="B115" s="83">
        <v>2006</v>
      </c>
      <c r="C115" s="94">
        <f>'11. Final Load Forecast'!$G$38</f>
        <v>95.5</v>
      </c>
      <c r="D115" s="187">
        <f t="shared" si="18"/>
        <v>6.1111111111111109E-2</v>
      </c>
      <c r="E115" s="94">
        <f>+'11. Final Load Forecast'!$G$39</f>
        <v>747874.03424722515</v>
      </c>
      <c r="F115" s="187">
        <f t="shared" si="19"/>
        <v>3.8137564327251051E-2</v>
      </c>
      <c r="G115" s="95">
        <f>+'11. Final Load Forecast'!$G$40</f>
        <v>0</v>
      </c>
      <c r="H115" s="484" t="e">
        <f t="shared" si="20"/>
        <v>#DIV/0!</v>
      </c>
    </row>
    <row r="116" spans="2:8" x14ac:dyDescent="0.2">
      <c r="B116" s="84">
        <v>2007</v>
      </c>
      <c r="C116" s="94">
        <f>'11. Final Load Forecast'!$H$38</f>
        <v>95</v>
      </c>
      <c r="D116" s="187">
        <f t="shared" si="18"/>
        <v>-5.235602094240838E-3</v>
      </c>
      <c r="E116" s="94">
        <f>+'11. Final Load Forecast'!$H$39</f>
        <v>716622.84621952369</v>
      </c>
      <c r="F116" s="187">
        <f t="shared" si="19"/>
        <v>-4.1786700161555196E-2</v>
      </c>
      <c r="G116" s="95">
        <f>+'11. Final Load Forecast'!$H$40</f>
        <v>0</v>
      </c>
      <c r="H116" s="484" t="e">
        <f t="shared" si="20"/>
        <v>#DIV/0!</v>
      </c>
    </row>
    <row r="117" spans="2:8" x14ac:dyDescent="0.2">
      <c r="B117" s="84">
        <v>2008</v>
      </c>
      <c r="C117" s="94">
        <f>'11. Final Load Forecast'!$I$38</f>
        <v>96</v>
      </c>
      <c r="D117" s="187">
        <f t="shared" si="18"/>
        <v>1.0526315789473684E-2</v>
      </c>
      <c r="E117" s="94">
        <f>+'11. Final Load Forecast'!$I$39</f>
        <v>659574</v>
      </c>
      <c r="F117" s="187">
        <f t="shared" si="19"/>
        <v>-7.9607908847003001E-2</v>
      </c>
      <c r="G117" s="95">
        <f>+'11. Final Load Forecast'!$I$40</f>
        <v>0</v>
      </c>
      <c r="H117" s="484" t="e">
        <f t="shared" si="20"/>
        <v>#DIV/0!</v>
      </c>
    </row>
    <row r="118" spans="2:8" x14ac:dyDescent="0.2">
      <c r="B118" s="84">
        <v>2009</v>
      </c>
      <c r="C118" s="94">
        <f>'11. Final Load Forecast'!$J$38</f>
        <v>94.5</v>
      </c>
      <c r="D118" s="187">
        <f t="shared" si="18"/>
        <v>-1.5625E-2</v>
      </c>
      <c r="E118" s="94">
        <f>+'11. Final Load Forecast'!$J$39</f>
        <v>627467</v>
      </c>
      <c r="F118" s="187">
        <f t="shared" si="19"/>
        <v>-4.8678389384663436E-2</v>
      </c>
      <c r="G118" s="95">
        <f>+'11. Final Load Forecast'!$J$40</f>
        <v>0</v>
      </c>
      <c r="H118" s="484" t="e">
        <f t="shared" si="20"/>
        <v>#DIV/0!</v>
      </c>
    </row>
    <row r="119" spans="2:8" x14ac:dyDescent="0.2">
      <c r="B119" s="84">
        <v>2010</v>
      </c>
      <c r="C119" s="94">
        <f>'11. Final Load Forecast'!$K$38</f>
        <v>93.5</v>
      </c>
      <c r="D119" s="187">
        <f t="shared" si="18"/>
        <v>-1.0582010582010581E-2</v>
      </c>
      <c r="E119" s="94">
        <f>+'11. Final Load Forecast'!$K$39</f>
        <v>668402</v>
      </c>
      <c r="F119" s="187">
        <f t="shared" si="19"/>
        <v>6.5238490629786108E-2</v>
      </c>
      <c r="G119" s="95">
        <f>+'11. Final Load Forecast'!$K$40</f>
        <v>0</v>
      </c>
      <c r="H119" s="484" t="e">
        <f t="shared" si="20"/>
        <v>#DIV/0!</v>
      </c>
    </row>
    <row r="120" spans="2:8" x14ac:dyDescent="0.2">
      <c r="B120" s="84">
        <v>2011</v>
      </c>
      <c r="C120" s="94">
        <f>'11. Final Load Forecast'!$L$38</f>
        <v>93</v>
      </c>
      <c r="D120" s="187">
        <f t="shared" si="18"/>
        <v>-5.3475935828877002E-3</v>
      </c>
      <c r="E120" s="94">
        <f>+'11. Final Load Forecast'!$L$39</f>
        <v>555548</v>
      </c>
      <c r="F120" s="187">
        <f t="shared" si="19"/>
        <v>-0.16884150556102465</v>
      </c>
      <c r="G120" s="95">
        <f>+'11. Final Load Forecast'!$L$40</f>
        <v>0</v>
      </c>
      <c r="H120" s="484" t="e">
        <f t="shared" si="20"/>
        <v>#DIV/0!</v>
      </c>
    </row>
    <row r="121" spans="2:8" x14ac:dyDescent="0.2">
      <c r="B121" s="84">
        <v>2012</v>
      </c>
      <c r="C121" s="94">
        <f>'11. Final Load Forecast'!$M$38</f>
        <v>90</v>
      </c>
      <c r="D121" s="187">
        <f t="shared" si="18"/>
        <v>-3.2258064516129031E-2</v>
      </c>
      <c r="E121" s="94">
        <f>+'11. Final Load Forecast'!$M$39</f>
        <v>602228</v>
      </c>
      <c r="F121" s="187">
        <f t="shared" si="19"/>
        <v>8.4025142741941297E-2</v>
      </c>
      <c r="G121" s="95">
        <f>+'11. Final Load Forecast'!$M$40</f>
        <v>0</v>
      </c>
      <c r="H121" s="484" t="e">
        <f t="shared" si="20"/>
        <v>#DIV/0!</v>
      </c>
    </row>
    <row r="122" spans="2:8" x14ac:dyDescent="0.2">
      <c r="B122" s="85">
        <v>2013</v>
      </c>
      <c r="C122" s="94">
        <f>'11. Final Load Forecast'!$N$38</f>
        <v>92.771578681015399</v>
      </c>
      <c r="D122" s="188">
        <f t="shared" si="18"/>
        <v>3.0795318677948873E-2</v>
      </c>
      <c r="E122" s="94">
        <f>+'11. Final Load Forecast'!$N$39</f>
        <v>608114.55255830393</v>
      </c>
      <c r="F122" s="188">
        <f t="shared" si="19"/>
        <v>9.7746244915612145E-3</v>
      </c>
      <c r="G122" s="95">
        <f>+'11. Final Load Forecast'!$N$40</f>
        <v>0</v>
      </c>
      <c r="H122" s="485" t="e">
        <f t="shared" si="20"/>
        <v>#DIV/0!</v>
      </c>
    </row>
    <row r="123" spans="2:8" ht="13.5" thickBot="1" x14ac:dyDescent="0.25">
      <c r="B123" s="86">
        <v>2014</v>
      </c>
      <c r="C123" s="96">
        <f>'11. Final Load Forecast'!$O$38</f>
        <v>95.628509010753675</v>
      </c>
      <c r="D123" s="189">
        <f t="shared" si="18"/>
        <v>3.0795318677948862E-2</v>
      </c>
      <c r="E123" s="96">
        <f>+'11. Final Load Forecast'!$O$39</f>
        <v>599973.83541226666</v>
      </c>
      <c r="F123" s="189">
        <f t="shared" si="19"/>
        <v>-1.3386815217280561E-2</v>
      </c>
      <c r="G123" s="97">
        <f>+'11. Final Load Forecast'!$O$40</f>
        <v>0</v>
      </c>
      <c r="H123" s="486"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S82"/>
  <sheetViews>
    <sheetView workbookViewId="0">
      <selection activeCell="C14" sqref="C14"/>
    </sheetView>
  </sheetViews>
  <sheetFormatPr defaultRowHeight="12.75" x14ac:dyDescent="0.2"/>
  <cols>
    <col min="1" max="1" width="9.33203125" style="813"/>
    <col min="2" max="2" width="17.1640625" style="813" bestFit="1" customWidth="1"/>
    <col min="3" max="3" width="28.33203125" style="813" customWidth="1"/>
    <col min="4" max="4" width="14" style="813" bestFit="1" customWidth="1"/>
    <col min="5" max="5" width="14.1640625" style="821" bestFit="1" customWidth="1"/>
    <col min="6" max="16384" width="9.33203125" style="813"/>
  </cols>
  <sheetData>
    <row r="4" spans="2:19" ht="31.5" x14ac:dyDescent="0.25">
      <c r="B4" s="811" t="s">
        <v>33</v>
      </c>
      <c r="C4" s="812" t="s">
        <v>295</v>
      </c>
      <c r="S4" s="814" t="s">
        <v>296</v>
      </c>
    </row>
    <row r="5" spans="2:19" ht="15.75" x14ac:dyDescent="0.25">
      <c r="B5" s="815">
        <v>2006</v>
      </c>
      <c r="C5" s="816"/>
      <c r="S5" s="817">
        <v>1</v>
      </c>
    </row>
    <row r="6" spans="2:19" ht="15.75" x14ac:dyDescent="0.25">
      <c r="B6" s="815">
        <v>2007</v>
      </c>
      <c r="C6" s="816"/>
      <c r="S6" s="817">
        <v>2</v>
      </c>
    </row>
    <row r="7" spans="2:19" ht="15.75" x14ac:dyDescent="0.25">
      <c r="B7" s="815">
        <v>2008</v>
      </c>
      <c r="C7" s="816"/>
      <c r="S7" s="817">
        <v>3</v>
      </c>
    </row>
    <row r="8" spans="2:19" ht="15.75" x14ac:dyDescent="0.25">
      <c r="B8" s="815">
        <v>2009</v>
      </c>
      <c r="C8" s="816"/>
      <c r="S8" s="817">
        <v>4</v>
      </c>
    </row>
    <row r="9" spans="2:19" ht="15.75" x14ac:dyDescent="0.25">
      <c r="B9" s="815">
        <v>2010</v>
      </c>
      <c r="C9" s="816"/>
      <c r="S9" s="817">
        <v>5</v>
      </c>
    </row>
    <row r="10" spans="2:19" ht="15.75" x14ac:dyDescent="0.25">
      <c r="B10" s="815">
        <v>2011</v>
      </c>
      <c r="C10" s="816">
        <f>(1.4+0.1)*1000000</f>
        <v>1500000</v>
      </c>
      <c r="S10" s="817">
        <v>6</v>
      </c>
    </row>
    <row r="11" spans="2:19" ht="15.75" x14ac:dyDescent="0.25">
      <c r="B11" s="815">
        <v>2012</v>
      </c>
      <c r="C11" s="816">
        <f>(1.4+0.7)*1000000</f>
        <v>2099999.9999999995</v>
      </c>
      <c r="S11" s="817">
        <v>7</v>
      </c>
    </row>
    <row r="12" spans="2:19" ht="15.75" x14ac:dyDescent="0.25">
      <c r="B12" s="815">
        <v>2013</v>
      </c>
      <c r="C12" s="816">
        <f>(1.4+0.7+0.8+0.18)*1000000</f>
        <v>3079999.9999999995</v>
      </c>
      <c r="S12" s="817">
        <v>8</v>
      </c>
    </row>
    <row r="13" spans="2:19" ht="15.75" x14ac:dyDescent="0.25">
      <c r="B13" s="815">
        <v>2014</v>
      </c>
      <c r="C13" s="816">
        <f>(1.3+0.7+0.8+1.2)*1000000</f>
        <v>4000000</v>
      </c>
      <c r="S13" s="817">
        <v>9</v>
      </c>
    </row>
    <row r="14" spans="2:19" ht="15.75" x14ac:dyDescent="0.25">
      <c r="B14" s="818">
        <v>2015</v>
      </c>
      <c r="C14" s="816">
        <f>1.6*1000000</f>
        <v>1600000</v>
      </c>
      <c r="S14" s="817">
        <v>10</v>
      </c>
    </row>
    <row r="15" spans="2:19" ht="15.75" x14ac:dyDescent="0.25">
      <c r="S15" s="817">
        <v>11</v>
      </c>
    </row>
    <row r="16" spans="2:19" ht="15.75" x14ac:dyDescent="0.25">
      <c r="S16" s="817">
        <v>12</v>
      </c>
    </row>
    <row r="17" spans="2:19" ht="15.75" x14ac:dyDescent="0.25">
      <c r="S17" s="819">
        <f>SUM(S5:S16)</f>
        <v>78</v>
      </c>
    </row>
    <row r="19" spans="2:19" x14ac:dyDescent="0.2">
      <c r="B19" s="813" t="s">
        <v>297</v>
      </c>
      <c r="C19" s="821">
        <f>C10/S17</f>
        <v>19230.76923076923</v>
      </c>
      <c r="E19" s="821">
        <f>C19*1.0565</f>
        <v>20317.307692307691</v>
      </c>
    </row>
    <row r="20" spans="2:19" x14ac:dyDescent="0.2">
      <c r="B20" s="813" t="s">
        <v>298</v>
      </c>
      <c r="C20" s="821">
        <f>C19*(S6/S5)</f>
        <v>38461.538461538461</v>
      </c>
      <c r="E20" s="821">
        <f t="shared" ref="E20:E82" si="0">C20*1.0565</f>
        <v>40634.615384615383</v>
      </c>
    </row>
    <row r="21" spans="2:19" x14ac:dyDescent="0.2">
      <c r="B21" s="813" t="s">
        <v>299</v>
      </c>
      <c r="C21" s="821">
        <f t="shared" ref="C21:C30" si="1">C20*(S7/S6)</f>
        <v>57692.307692307688</v>
      </c>
      <c r="E21" s="821">
        <f t="shared" si="0"/>
        <v>60951.923076923071</v>
      </c>
    </row>
    <row r="22" spans="2:19" x14ac:dyDescent="0.2">
      <c r="B22" s="813" t="s">
        <v>300</v>
      </c>
      <c r="C22" s="821">
        <f t="shared" si="1"/>
        <v>76923.076923076907</v>
      </c>
      <c r="E22" s="821">
        <f t="shared" si="0"/>
        <v>81269.230769230751</v>
      </c>
    </row>
    <row r="23" spans="2:19" x14ac:dyDescent="0.2">
      <c r="B23" s="813" t="s">
        <v>301</v>
      </c>
      <c r="C23" s="821">
        <f t="shared" si="1"/>
        <v>96153.846153846127</v>
      </c>
      <c r="E23" s="821">
        <f t="shared" si="0"/>
        <v>101586.53846153844</v>
      </c>
    </row>
    <row r="24" spans="2:19" x14ac:dyDescent="0.2">
      <c r="B24" s="813" t="s">
        <v>302</v>
      </c>
      <c r="C24" s="821">
        <f t="shared" si="1"/>
        <v>115384.61538461535</v>
      </c>
      <c r="E24" s="821">
        <f t="shared" si="0"/>
        <v>121903.84615384611</v>
      </c>
    </row>
    <row r="25" spans="2:19" x14ac:dyDescent="0.2">
      <c r="B25" s="813" t="s">
        <v>304</v>
      </c>
      <c r="C25" s="821">
        <f t="shared" si="1"/>
        <v>134615.38461538457</v>
      </c>
      <c r="E25" s="821">
        <f t="shared" si="0"/>
        <v>142221.15384615379</v>
      </c>
    </row>
    <row r="26" spans="2:19" x14ac:dyDescent="0.2">
      <c r="B26" s="813" t="s">
        <v>305</v>
      </c>
      <c r="C26" s="821">
        <f t="shared" si="1"/>
        <v>153846.15384615379</v>
      </c>
      <c r="E26" s="821">
        <f t="shared" si="0"/>
        <v>162538.46153846147</v>
      </c>
    </row>
    <row r="27" spans="2:19" x14ac:dyDescent="0.2">
      <c r="B27" s="813" t="s">
        <v>306</v>
      </c>
      <c r="C27" s="821">
        <f t="shared" si="1"/>
        <v>173076.92307692301</v>
      </c>
      <c r="E27" s="821">
        <f t="shared" si="0"/>
        <v>182855.76923076916</v>
      </c>
    </row>
    <row r="28" spans="2:19" x14ac:dyDescent="0.2">
      <c r="B28" s="813" t="s">
        <v>307</v>
      </c>
      <c r="C28" s="821">
        <f t="shared" si="1"/>
        <v>192307.69230769222</v>
      </c>
      <c r="E28" s="821">
        <f t="shared" si="0"/>
        <v>203173.07692307682</v>
      </c>
    </row>
    <row r="29" spans="2:19" x14ac:dyDescent="0.2">
      <c r="B29" s="813" t="s">
        <v>308</v>
      </c>
      <c r="C29" s="821">
        <f t="shared" si="1"/>
        <v>211538.46153846147</v>
      </c>
      <c r="E29" s="821">
        <f t="shared" si="0"/>
        <v>223490.38461538454</v>
      </c>
    </row>
    <row r="30" spans="2:19" x14ac:dyDescent="0.2">
      <c r="B30" s="813" t="s">
        <v>309</v>
      </c>
      <c r="C30" s="821">
        <f t="shared" si="1"/>
        <v>230769.23076923069</v>
      </c>
      <c r="D30" s="820">
        <f>SUM(C19:C30)</f>
        <v>1499999.9999999995</v>
      </c>
      <c r="E30" s="821">
        <f t="shared" si="0"/>
        <v>243807.69230769222</v>
      </c>
    </row>
    <row r="31" spans="2:19" x14ac:dyDescent="0.2">
      <c r="C31" s="821"/>
    </row>
    <row r="32" spans="2:19" x14ac:dyDescent="0.2">
      <c r="B32" s="813" t="s">
        <v>313</v>
      </c>
      <c r="C32" s="821">
        <f>C11/S17</f>
        <v>26923.076923076918</v>
      </c>
      <c r="E32" s="821">
        <f t="shared" si="0"/>
        <v>28444.230769230766</v>
      </c>
    </row>
    <row r="33" spans="2:5" x14ac:dyDescent="0.2">
      <c r="B33" s="813" t="s">
        <v>314</v>
      </c>
      <c r="C33" s="821">
        <f>C32*(S6/S5)</f>
        <v>53846.153846153837</v>
      </c>
      <c r="E33" s="821">
        <f t="shared" si="0"/>
        <v>56888.461538461532</v>
      </c>
    </row>
    <row r="34" spans="2:5" x14ac:dyDescent="0.2">
      <c r="B34" s="813" t="s">
        <v>315</v>
      </c>
      <c r="C34" s="821">
        <f>C33*(S7/S6)</f>
        <v>80769.230769230751</v>
      </c>
      <c r="E34" s="821">
        <f t="shared" si="0"/>
        <v>85332.692307692283</v>
      </c>
    </row>
    <row r="35" spans="2:5" x14ac:dyDescent="0.2">
      <c r="B35" s="813" t="s">
        <v>316</v>
      </c>
      <c r="C35" s="821">
        <f t="shared" ref="C35:C43" si="2">C34*(S8/S7)</f>
        <v>107692.30769230766</v>
      </c>
      <c r="E35" s="821">
        <f t="shared" si="0"/>
        <v>113776.92307692303</v>
      </c>
    </row>
    <row r="36" spans="2:5" x14ac:dyDescent="0.2">
      <c r="B36" s="813" t="s">
        <v>317</v>
      </c>
      <c r="C36" s="821">
        <f t="shared" si="2"/>
        <v>134615.38461538457</v>
      </c>
      <c r="E36" s="821">
        <f t="shared" si="0"/>
        <v>142221.15384615379</v>
      </c>
    </row>
    <row r="37" spans="2:5" x14ac:dyDescent="0.2">
      <c r="B37" s="813" t="s">
        <v>318</v>
      </c>
      <c r="C37" s="821">
        <f t="shared" si="2"/>
        <v>161538.46153846147</v>
      </c>
      <c r="E37" s="821">
        <f t="shared" si="0"/>
        <v>170665.38461538454</v>
      </c>
    </row>
    <row r="38" spans="2:5" x14ac:dyDescent="0.2">
      <c r="B38" s="813" t="s">
        <v>303</v>
      </c>
      <c r="C38" s="821">
        <f t="shared" si="2"/>
        <v>188461.53846153841</v>
      </c>
      <c r="E38" s="821">
        <f t="shared" si="0"/>
        <v>199109.61538461532</v>
      </c>
    </row>
    <row r="39" spans="2:5" x14ac:dyDescent="0.2">
      <c r="B39" s="813" t="s">
        <v>319</v>
      </c>
      <c r="C39" s="821">
        <f t="shared" si="2"/>
        <v>215384.61538461532</v>
      </c>
      <c r="E39" s="821">
        <f t="shared" si="0"/>
        <v>227553.84615384607</v>
      </c>
    </row>
    <row r="40" spans="2:5" x14ac:dyDescent="0.2">
      <c r="B40" s="813" t="s">
        <v>320</v>
      </c>
      <c r="C40" s="821">
        <f t="shared" si="2"/>
        <v>242307.69230769222</v>
      </c>
      <c r="E40" s="821">
        <f t="shared" si="0"/>
        <v>255998.07692307682</v>
      </c>
    </row>
    <row r="41" spans="2:5" x14ac:dyDescent="0.2">
      <c r="B41" s="813" t="s">
        <v>321</v>
      </c>
      <c r="C41" s="821">
        <f t="shared" si="2"/>
        <v>269230.76923076913</v>
      </c>
      <c r="E41" s="821">
        <f t="shared" si="0"/>
        <v>284442.30769230757</v>
      </c>
    </row>
    <row r="42" spans="2:5" x14ac:dyDescent="0.2">
      <c r="B42" s="813" t="s">
        <v>322</v>
      </c>
      <c r="C42" s="821">
        <f t="shared" si="2"/>
        <v>296153.84615384607</v>
      </c>
      <c r="E42" s="821">
        <f t="shared" si="0"/>
        <v>312886.53846153838</v>
      </c>
    </row>
    <row r="43" spans="2:5" x14ac:dyDescent="0.2">
      <c r="B43" s="813" t="s">
        <v>310</v>
      </c>
      <c r="C43" s="821">
        <f t="shared" si="2"/>
        <v>323076.92307692295</v>
      </c>
      <c r="D43" s="820">
        <f>SUM(C32:C43)</f>
        <v>2099999.9999999991</v>
      </c>
      <c r="E43" s="821">
        <f t="shared" si="0"/>
        <v>341330.76923076907</v>
      </c>
    </row>
    <row r="45" spans="2:5" x14ac:dyDescent="0.2">
      <c r="B45" s="813" t="s">
        <v>323</v>
      </c>
      <c r="C45" s="821">
        <f>C12/S17</f>
        <v>39487.179487179485</v>
      </c>
      <c r="E45" s="821">
        <f t="shared" si="0"/>
        <v>41718.205128205125</v>
      </c>
    </row>
    <row r="46" spans="2:5" x14ac:dyDescent="0.2">
      <c r="B46" s="813" t="s">
        <v>324</v>
      </c>
      <c r="C46" s="821">
        <f>C45*(S6/S5)</f>
        <v>78974.358974358969</v>
      </c>
      <c r="E46" s="821">
        <f t="shared" si="0"/>
        <v>83436.41025641025</v>
      </c>
    </row>
    <row r="47" spans="2:5" x14ac:dyDescent="0.2">
      <c r="B47" s="813" t="s">
        <v>325</v>
      </c>
      <c r="C47" s="821">
        <f t="shared" ref="C47:C56" si="3">C46*(S7/S6)</f>
        <v>118461.53846153845</v>
      </c>
      <c r="E47" s="821">
        <f t="shared" si="0"/>
        <v>125154.61538461538</v>
      </c>
    </row>
    <row r="48" spans="2:5" x14ac:dyDescent="0.2">
      <c r="B48" s="813" t="s">
        <v>326</v>
      </c>
      <c r="C48" s="821">
        <f t="shared" si="3"/>
        <v>157948.71794871794</v>
      </c>
      <c r="E48" s="821">
        <f t="shared" si="0"/>
        <v>166872.8205128205</v>
      </c>
    </row>
    <row r="49" spans="2:5" x14ac:dyDescent="0.2">
      <c r="B49" s="813" t="s">
        <v>327</v>
      </c>
      <c r="C49" s="821">
        <f t="shared" si="3"/>
        <v>197435.89743589744</v>
      </c>
      <c r="E49" s="821">
        <f t="shared" si="0"/>
        <v>208591.02564102566</v>
      </c>
    </row>
    <row r="50" spans="2:5" x14ac:dyDescent="0.2">
      <c r="B50" s="813" t="s">
        <v>328</v>
      </c>
      <c r="C50" s="821">
        <f t="shared" si="3"/>
        <v>236923.07692307691</v>
      </c>
      <c r="E50" s="821">
        <f t="shared" si="0"/>
        <v>250309.23076923075</v>
      </c>
    </row>
    <row r="51" spans="2:5" x14ac:dyDescent="0.2">
      <c r="B51" s="813" t="s">
        <v>329</v>
      </c>
      <c r="C51" s="821">
        <f t="shared" si="3"/>
        <v>276410.25641025644</v>
      </c>
      <c r="E51" s="821">
        <f t="shared" si="0"/>
        <v>292027.43589743593</v>
      </c>
    </row>
    <row r="52" spans="2:5" x14ac:dyDescent="0.2">
      <c r="B52" s="813" t="s">
        <v>330</v>
      </c>
      <c r="C52" s="821">
        <f t="shared" si="3"/>
        <v>315897.43589743593</v>
      </c>
      <c r="E52" s="821">
        <f t="shared" si="0"/>
        <v>333745.64102564106</v>
      </c>
    </row>
    <row r="53" spans="2:5" x14ac:dyDescent="0.2">
      <c r="B53" s="813" t="s">
        <v>331</v>
      </c>
      <c r="C53" s="821">
        <f t="shared" si="3"/>
        <v>355384.61538461543</v>
      </c>
      <c r="E53" s="821">
        <f t="shared" si="0"/>
        <v>375463.84615384619</v>
      </c>
    </row>
    <row r="54" spans="2:5" x14ac:dyDescent="0.2">
      <c r="B54" s="813" t="s">
        <v>332</v>
      </c>
      <c r="C54" s="821">
        <f t="shared" si="3"/>
        <v>394871.79487179493</v>
      </c>
      <c r="E54" s="821">
        <f t="shared" si="0"/>
        <v>417182.05128205137</v>
      </c>
    </row>
    <row r="55" spans="2:5" x14ac:dyDescent="0.2">
      <c r="B55" s="813" t="s">
        <v>333</v>
      </c>
      <c r="C55" s="821">
        <f t="shared" si="3"/>
        <v>434358.97435897449</v>
      </c>
      <c r="E55" s="821">
        <f t="shared" si="0"/>
        <v>458900.25641025655</v>
      </c>
    </row>
    <row r="56" spans="2:5" x14ac:dyDescent="0.2">
      <c r="B56" s="813" t="s">
        <v>311</v>
      </c>
      <c r="C56" s="821">
        <f t="shared" si="3"/>
        <v>473846.15384615393</v>
      </c>
      <c r="D56" s="820">
        <f>SUM(C45:C56)</f>
        <v>3080000.0000000005</v>
      </c>
      <c r="E56" s="821">
        <f t="shared" si="0"/>
        <v>500618.46153846162</v>
      </c>
    </row>
    <row r="58" spans="2:5" x14ac:dyDescent="0.2">
      <c r="B58" s="813" t="s">
        <v>334</v>
      </c>
      <c r="C58" s="821">
        <f>C13/S17</f>
        <v>51282.051282051281</v>
      </c>
      <c r="E58" s="821">
        <f t="shared" si="0"/>
        <v>54179.48717948718</v>
      </c>
    </row>
    <row r="59" spans="2:5" x14ac:dyDescent="0.2">
      <c r="B59" s="813" t="s">
        <v>335</v>
      </c>
      <c r="C59" s="821">
        <f>C58*(S6/S5)</f>
        <v>102564.10256410256</v>
      </c>
      <c r="E59" s="821">
        <f t="shared" si="0"/>
        <v>108358.97435897436</v>
      </c>
    </row>
    <row r="60" spans="2:5" x14ac:dyDescent="0.2">
      <c r="B60" s="813" t="s">
        <v>336</v>
      </c>
      <c r="C60" s="821">
        <f t="shared" ref="C60:C69" si="4">C59*(S7/S6)</f>
        <v>153846.15384615384</v>
      </c>
      <c r="E60" s="821">
        <f t="shared" si="0"/>
        <v>162538.46153846153</v>
      </c>
    </row>
    <row r="61" spans="2:5" x14ac:dyDescent="0.2">
      <c r="B61" s="813" t="s">
        <v>337</v>
      </c>
      <c r="C61" s="821">
        <f t="shared" si="4"/>
        <v>205128.20512820513</v>
      </c>
      <c r="E61" s="821">
        <f t="shared" si="0"/>
        <v>216717.94871794872</v>
      </c>
    </row>
    <row r="62" spans="2:5" x14ac:dyDescent="0.2">
      <c r="B62" s="813" t="s">
        <v>338</v>
      </c>
      <c r="C62" s="821">
        <f t="shared" si="4"/>
        <v>256410.25641025641</v>
      </c>
      <c r="E62" s="821">
        <f t="shared" si="0"/>
        <v>270897.43589743588</v>
      </c>
    </row>
    <row r="63" spans="2:5" x14ac:dyDescent="0.2">
      <c r="B63" s="813" t="s">
        <v>339</v>
      </c>
      <c r="C63" s="821">
        <f t="shared" si="4"/>
        <v>307692.30769230769</v>
      </c>
      <c r="E63" s="821">
        <f t="shared" si="0"/>
        <v>325076.92307692306</v>
      </c>
    </row>
    <row r="64" spans="2:5" x14ac:dyDescent="0.2">
      <c r="B64" s="813" t="s">
        <v>340</v>
      </c>
      <c r="C64" s="821">
        <f t="shared" si="4"/>
        <v>358974.358974359</v>
      </c>
      <c r="E64" s="821">
        <f t="shared" si="0"/>
        <v>379256.41025641031</v>
      </c>
    </row>
    <row r="65" spans="2:5" x14ac:dyDescent="0.2">
      <c r="B65" s="813" t="s">
        <v>341</v>
      </c>
      <c r="C65" s="821">
        <f t="shared" si="4"/>
        <v>410256.41025641025</v>
      </c>
      <c r="E65" s="821">
        <f t="shared" si="0"/>
        <v>433435.89743589744</v>
      </c>
    </row>
    <row r="66" spans="2:5" x14ac:dyDescent="0.2">
      <c r="B66" s="813" t="s">
        <v>342</v>
      </c>
      <c r="C66" s="821">
        <f t="shared" si="4"/>
        <v>461538.4615384615</v>
      </c>
      <c r="E66" s="821">
        <f t="shared" si="0"/>
        <v>487615.38461538457</v>
      </c>
    </row>
    <row r="67" spans="2:5" x14ac:dyDescent="0.2">
      <c r="B67" s="813" t="s">
        <v>343</v>
      </c>
      <c r="C67" s="821">
        <f t="shared" si="4"/>
        <v>512820.51282051281</v>
      </c>
      <c r="E67" s="821">
        <f t="shared" si="0"/>
        <v>541794.87179487175</v>
      </c>
    </row>
    <row r="68" spans="2:5" x14ac:dyDescent="0.2">
      <c r="B68" s="813" t="s">
        <v>344</v>
      </c>
      <c r="C68" s="821">
        <f t="shared" si="4"/>
        <v>564102.56410256412</v>
      </c>
      <c r="E68" s="821">
        <f t="shared" si="0"/>
        <v>595974.358974359</v>
      </c>
    </row>
    <row r="69" spans="2:5" x14ac:dyDescent="0.2">
      <c r="B69" s="813" t="s">
        <v>312</v>
      </c>
      <c r="C69" s="821">
        <f t="shared" si="4"/>
        <v>615384.61538461538</v>
      </c>
      <c r="D69" s="820">
        <f>SUM(C58:C69)</f>
        <v>4000000.0000000005</v>
      </c>
      <c r="E69" s="821">
        <f t="shared" si="0"/>
        <v>650153.84615384613</v>
      </c>
    </row>
    <row r="71" spans="2:5" x14ac:dyDescent="0.2">
      <c r="B71" s="813" t="s">
        <v>345</v>
      </c>
      <c r="C71" s="821">
        <f>C14/S17</f>
        <v>20512.820512820512</v>
      </c>
      <c r="E71" s="821">
        <f t="shared" si="0"/>
        <v>21671.794871794871</v>
      </c>
    </row>
    <row r="72" spans="2:5" x14ac:dyDescent="0.2">
      <c r="B72" s="813" t="s">
        <v>346</v>
      </c>
      <c r="C72" s="821">
        <f>C71*(S6/S5)</f>
        <v>41025.641025641024</v>
      </c>
      <c r="E72" s="821">
        <f t="shared" si="0"/>
        <v>43343.589743589742</v>
      </c>
    </row>
    <row r="73" spans="2:5" x14ac:dyDescent="0.2">
      <c r="B73" s="813" t="s">
        <v>347</v>
      </c>
      <c r="C73" s="821">
        <f t="shared" ref="C73:C82" si="5">C72*(S7/S6)</f>
        <v>61538.461538461532</v>
      </c>
      <c r="E73" s="821">
        <f t="shared" si="0"/>
        <v>65015.38461538461</v>
      </c>
    </row>
    <row r="74" spans="2:5" x14ac:dyDescent="0.2">
      <c r="B74" s="813" t="s">
        <v>348</v>
      </c>
      <c r="C74" s="821">
        <f t="shared" si="5"/>
        <v>82051.282051282033</v>
      </c>
      <c r="E74" s="821">
        <f t="shared" si="0"/>
        <v>86687.17948717947</v>
      </c>
    </row>
    <row r="75" spans="2:5" x14ac:dyDescent="0.2">
      <c r="B75" s="813" t="s">
        <v>349</v>
      </c>
      <c r="C75" s="821">
        <f t="shared" si="5"/>
        <v>102564.10256410253</v>
      </c>
      <c r="E75" s="821">
        <f t="shared" si="0"/>
        <v>108358.97435897433</v>
      </c>
    </row>
    <row r="76" spans="2:5" x14ac:dyDescent="0.2">
      <c r="B76" s="813" t="s">
        <v>350</v>
      </c>
      <c r="C76" s="821">
        <f t="shared" si="5"/>
        <v>123076.92307692303</v>
      </c>
      <c r="E76" s="821">
        <f t="shared" si="0"/>
        <v>130030.76923076919</v>
      </c>
    </row>
    <row r="77" spans="2:5" x14ac:dyDescent="0.2">
      <c r="B77" s="813" t="s">
        <v>351</v>
      </c>
      <c r="C77" s="821">
        <f t="shared" si="5"/>
        <v>143589.74358974354</v>
      </c>
      <c r="E77" s="821">
        <f t="shared" si="0"/>
        <v>151702.56410256404</v>
      </c>
    </row>
    <row r="78" spans="2:5" x14ac:dyDescent="0.2">
      <c r="B78" s="813" t="s">
        <v>352</v>
      </c>
      <c r="C78" s="821">
        <f t="shared" si="5"/>
        <v>164102.56410256404</v>
      </c>
      <c r="E78" s="821">
        <f t="shared" si="0"/>
        <v>173374.35897435891</v>
      </c>
    </row>
    <row r="79" spans="2:5" x14ac:dyDescent="0.2">
      <c r="B79" s="813" t="s">
        <v>353</v>
      </c>
      <c r="C79" s="821">
        <f t="shared" si="5"/>
        <v>184615.38461538454</v>
      </c>
      <c r="E79" s="821">
        <f t="shared" si="0"/>
        <v>195046.15384615376</v>
      </c>
    </row>
    <row r="80" spans="2:5" x14ac:dyDescent="0.2">
      <c r="B80" s="813" t="s">
        <v>354</v>
      </c>
      <c r="C80" s="821">
        <f t="shared" si="5"/>
        <v>205128.20512820504</v>
      </c>
      <c r="E80" s="821">
        <f t="shared" si="0"/>
        <v>216717.94871794863</v>
      </c>
    </row>
    <row r="81" spans="2:5" x14ac:dyDescent="0.2">
      <c r="B81" s="813" t="s">
        <v>355</v>
      </c>
      <c r="C81" s="821">
        <f t="shared" si="5"/>
        <v>225641.02564102557</v>
      </c>
      <c r="E81" s="821">
        <f t="shared" si="0"/>
        <v>238389.74358974351</v>
      </c>
    </row>
    <row r="82" spans="2:5" x14ac:dyDescent="0.2">
      <c r="B82" s="813" t="s">
        <v>356</v>
      </c>
      <c r="C82" s="821">
        <f t="shared" si="5"/>
        <v>246153.84615384607</v>
      </c>
      <c r="D82" s="820">
        <f>SUM(C71:C82)</f>
        <v>1599999.9999999993</v>
      </c>
      <c r="E82" s="821">
        <f t="shared" si="0"/>
        <v>260061.53846153838</v>
      </c>
    </row>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6"/>
  <sheetViews>
    <sheetView showGridLines="0" zoomScaleNormal="100" workbookViewId="0">
      <selection activeCell="C20" sqref="C20"/>
    </sheetView>
  </sheetViews>
  <sheetFormatPr defaultRowHeight="12.75" x14ac:dyDescent="0.2"/>
  <cols>
    <col min="1" max="1" width="13.6640625" customWidth="1"/>
    <col min="2" max="2" width="68.6640625" customWidth="1"/>
    <col min="3" max="3" width="25.1640625" customWidth="1"/>
    <col min="4" max="4" width="29.5" style="135" customWidth="1"/>
    <col min="5" max="5" width="4.83203125" style="135" customWidth="1"/>
    <col min="6" max="6" width="12" style="135" customWidth="1"/>
    <col min="7" max="7" width="18" customWidth="1"/>
    <col min="9" max="9" width="14.83203125" bestFit="1" customWidth="1"/>
    <col min="10" max="10" width="2.1640625" bestFit="1" customWidth="1"/>
  </cols>
  <sheetData>
    <row r="1" spans="1:13" s="532" customFormat="1" x14ac:dyDescent="0.2">
      <c r="A1" s="726" t="s">
        <v>266</v>
      </c>
    </row>
    <row r="2" spans="1:13" s="532" customFormat="1" x14ac:dyDescent="0.2"/>
    <row r="3" spans="1:13" s="532" customFormat="1" x14ac:dyDescent="0.2"/>
    <row r="4" spans="1:13" s="532" customFormat="1" x14ac:dyDescent="0.2"/>
    <row r="5" spans="1:13" s="532" customFormat="1" x14ac:dyDescent="0.2"/>
    <row r="6" spans="1:13" s="532" customFormat="1" x14ac:dyDescent="0.2"/>
    <row r="7" spans="1:13" s="532" customFormat="1" x14ac:dyDescent="0.2"/>
    <row r="8" spans="1:13" s="532" customFormat="1" x14ac:dyDescent="0.2"/>
    <row r="9" spans="1:13" s="532" customFormat="1" x14ac:dyDescent="0.2"/>
    <row r="10" spans="1:13" ht="12.75" customHeight="1" x14ac:dyDescent="0.2">
      <c r="B10" s="881"/>
      <c r="C10" s="881"/>
      <c r="D10" s="881"/>
      <c r="E10" s="881"/>
      <c r="F10" s="881"/>
      <c r="G10" s="881"/>
      <c r="H10" s="881"/>
      <c r="I10" s="881"/>
      <c r="J10" s="511"/>
      <c r="K10" s="511"/>
      <c r="L10" s="511"/>
      <c r="M10" s="511"/>
    </row>
    <row r="11" spans="1:13" ht="23.25" x14ac:dyDescent="0.2">
      <c r="B11" s="882" t="s">
        <v>148</v>
      </c>
      <c r="C11" s="882"/>
      <c r="D11" s="162"/>
      <c r="E11"/>
      <c r="F11" s="136"/>
      <c r="G11" s="136"/>
      <c r="H11" s="136"/>
    </row>
    <row r="12" spans="1:13" ht="18.75" thickBot="1" x14ac:dyDescent="0.25">
      <c r="C12" s="136"/>
      <c r="D12" s="136"/>
      <c r="E12" s="136"/>
      <c r="F12" s="136"/>
      <c r="G12" s="136"/>
      <c r="H12" s="136"/>
      <c r="I12" s="136"/>
      <c r="J12" s="136"/>
    </row>
    <row r="13" spans="1:13" ht="72" customHeight="1" x14ac:dyDescent="0.2">
      <c r="B13" s="711" t="s">
        <v>95</v>
      </c>
      <c r="C13" s="712" t="s">
        <v>125</v>
      </c>
      <c r="D13" s="713" t="s">
        <v>126</v>
      </c>
      <c r="E13"/>
      <c r="F13"/>
    </row>
    <row r="14" spans="1:13" x14ac:dyDescent="0.2">
      <c r="B14" s="707" t="s">
        <v>6</v>
      </c>
      <c r="C14" s="732" t="s">
        <v>124</v>
      </c>
      <c r="D14" s="733" t="s">
        <v>127</v>
      </c>
      <c r="F14" s="883" t="s">
        <v>170</v>
      </c>
      <c r="G14" s="883"/>
      <c r="I14" s="512" t="s">
        <v>36</v>
      </c>
    </row>
    <row r="15" spans="1:13" x14ac:dyDescent="0.2">
      <c r="B15" s="707" t="s">
        <v>96</v>
      </c>
      <c r="C15" s="732" t="s">
        <v>124</v>
      </c>
      <c r="D15" s="733" t="s">
        <v>127</v>
      </c>
      <c r="E15" s="706"/>
      <c r="F15" s="883"/>
      <c r="G15" s="883"/>
      <c r="I15" s="512" t="s">
        <v>36</v>
      </c>
    </row>
    <row r="16" spans="1:13" x14ac:dyDescent="0.2">
      <c r="B16" s="707" t="s">
        <v>103</v>
      </c>
      <c r="C16" s="732" t="s">
        <v>124</v>
      </c>
      <c r="D16" s="733" t="s">
        <v>42</v>
      </c>
      <c r="E16" s="706"/>
      <c r="F16" s="883"/>
      <c r="G16" s="883"/>
      <c r="I16" s="512" t="s">
        <v>36</v>
      </c>
    </row>
    <row r="17" spans="2:9" ht="13.5" thickBot="1" x14ac:dyDescent="0.25">
      <c r="B17" s="708"/>
      <c r="C17" s="734" t="s">
        <v>127</v>
      </c>
      <c r="D17" s="735" t="s">
        <v>127</v>
      </c>
      <c r="E17" s="706"/>
      <c r="F17" s="883"/>
      <c r="G17" s="883"/>
    </row>
    <row r="18" spans="2:9" ht="13.5" customHeight="1" x14ac:dyDescent="0.2">
      <c r="B18" s="709" t="s">
        <v>274</v>
      </c>
      <c r="C18" s="736" t="s">
        <v>124</v>
      </c>
      <c r="D18" s="737" t="s">
        <v>42</v>
      </c>
      <c r="E18"/>
      <c r="F18" s="884" t="s">
        <v>171</v>
      </c>
      <c r="G18" s="884"/>
      <c r="I18" s="512" t="s">
        <v>37</v>
      </c>
    </row>
    <row r="19" spans="2:9" x14ac:dyDescent="0.2">
      <c r="B19" s="710" t="s">
        <v>102</v>
      </c>
      <c r="C19" s="732" t="s">
        <v>42</v>
      </c>
      <c r="D19" s="733" t="s">
        <v>42</v>
      </c>
      <c r="E19"/>
      <c r="F19" s="884"/>
      <c r="G19" s="884"/>
      <c r="I19" s="512" t="s">
        <v>37</v>
      </c>
    </row>
    <row r="20" spans="2:9" ht="13.5" thickBot="1" x14ac:dyDescent="0.25">
      <c r="B20" s="714" t="s">
        <v>85</v>
      </c>
      <c r="C20" s="738" t="s">
        <v>42</v>
      </c>
      <c r="D20" s="739" t="s">
        <v>42</v>
      </c>
      <c r="E20"/>
      <c r="F20" s="884"/>
      <c r="G20" s="884"/>
      <c r="I20" s="512" t="s">
        <v>37</v>
      </c>
    </row>
    <row r="21" spans="2:9" ht="13.5" thickBot="1" x14ac:dyDescent="0.25">
      <c r="B21" s="715" t="s">
        <v>273</v>
      </c>
      <c r="C21" s="740" t="s">
        <v>42</v>
      </c>
      <c r="D21" s="741" t="s">
        <v>42</v>
      </c>
      <c r="E21"/>
      <c r="F21" s="505"/>
      <c r="G21" s="505"/>
      <c r="I21" s="512" t="s">
        <v>37</v>
      </c>
    </row>
    <row r="22" spans="2:9" hidden="1" x14ac:dyDescent="0.2">
      <c r="B22" s="502" t="s">
        <v>104</v>
      </c>
      <c r="C22" s="503" t="s">
        <v>127</v>
      </c>
      <c r="D22" s="504" t="s">
        <v>127</v>
      </c>
      <c r="E22"/>
      <c r="F22"/>
    </row>
    <row r="23" spans="2:9" ht="13.5" hidden="1" thickBot="1" x14ac:dyDescent="0.25">
      <c r="B23" s="290" t="s">
        <v>104</v>
      </c>
      <c r="C23" s="288" t="s">
        <v>127</v>
      </c>
      <c r="D23" s="289"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135"/>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D174"/>
  <sheetViews>
    <sheetView showGridLines="0" topLeftCell="K71" zoomScaleNormal="100" workbookViewId="0">
      <selection activeCell="AD145" sqref="AD145"/>
    </sheetView>
  </sheetViews>
  <sheetFormatPr defaultRowHeight="12.75" x14ac:dyDescent="0.2"/>
  <cols>
    <col min="1" max="1" width="13.6640625" style="24" customWidth="1"/>
    <col min="2" max="2" width="18" style="24" customWidth="1"/>
    <col min="3" max="3" width="16.83203125" style="26" customWidth="1"/>
    <col min="4" max="4" width="14.1640625" style="26" customWidth="1"/>
    <col min="5" max="5" width="14.1640625" style="25" customWidth="1"/>
    <col min="6" max="6" width="14.1640625" style="26" customWidth="1"/>
    <col min="7" max="7" width="14.1640625" style="25" customWidth="1"/>
    <col min="8" max="8" width="14.1640625" style="26" customWidth="1"/>
    <col min="9" max="9" width="15.1640625" style="25" customWidth="1"/>
    <col min="10" max="10" width="14.1640625" style="25" customWidth="1"/>
    <col min="11" max="11" width="13.33203125" style="25" bestFit="1" customWidth="1"/>
    <col min="12" max="13" width="14.1640625" style="26" customWidth="1"/>
    <col min="14" max="14" width="14.1640625" style="25" customWidth="1"/>
    <col min="15" max="16" width="14.1640625" style="26" customWidth="1"/>
    <col min="17" max="17" width="14.1640625" style="25" customWidth="1"/>
    <col min="18" max="19" width="14.1640625" style="26" customWidth="1"/>
    <col min="20" max="20" width="14.1640625" style="25" customWidth="1"/>
    <col min="21" max="21" width="13.5" style="26" customWidth="1"/>
    <col min="22" max="22" width="13.5" style="533" customWidth="1"/>
    <col min="23" max="23" width="13.5" style="25" customWidth="1"/>
    <col min="24" max="27" width="13.5" style="24" customWidth="1"/>
    <col min="28" max="28" width="11.83203125" style="24" bestFit="1" customWidth="1"/>
    <col min="29" max="29" width="13" style="24" bestFit="1" customWidth="1"/>
    <col min="30" max="16384" width="9.33203125" style="24"/>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881"/>
      <c r="C10" s="881"/>
      <c r="D10" s="881"/>
      <c r="E10" s="881"/>
      <c r="F10" s="881"/>
      <c r="G10" s="881"/>
      <c r="H10" s="881"/>
      <c r="I10" s="881"/>
      <c r="J10" s="511"/>
      <c r="K10" s="511"/>
      <c r="L10" s="511"/>
      <c r="M10" s="511"/>
    </row>
    <row r="11" spans="1:23" s="1" customFormat="1" ht="23.25" x14ac:dyDescent="0.2">
      <c r="A11"/>
      <c r="B11" s="132" t="s">
        <v>99</v>
      </c>
      <c r="D11" s="52"/>
      <c r="E11" s="52"/>
      <c r="F11" s="52"/>
      <c r="G11" s="52"/>
      <c r="L11" s="52"/>
      <c r="N11" s="52"/>
      <c r="O11" s="52"/>
      <c r="Q11" s="52"/>
      <c r="V11" s="532"/>
    </row>
    <row r="12" spans="1:23" ht="15" x14ac:dyDescent="0.2">
      <c r="B12" s="57" t="s">
        <v>63</v>
      </c>
      <c r="C12" s="24"/>
      <c r="D12" s="98"/>
      <c r="E12" s="98"/>
      <c r="F12" s="98"/>
      <c r="G12" s="98"/>
      <c r="H12"/>
      <c r="L12" s="98"/>
      <c r="M12" s="98"/>
      <c r="N12" s="98"/>
      <c r="O12" s="98"/>
      <c r="P12" s="98"/>
      <c r="Q12" s="98"/>
      <c r="R12" s="98"/>
      <c r="T12" s="533"/>
      <c r="U12" s="25"/>
      <c r="V12" s="24"/>
      <c r="W12" s="24"/>
    </row>
    <row r="13" spans="1:23" ht="14.25" x14ac:dyDescent="0.2">
      <c r="B13" s="99" t="s">
        <v>67</v>
      </c>
      <c r="C13" s="24"/>
      <c r="D13" s="99"/>
      <c r="E13" s="99"/>
      <c r="F13" s="99"/>
      <c r="G13" s="98"/>
      <c r="L13" s="98"/>
      <c r="M13" s="98"/>
      <c r="N13" s="98"/>
      <c r="O13" s="98"/>
      <c r="P13" s="98"/>
      <c r="Q13" s="98"/>
      <c r="R13" s="98"/>
      <c r="T13" s="533"/>
      <c r="U13" s="25"/>
      <c r="V13" s="24"/>
      <c r="W13" s="24"/>
    </row>
    <row r="14" spans="1:23" ht="14.25" x14ac:dyDescent="0.2">
      <c r="B14" s="99" t="s">
        <v>66</v>
      </c>
      <c r="C14" s="24"/>
      <c r="D14" s="99"/>
      <c r="E14" s="99"/>
      <c r="F14" s="99"/>
      <c r="G14" s="98"/>
      <c r="L14" s="98"/>
      <c r="M14" s="98"/>
      <c r="N14" s="98"/>
      <c r="O14" s="98"/>
      <c r="P14" s="98"/>
      <c r="Q14" s="98"/>
      <c r="R14" s="98"/>
      <c r="S14" s="98"/>
      <c r="T14" s="98"/>
    </row>
    <row r="15" spans="1:23" ht="14.25" x14ac:dyDescent="0.2">
      <c r="B15" s="99" t="s">
        <v>68</v>
      </c>
      <c r="C15" s="24"/>
      <c r="D15" s="99"/>
      <c r="E15" s="99"/>
      <c r="F15" s="99"/>
      <c r="G15" s="98"/>
      <c r="L15" s="98"/>
      <c r="M15" s="98"/>
      <c r="N15" s="98"/>
      <c r="O15" s="98"/>
      <c r="P15" s="98"/>
      <c r="Q15" s="98"/>
      <c r="R15" s="98"/>
      <c r="S15" s="98"/>
      <c r="T15" s="98"/>
    </row>
    <row r="16" spans="1:23" ht="14.25" x14ac:dyDescent="0.2">
      <c r="B16" s="99" t="s">
        <v>65</v>
      </c>
      <c r="C16" s="24"/>
      <c r="D16" s="99"/>
      <c r="E16" s="99"/>
      <c r="F16" s="99"/>
      <c r="G16" s="98"/>
      <c r="L16" s="98"/>
      <c r="M16" s="98"/>
      <c r="N16" s="98"/>
      <c r="O16" s="98"/>
      <c r="P16" s="98"/>
      <c r="Q16" s="98"/>
      <c r="R16" s="98"/>
      <c r="S16" s="98"/>
      <c r="T16" s="98"/>
    </row>
    <row r="17" spans="2:27" ht="14.25" x14ac:dyDescent="0.2">
      <c r="C17" s="99"/>
      <c r="D17" s="99"/>
      <c r="E17" s="99"/>
      <c r="F17" s="99"/>
      <c r="G17" s="98"/>
      <c r="L17" s="98"/>
      <c r="M17" s="98"/>
      <c r="N17" s="98"/>
      <c r="O17" s="98"/>
      <c r="P17" s="98"/>
      <c r="Q17" s="98"/>
      <c r="R17" s="98"/>
      <c r="S17" s="98"/>
      <c r="T17" s="98"/>
    </row>
    <row r="18" spans="2:27" ht="15" x14ac:dyDescent="0.25">
      <c r="B18" s="100" t="s">
        <v>64</v>
      </c>
      <c r="C18" s="24"/>
      <c r="D18" s="100"/>
      <c r="E18" s="99"/>
      <c r="F18" s="99"/>
      <c r="G18" s="98"/>
      <c r="L18" s="98"/>
      <c r="M18" s="98"/>
      <c r="N18" s="98"/>
      <c r="O18" s="98"/>
      <c r="P18" s="98"/>
      <c r="Q18" s="98"/>
      <c r="R18" s="98"/>
      <c r="S18" s="98"/>
      <c r="T18" s="98"/>
    </row>
    <row r="19" spans="2:27" ht="13.5" thickBot="1" x14ac:dyDescent="0.25"/>
    <row r="20" spans="2:27" ht="12.75" customHeight="1" x14ac:dyDescent="0.2">
      <c r="B20" s="27"/>
      <c r="C20" s="27"/>
      <c r="D20" s="894" t="str">
        <f>'2. Customer Classes'!B14</f>
        <v>Residential</v>
      </c>
      <c r="E20" s="895"/>
      <c r="F20" s="894" t="str">
        <f>'2. Customer Classes'!B15</f>
        <v>General Service &lt; 50 kW</v>
      </c>
      <c r="G20" s="895"/>
      <c r="H20" s="897" t="str">
        <f>+'2. Customer Classes'!B16</f>
        <v>Unmetered Scattered Load</v>
      </c>
      <c r="I20" s="898"/>
      <c r="J20" s="899">
        <f>+'2. Customer Classes'!B17</f>
        <v>0</v>
      </c>
      <c r="K20" s="889"/>
      <c r="L20" s="894" t="str">
        <f>'2. Customer Classes'!B18</f>
        <v>General Service &gt; 50 kW - 2999 kW</v>
      </c>
      <c r="M20" s="896"/>
      <c r="N20" s="895"/>
      <c r="O20" s="885" t="str">
        <f>'2. Customer Classes'!B19</f>
        <v>Streetlighting</v>
      </c>
      <c r="P20" s="886"/>
      <c r="Q20" s="887"/>
      <c r="R20" s="885" t="str">
        <f>'2. Customer Classes'!B20</f>
        <v>Sentinel Lighting</v>
      </c>
      <c r="S20" s="886"/>
      <c r="T20" s="887"/>
      <c r="U20" s="888" t="str">
        <f>'2. Customer Classes'!B21</f>
        <v>General Service 3000-4999 kW</v>
      </c>
      <c r="V20" s="892"/>
      <c r="W20" s="889"/>
      <c r="X20" s="888" t="str">
        <f>'2. Customer Classes'!B22</f>
        <v>other</v>
      </c>
      <c r="Y20" s="889"/>
      <c r="Z20" s="888" t="str">
        <f>'2. Customer Classes'!B23</f>
        <v>other</v>
      </c>
      <c r="AA20" s="889"/>
    </row>
    <row r="21" spans="2:27" ht="12.75" customHeight="1" x14ac:dyDescent="0.2">
      <c r="B21" s="165"/>
      <c r="C21" s="165"/>
      <c r="D21" s="890" t="s">
        <v>119</v>
      </c>
      <c r="E21" s="891"/>
      <c r="F21" s="890" t="s">
        <v>119</v>
      </c>
      <c r="G21" s="891"/>
      <c r="H21" s="890" t="s">
        <v>119</v>
      </c>
      <c r="I21" s="891"/>
      <c r="J21" s="890" t="s">
        <v>119</v>
      </c>
      <c r="K21" s="891"/>
      <c r="L21" s="890" t="s">
        <v>119</v>
      </c>
      <c r="M21" s="893"/>
      <c r="N21" s="891"/>
      <c r="O21" s="890" t="s">
        <v>119</v>
      </c>
      <c r="P21" s="893"/>
      <c r="Q21" s="891"/>
      <c r="R21" s="890" t="s">
        <v>119</v>
      </c>
      <c r="S21" s="893"/>
      <c r="T21" s="891"/>
      <c r="U21" s="890" t="s">
        <v>119</v>
      </c>
      <c r="V21" s="893"/>
      <c r="W21" s="891"/>
      <c r="X21" s="890" t="s">
        <v>119</v>
      </c>
      <c r="Y21" s="891"/>
      <c r="Z21" s="890" t="s">
        <v>119</v>
      </c>
      <c r="AA21" s="891"/>
    </row>
    <row r="22" spans="2:27" x14ac:dyDescent="0.2">
      <c r="B22" s="28"/>
      <c r="C22" s="28"/>
      <c r="D22" s="29"/>
      <c r="E22" s="30" t="s">
        <v>35</v>
      </c>
      <c r="F22" s="29"/>
      <c r="G22" s="30" t="s">
        <v>35</v>
      </c>
      <c r="H22" s="29"/>
      <c r="I22" s="30" t="s">
        <v>35</v>
      </c>
      <c r="J22" s="29"/>
      <c r="K22" s="30" t="s">
        <v>35</v>
      </c>
      <c r="L22" s="29"/>
      <c r="M22" s="16"/>
      <c r="N22" s="30" t="s">
        <v>35</v>
      </c>
      <c r="O22" s="29"/>
      <c r="P22" s="16"/>
      <c r="Q22" s="30" t="s">
        <v>35</v>
      </c>
      <c r="R22" s="29"/>
      <c r="S22" s="16"/>
      <c r="T22" s="30" t="s">
        <v>35</v>
      </c>
      <c r="U22" s="29"/>
      <c r="V22" s="515"/>
      <c r="W22" s="30" t="s">
        <v>35</v>
      </c>
      <c r="X22" s="29"/>
      <c r="Y22" s="30" t="s">
        <v>35</v>
      </c>
      <c r="Z22" s="29"/>
      <c r="AA22" s="30" t="s">
        <v>35</v>
      </c>
    </row>
    <row r="23" spans="2:27" ht="13.5" thickBot="1" x14ac:dyDescent="0.25">
      <c r="B23" s="31"/>
      <c r="C23" s="31"/>
      <c r="D23" s="32" t="s">
        <v>36</v>
      </c>
      <c r="E23" s="33" t="s">
        <v>0</v>
      </c>
      <c r="F23" s="32" t="s">
        <v>36</v>
      </c>
      <c r="G23" s="33" t="s">
        <v>0</v>
      </c>
      <c r="H23" s="34" t="s">
        <v>36</v>
      </c>
      <c r="I23" s="35" t="s">
        <v>0</v>
      </c>
      <c r="J23" s="34" t="s">
        <v>36</v>
      </c>
      <c r="K23" s="35" t="s">
        <v>0</v>
      </c>
      <c r="L23" s="32" t="s">
        <v>36</v>
      </c>
      <c r="M23" s="18" t="s">
        <v>37</v>
      </c>
      <c r="N23" s="33" t="s">
        <v>0</v>
      </c>
      <c r="O23" s="32" t="s">
        <v>36</v>
      </c>
      <c r="P23" s="18" t="s">
        <v>37</v>
      </c>
      <c r="Q23" s="33" t="s">
        <v>0</v>
      </c>
      <c r="R23" s="32" t="s">
        <v>36</v>
      </c>
      <c r="S23" s="18" t="s">
        <v>37</v>
      </c>
      <c r="T23" s="33" t="s">
        <v>0</v>
      </c>
      <c r="U23" s="34" t="s">
        <v>36</v>
      </c>
      <c r="V23" s="534" t="s">
        <v>37</v>
      </c>
      <c r="W23" s="35" t="s">
        <v>0</v>
      </c>
      <c r="X23" s="34" t="s">
        <v>36</v>
      </c>
      <c r="Y23" s="35" t="s">
        <v>0</v>
      </c>
      <c r="Z23" s="34" t="s">
        <v>36</v>
      </c>
      <c r="AA23" s="35" t="s">
        <v>0</v>
      </c>
    </row>
    <row r="24" spans="2:27" ht="15.75" customHeight="1" thickBot="1" x14ac:dyDescent="0.25">
      <c r="B24" s="27" t="s">
        <v>33</v>
      </c>
      <c r="C24" s="27" t="s">
        <v>105</v>
      </c>
      <c r="D24" s="284"/>
      <c r="E24" s="285"/>
      <c r="F24" s="284"/>
      <c r="G24" s="285"/>
      <c r="H24" s="286"/>
      <c r="I24" s="285"/>
      <c r="J24" s="286"/>
      <c r="K24" s="285"/>
      <c r="L24" s="284"/>
      <c r="M24" s="287"/>
      <c r="N24" s="285"/>
      <c r="O24" s="284"/>
      <c r="P24" s="287"/>
      <c r="Q24" s="285"/>
      <c r="R24" s="284"/>
      <c r="S24" s="287"/>
      <c r="T24" s="285"/>
      <c r="U24" s="37"/>
      <c r="V24" s="535"/>
      <c r="W24" s="36"/>
      <c r="X24" s="37"/>
      <c r="Y24" s="36"/>
      <c r="Z24" s="37"/>
      <c r="AA24" s="36"/>
    </row>
    <row r="25" spans="2:27" x14ac:dyDescent="0.2">
      <c r="B25" s="166">
        <f>'1. LDC Info'!$F$27-11</f>
        <v>2006</v>
      </c>
      <c r="C25" s="38" t="s">
        <v>110</v>
      </c>
      <c r="D25" s="520">
        <v>7300752</v>
      </c>
      <c r="E25" s="537">
        <v>7627</v>
      </c>
      <c r="F25" s="520">
        <v>2930015</v>
      </c>
      <c r="G25" s="537">
        <v>1029</v>
      </c>
      <c r="H25" s="539">
        <v>48281</v>
      </c>
      <c r="I25" s="537">
        <v>58</v>
      </c>
      <c r="J25" s="539"/>
      <c r="K25" s="537"/>
      <c r="L25" s="520">
        <v>10265894</v>
      </c>
      <c r="M25" s="538">
        <v>25126.3</v>
      </c>
      <c r="N25" s="537">
        <v>149</v>
      </c>
      <c r="O25" s="520">
        <v>202108</v>
      </c>
      <c r="P25" s="538">
        <v>434.6</v>
      </c>
      <c r="Q25" s="537">
        <v>2649</v>
      </c>
      <c r="R25" s="539">
        <v>5005.9821428571395</v>
      </c>
      <c r="S25" s="538">
        <v>13.905505952380942</v>
      </c>
      <c r="T25" s="537">
        <v>55</v>
      </c>
      <c r="U25" s="539">
        <v>1773711</v>
      </c>
      <c r="V25" s="538">
        <v>4008.0999999999995</v>
      </c>
      <c r="W25" s="537">
        <v>1</v>
      </c>
      <c r="X25" s="221"/>
      <c r="Y25" s="219"/>
      <c r="Z25" s="221"/>
      <c r="AA25" s="40"/>
    </row>
    <row r="26" spans="2:27" x14ac:dyDescent="0.2">
      <c r="B26" s="166">
        <f>'1. LDC Info'!$F$27-11</f>
        <v>2006</v>
      </c>
      <c r="C26" s="38" t="s">
        <v>111</v>
      </c>
      <c r="D26" s="520">
        <v>6348471</v>
      </c>
      <c r="E26" s="537">
        <v>7656</v>
      </c>
      <c r="F26" s="520">
        <v>2761922</v>
      </c>
      <c r="G26" s="537">
        <v>1038</v>
      </c>
      <c r="H26" s="539">
        <v>48281</v>
      </c>
      <c r="I26" s="537">
        <v>58</v>
      </c>
      <c r="J26" s="539"/>
      <c r="K26" s="537"/>
      <c r="L26" s="520">
        <v>9772851</v>
      </c>
      <c r="M26" s="538">
        <v>24406.6</v>
      </c>
      <c r="N26" s="537">
        <v>140</v>
      </c>
      <c r="O26" s="520">
        <v>167336</v>
      </c>
      <c r="P26" s="538">
        <v>434.6</v>
      </c>
      <c r="Q26" s="537">
        <v>2657</v>
      </c>
      <c r="R26" s="539">
        <v>5554.0178571428578</v>
      </c>
      <c r="S26" s="538">
        <v>15.427827380952383</v>
      </c>
      <c r="T26" s="537">
        <v>55</v>
      </c>
      <c r="U26" s="539">
        <v>2088608</v>
      </c>
      <c r="V26" s="538">
        <v>4977.1000000000004</v>
      </c>
      <c r="W26" s="537">
        <v>1</v>
      </c>
      <c r="X26" s="221"/>
      <c r="Y26" s="219"/>
      <c r="Z26" s="221"/>
      <c r="AA26" s="40"/>
    </row>
    <row r="27" spans="2:27" x14ac:dyDescent="0.2">
      <c r="B27" s="166">
        <f>'1. LDC Info'!$F$27-11</f>
        <v>2006</v>
      </c>
      <c r="C27" s="38" t="s">
        <v>112</v>
      </c>
      <c r="D27" s="520">
        <v>6372359</v>
      </c>
      <c r="E27" s="537">
        <v>7656</v>
      </c>
      <c r="F27" s="520">
        <v>2913477</v>
      </c>
      <c r="G27" s="537">
        <v>1036</v>
      </c>
      <c r="H27" s="539">
        <v>49841</v>
      </c>
      <c r="I27" s="537">
        <v>58</v>
      </c>
      <c r="J27" s="539"/>
      <c r="K27" s="537"/>
      <c r="L27" s="520">
        <v>10557668</v>
      </c>
      <c r="M27" s="538">
        <v>24256.6</v>
      </c>
      <c r="N27" s="537">
        <v>140</v>
      </c>
      <c r="O27" s="520">
        <v>169024</v>
      </c>
      <c r="P27" s="538">
        <v>434.8</v>
      </c>
      <c r="Q27" s="537">
        <v>2657</v>
      </c>
      <c r="R27" s="539">
        <v>4806.6071428571404</v>
      </c>
      <c r="S27" s="538">
        <v>13.351686507936501</v>
      </c>
      <c r="T27" s="537">
        <v>55</v>
      </c>
      <c r="U27" s="539">
        <v>2656351</v>
      </c>
      <c r="V27" s="538">
        <v>4972.3999999999996</v>
      </c>
      <c r="W27" s="537">
        <v>1</v>
      </c>
      <c r="X27" s="221"/>
      <c r="Y27" s="219"/>
      <c r="Z27" s="221"/>
      <c r="AA27" s="40"/>
    </row>
    <row r="28" spans="2:27" x14ac:dyDescent="0.2">
      <c r="B28" s="166">
        <f>'1. LDC Info'!$F$27-11</f>
        <v>2006</v>
      </c>
      <c r="C28" s="38" t="s">
        <v>113</v>
      </c>
      <c r="D28" s="520">
        <v>5389827</v>
      </c>
      <c r="E28" s="537">
        <v>7686</v>
      </c>
      <c r="F28" s="520">
        <v>2529409</v>
      </c>
      <c r="G28" s="537">
        <v>1043</v>
      </c>
      <c r="H28" s="539">
        <v>49660.77752402702</v>
      </c>
      <c r="I28" s="537">
        <v>58</v>
      </c>
      <c r="J28" s="539"/>
      <c r="K28" s="537"/>
      <c r="L28" s="520">
        <v>9685903</v>
      </c>
      <c r="M28" s="538">
        <v>24940.7</v>
      </c>
      <c r="N28" s="537">
        <v>140</v>
      </c>
      <c r="O28" s="520">
        <v>143611.82253306688</v>
      </c>
      <c r="P28" s="538">
        <v>434.8</v>
      </c>
      <c r="Q28" s="537">
        <v>2657</v>
      </c>
      <c r="R28" s="539">
        <v>6492.7417286218442</v>
      </c>
      <c r="S28" s="538">
        <v>18.100845410628022</v>
      </c>
      <c r="T28" s="537">
        <v>55</v>
      </c>
      <c r="U28" s="539">
        <v>2554129</v>
      </c>
      <c r="V28" s="538">
        <v>4608.6000000000004</v>
      </c>
      <c r="W28" s="537">
        <v>1</v>
      </c>
      <c r="X28" s="221"/>
      <c r="Y28" s="219"/>
      <c r="Z28" s="221"/>
      <c r="AA28" s="40"/>
    </row>
    <row r="29" spans="2:27" x14ac:dyDescent="0.2">
      <c r="B29" s="166">
        <f>'1. LDC Info'!$F$27-11</f>
        <v>2006</v>
      </c>
      <c r="C29" s="38" t="s">
        <v>114</v>
      </c>
      <c r="D29" s="520">
        <v>5080428</v>
      </c>
      <c r="E29" s="537">
        <v>7692</v>
      </c>
      <c r="F29" s="520">
        <v>2528254</v>
      </c>
      <c r="G29" s="537">
        <v>1043</v>
      </c>
      <c r="H29" s="539">
        <v>49841</v>
      </c>
      <c r="I29" s="537">
        <v>58</v>
      </c>
      <c r="J29" s="539"/>
      <c r="K29" s="537"/>
      <c r="L29" s="520">
        <v>9983253</v>
      </c>
      <c r="M29" s="538">
        <v>24060.5</v>
      </c>
      <c r="N29" s="537">
        <v>140</v>
      </c>
      <c r="O29" s="520">
        <v>131959</v>
      </c>
      <c r="P29" s="538">
        <v>434.8</v>
      </c>
      <c r="Q29" s="537">
        <v>2677</v>
      </c>
      <c r="R29" s="539">
        <v>5170.8695652173901</v>
      </c>
      <c r="S29" s="538">
        <v>14.363526570048306</v>
      </c>
      <c r="T29" s="537">
        <v>55</v>
      </c>
      <c r="U29" s="539">
        <v>2231737</v>
      </c>
      <c r="V29" s="538">
        <v>4333</v>
      </c>
      <c r="W29" s="537">
        <v>1</v>
      </c>
      <c r="X29" s="221"/>
      <c r="Y29" s="219"/>
      <c r="Z29" s="221"/>
      <c r="AA29" s="40"/>
    </row>
    <row r="30" spans="2:27" x14ac:dyDescent="0.2">
      <c r="B30" s="166">
        <f>'1. LDC Info'!$F$27-11</f>
        <v>2006</v>
      </c>
      <c r="C30" s="38" t="s">
        <v>115</v>
      </c>
      <c r="D30" s="520">
        <v>5168425</v>
      </c>
      <c r="E30" s="537">
        <v>7703</v>
      </c>
      <c r="F30" s="520">
        <v>2645963</v>
      </c>
      <c r="G30" s="537">
        <v>1042</v>
      </c>
      <c r="H30" s="539">
        <v>49841</v>
      </c>
      <c r="I30" s="537">
        <v>78</v>
      </c>
      <c r="J30" s="539"/>
      <c r="K30" s="537"/>
      <c r="L30" s="520">
        <v>10241009</v>
      </c>
      <c r="M30" s="538">
        <v>25334.400000000001</v>
      </c>
      <c r="N30" s="537">
        <v>140</v>
      </c>
      <c r="O30" s="520">
        <v>117817</v>
      </c>
      <c r="P30" s="538">
        <v>435.2</v>
      </c>
      <c r="Q30" s="537">
        <v>2677</v>
      </c>
      <c r="R30" s="539">
        <v>7893.954545454546</v>
      </c>
      <c r="S30" s="538">
        <v>21.927651515151513</v>
      </c>
      <c r="T30" s="537">
        <v>55</v>
      </c>
      <c r="U30" s="539">
        <v>2396213</v>
      </c>
      <c r="V30" s="538">
        <v>4523.3999999999996</v>
      </c>
      <c r="W30" s="537">
        <v>1</v>
      </c>
      <c r="X30" s="221"/>
      <c r="Y30" s="219"/>
      <c r="Z30" s="221"/>
      <c r="AA30" s="40"/>
    </row>
    <row r="31" spans="2:27" x14ac:dyDescent="0.2">
      <c r="B31" s="166">
        <f>'1. LDC Info'!$F$27-11</f>
        <v>2006</v>
      </c>
      <c r="C31" s="38" t="s">
        <v>116</v>
      </c>
      <c r="D31" s="520">
        <v>5687825</v>
      </c>
      <c r="E31" s="537">
        <v>7732</v>
      </c>
      <c r="F31" s="520">
        <v>2870298</v>
      </c>
      <c r="G31" s="537">
        <v>1042</v>
      </c>
      <c r="H31" s="539">
        <v>49841</v>
      </c>
      <c r="I31" s="537">
        <v>79</v>
      </c>
      <c r="J31" s="539"/>
      <c r="K31" s="537"/>
      <c r="L31" s="520">
        <v>10368462</v>
      </c>
      <c r="M31" s="538">
        <v>24997</v>
      </c>
      <c r="N31" s="537">
        <v>140</v>
      </c>
      <c r="O31" s="520">
        <v>124670</v>
      </c>
      <c r="P31" s="538">
        <v>435.2</v>
      </c>
      <c r="Q31" s="537">
        <v>2693</v>
      </c>
      <c r="R31" s="539">
        <v>7356.5999999999995</v>
      </c>
      <c r="S31" s="538">
        <v>20.434999999999999</v>
      </c>
      <c r="T31" s="537">
        <v>55</v>
      </c>
      <c r="U31" s="539">
        <v>1690009</v>
      </c>
      <c r="V31" s="538">
        <v>3806.2</v>
      </c>
      <c r="W31" s="537">
        <v>1</v>
      </c>
      <c r="X31" s="221"/>
      <c r="Y31" s="219"/>
      <c r="Z31" s="221"/>
      <c r="AA31" s="40"/>
    </row>
    <row r="32" spans="2:27" x14ac:dyDescent="0.2">
      <c r="B32" s="166">
        <f>'1. LDC Info'!$F$27-11</f>
        <v>2006</v>
      </c>
      <c r="C32" s="38" t="s">
        <v>117</v>
      </c>
      <c r="D32" s="520">
        <v>5571804</v>
      </c>
      <c r="E32" s="537">
        <v>7737</v>
      </c>
      <c r="F32" s="520">
        <v>2779493</v>
      </c>
      <c r="G32" s="537">
        <v>1047</v>
      </c>
      <c r="H32" s="539">
        <v>49841</v>
      </c>
      <c r="I32" s="537">
        <v>79</v>
      </c>
      <c r="J32" s="539"/>
      <c r="K32" s="537"/>
      <c r="L32" s="520">
        <v>10464948</v>
      </c>
      <c r="M32" s="538">
        <v>25681.4</v>
      </c>
      <c r="N32" s="537">
        <v>140</v>
      </c>
      <c r="O32" s="520">
        <v>141195</v>
      </c>
      <c r="P32" s="538">
        <v>435.5</v>
      </c>
      <c r="Q32" s="537">
        <v>2693</v>
      </c>
      <c r="R32" s="539">
        <v>7096.74</v>
      </c>
      <c r="S32" s="538">
        <v>19.713166666666666</v>
      </c>
      <c r="T32" s="537">
        <v>55</v>
      </c>
      <c r="U32" s="539">
        <v>1809678</v>
      </c>
      <c r="V32" s="538">
        <v>4296.3999999999996</v>
      </c>
      <c r="W32" s="537">
        <v>1</v>
      </c>
      <c r="X32" s="221"/>
      <c r="Y32" s="219"/>
      <c r="Z32" s="221"/>
      <c r="AA32" s="40"/>
    </row>
    <row r="33" spans="2:27" x14ac:dyDescent="0.2">
      <c r="B33" s="166">
        <f>'1. LDC Info'!$F$27-11</f>
        <v>2006</v>
      </c>
      <c r="C33" s="38" t="s">
        <v>107</v>
      </c>
      <c r="D33" s="520">
        <v>5073158</v>
      </c>
      <c r="E33" s="537">
        <v>7757</v>
      </c>
      <c r="F33" s="520">
        <v>2447829</v>
      </c>
      <c r="G33" s="537">
        <v>1045</v>
      </c>
      <c r="H33" s="539">
        <v>49841</v>
      </c>
      <c r="I33" s="537">
        <v>79</v>
      </c>
      <c r="J33" s="539"/>
      <c r="K33" s="537"/>
      <c r="L33" s="520">
        <v>9997621</v>
      </c>
      <c r="M33" s="538">
        <v>25546.6</v>
      </c>
      <c r="N33" s="537">
        <v>140</v>
      </c>
      <c r="O33" s="520">
        <v>152952</v>
      </c>
      <c r="P33" s="538">
        <v>435.5</v>
      </c>
      <c r="Q33" s="537">
        <v>2693</v>
      </c>
      <c r="R33" s="539">
        <v>7024.76</v>
      </c>
      <c r="S33" s="538">
        <v>19.513222222222222</v>
      </c>
      <c r="T33" s="537">
        <v>55</v>
      </c>
      <c r="U33" s="539">
        <v>1560923</v>
      </c>
      <c r="V33" s="538">
        <v>3464.8999999999996</v>
      </c>
      <c r="W33" s="537">
        <v>1</v>
      </c>
      <c r="X33" s="221"/>
      <c r="Y33" s="219"/>
      <c r="Z33" s="221"/>
      <c r="AA33" s="40"/>
    </row>
    <row r="34" spans="2:27" x14ac:dyDescent="0.2">
      <c r="B34" s="166">
        <f>'1. LDC Info'!$F$27-11</f>
        <v>2006</v>
      </c>
      <c r="C34" s="38" t="s">
        <v>108</v>
      </c>
      <c r="D34" s="520">
        <v>5463031</v>
      </c>
      <c r="E34" s="537">
        <v>7798</v>
      </c>
      <c r="F34" s="520">
        <v>2506700</v>
      </c>
      <c r="G34" s="537">
        <v>1046</v>
      </c>
      <c r="H34" s="539">
        <v>49841</v>
      </c>
      <c r="I34" s="537">
        <v>79</v>
      </c>
      <c r="J34" s="539"/>
      <c r="K34" s="537"/>
      <c r="L34" s="520">
        <v>10128900</v>
      </c>
      <c r="M34" s="538">
        <v>24925.200000000001</v>
      </c>
      <c r="N34" s="537">
        <v>140</v>
      </c>
      <c r="O34" s="520">
        <v>178208</v>
      </c>
      <c r="P34" s="538">
        <v>435.5</v>
      </c>
      <c r="Q34" s="537">
        <v>2693</v>
      </c>
      <c r="R34" s="539">
        <v>6318.5</v>
      </c>
      <c r="S34" s="538">
        <v>17.551388888888887</v>
      </c>
      <c r="T34" s="537">
        <v>55</v>
      </c>
      <c r="U34" s="539">
        <v>1423298</v>
      </c>
      <c r="V34" s="538">
        <v>3193.2000000000007</v>
      </c>
      <c r="W34" s="537">
        <v>1</v>
      </c>
      <c r="X34" s="221"/>
      <c r="Y34" s="219"/>
      <c r="Z34" s="221"/>
      <c r="AA34" s="40"/>
    </row>
    <row r="35" spans="2:27" x14ac:dyDescent="0.2">
      <c r="B35" s="166">
        <f>'1. LDC Info'!$F$27-11</f>
        <v>2006</v>
      </c>
      <c r="C35" s="38" t="s">
        <v>109</v>
      </c>
      <c r="D35" s="520">
        <v>5992249</v>
      </c>
      <c r="E35" s="537">
        <v>7781</v>
      </c>
      <c r="F35" s="520">
        <v>2605868</v>
      </c>
      <c r="G35" s="537">
        <v>1041</v>
      </c>
      <c r="H35" s="539">
        <v>49841</v>
      </c>
      <c r="I35" s="537">
        <v>79</v>
      </c>
      <c r="J35" s="539"/>
      <c r="K35" s="537"/>
      <c r="L35" s="520">
        <v>9888279</v>
      </c>
      <c r="M35" s="538">
        <v>24552.9</v>
      </c>
      <c r="N35" s="537">
        <v>140</v>
      </c>
      <c r="O35" s="520">
        <v>188876</v>
      </c>
      <c r="P35" s="538">
        <v>435.5</v>
      </c>
      <c r="Q35" s="537">
        <v>2693</v>
      </c>
      <c r="R35" s="539">
        <v>6220</v>
      </c>
      <c r="S35" s="538">
        <v>17.277777777777779</v>
      </c>
      <c r="T35" s="537">
        <v>55</v>
      </c>
      <c r="U35" s="539">
        <v>1844230</v>
      </c>
      <c r="V35" s="538">
        <v>3447.8500000000004</v>
      </c>
      <c r="W35" s="537">
        <v>1</v>
      </c>
      <c r="X35" s="221"/>
      <c r="Y35" s="219"/>
      <c r="Z35" s="221"/>
      <c r="AA35" s="40"/>
    </row>
    <row r="36" spans="2:27" x14ac:dyDescent="0.2">
      <c r="B36" s="166">
        <f>'1. LDC Info'!$F$27-11</f>
        <v>2006</v>
      </c>
      <c r="C36" s="38" t="s">
        <v>106</v>
      </c>
      <c r="D36" s="520">
        <v>6894335</v>
      </c>
      <c r="E36" s="537">
        <v>7781</v>
      </c>
      <c r="F36" s="520">
        <v>2853942</v>
      </c>
      <c r="G36" s="537">
        <v>1044</v>
      </c>
      <c r="H36" s="539">
        <v>50300</v>
      </c>
      <c r="I36" s="537">
        <v>79</v>
      </c>
      <c r="J36" s="539"/>
      <c r="K36" s="537"/>
      <c r="L36" s="520">
        <v>9620914</v>
      </c>
      <c r="M36" s="538">
        <v>23649.1</v>
      </c>
      <c r="N36" s="537">
        <v>142</v>
      </c>
      <c r="O36" s="520">
        <v>205533</v>
      </c>
      <c r="P36" s="538">
        <v>435.5</v>
      </c>
      <c r="Q36" s="537">
        <v>2693</v>
      </c>
      <c r="R36" s="539">
        <v>7122.9230769230771</v>
      </c>
      <c r="S36" s="538">
        <v>19.785897435897436</v>
      </c>
      <c r="T36" s="537">
        <v>55</v>
      </c>
      <c r="U36" s="539">
        <v>1414303</v>
      </c>
      <c r="V36" s="538">
        <v>2847.7999999999993</v>
      </c>
      <c r="W36" s="537">
        <v>1</v>
      </c>
      <c r="X36" s="221"/>
      <c r="Y36" s="219"/>
      <c r="Z36" s="221"/>
      <c r="AA36" s="40"/>
    </row>
    <row r="37" spans="2:27" x14ac:dyDescent="0.2">
      <c r="B37" s="166">
        <f>'1. LDC Info'!$F$27-10</f>
        <v>2007</v>
      </c>
      <c r="C37" s="38" t="s">
        <v>110</v>
      </c>
      <c r="D37" s="520">
        <v>7474072</v>
      </c>
      <c r="E37" s="537">
        <v>7806</v>
      </c>
      <c r="F37" s="520">
        <v>2958704</v>
      </c>
      <c r="G37" s="537">
        <v>1042</v>
      </c>
      <c r="H37" s="540">
        <v>50300</v>
      </c>
      <c r="I37" s="537">
        <v>80</v>
      </c>
      <c r="J37" s="540"/>
      <c r="K37" s="537"/>
      <c r="L37" s="520">
        <v>10302859</v>
      </c>
      <c r="M37" s="538">
        <v>24192.9</v>
      </c>
      <c r="N37" s="537">
        <v>142</v>
      </c>
      <c r="O37" s="520">
        <v>202485</v>
      </c>
      <c r="P37" s="538">
        <v>435.5</v>
      </c>
      <c r="Q37" s="537">
        <v>2693</v>
      </c>
      <c r="R37" s="539">
        <v>5061.3461538461497</v>
      </c>
      <c r="S37" s="538">
        <v>14.05929487179486</v>
      </c>
      <c r="T37" s="537">
        <v>55</v>
      </c>
      <c r="U37" s="540">
        <v>1825623</v>
      </c>
      <c r="V37" s="538">
        <v>3706.2000000000007</v>
      </c>
      <c r="W37" s="537">
        <v>1</v>
      </c>
      <c r="X37" s="221"/>
      <c r="Y37" s="219"/>
      <c r="Z37" s="221"/>
      <c r="AA37" s="40"/>
    </row>
    <row r="38" spans="2:27" x14ac:dyDescent="0.2">
      <c r="B38" s="166">
        <f>'1. LDC Info'!$F$27-10</f>
        <v>2007</v>
      </c>
      <c r="C38" s="38" t="s">
        <v>111</v>
      </c>
      <c r="D38" s="520">
        <v>6905296</v>
      </c>
      <c r="E38" s="537">
        <v>7806</v>
      </c>
      <c r="F38" s="520">
        <v>3042367</v>
      </c>
      <c r="G38" s="537">
        <v>1058</v>
      </c>
      <c r="H38" s="540">
        <v>50300</v>
      </c>
      <c r="I38" s="537">
        <v>80</v>
      </c>
      <c r="J38" s="540"/>
      <c r="K38" s="537"/>
      <c r="L38" s="520">
        <v>9896543</v>
      </c>
      <c r="M38" s="538">
        <v>24741.5</v>
      </c>
      <c r="N38" s="537">
        <v>131</v>
      </c>
      <c r="O38" s="520">
        <v>167649</v>
      </c>
      <c r="P38" s="538">
        <v>435.5</v>
      </c>
      <c r="Q38" s="537">
        <v>2693</v>
      </c>
      <c r="R38" s="539">
        <v>7041.7692307692496</v>
      </c>
      <c r="S38" s="538">
        <v>19.560470085470136</v>
      </c>
      <c r="T38" s="537">
        <v>55</v>
      </c>
      <c r="U38" s="540">
        <v>1915433</v>
      </c>
      <c r="V38" s="538">
        <v>4300.5</v>
      </c>
      <c r="W38" s="537">
        <v>1</v>
      </c>
      <c r="X38" s="221"/>
      <c r="Y38" s="219"/>
      <c r="Z38" s="221"/>
      <c r="AA38" s="40"/>
    </row>
    <row r="39" spans="2:27" x14ac:dyDescent="0.2">
      <c r="B39" s="166">
        <f>'1. LDC Info'!$F$27-10</f>
        <v>2007</v>
      </c>
      <c r="C39" s="38" t="s">
        <v>112</v>
      </c>
      <c r="D39" s="520">
        <v>6959117</v>
      </c>
      <c r="E39" s="537">
        <v>7808</v>
      </c>
      <c r="F39" s="520">
        <v>3159610</v>
      </c>
      <c r="G39" s="537">
        <v>1057</v>
      </c>
      <c r="H39" s="540">
        <v>50300</v>
      </c>
      <c r="I39" s="537">
        <v>80</v>
      </c>
      <c r="J39" s="540"/>
      <c r="K39" s="537"/>
      <c r="L39" s="520">
        <v>10659680</v>
      </c>
      <c r="M39" s="538">
        <v>25079.3</v>
      </c>
      <c r="N39" s="537">
        <v>131</v>
      </c>
      <c r="O39" s="520">
        <v>169281</v>
      </c>
      <c r="P39" s="538">
        <v>435.5</v>
      </c>
      <c r="Q39" s="537">
        <v>2693</v>
      </c>
      <c r="R39" s="539">
        <v>7349.3846153846152</v>
      </c>
      <c r="S39" s="538">
        <v>20.414957264957263</v>
      </c>
      <c r="T39" s="537">
        <v>55</v>
      </c>
      <c r="U39" s="540">
        <v>2426025</v>
      </c>
      <c r="V39" s="538">
        <v>4487.2000000000007</v>
      </c>
      <c r="W39" s="537">
        <v>1</v>
      </c>
      <c r="X39" s="221"/>
      <c r="Y39" s="219"/>
      <c r="Z39" s="221"/>
      <c r="AA39" s="40"/>
    </row>
    <row r="40" spans="2:27" x14ac:dyDescent="0.2">
      <c r="B40" s="166">
        <f>'1. LDC Info'!$F$27-10</f>
        <v>2007</v>
      </c>
      <c r="C40" s="38" t="s">
        <v>113</v>
      </c>
      <c r="D40" s="520">
        <v>5686517</v>
      </c>
      <c r="E40" s="537">
        <v>7805</v>
      </c>
      <c r="F40" s="520">
        <v>2680164</v>
      </c>
      <c r="G40" s="537">
        <v>1050</v>
      </c>
      <c r="H40" s="540">
        <v>50300</v>
      </c>
      <c r="I40" s="537">
        <v>82</v>
      </c>
      <c r="J40" s="540"/>
      <c r="K40" s="537"/>
      <c r="L40" s="520">
        <v>9498379</v>
      </c>
      <c r="M40" s="538">
        <v>24263.7</v>
      </c>
      <c r="N40" s="537">
        <v>130</v>
      </c>
      <c r="O40" s="520">
        <v>144352</v>
      </c>
      <c r="P40" s="538">
        <v>435.5</v>
      </c>
      <c r="Q40" s="537">
        <v>2693</v>
      </c>
      <c r="R40" s="539">
        <v>7796.4878048780492</v>
      </c>
      <c r="S40" s="538">
        <v>21.656910569105694</v>
      </c>
      <c r="T40" s="537">
        <v>55</v>
      </c>
      <c r="U40" s="540">
        <v>2464608</v>
      </c>
      <c r="V40" s="538">
        <v>4764.7000000000007</v>
      </c>
      <c r="W40" s="537">
        <v>1</v>
      </c>
      <c r="X40" s="221"/>
      <c r="Y40" s="219"/>
      <c r="Z40" s="221"/>
      <c r="AA40" s="40"/>
    </row>
    <row r="41" spans="2:27" x14ac:dyDescent="0.2">
      <c r="B41" s="166">
        <f>'1. LDC Info'!$F$27-10</f>
        <v>2007</v>
      </c>
      <c r="C41" s="38" t="s">
        <v>114</v>
      </c>
      <c r="D41" s="520">
        <v>5201753</v>
      </c>
      <c r="E41" s="537">
        <v>7808</v>
      </c>
      <c r="F41" s="520">
        <v>2632488</v>
      </c>
      <c r="G41" s="537">
        <v>1039</v>
      </c>
      <c r="H41" s="540">
        <v>50300</v>
      </c>
      <c r="I41" s="537">
        <v>82</v>
      </c>
      <c r="J41" s="540"/>
      <c r="K41" s="537"/>
      <c r="L41" s="520">
        <v>9577169</v>
      </c>
      <c r="M41" s="538">
        <v>23771.200000000001</v>
      </c>
      <c r="N41" s="537">
        <v>129</v>
      </c>
      <c r="O41" s="520">
        <v>132159</v>
      </c>
      <c r="P41" s="538">
        <v>435.5</v>
      </c>
      <c r="Q41" s="537">
        <v>2693</v>
      </c>
      <c r="R41" s="539">
        <v>3116.7599999999998</v>
      </c>
      <c r="S41" s="538">
        <v>8.6576666666666657</v>
      </c>
      <c r="T41" s="537">
        <v>55</v>
      </c>
      <c r="U41" s="540">
        <v>2207305</v>
      </c>
      <c r="V41" s="538">
        <v>4345.3</v>
      </c>
      <c r="W41" s="537">
        <v>1</v>
      </c>
      <c r="X41" s="221"/>
      <c r="Y41" s="219"/>
      <c r="Z41" s="221"/>
      <c r="AA41" s="40"/>
    </row>
    <row r="42" spans="2:27" x14ac:dyDescent="0.2">
      <c r="B42" s="166">
        <f>'1. LDC Info'!$F$27-10</f>
        <v>2007</v>
      </c>
      <c r="C42" s="38" t="s">
        <v>115</v>
      </c>
      <c r="D42" s="520">
        <v>5104206</v>
      </c>
      <c r="E42" s="537">
        <v>7811</v>
      </c>
      <c r="F42" s="520">
        <v>2713078</v>
      </c>
      <c r="G42" s="537">
        <v>1038</v>
      </c>
      <c r="H42" s="540">
        <v>50300</v>
      </c>
      <c r="I42" s="537">
        <v>80</v>
      </c>
      <c r="J42" s="540"/>
      <c r="K42" s="537"/>
      <c r="L42" s="520">
        <v>10263136</v>
      </c>
      <c r="M42" s="538">
        <v>25232.799999999999</v>
      </c>
      <c r="N42" s="537">
        <v>129</v>
      </c>
      <c r="O42" s="520">
        <v>117898</v>
      </c>
      <c r="P42" s="538">
        <v>435.5</v>
      </c>
      <c r="Q42" s="537">
        <v>2693</v>
      </c>
      <c r="R42" s="539">
        <v>6370.0975609756097</v>
      </c>
      <c r="S42" s="538">
        <v>17.694715447154472</v>
      </c>
      <c r="T42" s="537">
        <v>55</v>
      </c>
      <c r="U42" s="540">
        <v>1558995.9</v>
      </c>
      <c r="V42" s="538">
        <v>4405.9000000000005</v>
      </c>
      <c r="W42" s="537">
        <v>1</v>
      </c>
      <c r="X42" s="221"/>
      <c r="Y42" s="219"/>
      <c r="Z42" s="221"/>
      <c r="AA42" s="40"/>
    </row>
    <row r="43" spans="2:27" x14ac:dyDescent="0.2">
      <c r="B43" s="166">
        <f>'1. LDC Info'!$F$27-10</f>
        <v>2007</v>
      </c>
      <c r="C43" s="38" t="s">
        <v>116</v>
      </c>
      <c r="D43" s="520">
        <v>5541854</v>
      </c>
      <c r="E43" s="537">
        <v>7813</v>
      </c>
      <c r="F43" s="520">
        <v>2861486</v>
      </c>
      <c r="G43" s="537">
        <v>1037</v>
      </c>
      <c r="H43" s="540">
        <v>50300</v>
      </c>
      <c r="I43" s="537">
        <v>80</v>
      </c>
      <c r="J43" s="540"/>
      <c r="K43" s="537"/>
      <c r="L43" s="520">
        <v>9983112</v>
      </c>
      <c r="M43" s="538">
        <v>25114.5</v>
      </c>
      <c r="N43" s="537">
        <v>130</v>
      </c>
      <c r="O43" s="520">
        <v>124756</v>
      </c>
      <c r="P43" s="538">
        <v>435.5</v>
      </c>
      <c r="Q43" s="537">
        <v>2693</v>
      </c>
      <c r="R43" s="539">
        <v>5282.5588235293999</v>
      </c>
      <c r="S43" s="538">
        <v>14.673774509803888</v>
      </c>
      <c r="T43" s="537">
        <v>55</v>
      </c>
      <c r="U43" s="540">
        <v>1016601</v>
      </c>
      <c r="V43" s="538">
        <v>2468.5</v>
      </c>
      <c r="W43" s="537">
        <v>1</v>
      </c>
      <c r="X43" s="221"/>
      <c r="Y43" s="219"/>
      <c r="Z43" s="221"/>
      <c r="AA43" s="40"/>
    </row>
    <row r="44" spans="2:27" x14ac:dyDescent="0.2">
      <c r="B44" s="166">
        <f>'1. LDC Info'!$F$27-10</f>
        <v>2007</v>
      </c>
      <c r="C44" s="38" t="s">
        <v>117</v>
      </c>
      <c r="D44" s="520">
        <v>5563548</v>
      </c>
      <c r="E44" s="537">
        <v>7854</v>
      </c>
      <c r="F44" s="520">
        <v>2891889</v>
      </c>
      <c r="G44" s="537">
        <v>1034</v>
      </c>
      <c r="H44" s="540">
        <v>50300</v>
      </c>
      <c r="I44" s="537">
        <v>80</v>
      </c>
      <c r="J44" s="540"/>
      <c r="K44" s="537"/>
      <c r="L44" s="520">
        <v>10907434</v>
      </c>
      <c r="M44" s="538">
        <v>25443.1</v>
      </c>
      <c r="N44" s="537">
        <v>130</v>
      </c>
      <c r="O44" s="520">
        <v>141195</v>
      </c>
      <c r="P44" s="538">
        <v>435.5</v>
      </c>
      <c r="Q44" s="537">
        <v>2693</v>
      </c>
      <c r="R44" s="539">
        <v>7581</v>
      </c>
      <c r="S44" s="538">
        <v>21.058333333333334</v>
      </c>
      <c r="T44" s="537">
        <v>55</v>
      </c>
      <c r="U44" s="540">
        <v>1281199.6000000001</v>
      </c>
      <c r="V44" s="538">
        <v>2700</v>
      </c>
      <c r="W44" s="537">
        <v>1</v>
      </c>
      <c r="X44" s="221"/>
      <c r="Y44" s="219"/>
      <c r="Z44" s="221"/>
      <c r="AA44" s="40"/>
    </row>
    <row r="45" spans="2:27" x14ac:dyDescent="0.2">
      <c r="B45" s="166">
        <f>'1. LDC Info'!$F$27-10</f>
        <v>2007</v>
      </c>
      <c r="C45" s="38" t="s">
        <v>107</v>
      </c>
      <c r="D45" s="520">
        <v>5096979</v>
      </c>
      <c r="E45" s="537">
        <v>7872</v>
      </c>
      <c r="F45" s="520">
        <v>2651573</v>
      </c>
      <c r="G45" s="537">
        <v>1037</v>
      </c>
      <c r="H45" s="540">
        <v>50300</v>
      </c>
      <c r="I45" s="537">
        <v>80</v>
      </c>
      <c r="J45" s="540"/>
      <c r="K45" s="537"/>
      <c r="L45" s="520">
        <v>10588626</v>
      </c>
      <c r="M45" s="538">
        <v>25461.4</v>
      </c>
      <c r="N45" s="537">
        <v>132</v>
      </c>
      <c r="O45" s="520">
        <v>152952</v>
      </c>
      <c r="P45" s="538">
        <v>435.5</v>
      </c>
      <c r="Q45" s="537">
        <v>2693</v>
      </c>
      <c r="R45" s="539">
        <v>7245.3333333333339</v>
      </c>
      <c r="S45" s="538">
        <v>20.125925925925927</v>
      </c>
      <c r="T45" s="537">
        <v>55</v>
      </c>
      <c r="U45" s="540">
        <v>1330747.2000000002</v>
      </c>
      <c r="V45" s="538">
        <v>5218</v>
      </c>
      <c r="W45" s="537">
        <v>1</v>
      </c>
      <c r="X45" s="221"/>
      <c r="Y45" s="219"/>
      <c r="Z45" s="221"/>
      <c r="AA45" s="40"/>
    </row>
    <row r="46" spans="2:27" x14ac:dyDescent="0.2">
      <c r="B46" s="166">
        <f>'1. LDC Info'!$F$27-10</f>
        <v>2007</v>
      </c>
      <c r="C46" s="38" t="s">
        <v>108</v>
      </c>
      <c r="D46" s="520">
        <v>5337475</v>
      </c>
      <c r="E46" s="537">
        <v>7875</v>
      </c>
      <c r="F46" s="520">
        <v>2688452</v>
      </c>
      <c r="G46" s="537">
        <v>1041</v>
      </c>
      <c r="H46" s="540">
        <v>50300</v>
      </c>
      <c r="I46" s="537">
        <v>80</v>
      </c>
      <c r="J46" s="540"/>
      <c r="K46" s="537"/>
      <c r="L46" s="520">
        <v>10688243</v>
      </c>
      <c r="M46" s="538">
        <v>25262.6</v>
      </c>
      <c r="N46" s="537">
        <v>132</v>
      </c>
      <c r="O46" s="520">
        <v>178208</v>
      </c>
      <c r="P46" s="538">
        <v>435.5</v>
      </c>
      <c r="Q46" s="537">
        <v>2693</v>
      </c>
      <c r="R46" s="539">
        <v>7139.25</v>
      </c>
      <c r="S46" s="538">
        <v>19.831250000000001</v>
      </c>
      <c r="T46" s="537">
        <v>55</v>
      </c>
      <c r="U46" s="540">
        <v>1439149.2999999998</v>
      </c>
      <c r="V46" s="538">
        <v>2880.3999999999996</v>
      </c>
      <c r="W46" s="537">
        <v>1</v>
      </c>
      <c r="X46" s="221"/>
      <c r="Y46" s="219"/>
      <c r="Z46" s="221"/>
      <c r="AA46" s="40"/>
    </row>
    <row r="47" spans="2:27" x14ac:dyDescent="0.2">
      <c r="B47" s="166">
        <f>'1. LDC Info'!$F$27-10</f>
        <v>2007</v>
      </c>
      <c r="C47" s="38" t="s">
        <v>109</v>
      </c>
      <c r="D47" s="520">
        <v>6070463</v>
      </c>
      <c r="E47" s="537">
        <v>7879</v>
      </c>
      <c r="F47" s="520">
        <v>2822735</v>
      </c>
      <c r="G47" s="537">
        <v>1047</v>
      </c>
      <c r="H47" s="540">
        <v>51164</v>
      </c>
      <c r="I47" s="537">
        <v>81</v>
      </c>
      <c r="J47" s="540"/>
      <c r="K47" s="537"/>
      <c r="L47" s="520">
        <v>10410695</v>
      </c>
      <c r="M47" s="538">
        <v>25206.2</v>
      </c>
      <c r="N47" s="537">
        <v>132</v>
      </c>
      <c r="O47" s="520">
        <v>188876</v>
      </c>
      <c r="P47" s="538">
        <v>435.5</v>
      </c>
      <c r="Q47" s="537">
        <v>2792</v>
      </c>
      <c r="R47" s="539">
        <v>6430.9411764705801</v>
      </c>
      <c r="S47" s="538">
        <v>17.863725490196053</v>
      </c>
      <c r="T47" s="537">
        <v>55</v>
      </c>
      <c r="U47" s="540">
        <v>1692527.7999999998</v>
      </c>
      <c r="V47" s="538">
        <v>3570.8999999999996</v>
      </c>
      <c r="W47" s="537">
        <v>1</v>
      </c>
      <c r="X47" s="221"/>
      <c r="Y47" s="219"/>
      <c r="Z47" s="221"/>
      <c r="AA47" s="40"/>
    </row>
    <row r="48" spans="2:27" x14ac:dyDescent="0.2">
      <c r="B48" s="166">
        <f>'1. LDC Info'!$F$27-10</f>
        <v>2007</v>
      </c>
      <c r="C48" s="38" t="s">
        <v>106</v>
      </c>
      <c r="D48" s="520">
        <v>7160075</v>
      </c>
      <c r="E48" s="537">
        <v>7878</v>
      </c>
      <c r="F48" s="520">
        <v>3020385</v>
      </c>
      <c r="G48" s="537">
        <v>1044</v>
      </c>
      <c r="H48" s="539">
        <v>51164</v>
      </c>
      <c r="I48" s="537">
        <v>81</v>
      </c>
      <c r="J48" s="539"/>
      <c r="K48" s="537"/>
      <c r="L48" s="520">
        <v>9641305</v>
      </c>
      <c r="M48" s="538">
        <v>27039.9</v>
      </c>
      <c r="N48" s="537">
        <v>153</v>
      </c>
      <c r="O48" s="520">
        <v>212117</v>
      </c>
      <c r="P48" s="538">
        <v>449.4</v>
      </c>
      <c r="Q48" s="537">
        <v>2793</v>
      </c>
      <c r="R48" s="539">
        <v>6027.2222222222226</v>
      </c>
      <c r="S48" s="538">
        <v>16.742283950617285</v>
      </c>
      <c r="T48" s="537">
        <v>55</v>
      </c>
      <c r="U48" s="539">
        <v>1425400.3</v>
      </c>
      <c r="V48" s="538">
        <v>3379</v>
      </c>
      <c r="W48" s="537">
        <v>1</v>
      </c>
      <c r="X48" s="221"/>
      <c r="Y48" s="219"/>
      <c r="Z48" s="221"/>
      <c r="AA48" s="40"/>
    </row>
    <row r="49" spans="2:27" x14ac:dyDescent="0.2">
      <c r="B49" s="166">
        <f>'1. LDC Info'!$F$27-9</f>
        <v>2008</v>
      </c>
      <c r="C49" s="38" t="s">
        <v>110</v>
      </c>
      <c r="D49" s="520">
        <v>7483894</v>
      </c>
      <c r="E49" s="537">
        <v>7889</v>
      </c>
      <c r="F49" s="520">
        <v>3377051</v>
      </c>
      <c r="G49" s="537">
        <v>1043</v>
      </c>
      <c r="H49" s="540">
        <v>51164</v>
      </c>
      <c r="I49" s="537">
        <v>82</v>
      </c>
      <c r="J49" s="540"/>
      <c r="K49" s="537"/>
      <c r="L49" s="520">
        <v>10485719</v>
      </c>
      <c r="M49" s="538">
        <v>25249.4</v>
      </c>
      <c r="N49" s="537">
        <v>132</v>
      </c>
      <c r="O49" s="520">
        <v>208972</v>
      </c>
      <c r="P49" s="538">
        <v>449.4</v>
      </c>
      <c r="Q49" s="537">
        <v>2793</v>
      </c>
      <c r="R49" s="539">
        <v>6673.75</v>
      </c>
      <c r="S49" s="538">
        <v>18.538194444444446</v>
      </c>
      <c r="T49" s="537">
        <v>55</v>
      </c>
      <c r="U49" s="540">
        <v>2132961</v>
      </c>
      <c r="V49" s="538">
        <v>4242.8999999999996</v>
      </c>
      <c r="W49" s="537">
        <v>1</v>
      </c>
      <c r="X49" s="221"/>
      <c r="Y49" s="219"/>
      <c r="Z49" s="221"/>
      <c r="AA49" s="40"/>
    </row>
    <row r="50" spans="2:27" x14ac:dyDescent="0.2">
      <c r="B50" s="166">
        <f>'1. LDC Info'!$F$27-9</f>
        <v>2008</v>
      </c>
      <c r="C50" s="38" t="s">
        <v>111</v>
      </c>
      <c r="D50" s="520">
        <v>6878615</v>
      </c>
      <c r="E50" s="537">
        <v>7892</v>
      </c>
      <c r="F50" s="520">
        <v>3032937</v>
      </c>
      <c r="G50" s="537">
        <v>1041</v>
      </c>
      <c r="H50" s="540">
        <v>50446</v>
      </c>
      <c r="I50" s="537">
        <v>83</v>
      </c>
      <c r="J50" s="540"/>
      <c r="K50" s="537"/>
      <c r="L50" s="520">
        <v>10240909</v>
      </c>
      <c r="M50" s="538">
        <v>25006.400000000001</v>
      </c>
      <c r="N50" s="537">
        <v>132</v>
      </c>
      <c r="O50" s="520">
        <v>179198</v>
      </c>
      <c r="P50" s="538">
        <v>449.4</v>
      </c>
      <c r="Q50" s="537">
        <v>2793</v>
      </c>
      <c r="R50" s="539">
        <v>8038.78125</v>
      </c>
      <c r="S50" s="538">
        <v>22.329947916666665</v>
      </c>
      <c r="T50" s="537">
        <v>55</v>
      </c>
      <c r="U50" s="540">
        <v>1768153</v>
      </c>
      <c r="V50" s="538">
        <v>3792.6</v>
      </c>
      <c r="W50" s="537">
        <v>1</v>
      </c>
      <c r="X50" s="221"/>
      <c r="Y50" s="219"/>
      <c r="Z50" s="221"/>
      <c r="AA50" s="40"/>
    </row>
    <row r="51" spans="2:27" x14ac:dyDescent="0.2">
      <c r="B51" s="166">
        <f>'1. LDC Info'!$F$27-9</f>
        <v>2008</v>
      </c>
      <c r="C51" s="38" t="s">
        <v>112</v>
      </c>
      <c r="D51" s="520">
        <v>6751127</v>
      </c>
      <c r="E51" s="537">
        <v>7895</v>
      </c>
      <c r="F51" s="520">
        <v>3033738</v>
      </c>
      <c r="G51" s="537">
        <v>1039</v>
      </c>
      <c r="H51" s="540">
        <v>57935</v>
      </c>
      <c r="I51" s="537">
        <v>92</v>
      </c>
      <c r="J51" s="540"/>
      <c r="K51" s="537"/>
      <c r="L51" s="520">
        <v>10387412</v>
      </c>
      <c r="M51" s="538">
        <v>25006.799999999999</v>
      </c>
      <c r="N51" s="537">
        <v>133</v>
      </c>
      <c r="O51" s="520">
        <v>172196</v>
      </c>
      <c r="P51" s="538">
        <v>443</v>
      </c>
      <c r="Q51" s="537">
        <v>2793</v>
      </c>
      <c r="R51" s="539">
        <v>6652.1111111111113</v>
      </c>
      <c r="S51" s="538">
        <v>18.478086419753087</v>
      </c>
      <c r="T51" s="537">
        <v>55</v>
      </c>
      <c r="U51" s="540">
        <v>1674289</v>
      </c>
      <c r="V51" s="538">
        <v>3523.9</v>
      </c>
      <c r="W51" s="537">
        <v>1</v>
      </c>
      <c r="X51" s="221"/>
      <c r="Y51" s="219"/>
      <c r="Z51" s="221"/>
      <c r="AA51" s="40"/>
    </row>
    <row r="52" spans="2:27" x14ac:dyDescent="0.2">
      <c r="B52" s="166">
        <f>'1. LDC Info'!$F$27-9</f>
        <v>2008</v>
      </c>
      <c r="C52" s="38" t="s">
        <v>113</v>
      </c>
      <c r="D52" s="520">
        <v>5538476</v>
      </c>
      <c r="E52" s="537">
        <v>7897</v>
      </c>
      <c r="F52" s="520">
        <v>2674755</v>
      </c>
      <c r="G52" s="537">
        <v>1039</v>
      </c>
      <c r="H52" s="540">
        <v>59572</v>
      </c>
      <c r="I52" s="537">
        <v>96</v>
      </c>
      <c r="J52" s="540"/>
      <c r="K52" s="537"/>
      <c r="L52" s="520">
        <v>9777040</v>
      </c>
      <c r="M52" s="538">
        <v>24685.9</v>
      </c>
      <c r="N52" s="537">
        <v>133</v>
      </c>
      <c r="O52" s="520">
        <v>146174</v>
      </c>
      <c r="P52" s="538">
        <v>443</v>
      </c>
      <c r="Q52" s="537">
        <v>2793</v>
      </c>
      <c r="R52" s="539">
        <v>7145.5833333333339</v>
      </c>
      <c r="S52" s="538">
        <v>19.848842592592593</v>
      </c>
      <c r="T52" s="537">
        <v>55</v>
      </c>
      <c r="U52" s="540">
        <v>1801153.5</v>
      </c>
      <c r="V52" s="538">
        <v>3400.2999999999997</v>
      </c>
      <c r="W52" s="537">
        <v>1</v>
      </c>
      <c r="X52" s="221"/>
      <c r="Y52" s="219"/>
      <c r="Z52" s="221"/>
      <c r="AA52" s="40"/>
    </row>
    <row r="53" spans="2:27" x14ac:dyDescent="0.2">
      <c r="B53" s="166">
        <f>'1. LDC Info'!$F$27-9</f>
        <v>2008</v>
      </c>
      <c r="C53" s="38" t="s">
        <v>114</v>
      </c>
      <c r="D53" s="520">
        <v>5154485</v>
      </c>
      <c r="E53" s="537">
        <v>7898</v>
      </c>
      <c r="F53" s="520">
        <v>2551153</v>
      </c>
      <c r="G53" s="537">
        <v>1041</v>
      </c>
      <c r="H53" s="540">
        <v>61689</v>
      </c>
      <c r="I53" s="537">
        <v>96</v>
      </c>
      <c r="J53" s="540"/>
      <c r="K53" s="537"/>
      <c r="L53" s="520">
        <v>9623583</v>
      </c>
      <c r="M53" s="538">
        <v>24617.3</v>
      </c>
      <c r="N53" s="537">
        <v>133</v>
      </c>
      <c r="O53" s="520">
        <v>133882</v>
      </c>
      <c r="P53" s="538">
        <v>443</v>
      </c>
      <c r="Q53" s="537">
        <v>2793</v>
      </c>
      <c r="R53" s="539">
        <v>6360.7346938775599</v>
      </c>
      <c r="S53" s="538">
        <v>17.668707482993224</v>
      </c>
      <c r="T53" s="537">
        <v>55</v>
      </c>
      <c r="U53" s="540">
        <v>1531545.4</v>
      </c>
      <c r="V53" s="538">
        <v>3447.6000000000004</v>
      </c>
      <c r="W53" s="537">
        <v>1</v>
      </c>
      <c r="X53" s="221"/>
      <c r="Y53" s="219"/>
      <c r="Z53" s="221"/>
      <c r="AA53" s="40"/>
    </row>
    <row r="54" spans="2:27" x14ac:dyDescent="0.2">
      <c r="B54" s="166">
        <f>'1. LDC Info'!$F$27-9</f>
        <v>2008</v>
      </c>
      <c r="C54" s="38" t="s">
        <v>115</v>
      </c>
      <c r="D54" s="520">
        <v>5121822</v>
      </c>
      <c r="E54" s="537">
        <v>7907</v>
      </c>
      <c r="F54" s="520">
        <v>2651204</v>
      </c>
      <c r="G54" s="537">
        <v>1042</v>
      </c>
      <c r="H54" s="540">
        <v>62303.742717983012</v>
      </c>
      <c r="I54" s="537">
        <v>96</v>
      </c>
      <c r="J54" s="540"/>
      <c r="K54" s="537"/>
      <c r="L54" s="520">
        <v>10074899</v>
      </c>
      <c r="M54" s="538">
        <v>24008.2</v>
      </c>
      <c r="N54" s="537">
        <v>132</v>
      </c>
      <c r="O54" s="520">
        <v>120396.52153566996</v>
      </c>
      <c r="P54" s="538">
        <v>443</v>
      </c>
      <c r="Q54" s="537">
        <v>2793</v>
      </c>
      <c r="R54" s="539">
        <v>6235.8235021778592</v>
      </c>
      <c r="S54" s="538">
        <v>17.206702898550724</v>
      </c>
      <c r="T54" s="537">
        <v>61</v>
      </c>
      <c r="U54" s="540">
        <v>1483481.9</v>
      </c>
      <c r="V54" s="538">
        <v>3087.2</v>
      </c>
      <c r="W54" s="537">
        <v>1</v>
      </c>
      <c r="X54" s="221"/>
      <c r="Y54" s="219"/>
      <c r="Z54" s="221"/>
      <c r="AA54" s="40"/>
    </row>
    <row r="55" spans="2:27" x14ac:dyDescent="0.2">
      <c r="B55" s="166">
        <f>'1. LDC Info'!$F$27-9</f>
        <v>2008</v>
      </c>
      <c r="C55" s="38" t="s">
        <v>116</v>
      </c>
      <c r="D55" s="520">
        <v>5501402</v>
      </c>
      <c r="E55" s="537">
        <v>7917</v>
      </c>
      <c r="F55" s="520">
        <v>2888471</v>
      </c>
      <c r="G55" s="537">
        <v>1043</v>
      </c>
      <c r="H55" s="540">
        <v>62599.000000000007</v>
      </c>
      <c r="I55" s="537">
        <v>97</v>
      </c>
      <c r="J55" s="540"/>
      <c r="K55" s="537"/>
      <c r="L55" s="520">
        <v>10548104</v>
      </c>
      <c r="M55" s="538">
        <v>25267.200000000001</v>
      </c>
      <c r="N55" s="537">
        <v>132</v>
      </c>
      <c r="O55" s="520">
        <v>127016</v>
      </c>
      <c r="P55" s="538">
        <v>443</v>
      </c>
      <c r="Q55" s="537">
        <v>2793</v>
      </c>
      <c r="R55" s="539">
        <v>6758.8846153846152</v>
      </c>
      <c r="S55" s="538">
        <v>18.774679487179487</v>
      </c>
      <c r="T55" s="537">
        <v>61</v>
      </c>
      <c r="U55" s="540">
        <v>1640411.2999999998</v>
      </c>
      <c r="V55" s="538">
        <v>3252</v>
      </c>
      <c r="W55" s="537">
        <v>1</v>
      </c>
      <c r="X55" s="221"/>
      <c r="Y55" s="219"/>
      <c r="Z55" s="221"/>
      <c r="AA55" s="40"/>
    </row>
    <row r="56" spans="2:27" x14ac:dyDescent="0.2">
      <c r="B56" s="166">
        <f>'1. LDC Info'!$F$27-9</f>
        <v>2008</v>
      </c>
      <c r="C56" s="38" t="s">
        <v>117</v>
      </c>
      <c r="D56" s="520">
        <v>5472077</v>
      </c>
      <c r="E56" s="537">
        <v>7915</v>
      </c>
      <c r="F56" s="520">
        <v>2833285</v>
      </c>
      <c r="G56" s="537">
        <v>1043</v>
      </c>
      <c r="H56" s="540">
        <v>62079</v>
      </c>
      <c r="I56" s="537">
        <v>97</v>
      </c>
      <c r="J56" s="540"/>
      <c r="K56" s="537"/>
      <c r="L56" s="520">
        <v>10126348</v>
      </c>
      <c r="M56" s="538">
        <v>25272.5</v>
      </c>
      <c r="N56" s="537">
        <v>132</v>
      </c>
      <c r="O56" s="520">
        <v>144181</v>
      </c>
      <c r="P56" s="538">
        <v>443</v>
      </c>
      <c r="Q56" s="537">
        <v>2793</v>
      </c>
      <c r="R56" s="539">
        <v>7602.7941176470586</v>
      </c>
      <c r="S56" s="538">
        <v>21.118872549019606</v>
      </c>
      <c r="T56" s="537">
        <v>61</v>
      </c>
      <c r="U56" s="540">
        <v>1062188</v>
      </c>
      <c r="V56" s="538">
        <v>3439.1000000000004</v>
      </c>
      <c r="W56" s="537">
        <v>1</v>
      </c>
      <c r="X56" s="221"/>
      <c r="Y56" s="219"/>
      <c r="Z56" s="221"/>
      <c r="AA56" s="40"/>
    </row>
    <row r="57" spans="2:27" x14ac:dyDescent="0.2">
      <c r="B57" s="166">
        <f>'1. LDC Info'!$F$27-9</f>
        <v>2008</v>
      </c>
      <c r="C57" s="38" t="s">
        <v>107</v>
      </c>
      <c r="D57" s="520">
        <v>5086238</v>
      </c>
      <c r="E57" s="537">
        <v>7932</v>
      </c>
      <c r="F57" s="520">
        <v>2637269</v>
      </c>
      <c r="G57" s="537">
        <v>1040</v>
      </c>
      <c r="H57" s="540">
        <v>63462.999999999993</v>
      </c>
      <c r="I57" s="537">
        <v>98</v>
      </c>
      <c r="J57" s="540"/>
      <c r="K57" s="537"/>
      <c r="L57" s="520">
        <v>10239212</v>
      </c>
      <c r="M57" s="538">
        <v>24989.9</v>
      </c>
      <c r="N57" s="537">
        <v>133</v>
      </c>
      <c r="O57" s="520">
        <v>156140</v>
      </c>
      <c r="P57" s="538">
        <v>443</v>
      </c>
      <c r="Q57" s="537">
        <v>2793</v>
      </c>
      <c r="R57" s="539">
        <v>6276.1071428571431</v>
      </c>
      <c r="S57" s="538">
        <v>17.433630952380952</v>
      </c>
      <c r="T57" s="537">
        <v>61</v>
      </c>
      <c r="U57" s="540">
        <v>1678443</v>
      </c>
      <c r="V57" s="538">
        <v>3600.2</v>
      </c>
      <c r="W57" s="537">
        <v>1</v>
      </c>
      <c r="X57" s="221"/>
      <c r="Y57" s="219"/>
      <c r="Z57" s="221"/>
      <c r="AA57" s="40"/>
    </row>
    <row r="58" spans="2:27" x14ac:dyDescent="0.2">
      <c r="B58" s="166">
        <f>'1. LDC Info'!$F$27-9</f>
        <v>2008</v>
      </c>
      <c r="C58" s="38" t="s">
        <v>108</v>
      </c>
      <c r="D58" s="520">
        <v>5400379</v>
      </c>
      <c r="E58" s="537">
        <v>8052</v>
      </c>
      <c r="F58" s="520">
        <v>2668598</v>
      </c>
      <c r="G58" s="537">
        <v>1052</v>
      </c>
      <c r="H58" s="540">
        <v>62943</v>
      </c>
      <c r="I58" s="537">
        <v>98</v>
      </c>
      <c r="J58" s="540"/>
      <c r="K58" s="537"/>
      <c r="L58" s="520">
        <v>10096532</v>
      </c>
      <c r="M58" s="538">
        <v>25549.1</v>
      </c>
      <c r="N58" s="537">
        <v>133</v>
      </c>
      <c r="O58" s="520">
        <v>149422</v>
      </c>
      <c r="P58" s="538">
        <v>363.8</v>
      </c>
      <c r="Q58" s="537">
        <v>2793</v>
      </c>
      <c r="R58" s="539">
        <v>7349.7428571428572</v>
      </c>
      <c r="S58" s="538">
        <v>20.41595238095238</v>
      </c>
      <c r="T58" s="537">
        <v>61</v>
      </c>
      <c r="U58" s="540">
        <v>1500377.3</v>
      </c>
      <c r="V58" s="538">
        <v>2810.0000000000005</v>
      </c>
      <c r="W58" s="537">
        <v>1</v>
      </c>
      <c r="X58" s="221"/>
      <c r="Y58" s="219"/>
      <c r="Z58" s="221"/>
      <c r="AA58" s="40"/>
    </row>
    <row r="59" spans="2:27" x14ac:dyDescent="0.2">
      <c r="B59" s="166">
        <f>'1. LDC Info'!$F$27-9</f>
        <v>2008</v>
      </c>
      <c r="C59" s="38" t="s">
        <v>109</v>
      </c>
      <c r="D59" s="520">
        <v>6282236</v>
      </c>
      <c r="E59" s="537">
        <v>8084</v>
      </c>
      <c r="F59" s="520">
        <v>2862777</v>
      </c>
      <c r="G59" s="537">
        <v>1051</v>
      </c>
      <c r="H59" s="540">
        <v>63462.999999999993</v>
      </c>
      <c r="I59" s="537">
        <v>98</v>
      </c>
      <c r="J59" s="540"/>
      <c r="K59" s="537"/>
      <c r="L59" s="520">
        <v>9776177</v>
      </c>
      <c r="M59" s="538">
        <v>24612.2</v>
      </c>
      <c r="N59" s="537">
        <v>134</v>
      </c>
      <c r="O59" s="520">
        <v>158245</v>
      </c>
      <c r="P59" s="538">
        <v>363.8</v>
      </c>
      <c r="Q59" s="537">
        <v>2793</v>
      </c>
      <c r="R59" s="539">
        <v>6626.5090909091005</v>
      </c>
      <c r="S59" s="538">
        <v>18.406969696969725</v>
      </c>
      <c r="T59" s="537">
        <v>61</v>
      </c>
      <c r="U59" s="540">
        <v>1600666.3</v>
      </c>
      <c r="V59" s="538">
        <v>3201.4000000000005</v>
      </c>
      <c r="W59" s="537">
        <v>1</v>
      </c>
      <c r="X59" s="221"/>
      <c r="Y59" s="219"/>
      <c r="Z59" s="221"/>
      <c r="AA59" s="40"/>
    </row>
    <row r="60" spans="2:27" x14ac:dyDescent="0.2">
      <c r="B60" s="166">
        <f>'1. LDC Info'!$F$27-9</f>
        <v>2008</v>
      </c>
      <c r="C60" s="38" t="s">
        <v>106</v>
      </c>
      <c r="D60" s="520">
        <v>7515253</v>
      </c>
      <c r="E60" s="537">
        <v>8023</v>
      </c>
      <c r="F60" s="520">
        <v>3245558</v>
      </c>
      <c r="G60" s="537">
        <v>1052</v>
      </c>
      <c r="H60" s="539">
        <v>62743.000000000007</v>
      </c>
      <c r="I60" s="537">
        <v>98</v>
      </c>
      <c r="J60" s="539"/>
      <c r="K60" s="537"/>
      <c r="L60" s="520">
        <v>9627441</v>
      </c>
      <c r="M60" s="538">
        <v>24647.5</v>
      </c>
      <c r="N60" s="537">
        <v>134</v>
      </c>
      <c r="O60" s="520">
        <v>171977</v>
      </c>
      <c r="P60" s="538">
        <v>363.8</v>
      </c>
      <c r="Q60" s="537">
        <v>2793</v>
      </c>
      <c r="R60" s="539">
        <v>5332.9777777777781</v>
      </c>
      <c r="S60" s="538">
        <v>14.813827160493828</v>
      </c>
      <c r="T60" s="537">
        <v>61</v>
      </c>
      <c r="U60" s="539">
        <v>931835.7</v>
      </c>
      <c r="V60" s="538">
        <v>2666.6</v>
      </c>
      <c r="W60" s="537">
        <v>1</v>
      </c>
      <c r="X60" s="221"/>
      <c r="Y60" s="219"/>
      <c r="Z60" s="221"/>
      <c r="AA60" s="40"/>
    </row>
    <row r="61" spans="2:27" x14ac:dyDescent="0.2">
      <c r="B61" s="166">
        <f>'1. LDC Info'!$F$27-8</f>
        <v>2009</v>
      </c>
      <c r="C61" s="38" t="s">
        <v>110</v>
      </c>
      <c r="D61" s="520">
        <v>7866405</v>
      </c>
      <c r="E61" s="537">
        <v>8132</v>
      </c>
      <c r="F61" s="539">
        <v>3373321.16</v>
      </c>
      <c r="G61" s="537">
        <v>1060</v>
      </c>
      <c r="H61" s="540">
        <v>63263</v>
      </c>
      <c r="I61" s="537">
        <v>97</v>
      </c>
      <c r="J61" s="540"/>
      <c r="K61" s="537"/>
      <c r="L61" s="520">
        <v>9990638</v>
      </c>
      <c r="M61" s="538">
        <v>24548.799999999999</v>
      </c>
      <c r="N61" s="537">
        <v>129</v>
      </c>
      <c r="O61" s="520">
        <v>169158</v>
      </c>
      <c r="P61" s="538">
        <v>363.8</v>
      </c>
      <c r="Q61" s="537">
        <v>2886</v>
      </c>
      <c r="R61" s="539">
        <v>6423.1923076923076</v>
      </c>
      <c r="S61" s="538">
        <v>17.842200854700856</v>
      </c>
      <c r="T61" s="537">
        <v>62</v>
      </c>
      <c r="U61" s="540">
        <v>1512592.9</v>
      </c>
      <c r="V61" s="538">
        <v>3346</v>
      </c>
      <c r="W61" s="537">
        <v>1</v>
      </c>
      <c r="X61" s="221"/>
      <c r="Y61" s="219"/>
      <c r="Z61" s="221"/>
      <c r="AA61" s="40"/>
    </row>
    <row r="62" spans="2:27" x14ac:dyDescent="0.2">
      <c r="B62" s="166">
        <f>'1. LDC Info'!$F$27-8</f>
        <v>2009</v>
      </c>
      <c r="C62" s="38" t="s">
        <v>111</v>
      </c>
      <c r="D62" s="520">
        <v>6760650</v>
      </c>
      <c r="E62" s="537">
        <v>8131</v>
      </c>
      <c r="F62" s="539">
        <v>3021045</v>
      </c>
      <c r="G62" s="537">
        <v>1061</v>
      </c>
      <c r="H62" s="540">
        <v>62743.000000000007</v>
      </c>
      <c r="I62" s="537">
        <v>97</v>
      </c>
      <c r="J62" s="540"/>
      <c r="K62" s="537"/>
      <c r="L62" s="520">
        <v>9262361</v>
      </c>
      <c r="M62" s="538">
        <v>24764.3</v>
      </c>
      <c r="N62" s="537">
        <v>130</v>
      </c>
      <c r="O62" s="520">
        <v>126954</v>
      </c>
      <c r="P62" s="538">
        <v>329.8</v>
      </c>
      <c r="Q62" s="537">
        <v>2886</v>
      </c>
      <c r="R62" s="539">
        <v>7147.6388888888887</v>
      </c>
      <c r="S62" s="538">
        <v>19.8545524691358</v>
      </c>
      <c r="T62" s="537">
        <v>62</v>
      </c>
      <c r="U62" s="540">
        <v>1657022</v>
      </c>
      <c r="V62" s="538">
        <v>3608.2</v>
      </c>
      <c r="W62" s="537">
        <v>1</v>
      </c>
      <c r="X62" s="221"/>
      <c r="Y62" s="219"/>
      <c r="Z62" s="221"/>
      <c r="AA62" s="40"/>
    </row>
    <row r="63" spans="2:27" x14ac:dyDescent="0.2">
      <c r="B63" s="166">
        <f>'1. LDC Info'!$F$27-8</f>
        <v>2009</v>
      </c>
      <c r="C63" s="38" t="s">
        <v>112</v>
      </c>
      <c r="D63" s="520">
        <v>6632476</v>
      </c>
      <c r="E63" s="537">
        <v>8151</v>
      </c>
      <c r="F63" s="539">
        <v>3070816</v>
      </c>
      <c r="G63" s="537">
        <v>1060</v>
      </c>
      <c r="H63" s="540">
        <v>63263</v>
      </c>
      <c r="I63" s="537">
        <v>97</v>
      </c>
      <c r="J63" s="540"/>
      <c r="K63" s="537"/>
      <c r="L63" s="520">
        <v>9986968</v>
      </c>
      <c r="M63" s="538">
        <v>24347.9</v>
      </c>
      <c r="N63" s="537">
        <v>131</v>
      </c>
      <c r="O63" s="520">
        <v>127778</v>
      </c>
      <c r="P63" s="538">
        <v>329.8</v>
      </c>
      <c r="Q63" s="537">
        <v>2886</v>
      </c>
      <c r="R63" s="539">
        <v>6507.9583333333339</v>
      </c>
      <c r="S63" s="538">
        <v>18.07766203703704</v>
      </c>
      <c r="T63" s="537">
        <v>62</v>
      </c>
      <c r="U63" s="540">
        <v>1438631.69</v>
      </c>
      <c r="V63" s="538">
        <v>4236.1000000000004</v>
      </c>
      <c r="W63" s="537">
        <v>1</v>
      </c>
      <c r="X63" s="221"/>
      <c r="Y63" s="219"/>
      <c r="Z63" s="221"/>
      <c r="AA63" s="40"/>
    </row>
    <row r="64" spans="2:27" x14ac:dyDescent="0.2">
      <c r="B64" s="166">
        <f>'1. LDC Info'!$F$27-8</f>
        <v>2009</v>
      </c>
      <c r="C64" s="38" t="s">
        <v>113</v>
      </c>
      <c r="D64" s="520">
        <v>5541968</v>
      </c>
      <c r="E64" s="537">
        <v>8181</v>
      </c>
      <c r="F64" s="539">
        <v>2674378</v>
      </c>
      <c r="G64" s="537">
        <v>1064</v>
      </c>
      <c r="H64" s="540">
        <v>62743.000000000007</v>
      </c>
      <c r="I64" s="537">
        <v>97</v>
      </c>
      <c r="J64" s="540"/>
      <c r="K64" s="537"/>
      <c r="L64" s="520">
        <v>9128521</v>
      </c>
      <c r="M64" s="538">
        <v>23610.9</v>
      </c>
      <c r="N64" s="537">
        <v>131</v>
      </c>
      <c r="O64" s="520">
        <v>108818</v>
      </c>
      <c r="P64" s="538">
        <v>329.8</v>
      </c>
      <c r="Q64" s="537">
        <v>2886</v>
      </c>
      <c r="R64" s="539">
        <v>7354.5294117647054</v>
      </c>
      <c r="S64" s="538">
        <v>20.429248366013073</v>
      </c>
      <c r="T64" s="537">
        <v>57</v>
      </c>
      <c r="U64" s="540">
        <v>1582039</v>
      </c>
      <c r="V64" s="538">
        <v>4091.5</v>
      </c>
      <c r="W64" s="537">
        <v>1</v>
      </c>
      <c r="X64" s="221"/>
      <c r="Y64" s="219"/>
      <c r="Z64" s="221"/>
      <c r="AA64" s="40"/>
    </row>
    <row r="65" spans="2:28" x14ac:dyDescent="0.2">
      <c r="B65" s="166">
        <f>'1. LDC Info'!$F$27-8</f>
        <v>2009</v>
      </c>
      <c r="C65" s="38" t="s">
        <v>114</v>
      </c>
      <c r="D65" s="520">
        <v>5117567</v>
      </c>
      <c r="E65" s="537">
        <v>8191</v>
      </c>
      <c r="F65" s="539">
        <v>2653110</v>
      </c>
      <c r="G65" s="537">
        <v>1051</v>
      </c>
      <c r="H65" s="540">
        <v>63213</v>
      </c>
      <c r="I65" s="537">
        <v>96</v>
      </c>
      <c r="J65" s="540"/>
      <c r="K65" s="537"/>
      <c r="L65" s="520">
        <v>9208490</v>
      </c>
      <c r="M65" s="538">
        <v>24000.7</v>
      </c>
      <c r="N65" s="537">
        <v>131</v>
      </c>
      <c r="O65" s="520">
        <v>99667</v>
      </c>
      <c r="P65" s="538">
        <v>329.8</v>
      </c>
      <c r="Q65" s="537">
        <v>2733</v>
      </c>
      <c r="R65" s="539">
        <v>6159.521739130435</v>
      </c>
      <c r="S65" s="538">
        <v>17.109782608695653</v>
      </c>
      <c r="T65" s="537">
        <v>57</v>
      </c>
      <c r="U65" s="540">
        <v>1832551</v>
      </c>
      <c r="V65" s="538">
        <v>4727</v>
      </c>
      <c r="W65" s="537">
        <v>1</v>
      </c>
      <c r="X65" s="221"/>
      <c r="Y65" s="219"/>
      <c r="Z65" s="221"/>
      <c r="AA65" s="40"/>
    </row>
    <row r="66" spans="2:28" x14ac:dyDescent="0.2">
      <c r="B66" s="166">
        <f>'1. LDC Info'!$F$27-8</f>
        <v>2009</v>
      </c>
      <c r="C66" s="38" t="s">
        <v>115</v>
      </c>
      <c r="D66" s="520">
        <v>4951914</v>
      </c>
      <c r="E66" s="537">
        <v>8195</v>
      </c>
      <c r="F66" s="539">
        <v>2637237</v>
      </c>
      <c r="G66" s="537">
        <v>1058</v>
      </c>
      <c r="H66" s="540">
        <v>62693</v>
      </c>
      <c r="I66" s="537">
        <v>96</v>
      </c>
      <c r="J66" s="540"/>
      <c r="K66" s="537"/>
      <c r="L66" s="520">
        <v>9666388</v>
      </c>
      <c r="M66" s="538">
        <v>23560.3</v>
      </c>
      <c r="N66" s="537">
        <v>130</v>
      </c>
      <c r="O66" s="520">
        <v>82945</v>
      </c>
      <c r="P66" s="538">
        <v>307.3</v>
      </c>
      <c r="Q66" s="537">
        <v>2641</v>
      </c>
      <c r="R66" s="539">
        <v>6613.0750000000007</v>
      </c>
      <c r="S66" s="538">
        <v>18.36965277777778</v>
      </c>
      <c r="T66" s="537">
        <v>57</v>
      </c>
      <c r="U66" s="540">
        <v>1897917</v>
      </c>
      <c r="V66" s="538">
        <v>4612.3</v>
      </c>
      <c r="W66" s="537">
        <v>1</v>
      </c>
      <c r="X66" s="221"/>
      <c r="Y66" s="219"/>
      <c r="Z66" s="221"/>
      <c r="AA66" s="40"/>
    </row>
    <row r="67" spans="2:28" x14ac:dyDescent="0.2">
      <c r="B67" s="166">
        <f>'1. LDC Info'!$F$27-8</f>
        <v>2009</v>
      </c>
      <c r="C67" s="38" t="s">
        <v>116</v>
      </c>
      <c r="D67" s="520">
        <v>5396409</v>
      </c>
      <c r="E67" s="537">
        <v>8203</v>
      </c>
      <c r="F67" s="539">
        <v>2874677</v>
      </c>
      <c r="G67" s="537">
        <v>1060</v>
      </c>
      <c r="H67" s="540">
        <v>63213</v>
      </c>
      <c r="I67" s="537">
        <v>96</v>
      </c>
      <c r="J67" s="540"/>
      <c r="K67" s="537"/>
      <c r="L67" s="520">
        <v>9765834</v>
      </c>
      <c r="M67" s="538">
        <v>24621.9</v>
      </c>
      <c r="N67" s="537">
        <v>129</v>
      </c>
      <c r="O67" s="520">
        <v>77686</v>
      </c>
      <c r="P67" s="538">
        <v>271</v>
      </c>
      <c r="Q67" s="537">
        <v>2642</v>
      </c>
      <c r="R67" s="539">
        <v>6475.217391304348</v>
      </c>
      <c r="S67" s="538">
        <v>17.986714975845413</v>
      </c>
      <c r="T67" s="537">
        <v>57</v>
      </c>
      <c r="U67" s="540">
        <v>1678303</v>
      </c>
      <c r="V67" s="538">
        <v>4217.5</v>
      </c>
      <c r="W67" s="537">
        <v>1</v>
      </c>
      <c r="X67" s="221"/>
      <c r="Y67" s="219"/>
      <c r="Z67" s="221"/>
      <c r="AA67" s="40"/>
    </row>
    <row r="68" spans="2:28" x14ac:dyDescent="0.2">
      <c r="B68" s="166">
        <f>'1. LDC Info'!$F$27-8</f>
        <v>2009</v>
      </c>
      <c r="C68" s="38" t="s">
        <v>117</v>
      </c>
      <c r="D68" s="520">
        <v>5625332</v>
      </c>
      <c r="E68" s="537">
        <v>8219</v>
      </c>
      <c r="F68" s="539">
        <v>2967579</v>
      </c>
      <c r="G68" s="537">
        <v>1062</v>
      </c>
      <c r="H68" s="540">
        <v>62952.999999999993</v>
      </c>
      <c r="I68" s="537">
        <v>96</v>
      </c>
      <c r="J68" s="540"/>
      <c r="K68" s="537"/>
      <c r="L68" s="520">
        <v>10129093</v>
      </c>
      <c r="M68" s="538">
        <v>24304.3</v>
      </c>
      <c r="N68" s="537">
        <v>129</v>
      </c>
      <c r="O68" s="520">
        <v>88190</v>
      </c>
      <c r="P68" s="538">
        <v>271</v>
      </c>
      <c r="Q68" s="537">
        <v>2705</v>
      </c>
      <c r="R68" s="539">
        <v>6932.4000000000005</v>
      </c>
      <c r="S68" s="538">
        <v>19.256666666666668</v>
      </c>
      <c r="T68" s="537">
        <v>57</v>
      </c>
      <c r="U68" s="540">
        <v>1565396</v>
      </c>
      <c r="V68" s="538">
        <v>4434.1000000000004</v>
      </c>
      <c r="W68" s="537">
        <v>1</v>
      </c>
      <c r="X68" s="221"/>
      <c r="Y68" s="219"/>
      <c r="Z68" s="221"/>
      <c r="AA68" s="40"/>
    </row>
    <row r="69" spans="2:28" x14ac:dyDescent="0.2">
      <c r="B69" s="166">
        <f>'1. LDC Info'!$F$27-8</f>
        <v>2009</v>
      </c>
      <c r="C69" s="38" t="s">
        <v>107</v>
      </c>
      <c r="D69" s="520">
        <v>5229017</v>
      </c>
      <c r="E69" s="537">
        <v>8230</v>
      </c>
      <c r="F69" s="539">
        <v>2674140</v>
      </c>
      <c r="G69" s="537">
        <v>1063</v>
      </c>
      <c r="H69" s="540">
        <v>62952.999999999993</v>
      </c>
      <c r="I69" s="537">
        <v>95</v>
      </c>
      <c r="J69" s="540"/>
      <c r="K69" s="537"/>
      <c r="L69" s="520">
        <v>9710715</v>
      </c>
      <c r="M69" s="538">
        <v>25263.8</v>
      </c>
      <c r="N69" s="537">
        <v>129</v>
      </c>
      <c r="O69" s="520">
        <v>97876</v>
      </c>
      <c r="P69" s="538">
        <v>277.7</v>
      </c>
      <c r="Q69" s="537">
        <v>2735</v>
      </c>
      <c r="R69" s="539">
        <v>7801.0952380952394</v>
      </c>
      <c r="S69" s="538">
        <v>21.669708994708994</v>
      </c>
      <c r="T69" s="537">
        <v>57</v>
      </c>
      <c r="U69" s="540">
        <v>1527190</v>
      </c>
      <c r="V69" s="538">
        <v>3800.5</v>
      </c>
      <c r="W69" s="537">
        <v>1</v>
      </c>
      <c r="X69" s="221"/>
      <c r="Y69" s="219"/>
      <c r="Z69" s="221"/>
      <c r="AA69" s="40"/>
    </row>
    <row r="70" spans="2:28" x14ac:dyDescent="0.2">
      <c r="B70" s="166">
        <f>'1. LDC Info'!$F$27-8</f>
        <v>2009</v>
      </c>
      <c r="C70" s="38" t="s">
        <v>108</v>
      </c>
      <c r="D70" s="520">
        <v>5448050</v>
      </c>
      <c r="E70" s="537">
        <v>8234</v>
      </c>
      <c r="F70" s="539">
        <v>2694171</v>
      </c>
      <c r="G70" s="537">
        <v>1063</v>
      </c>
      <c r="H70" s="540">
        <v>56645</v>
      </c>
      <c r="I70" s="537">
        <v>96</v>
      </c>
      <c r="J70" s="540"/>
      <c r="K70" s="537"/>
      <c r="L70" s="520">
        <v>9546808</v>
      </c>
      <c r="M70" s="538">
        <v>24143.9</v>
      </c>
      <c r="N70" s="537">
        <v>129</v>
      </c>
      <c r="O70" s="520">
        <v>116281</v>
      </c>
      <c r="P70" s="538">
        <v>280.7</v>
      </c>
      <c r="Q70" s="537">
        <v>2745</v>
      </c>
      <c r="R70" s="539">
        <v>6408.8157894736842</v>
      </c>
      <c r="S70" s="538">
        <v>17.802266081871345</v>
      </c>
      <c r="T70" s="537">
        <v>57</v>
      </c>
      <c r="U70" s="540">
        <v>1612105</v>
      </c>
      <c r="V70" s="538">
        <v>3949.4</v>
      </c>
      <c r="W70" s="537">
        <v>1</v>
      </c>
      <c r="X70" s="221"/>
      <c r="Y70" s="219"/>
      <c r="Z70" s="221"/>
      <c r="AA70" s="40"/>
    </row>
    <row r="71" spans="2:28" x14ac:dyDescent="0.2">
      <c r="B71" s="166">
        <f>'1. LDC Info'!$F$27-8</f>
        <v>2009</v>
      </c>
      <c r="C71" s="38" t="s">
        <v>109</v>
      </c>
      <c r="D71" s="520">
        <v>5954931</v>
      </c>
      <c r="E71" s="537">
        <v>8237</v>
      </c>
      <c r="F71" s="539">
        <v>2725548</v>
      </c>
      <c r="G71" s="537">
        <v>1063</v>
      </c>
      <c r="H71" s="540">
        <v>63213</v>
      </c>
      <c r="I71" s="537">
        <v>96</v>
      </c>
      <c r="J71" s="540"/>
      <c r="K71" s="537"/>
      <c r="L71" s="520">
        <v>9055750</v>
      </c>
      <c r="M71" s="538">
        <v>23440.7</v>
      </c>
      <c r="N71" s="537">
        <v>129</v>
      </c>
      <c r="O71" s="520">
        <v>122409</v>
      </c>
      <c r="P71" s="538">
        <v>281.7</v>
      </c>
      <c r="Q71" s="537">
        <v>2745</v>
      </c>
      <c r="R71" s="539">
        <v>6551.6153846153802</v>
      </c>
      <c r="S71" s="538">
        <v>18.198931623931614</v>
      </c>
      <c r="T71" s="537">
        <v>57</v>
      </c>
      <c r="U71" s="540">
        <v>1800121</v>
      </c>
      <c r="V71" s="538">
        <v>4158.6000000000004</v>
      </c>
      <c r="W71" s="537">
        <v>1</v>
      </c>
      <c r="X71" s="221"/>
      <c r="Y71" s="219"/>
      <c r="Z71" s="221"/>
      <c r="AA71" s="40"/>
    </row>
    <row r="72" spans="2:28" x14ac:dyDescent="0.2">
      <c r="B72" s="166">
        <f>'1. LDC Info'!$F$27-8</f>
        <v>2009</v>
      </c>
      <c r="C72" s="38" t="s">
        <v>106</v>
      </c>
      <c r="D72" s="520">
        <v>7412279</v>
      </c>
      <c r="E72" s="537">
        <v>8243</v>
      </c>
      <c r="F72" s="520">
        <v>3132924</v>
      </c>
      <c r="G72" s="537">
        <v>1065</v>
      </c>
      <c r="H72" s="539">
        <v>60979.034247225121</v>
      </c>
      <c r="I72" s="537">
        <v>94</v>
      </c>
      <c r="J72" s="539"/>
      <c r="K72" s="537"/>
      <c r="L72" s="520">
        <v>9424394</v>
      </c>
      <c r="M72" s="538">
        <v>23535.1</v>
      </c>
      <c r="N72" s="537">
        <v>130</v>
      </c>
      <c r="O72" s="520">
        <v>133139.17085665496</v>
      </c>
      <c r="P72" s="538">
        <v>281.7</v>
      </c>
      <c r="Q72" s="537">
        <v>2745</v>
      </c>
      <c r="R72" s="539">
        <v>4424.6276444360119</v>
      </c>
      <c r="S72" s="538">
        <v>15.510912698412699</v>
      </c>
      <c r="T72" s="537">
        <v>57</v>
      </c>
      <c r="U72" s="539">
        <v>1450498</v>
      </c>
      <c r="V72" s="538">
        <v>4447.7</v>
      </c>
      <c r="W72" s="537">
        <v>1</v>
      </c>
      <c r="X72" s="221"/>
      <c r="Y72" s="219"/>
      <c r="Z72" s="221"/>
      <c r="AA72" s="40"/>
    </row>
    <row r="73" spans="2:28" x14ac:dyDescent="0.2">
      <c r="B73" s="166">
        <f>'1. LDC Info'!$F$27-7</f>
        <v>2010</v>
      </c>
      <c r="C73" s="38" t="s">
        <v>110</v>
      </c>
      <c r="D73" s="520">
        <v>7764497</v>
      </c>
      <c r="E73" s="537">
        <v>8242</v>
      </c>
      <c r="F73" s="539">
        <v>3326441</v>
      </c>
      <c r="G73" s="537">
        <v>1066</v>
      </c>
      <c r="H73" s="540">
        <v>62693.292856465232</v>
      </c>
      <c r="I73" s="537">
        <v>94</v>
      </c>
      <c r="J73" s="540"/>
      <c r="K73" s="537"/>
      <c r="L73" s="520">
        <v>10389064</v>
      </c>
      <c r="M73" s="538">
        <v>24787</v>
      </c>
      <c r="N73" s="537">
        <v>130</v>
      </c>
      <c r="O73" s="520">
        <v>130958.16336210986</v>
      </c>
      <c r="P73" s="538">
        <v>281.7</v>
      </c>
      <c r="Q73" s="537">
        <v>2745</v>
      </c>
      <c r="R73" s="539">
        <v>2855.5165544066026</v>
      </c>
      <c r="S73" s="538">
        <v>17.84375</v>
      </c>
      <c r="T73" s="537">
        <v>57</v>
      </c>
      <c r="U73" s="540">
        <v>1493109</v>
      </c>
      <c r="V73" s="538">
        <v>3716.3</v>
      </c>
      <c r="W73" s="537">
        <v>1</v>
      </c>
      <c r="X73" s="221"/>
      <c r="Y73" s="219"/>
      <c r="Z73" s="221"/>
      <c r="AA73" s="40"/>
      <c r="AB73" s="846">
        <f>D73+F73+H73+L73+O73+R73+U73</f>
        <v>23169617.972772982</v>
      </c>
    </row>
    <row r="74" spans="2:28" x14ac:dyDescent="0.2">
      <c r="B74" s="166">
        <f>'1. LDC Info'!$F$27-7</f>
        <v>2010</v>
      </c>
      <c r="C74" s="38" t="s">
        <v>111</v>
      </c>
      <c r="D74" s="520">
        <v>6490321</v>
      </c>
      <c r="E74" s="537">
        <v>8244</v>
      </c>
      <c r="F74" s="539">
        <v>2949100</v>
      </c>
      <c r="G74" s="537">
        <v>1064</v>
      </c>
      <c r="H74" s="540">
        <v>63752.964614362958</v>
      </c>
      <c r="I74" s="537">
        <v>95</v>
      </c>
      <c r="J74" s="540"/>
      <c r="K74" s="537"/>
      <c r="L74" s="520">
        <v>9634785</v>
      </c>
      <c r="M74" s="538">
        <v>25055.599999999999</v>
      </c>
      <c r="N74" s="537">
        <v>131</v>
      </c>
      <c r="O74" s="520">
        <v>108428.04288018214</v>
      </c>
      <c r="P74" s="538">
        <v>281.7</v>
      </c>
      <c r="Q74" s="537">
        <v>2745</v>
      </c>
      <c r="R74" s="539">
        <v>4787.0221041646901</v>
      </c>
      <c r="S74" s="538">
        <v>16.698837209302322</v>
      </c>
      <c r="T74" s="537">
        <v>57</v>
      </c>
      <c r="U74" s="540">
        <v>1671448</v>
      </c>
      <c r="V74" s="538">
        <v>3833.2</v>
      </c>
      <c r="W74" s="537">
        <v>1</v>
      </c>
      <c r="X74" s="221"/>
      <c r="Y74" s="219"/>
      <c r="Z74" s="221"/>
      <c r="AA74" s="40"/>
      <c r="AB74" s="846">
        <f t="shared" ref="AB74:AB137" si="0">D74+F74+H74+L74+O74+R74+U74</f>
        <v>20922622.029598709</v>
      </c>
    </row>
    <row r="75" spans="2:28" x14ac:dyDescent="0.2">
      <c r="B75" s="166">
        <f>'1. LDC Info'!$F$27-7</f>
        <v>2010</v>
      </c>
      <c r="C75" s="38" t="s">
        <v>112</v>
      </c>
      <c r="D75" s="520">
        <v>6072098</v>
      </c>
      <c r="E75" s="537">
        <v>8261</v>
      </c>
      <c r="F75" s="539">
        <v>2860303</v>
      </c>
      <c r="G75" s="537">
        <v>1063</v>
      </c>
      <c r="H75" s="540">
        <v>63752.964614362958</v>
      </c>
      <c r="I75" s="537">
        <v>96</v>
      </c>
      <c r="J75" s="540"/>
      <c r="K75" s="537"/>
      <c r="L75" s="520">
        <v>10091212</v>
      </c>
      <c r="M75" s="538">
        <v>24525</v>
      </c>
      <c r="N75" s="537">
        <v>131</v>
      </c>
      <c r="O75" s="520">
        <v>106016.50697277297</v>
      </c>
      <c r="P75" s="538">
        <v>273.60000000000002</v>
      </c>
      <c r="Q75" s="537">
        <v>2754</v>
      </c>
      <c r="R75" s="539">
        <v>3219.8083673275778</v>
      </c>
      <c r="S75" s="538">
        <v>17.888888888888889</v>
      </c>
      <c r="T75" s="537">
        <v>57</v>
      </c>
      <c r="U75" s="540">
        <v>2063110</v>
      </c>
      <c r="V75" s="538">
        <v>4535.6000000000004</v>
      </c>
      <c r="W75" s="537">
        <v>1</v>
      </c>
      <c r="X75" s="221"/>
      <c r="Y75" s="219"/>
      <c r="Z75" s="221"/>
      <c r="AA75" s="40"/>
      <c r="AB75" s="846">
        <f t="shared" si="0"/>
        <v>21259712.27995446</v>
      </c>
    </row>
    <row r="76" spans="2:28" x14ac:dyDescent="0.2">
      <c r="B76" s="166">
        <f>'1. LDC Info'!$F$27-7</f>
        <v>2010</v>
      </c>
      <c r="C76" s="38" t="s">
        <v>113</v>
      </c>
      <c r="D76" s="520">
        <v>5314621</v>
      </c>
      <c r="E76" s="537">
        <v>8286</v>
      </c>
      <c r="F76" s="539">
        <v>2568070</v>
      </c>
      <c r="G76" s="537">
        <v>1061</v>
      </c>
      <c r="H76" s="540">
        <v>63233.089839673652</v>
      </c>
      <c r="I76" s="537">
        <v>97</v>
      </c>
      <c r="J76" s="540"/>
      <c r="K76" s="537"/>
      <c r="L76" s="520">
        <v>9738508</v>
      </c>
      <c r="M76" s="538">
        <v>23927.200000000001</v>
      </c>
      <c r="N76" s="537">
        <v>131</v>
      </c>
      <c r="O76" s="520">
        <v>90285.551655440664</v>
      </c>
      <c r="P76" s="538">
        <v>273.60000000000002</v>
      </c>
      <c r="Q76" s="537">
        <v>2754</v>
      </c>
      <c r="R76" s="539">
        <v>4513.8032444739583</v>
      </c>
      <c r="S76" s="538">
        <v>19.345714285714283</v>
      </c>
      <c r="T76" s="537">
        <v>57</v>
      </c>
      <c r="U76" s="540">
        <v>2169883</v>
      </c>
      <c r="V76" s="538">
        <v>4397.3999999999996</v>
      </c>
      <c r="W76" s="537">
        <v>1</v>
      </c>
      <c r="X76" s="221"/>
      <c r="Y76" s="219"/>
      <c r="Z76" s="221"/>
      <c r="AA76" s="40"/>
      <c r="AB76" s="846">
        <f t="shared" si="0"/>
        <v>19949114.444739591</v>
      </c>
    </row>
    <row r="77" spans="2:28" x14ac:dyDescent="0.2">
      <c r="B77" s="166">
        <f>'1. LDC Info'!$F$27-7</f>
        <v>2010</v>
      </c>
      <c r="C77" s="38" t="s">
        <v>114</v>
      </c>
      <c r="D77" s="520">
        <v>5267795</v>
      </c>
      <c r="E77" s="537">
        <v>8292</v>
      </c>
      <c r="F77" s="539">
        <v>2659492</v>
      </c>
      <c r="G77" s="537">
        <v>1063</v>
      </c>
      <c r="H77" s="540">
        <v>63752.964614362958</v>
      </c>
      <c r="I77" s="537">
        <v>95</v>
      </c>
      <c r="J77" s="540"/>
      <c r="K77" s="537"/>
      <c r="L77" s="520">
        <v>10023048</v>
      </c>
      <c r="M77" s="538">
        <v>25436.9</v>
      </c>
      <c r="N77" s="537">
        <v>131</v>
      </c>
      <c r="O77" s="520">
        <v>82692.344179869076</v>
      </c>
      <c r="P77" s="538">
        <v>273.60000000000002</v>
      </c>
      <c r="Q77" s="537">
        <v>2754</v>
      </c>
      <c r="R77" s="539">
        <v>3082.2502608860636</v>
      </c>
      <c r="S77" s="538">
        <v>17.786538461538445</v>
      </c>
      <c r="T77" s="537">
        <v>57</v>
      </c>
      <c r="U77" s="540">
        <v>2187136</v>
      </c>
      <c r="V77" s="538">
        <v>4653.1000000000004</v>
      </c>
      <c r="W77" s="537">
        <v>1</v>
      </c>
      <c r="X77" s="221"/>
      <c r="Y77" s="219"/>
      <c r="Z77" s="221"/>
      <c r="AA77" s="40"/>
      <c r="AB77" s="846">
        <f t="shared" si="0"/>
        <v>20286998.559055116</v>
      </c>
    </row>
    <row r="78" spans="2:28" x14ac:dyDescent="0.2">
      <c r="B78" s="166">
        <f>'1. LDC Info'!$F$27-7</f>
        <v>2010</v>
      </c>
      <c r="C78" s="38" t="s">
        <v>115</v>
      </c>
      <c r="D78" s="520">
        <v>5484743</v>
      </c>
      <c r="E78" s="537">
        <v>8306</v>
      </c>
      <c r="F78" s="539">
        <v>2779559</v>
      </c>
      <c r="G78" s="537">
        <v>1064</v>
      </c>
      <c r="H78" s="540">
        <v>56913.95503272934</v>
      </c>
      <c r="I78" s="537">
        <v>95</v>
      </c>
      <c r="J78" s="540"/>
      <c r="K78" s="537"/>
      <c r="L78" s="520">
        <v>10316562</v>
      </c>
      <c r="M78" s="538">
        <v>25785</v>
      </c>
      <c r="N78" s="537">
        <v>132</v>
      </c>
      <c r="O78" s="520">
        <v>73869.651835689205</v>
      </c>
      <c r="P78" s="538">
        <v>273.60000000000002</v>
      </c>
      <c r="Q78" s="537">
        <v>2754</v>
      </c>
      <c r="R78" s="539">
        <v>4991.9362489327386</v>
      </c>
      <c r="S78" s="538">
        <v>17.018181818181816</v>
      </c>
      <c r="T78" s="537">
        <v>57</v>
      </c>
      <c r="U78" s="540">
        <v>1938469</v>
      </c>
      <c r="V78" s="538">
        <v>4074.5</v>
      </c>
      <c r="W78" s="537">
        <v>1</v>
      </c>
      <c r="X78" s="221"/>
      <c r="Y78" s="219"/>
      <c r="Z78" s="221"/>
      <c r="AA78" s="40"/>
      <c r="AB78" s="846">
        <f t="shared" si="0"/>
        <v>20655108.543117348</v>
      </c>
    </row>
    <row r="79" spans="2:28" x14ac:dyDescent="0.2">
      <c r="B79" s="166">
        <f>'1. LDC Info'!$F$27-7</f>
        <v>2010</v>
      </c>
      <c r="C79" s="38" t="s">
        <v>116</v>
      </c>
      <c r="D79" s="520">
        <v>6120843</v>
      </c>
      <c r="E79" s="537">
        <v>8315</v>
      </c>
      <c r="F79" s="539">
        <v>3022126</v>
      </c>
      <c r="G79" s="537">
        <v>1067</v>
      </c>
      <c r="H79" s="540">
        <v>57433.829807418646</v>
      </c>
      <c r="I79" s="537">
        <v>95</v>
      </c>
      <c r="J79" s="540"/>
      <c r="K79" s="537"/>
      <c r="L79" s="520">
        <v>10419758</v>
      </c>
      <c r="M79" s="538">
        <v>25761.599999999999</v>
      </c>
      <c r="N79" s="537">
        <v>132</v>
      </c>
      <c r="O79" s="520">
        <v>78452.708471681995</v>
      </c>
      <c r="P79" s="538">
        <v>273.60000000000002</v>
      </c>
      <c r="Q79" s="537">
        <v>2754</v>
      </c>
      <c r="R79" s="539">
        <v>2877.3361161180151</v>
      </c>
      <c r="S79" s="538">
        <v>17.987500000000001</v>
      </c>
      <c r="T79" s="537">
        <v>57</v>
      </c>
      <c r="U79" s="540">
        <v>1435239</v>
      </c>
      <c r="V79" s="538">
        <v>3955.1</v>
      </c>
      <c r="W79" s="537">
        <v>1</v>
      </c>
      <c r="X79" s="221"/>
      <c r="Y79" s="219"/>
      <c r="Z79" s="221"/>
      <c r="AA79" s="40"/>
      <c r="AB79" s="846">
        <f t="shared" si="0"/>
        <v>21136729.874395218</v>
      </c>
    </row>
    <row r="80" spans="2:28" x14ac:dyDescent="0.2">
      <c r="B80" s="166">
        <f>'1. LDC Info'!$F$27-7</f>
        <v>2010</v>
      </c>
      <c r="C80" s="38" t="s">
        <v>117</v>
      </c>
      <c r="D80" s="520">
        <v>6016644</v>
      </c>
      <c r="E80" s="537">
        <v>8316</v>
      </c>
      <c r="F80" s="539">
        <v>2931180</v>
      </c>
      <c r="G80" s="537">
        <v>1069</v>
      </c>
      <c r="H80" s="540">
        <v>56913.95503272934</v>
      </c>
      <c r="I80" s="537">
        <v>95</v>
      </c>
      <c r="J80" s="540"/>
      <c r="K80" s="537"/>
      <c r="L80" s="520">
        <v>11803879</v>
      </c>
      <c r="M80" s="538">
        <v>25590.5</v>
      </c>
      <c r="N80" s="537">
        <v>132</v>
      </c>
      <c r="O80" s="520">
        <v>89215.444454985292</v>
      </c>
      <c r="P80" s="538">
        <v>274.10000000000002</v>
      </c>
      <c r="Q80" s="537">
        <v>2759</v>
      </c>
      <c r="R80" s="539">
        <v>4855.3268190873732</v>
      </c>
      <c r="S80" s="538">
        <v>20.80714285714286</v>
      </c>
      <c r="T80" s="537">
        <v>57</v>
      </c>
      <c r="U80" s="540">
        <v>1249785</v>
      </c>
      <c r="V80" s="538">
        <v>3351.9</v>
      </c>
      <c r="W80" s="537">
        <v>1</v>
      </c>
      <c r="X80" s="221"/>
      <c r="Y80" s="219"/>
      <c r="Z80" s="221"/>
      <c r="AA80" s="40"/>
      <c r="AB80" s="846">
        <f t="shared" si="0"/>
        <v>22152472.726306804</v>
      </c>
    </row>
    <row r="81" spans="2:30" x14ac:dyDescent="0.2">
      <c r="B81" s="166">
        <f>'1. LDC Info'!$F$27-7</f>
        <v>2010</v>
      </c>
      <c r="C81" s="38" t="s">
        <v>107</v>
      </c>
      <c r="D81" s="520">
        <v>5253197</v>
      </c>
      <c r="E81" s="537">
        <v>8348</v>
      </c>
      <c r="F81" s="539">
        <v>2566360</v>
      </c>
      <c r="G81" s="537">
        <v>1070</v>
      </c>
      <c r="H81" s="540">
        <v>57433.829807418646</v>
      </c>
      <c r="I81" s="537">
        <v>95</v>
      </c>
      <c r="J81" s="540"/>
      <c r="K81" s="537"/>
      <c r="L81" s="520">
        <v>9556779</v>
      </c>
      <c r="M81" s="538">
        <v>25568.7</v>
      </c>
      <c r="N81" s="537">
        <v>132</v>
      </c>
      <c r="O81" s="520">
        <v>96617.019258134897</v>
      </c>
      <c r="P81" s="538">
        <v>274.10000000000002</v>
      </c>
      <c r="Q81" s="537">
        <v>2759</v>
      </c>
      <c r="R81" s="539">
        <v>2877.3361161180151</v>
      </c>
      <c r="S81" s="538">
        <v>17.987500000000001</v>
      </c>
      <c r="T81" s="537">
        <v>57</v>
      </c>
      <c r="U81" s="540">
        <v>1520762</v>
      </c>
      <c r="V81" s="538">
        <v>3926.4</v>
      </c>
      <c r="W81" s="537">
        <v>1</v>
      </c>
      <c r="X81" s="221"/>
      <c r="Y81" s="219"/>
      <c r="Z81" s="221"/>
      <c r="AA81" s="40"/>
      <c r="AB81" s="846">
        <f t="shared" si="0"/>
        <v>19054026.18518167</v>
      </c>
    </row>
    <row r="82" spans="2:30" x14ac:dyDescent="0.2">
      <c r="B82" s="166">
        <f>'1. LDC Info'!$F$27-7</f>
        <v>2010</v>
      </c>
      <c r="C82" s="38" t="s">
        <v>108</v>
      </c>
      <c r="D82" s="520">
        <v>5493832</v>
      </c>
      <c r="E82" s="537">
        <v>8351</v>
      </c>
      <c r="F82" s="539">
        <v>2603494</v>
      </c>
      <c r="G82" s="537">
        <v>1071</v>
      </c>
      <c r="H82" s="540">
        <v>56914</v>
      </c>
      <c r="I82" s="537">
        <v>95</v>
      </c>
      <c r="J82" s="540"/>
      <c r="K82" s="537"/>
      <c r="L82" s="520">
        <v>9836994</v>
      </c>
      <c r="M82" s="538">
        <v>25627.21</v>
      </c>
      <c r="N82" s="537">
        <v>132</v>
      </c>
      <c r="O82" s="520">
        <v>112582.29769471586</v>
      </c>
      <c r="P82" s="538">
        <v>274.10000000000002</v>
      </c>
      <c r="Q82" s="537">
        <v>2759</v>
      </c>
      <c r="R82" s="539">
        <v>6687.2432432432433</v>
      </c>
      <c r="S82" s="538">
        <v>18.575675675675676</v>
      </c>
      <c r="T82" s="537">
        <v>57</v>
      </c>
      <c r="U82" s="540">
        <v>952609</v>
      </c>
      <c r="V82" s="538">
        <v>2960.9</v>
      </c>
      <c r="W82" s="537">
        <v>1</v>
      </c>
      <c r="X82" s="221"/>
      <c r="Y82" s="219"/>
      <c r="Z82" s="221"/>
      <c r="AA82" s="40"/>
      <c r="AB82" s="846">
        <f t="shared" si="0"/>
        <v>19063112.54093796</v>
      </c>
    </row>
    <row r="83" spans="2:30" x14ac:dyDescent="0.2">
      <c r="B83" s="166">
        <f>'1. LDC Info'!$F$27-7</f>
        <v>2010</v>
      </c>
      <c r="C83" s="38" t="s">
        <v>109</v>
      </c>
      <c r="D83" s="520">
        <v>5954931</v>
      </c>
      <c r="E83" s="537">
        <v>8351</v>
      </c>
      <c r="F83" s="539">
        <v>2725548</v>
      </c>
      <c r="G83" s="537">
        <v>1071</v>
      </c>
      <c r="H83" s="540">
        <v>56914</v>
      </c>
      <c r="I83" s="537">
        <v>95</v>
      </c>
      <c r="J83" s="540"/>
      <c r="K83" s="537"/>
      <c r="L83" s="520">
        <v>9055750</v>
      </c>
      <c r="M83" s="538">
        <v>23440.7</v>
      </c>
      <c r="N83" s="537">
        <v>132</v>
      </c>
      <c r="O83" s="520">
        <v>112582</v>
      </c>
      <c r="P83" s="538">
        <v>274.10000000000002</v>
      </c>
      <c r="Q83" s="537">
        <v>2759</v>
      </c>
      <c r="R83" s="539">
        <v>6687.2432432432433</v>
      </c>
      <c r="S83" s="538">
        <v>18.575675675675676</v>
      </c>
      <c r="T83" s="537">
        <v>57</v>
      </c>
      <c r="U83" s="540">
        <v>1033367.01</v>
      </c>
      <c r="V83" s="538">
        <v>2454.84</v>
      </c>
      <c r="W83" s="537">
        <v>1</v>
      </c>
      <c r="X83" s="221"/>
      <c r="Y83" s="219"/>
      <c r="Z83" s="221"/>
      <c r="AA83" s="40"/>
      <c r="AB83" s="846">
        <f t="shared" si="0"/>
        <v>18945779.253243245</v>
      </c>
    </row>
    <row r="84" spans="2:30" x14ac:dyDescent="0.2">
      <c r="B84" s="166">
        <f>'1. LDC Info'!$F$27-7</f>
        <v>2010</v>
      </c>
      <c r="C84" s="38" t="s">
        <v>106</v>
      </c>
      <c r="D84" s="520">
        <v>7412279</v>
      </c>
      <c r="E84" s="537">
        <v>8351</v>
      </c>
      <c r="F84" s="520">
        <v>3132924</v>
      </c>
      <c r="G84" s="537">
        <v>1071</v>
      </c>
      <c r="H84" s="539">
        <v>56914</v>
      </c>
      <c r="I84" s="537">
        <v>96</v>
      </c>
      <c r="J84" s="539"/>
      <c r="K84" s="537"/>
      <c r="L84" s="520">
        <v>9424394</v>
      </c>
      <c r="M84" s="538">
        <v>23535.1</v>
      </c>
      <c r="N84" s="537">
        <v>132</v>
      </c>
      <c r="O84" s="520">
        <v>112582</v>
      </c>
      <c r="P84" s="538">
        <v>274.10000000000002</v>
      </c>
      <c r="Q84" s="537">
        <v>2759</v>
      </c>
      <c r="R84" s="539">
        <v>6687.2432432432433</v>
      </c>
      <c r="S84" s="538">
        <v>18.575675675675676</v>
      </c>
      <c r="T84" s="537">
        <v>53</v>
      </c>
      <c r="U84" s="539">
        <v>1321427.46</v>
      </c>
      <c r="V84" s="538">
        <v>3396.48</v>
      </c>
      <c r="W84" s="537">
        <v>1</v>
      </c>
      <c r="X84" s="221"/>
      <c r="Y84" s="219"/>
      <c r="Z84" s="221"/>
      <c r="AA84" s="40"/>
      <c r="AB84" s="846">
        <f t="shared" si="0"/>
        <v>21467207.703243244</v>
      </c>
      <c r="AC84" s="846">
        <f>SUM(AB73:AB84)</f>
        <v>248062502.11254635</v>
      </c>
      <c r="AD84" s="24">
        <v>2010</v>
      </c>
    </row>
    <row r="85" spans="2:30" x14ac:dyDescent="0.2">
      <c r="B85" s="166">
        <f>'1. LDC Info'!$F$27-6</f>
        <v>2011</v>
      </c>
      <c r="C85" s="38" t="s">
        <v>110</v>
      </c>
      <c r="D85" s="520">
        <v>6554103</v>
      </c>
      <c r="E85" s="537">
        <v>8369</v>
      </c>
      <c r="F85" s="520">
        <v>2776298</v>
      </c>
      <c r="G85" s="537">
        <v>1069</v>
      </c>
      <c r="H85" s="540">
        <v>54656</v>
      </c>
      <c r="I85" s="537">
        <v>97</v>
      </c>
      <c r="J85" s="540"/>
      <c r="K85" s="537"/>
      <c r="L85" s="520">
        <v>8708269</v>
      </c>
      <c r="M85" s="521">
        <v>24695.4</v>
      </c>
      <c r="N85" s="537">
        <v>131</v>
      </c>
      <c r="O85" s="520">
        <v>129576</v>
      </c>
      <c r="P85" s="521">
        <v>274</v>
      </c>
      <c r="Q85" s="537">
        <v>2759</v>
      </c>
      <c r="R85" s="539">
        <v>4513</v>
      </c>
      <c r="S85" s="538">
        <v>11</v>
      </c>
      <c r="T85" s="537">
        <v>53</v>
      </c>
      <c r="U85" s="540">
        <v>1321427</v>
      </c>
      <c r="V85" s="538">
        <v>3614</v>
      </c>
      <c r="W85" s="537">
        <v>1</v>
      </c>
      <c r="X85" s="221"/>
      <c r="Y85" s="219"/>
      <c r="Z85" s="221"/>
      <c r="AA85" s="40"/>
      <c r="AB85" s="846">
        <f t="shared" si="0"/>
        <v>19548842</v>
      </c>
    </row>
    <row r="86" spans="2:30" x14ac:dyDescent="0.2">
      <c r="B86" s="166">
        <f>'1. LDC Info'!$F$27-6</f>
        <v>2011</v>
      </c>
      <c r="C86" s="38" t="s">
        <v>111</v>
      </c>
      <c r="D86" s="520">
        <v>7713927</v>
      </c>
      <c r="E86" s="537">
        <v>8372</v>
      </c>
      <c r="F86" s="520">
        <v>4052117</v>
      </c>
      <c r="G86" s="537">
        <v>1069</v>
      </c>
      <c r="H86" s="540">
        <v>55176</v>
      </c>
      <c r="I86" s="537">
        <v>97</v>
      </c>
      <c r="J86" s="540"/>
      <c r="K86" s="537"/>
      <c r="L86" s="520">
        <v>11771518</v>
      </c>
      <c r="M86" s="521">
        <v>24772</v>
      </c>
      <c r="N86" s="537">
        <v>130</v>
      </c>
      <c r="O86" s="520">
        <v>128708</v>
      </c>
      <c r="P86" s="521">
        <v>277</v>
      </c>
      <c r="Q86" s="537">
        <v>2759</v>
      </c>
      <c r="R86" s="539">
        <v>2939</v>
      </c>
      <c r="S86" s="538">
        <v>11</v>
      </c>
      <c r="T86" s="537">
        <v>53</v>
      </c>
      <c r="U86" s="540">
        <v>1448905</v>
      </c>
      <c r="V86" s="538">
        <v>3706</v>
      </c>
      <c r="W86" s="537">
        <v>1</v>
      </c>
      <c r="X86" s="221"/>
      <c r="Y86" s="219"/>
      <c r="Z86" s="221"/>
      <c r="AA86" s="40"/>
      <c r="AB86" s="846">
        <f t="shared" si="0"/>
        <v>25173290</v>
      </c>
    </row>
    <row r="87" spans="2:30" x14ac:dyDescent="0.2">
      <c r="B87" s="166">
        <f>'1. LDC Info'!$F$27-6</f>
        <v>2011</v>
      </c>
      <c r="C87" s="38" t="s">
        <v>112</v>
      </c>
      <c r="D87" s="520">
        <v>8556772</v>
      </c>
      <c r="E87" s="537">
        <v>8375</v>
      </c>
      <c r="F87" s="520">
        <v>3559983</v>
      </c>
      <c r="G87" s="537">
        <v>1074</v>
      </c>
      <c r="H87" s="540">
        <v>55520</v>
      </c>
      <c r="I87" s="537">
        <v>96</v>
      </c>
      <c r="J87" s="540"/>
      <c r="K87" s="537"/>
      <c r="L87" s="520">
        <v>10361108</v>
      </c>
      <c r="M87" s="521">
        <v>25054.5</v>
      </c>
      <c r="N87" s="537">
        <v>130</v>
      </c>
      <c r="O87" s="520">
        <v>106564</v>
      </c>
      <c r="P87" s="521">
        <v>277</v>
      </c>
      <c r="Q87" s="537">
        <v>2759</v>
      </c>
      <c r="R87" s="539">
        <v>4096</v>
      </c>
      <c r="S87" s="538">
        <v>11</v>
      </c>
      <c r="T87" s="537">
        <v>53</v>
      </c>
      <c r="U87" s="540">
        <v>1450616</v>
      </c>
      <c r="V87" s="538">
        <v>3723</v>
      </c>
      <c r="W87" s="537">
        <v>1</v>
      </c>
      <c r="X87" s="221"/>
      <c r="Y87" s="219"/>
      <c r="Z87" s="221"/>
      <c r="AA87" s="40"/>
      <c r="AB87" s="846">
        <f t="shared" si="0"/>
        <v>24094659</v>
      </c>
    </row>
    <row r="88" spans="2:30" x14ac:dyDescent="0.2">
      <c r="B88" s="166">
        <f>'1. LDC Info'!$F$27-6</f>
        <v>2011</v>
      </c>
      <c r="C88" s="38" t="s">
        <v>113</v>
      </c>
      <c r="D88" s="520">
        <v>6453981</v>
      </c>
      <c r="E88" s="537">
        <v>8394</v>
      </c>
      <c r="F88" s="520">
        <v>2785413</v>
      </c>
      <c r="G88" s="537">
        <v>1075</v>
      </c>
      <c r="H88" s="540">
        <v>56040</v>
      </c>
      <c r="I88" s="537">
        <v>96</v>
      </c>
      <c r="J88" s="540"/>
      <c r="K88" s="537"/>
      <c r="L88" s="520">
        <v>9718344</v>
      </c>
      <c r="M88" s="521">
        <v>24418.400000000001</v>
      </c>
      <c r="N88" s="537">
        <v>130</v>
      </c>
      <c r="O88" s="520">
        <v>107256</v>
      </c>
      <c r="P88" s="521">
        <v>277</v>
      </c>
      <c r="Q88" s="537">
        <v>2759</v>
      </c>
      <c r="R88" s="539">
        <v>2939</v>
      </c>
      <c r="S88" s="538">
        <v>11</v>
      </c>
      <c r="T88" s="537">
        <v>53</v>
      </c>
      <c r="U88" s="540">
        <v>2054608</v>
      </c>
      <c r="V88" s="538">
        <v>4375.8999999999996</v>
      </c>
      <c r="W88" s="537">
        <v>1</v>
      </c>
      <c r="X88" s="221"/>
      <c r="Y88" s="219"/>
      <c r="Z88" s="221"/>
      <c r="AA88" s="40"/>
      <c r="AB88" s="846">
        <f t="shared" si="0"/>
        <v>21178581</v>
      </c>
    </row>
    <row r="89" spans="2:30" x14ac:dyDescent="0.2">
      <c r="B89" s="166">
        <f>'1. LDC Info'!$F$27-6</f>
        <v>2011</v>
      </c>
      <c r="C89" s="38" t="s">
        <v>114</v>
      </c>
      <c r="D89" s="520">
        <v>6122592</v>
      </c>
      <c r="E89" s="537">
        <v>8401</v>
      </c>
      <c r="F89" s="520">
        <v>3468546</v>
      </c>
      <c r="G89" s="537">
        <v>1076</v>
      </c>
      <c r="H89" s="540">
        <v>55520</v>
      </c>
      <c r="I89" s="537">
        <v>96</v>
      </c>
      <c r="J89" s="540"/>
      <c r="K89" s="537"/>
      <c r="L89" s="520">
        <v>10134569</v>
      </c>
      <c r="M89" s="521">
        <v>24605.5</v>
      </c>
      <c r="N89" s="537">
        <v>130</v>
      </c>
      <c r="O89" s="520">
        <v>91341</v>
      </c>
      <c r="P89" s="521">
        <v>277</v>
      </c>
      <c r="Q89" s="537">
        <v>2759</v>
      </c>
      <c r="R89" s="539">
        <v>4369</v>
      </c>
      <c r="S89" s="538">
        <v>11</v>
      </c>
      <c r="T89" s="537">
        <v>53</v>
      </c>
      <c r="U89" s="540">
        <v>1789131</v>
      </c>
      <c r="V89" s="538">
        <v>4405.2</v>
      </c>
      <c r="W89" s="537">
        <v>1</v>
      </c>
      <c r="X89" s="221"/>
      <c r="Y89" s="219"/>
      <c r="Z89" s="221"/>
      <c r="AA89" s="40"/>
      <c r="AB89" s="846">
        <f t="shared" si="0"/>
        <v>21666068</v>
      </c>
    </row>
    <row r="90" spans="2:30" x14ac:dyDescent="0.2">
      <c r="B90" s="166">
        <f>'1. LDC Info'!$F$27-6</f>
        <v>2011</v>
      </c>
      <c r="C90" s="38" t="s">
        <v>115</v>
      </c>
      <c r="D90" s="520">
        <v>5185840</v>
      </c>
      <c r="E90" s="537">
        <v>8401</v>
      </c>
      <c r="F90" s="520">
        <v>2706200</v>
      </c>
      <c r="G90" s="537">
        <v>1075</v>
      </c>
      <c r="H90" s="540">
        <v>56040</v>
      </c>
      <c r="I90" s="537">
        <v>96</v>
      </c>
      <c r="J90" s="540"/>
      <c r="K90" s="537"/>
      <c r="L90" s="520">
        <v>9488200</v>
      </c>
      <c r="M90" s="521">
        <v>25134.2</v>
      </c>
      <c r="N90" s="537">
        <v>129</v>
      </c>
      <c r="O90" s="520">
        <v>83660</v>
      </c>
      <c r="P90" s="521">
        <v>277</v>
      </c>
      <c r="Q90" s="537">
        <v>2759</v>
      </c>
      <c r="R90" s="539">
        <v>2803</v>
      </c>
      <c r="S90" s="538">
        <v>11</v>
      </c>
      <c r="T90" s="537">
        <v>53</v>
      </c>
      <c r="U90" s="540">
        <v>1582482</v>
      </c>
      <c r="V90" s="538">
        <v>4255</v>
      </c>
      <c r="W90" s="537">
        <v>1</v>
      </c>
      <c r="X90" s="221"/>
      <c r="Y90" s="219"/>
      <c r="Z90" s="221"/>
      <c r="AA90" s="40"/>
      <c r="AB90" s="846">
        <f t="shared" si="0"/>
        <v>19105225</v>
      </c>
    </row>
    <row r="91" spans="2:30" x14ac:dyDescent="0.2">
      <c r="B91" s="166">
        <f>'1. LDC Info'!$F$27-6</f>
        <v>2011</v>
      </c>
      <c r="C91" s="38" t="s">
        <v>116</v>
      </c>
      <c r="D91" s="520">
        <v>4973050</v>
      </c>
      <c r="E91" s="537">
        <v>8416</v>
      </c>
      <c r="F91" s="520">
        <v>3090189</v>
      </c>
      <c r="G91" s="537">
        <v>1075</v>
      </c>
      <c r="H91" s="540">
        <v>55520</v>
      </c>
      <c r="I91" s="537">
        <v>96</v>
      </c>
      <c r="J91" s="540"/>
      <c r="K91" s="537"/>
      <c r="L91" s="520">
        <v>9812363</v>
      </c>
      <c r="M91" s="521">
        <v>25620.699999999997</v>
      </c>
      <c r="N91" s="537">
        <v>129</v>
      </c>
      <c r="O91" s="520">
        <v>74734</v>
      </c>
      <c r="P91" s="521">
        <v>277</v>
      </c>
      <c r="Q91" s="537">
        <v>2759</v>
      </c>
      <c r="R91" s="539">
        <v>4814</v>
      </c>
      <c r="S91" s="538">
        <v>11</v>
      </c>
      <c r="T91" s="537">
        <v>53</v>
      </c>
      <c r="U91" s="540">
        <v>1133216</v>
      </c>
      <c r="V91" s="538">
        <v>3445.1</v>
      </c>
      <c r="W91" s="537">
        <v>1</v>
      </c>
      <c r="X91" s="221"/>
      <c r="Y91" s="219"/>
      <c r="Z91" s="221"/>
      <c r="AA91" s="40"/>
      <c r="AB91" s="846">
        <f t="shared" si="0"/>
        <v>19143886</v>
      </c>
    </row>
    <row r="92" spans="2:30" x14ac:dyDescent="0.2">
      <c r="B92" s="166">
        <f>'1. LDC Info'!$F$27-6</f>
        <v>2011</v>
      </c>
      <c r="C92" s="38" t="s">
        <v>117</v>
      </c>
      <c r="D92" s="520">
        <v>5077797</v>
      </c>
      <c r="E92" s="537">
        <v>8430</v>
      </c>
      <c r="F92" s="520">
        <v>3461820</v>
      </c>
      <c r="G92" s="537">
        <v>1074</v>
      </c>
      <c r="H92" s="540">
        <v>56040</v>
      </c>
      <c r="I92" s="537">
        <v>95</v>
      </c>
      <c r="J92" s="540"/>
      <c r="K92" s="537"/>
      <c r="L92" s="520">
        <v>10255976</v>
      </c>
      <c r="M92" s="521">
        <v>25728.1</v>
      </c>
      <c r="N92" s="537">
        <v>129</v>
      </c>
      <c r="O92" s="520">
        <v>79369</v>
      </c>
      <c r="P92" s="521">
        <v>277</v>
      </c>
      <c r="Q92" s="537">
        <v>2759</v>
      </c>
      <c r="R92" s="539">
        <v>2945</v>
      </c>
      <c r="S92" s="538">
        <v>11</v>
      </c>
      <c r="T92" s="537">
        <v>53</v>
      </c>
      <c r="U92" s="540">
        <v>917248</v>
      </c>
      <c r="V92" s="538">
        <v>3612.9</v>
      </c>
      <c r="W92" s="537">
        <v>1</v>
      </c>
      <c r="X92" s="221"/>
      <c r="Y92" s="219"/>
      <c r="Z92" s="221"/>
      <c r="AA92" s="40"/>
      <c r="AB92" s="846">
        <f t="shared" si="0"/>
        <v>19851195</v>
      </c>
    </row>
    <row r="93" spans="2:30" x14ac:dyDescent="0.2">
      <c r="B93" s="166">
        <f>'1. LDC Info'!$F$27-6</f>
        <v>2011</v>
      </c>
      <c r="C93" s="38" t="s">
        <v>107</v>
      </c>
      <c r="D93" s="520">
        <v>5415807</v>
      </c>
      <c r="E93" s="537">
        <v>8437</v>
      </c>
      <c r="F93" s="520">
        <v>2944776</v>
      </c>
      <c r="G93" s="537">
        <v>1072</v>
      </c>
      <c r="H93" s="540">
        <v>1156</v>
      </c>
      <c r="I93" s="537">
        <v>95</v>
      </c>
      <c r="J93" s="540"/>
      <c r="K93" s="537"/>
      <c r="L93" s="520">
        <v>9847716</v>
      </c>
      <c r="M93" s="521">
        <v>25651.5</v>
      </c>
      <c r="N93" s="537">
        <v>130</v>
      </c>
      <c r="O93" s="520">
        <v>90095</v>
      </c>
      <c r="P93" s="521">
        <v>277</v>
      </c>
      <c r="Q93" s="537">
        <v>2759</v>
      </c>
      <c r="R93" s="539">
        <v>3818</v>
      </c>
      <c r="S93" s="538">
        <v>11</v>
      </c>
      <c r="T93" s="537">
        <v>53</v>
      </c>
      <c r="U93" s="540">
        <v>995920</v>
      </c>
      <c r="V93" s="538">
        <v>3602.9</v>
      </c>
      <c r="W93" s="537">
        <v>1</v>
      </c>
      <c r="X93" s="221"/>
      <c r="Y93" s="219"/>
      <c r="Z93" s="221"/>
      <c r="AA93" s="40"/>
      <c r="AB93" s="846">
        <f t="shared" si="0"/>
        <v>19299288</v>
      </c>
    </row>
    <row r="94" spans="2:30" x14ac:dyDescent="0.2">
      <c r="B94" s="166">
        <f>'1. LDC Info'!$F$27-6</f>
        <v>2011</v>
      </c>
      <c r="C94" s="38" t="s">
        <v>108</v>
      </c>
      <c r="D94" s="520">
        <v>6292561</v>
      </c>
      <c r="E94" s="537">
        <v>8442</v>
      </c>
      <c r="F94" s="520">
        <v>3729962</v>
      </c>
      <c r="G94" s="537">
        <v>1074</v>
      </c>
      <c r="H94" s="540">
        <v>108380</v>
      </c>
      <c r="I94" s="537">
        <v>95</v>
      </c>
      <c r="J94" s="540"/>
      <c r="K94" s="537"/>
      <c r="L94" s="520">
        <v>10772286</v>
      </c>
      <c r="M94" s="521">
        <v>25963.1</v>
      </c>
      <c r="N94" s="537">
        <v>131</v>
      </c>
      <c r="O94" s="520">
        <v>97569</v>
      </c>
      <c r="P94" s="521">
        <v>277</v>
      </c>
      <c r="Q94" s="537">
        <v>2759</v>
      </c>
      <c r="R94" s="539">
        <v>3350</v>
      </c>
      <c r="S94" s="538">
        <v>11</v>
      </c>
      <c r="T94" s="537">
        <v>53</v>
      </c>
      <c r="U94" s="540">
        <v>881375</v>
      </c>
      <c r="V94" s="538">
        <v>2888.9</v>
      </c>
      <c r="W94" s="537">
        <v>1</v>
      </c>
      <c r="X94" s="221"/>
      <c r="Y94" s="219"/>
      <c r="Z94" s="221"/>
      <c r="AA94" s="40"/>
      <c r="AB94" s="846">
        <f t="shared" si="0"/>
        <v>21885483</v>
      </c>
    </row>
    <row r="95" spans="2:30" x14ac:dyDescent="0.2">
      <c r="B95" s="166">
        <f>'1. LDC Info'!$F$27-6</f>
        <v>2011</v>
      </c>
      <c r="C95" s="38" t="s">
        <v>109</v>
      </c>
      <c r="D95" s="520">
        <v>5956185</v>
      </c>
      <c r="E95" s="537">
        <v>8447</v>
      </c>
      <c r="F95" s="520">
        <v>3262189</v>
      </c>
      <c r="G95" s="537">
        <v>1075</v>
      </c>
      <c r="H95" s="540">
        <v>53023</v>
      </c>
      <c r="I95" s="537">
        <v>95</v>
      </c>
      <c r="J95" s="540"/>
      <c r="K95" s="537"/>
      <c r="L95" s="520">
        <v>9677006</v>
      </c>
      <c r="M95" s="521">
        <v>24796.400000000001</v>
      </c>
      <c r="N95" s="537">
        <v>131</v>
      </c>
      <c r="O95" s="520">
        <v>113692</v>
      </c>
      <c r="P95" s="521">
        <v>277</v>
      </c>
      <c r="Q95" s="537">
        <v>2759</v>
      </c>
      <c r="R95" s="539">
        <v>4233</v>
      </c>
      <c r="S95" s="538">
        <v>11</v>
      </c>
      <c r="T95" s="537">
        <v>53</v>
      </c>
      <c r="U95" s="540">
        <v>775755</v>
      </c>
      <c r="V95" s="538">
        <v>2587.6999999999998</v>
      </c>
      <c r="W95" s="537">
        <v>1</v>
      </c>
      <c r="X95" s="221"/>
      <c r="Y95" s="219"/>
      <c r="Z95" s="221"/>
      <c r="AA95" s="40"/>
      <c r="AB95" s="846">
        <f t="shared" si="0"/>
        <v>19842083</v>
      </c>
    </row>
    <row r="96" spans="2:30" x14ac:dyDescent="0.2">
      <c r="B96" s="166">
        <f>'1. LDC Info'!$F$27-6</f>
        <v>2011</v>
      </c>
      <c r="C96" s="38" t="s">
        <v>106</v>
      </c>
      <c r="D96" s="520">
        <v>4869502</v>
      </c>
      <c r="E96" s="537">
        <v>8481</v>
      </c>
      <c r="F96" s="520">
        <v>2966207</v>
      </c>
      <c r="G96" s="537">
        <v>1076</v>
      </c>
      <c r="H96" s="539">
        <v>52503</v>
      </c>
      <c r="I96" s="537">
        <v>95</v>
      </c>
      <c r="J96" s="539"/>
      <c r="K96" s="537"/>
      <c r="L96" s="520">
        <v>10287559</v>
      </c>
      <c r="M96" s="538">
        <v>23689.5</v>
      </c>
      <c r="N96" s="537">
        <v>132</v>
      </c>
      <c r="O96" s="520">
        <v>120403</v>
      </c>
      <c r="P96" s="538">
        <v>277</v>
      </c>
      <c r="Q96" s="537">
        <v>2759</v>
      </c>
      <c r="R96" s="539">
        <v>2939</v>
      </c>
      <c r="S96" s="538">
        <v>11</v>
      </c>
      <c r="T96" s="537">
        <v>53</v>
      </c>
      <c r="U96" s="539">
        <v>700999</v>
      </c>
      <c r="V96" s="538">
        <v>2119.3000000000002</v>
      </c>
      <c r="W96" s="537">
        <v>1</v>
      </c>
      <c r="X96" s="221"/>
      <c r="Y96" s="219"/>
      <c r="Z96" s="221"/>
      <c r="AA96" s="40"/>
      <c r="AB96" s="846">
        <f t="shared" si="0"/>
        <v>19000112</v>
      </c>
      <c r="AC96" s="846">
        <f>SUM(AB85:AB96)</f>
        <v>249788712</v>
      </c>
      <c r="AD96" s="24">
        <v>2011</v>
      </c>
    </row>
    <row r="97" spans="2:30" x14ac:dyDescent="0.2">
      <c r="B97" s="166">
        <f>'1. LDC Info'!$F$27-5</f>
        <v>2012</v>
      </c>
      <c r="C97" s="38" t="s">
        <v>110</v>
      </c>
      <c r="D97" s="520">
        <v>6216544</v>
      </c>
      <c r="E97" s="537">
        <v>8475</v>
      </c>
      <c r="F97" s="520">
        <v>2269581</v>
      </c>
      <c r="G97" s="537">
        <v>1077</v>
      </c>
      <c r="H97" s="541">
        <v>53023</v>
      </c>
      <c r="I97" s="537">
        <v>95</v>
      </c>
      <c r="J97" s="541"/>
      <c r="K97" s="537"/>
      <c r="L97" s="520">
        <v>8294749</v>
      </c>
      <c r="M97" s="538">
        <v>24139</v>
      </c>
      <c r="N97" s="537">
        <v>134</v>
      </c>
      <c r="O97" s="520">
        <v>130852</v>
      </c>
      <c r="P97" s="538">
        <v>277</v>
      </c>
      <c r="Q97" s="537">
        <v>2759</v>
      </c>
      <c r="R97" s="539">
        <v>4198</v>
      </c>
      <c r="S97" s="538">
        <v>11</v>
      </c>
      <c r="T97" s="537">
        <v>54</v>
      </c>
      <c r="U97" s="541">
        <v>814703</v>
      </c>
      <c r="V97" s="538">
        <v>3118.8</v>
      </c>
      <c r="W97" s="537">
        <v>1</v>
      </c>
      <c r="X97" s="43"/>
      <c r="Y97" s="219"/>
      <c r="Z97" s="43"/>
      <c r="AA97" s="40"/>
      <c r="AB97" s="846">
        <f t="shared" si="0"/>
        <v>17783650</v>
      </c>
    </row>
    <row r="98" spans="2:30" x14ac:dyDescent="0.2">
      <c r="B98" s="166">
        <f>'1. LDC Info'!$F$27-5</f>
        <v>2012</v>
      </c>
      <c r="C98" s="38" t="s">
        <v>111</v>
      </c>
      <c r="D98" s="520">
        <v>6436875</v>
      </c>
      <c r="E98" s="537">
        <v>8479</v>
      </c>
      <c r="F98" s="520">
        <v>3492604</v>
      </c>
      <c r="G98" s="537">
        <v>1073</v>
      </c>
      <c r="H98" s="541">
        <v>53023</v>
      </c>
      <c r="I98" s="537">
        <v>92</v>
      </c>
      <c r="J98" s="541"/>
      <c r="K98" s="537"/>
      <c r="L98" s="520">
        <v>13129611</v>
      </c>
      <c r="M98" s="538">
        <v>28323</v>
      </c>
      <c r="N98" s="537">
        <v>134</v>
      </c>
      <c r="O98" s="520">
        <v>128708</v>
      </c>
      <c r="P98" s="538">
        <v>277</v>
      </c>
      <c r="Q98" s="537">
        <v>2759</v>
      </c>
      <c r="R98" s="539">
        <v>2905</v>
      </c>
      <c r="S98" s="538">
        <v>11</v>
      </c>
      <c r="T98" s="537">
        <v>54</v>
      </c>
      <c r="U98" s="541">
        <v>1388461</v>
      </c>
      <c r="V98" s="538">
        <v>3422.2</v>
      </c>
      <c r="W98" s="537">
        <v>1</v>
      </c>
      <c r="X98" s="43"/>
      <c r="Y98" s="219"/>
      <c r="Z98" s="43"/>
      <c r="AA98" s="40"/>
      <c r="AB98" s="846">
        <f t="shared" si="0"/>
        <v>24632187</v>
      </c>
    </row>
    <row r="99" spans="2:30" x14ac:dyDescent="0.2">
      <c r="B99" s="166">
        <f>'1. LDC Info'!$F$27-5</f>
        <v>2012</v>
      </c>
      <c r="C99" s="38" t="s">
        <v>112</v>
      </c>
      <c r="D99" s="520">
        <v>7529265</v>
      </c>
      <c r="E99" s="537">
        <v>8487</v>
      </c>
      <c r="F99" s="520">
        <v>3236548</v>
      </c>
      <c r="G99" s="537">
        <v>1075</v>
      </c>
      <c r="H99" s="541">
        <v>52503</v>
      </c>
      <c r="I99" s="537">
        <v>94</v>
      </c>
      <c r="J99" s="541"/>
      <c r="K99" s="537"/>
      <c r="L99" s="520">
        <v>10820247</v>
      </c>
      <c r="M99" s="538">
        <v>26598</v>
      </c>
      <c r="N99" s="537">
        <v>136</v>
      </c>
      <c r="O99" s="520">
        <v>110370</v>
      </c>
      <c r="P99" s="538">
        <v>277</v>
      </c>
      <c r="Q99" s="537">
        <v>2759</v>
      </c>
      <c r="R99" s="539">
        <v>4198</v>
      </c>
      <c r="S99" s="538">
        <v>11</v>
      </c>
      <c r="T99" s="537">
        <v>54</v>
      </c>
      <c r="U99" s="541">
        <v>1616316</v>
      </c>
      <c r="V99" s="538">
        <v>3595.6</v>
      </c>
      <c r="W99" s="537">
        <v>1</v>
      </c>
      <c r="X99" s="43"/>
      <c r="Y99" s="219"/>
      <c r="Z99" s="43"/>
      <c r="AA99" s="40"/>
      <c r="AB99" s="846">
        <f t="shared" si="0"/>
        <v>23369447</v>
      </c>
    </row>
    <row r="100" spans="2:30" x14ac:dyDescent="0.2">
      <c r="B100" s="166">
        <f>'1. LDC Info'!$F$27-5</f>
        <v>2012</v>
      </c>
      <c r="C100" s="38" t="s">
        <v>113</v>
      </c>
      <c r="D100" s="520">
        <v>6336198</v>
      </c>
      <c r="E100" s="537">
        <v>8505</v>
      </c>
      <c r="F100" s="520">
        <v>2773186</v>
      </c>
      <c r="G100" s="537">
        <v>1076</v>
      </c>
      <c r="H100" s="541">
        <v>53023</v>
      </c>
      <c r="I100" s="537">
        <v>94</v>
      </c>
      <c r="J100" s="541"/>
      <c r="K100" s="537"/>
      <c r="L100" s="520">
        <v>10622442</v>
      </c>
      <c r="M100" s="538">
        <v>26504</v>
      </c>
      <c r="N100" s="537">
        <v>136</v>
      </c>
      <c r="O100" s="520">
        <v>107256</v>
      </c>
      <c r="P100" s="538">
        <v>277</v>
      </c>
      <c r="Q100" s="537">
        <v>2759</v>
      </c>
      <c r="R100" s="539">
        <v>2905</v>
      </c>
      <c r="S100" s="538">
        <v>11</v>
      </c>
      <c r="T100" s="537">
        <v>54</v>
      </c>
      <c r="U100" s="541">
        <v>1750524</v>
      </c>
      <c r="V100" s="538">
        <v>3859.9</v>
      </c>
      <c r="W100" s="537">
        <v>1</v>
      </c>
      <c r="X100" s="43"/>
      <c r="Y100" s="219"/>
      <c r="Z100" s="43"/>
      <c r="AA100" s="40"/>
      <c r="AB100" s="846">
        <f t="shared" si="0"/>
        <v>21645534</v>
      </c>
    </row>
    <row r="101" spans="2:30" x14ac:dyDescent="0.2">
      <c r="B101" s="166">
        <f>'1. LDC Info'!$F$27-5</f>
        <v>2012</v>
      </c>
      <c r="C101" s="38" t="s">
        <v>114</v>
      </c>
      <c r="D101" s="520">
        <v>5500261</v>
      </c>
      <c r="E101" s="537">
        <v>8508</v>
      </c>
      <c r="F101" s="520">
        <v>2604582</v>
      </c>
      <c r="G101" s="537">
        <v>1077</v>
      </c>
      <c r="H101" s="541">
        <v>52503</v>
      </c>
      <c r="I101" s="537">
        <v>94</v>
      </c>
      <c r="J101" s="541"/>
      <c r="K101" s="537"/>
      <c r="L101" s="520">
        <v>9633098</v>
      </c>
      <c r="M101" s="538">
        <v>25262</v>
      </c>
      <c r="N101" s="537">
        <v>136</v>
      </c>
      <c r="O101" s="520">
        <v>91341</v>
      </c>
      <c r="P101" s="538">
        <v>277</v>
      </c>
      <c r="Q101" s="537">
        <v>2759</v>
      </c>
      <c r="R101" s="539">
        <v>3754</v>
      </c>
      <c r="S101" s="538">
        <v>11</v>
      </c>
      <c r="T101" s="537">
        <v>54</v>
      </c>
      <c r="U101" s="541">
        <v>1543861</v>
      </c>
      <c r="V101" s="538">
        <v>3570.5</v>
      </c>
      <c r="W101" s="537">
        <v>1</v>
      </c>
      <c r="X101" s="43"/>
      <c r="Y101" s="219"/>
      <c r="Z101" s="43"/>
      <c r="AA101" s="40"/>
      <c r="AB101" s="846">
        <f t="shared" si="0"/>
        <v>19429400</v>
      </c>
    </row>
    <row r="102" spans="2:30" x14ac:dyDescent="0.2">
      <c r="B102" s="166">
        <f>'1. LDC Info'!$F$27-5</f>
        <v>2012</v>
      </c>
      <c r="C102" s="38" t="s">
        <v>115</v>
      </c>
      <c r="D102" s="520">
        <v>5696737</v>
      </c>
      <c r="E102" s="537">
        <v>8515</v>
      </c>
      <c r="F102" s="520">
        <v>2752139</v>
      </c>
      <c r="G102" s="537">
        <v>1071</v>
      </c>
      <c r="H102" s="541">
        <v>53023</v>
      </c>
      <c r="I102" s="537">
        <v>94</v>
      </c>
      <c r="J102" s="541"/>
      <c r="K102" s="537"/>
      <c r="L102" s="520">
        <v>10661158</v>
      </c>
      <c r="M102" s="538">
        <v>28164</v>
      </c>
      <c r="N102" s="537">
        <v>136</v>
      </c>
      <c r="O102" s="520">
        <v>82035</v>
      </c>
      <c r="P102" s="538">
        <v>277</v>
      </c>
      <c r="Q102" s="537">
        <v>2805</v>
      </c>
      <c r="R102" s="539">
        <v>3213</v>
      </c>
      <c r="S102" s="538">
        <v>11</v>
      </c>
      <c r="T102" s="537">
        <v>54</v>
      </c>
      <c r="U102" s="541">
        <v>1442834</v>
      </c>
      <c r="V102" s="538">
        <v>3454.2</v>
      </c>
      <c r="W102" s="537">
        <v>1</v>
      </c>
      <c r="X102" s="43"/>
      <c r="Y102" s="219"/>
      <c r="Z102" s="43"/>
      <c r="AA102" s="40"/>
      <c r="AB102" s="846">
        <f t="shared" si="0"/>
        <v>20691139</v>
      </c>
    </row>
    <row r="103" spans="2:30" x14ac:dyDescent="0.2">
      <c r="B103" s="166">
        <f>'1. LDC Info'!$F$27-5</f>
        <v>2012</v>
      </c>
      <c r="C103" s="38" t="s">
        <v>116</v>
      </c>
      <c r="D103" s="520">
        <v>5153043</v>
      </c>
      <c r="E103" s="537">
        <v>8526</v>
      </c>
      <c r="F103" s="520">
        <v>2797420</v>
      </c>
      <c r="G103" s="537">
        <v>1071</v>
      </c>
      <c r="H103" s="541">
        <v>52503</v>
      </c>
      <c r="I103" s="537">
        <v>94</v>
      </c>
      <c r="J103" s="541"/>
      <c r="K103" s="537"/>
      <c r="L103" s="520">
        <v>10529491</v>
      </c>
      <c r="M103" s="538">
        <v>27471</v>
      </c>
      <c r="N103" s="537">
        <v>137</v>
      </c>
      <c r="O103" s="520">
        <v>75156</v>
      </c>
      <c r="P103" s="538">
        <v>278</v>
      </c>
      <c r="Q103" s="537">
        <v>2805</v>
      </c>
      <c r="R103" s="539">
        <v>4335</v>
      </c>
      <c r="S103" s="538">
        <v>11</v>
      </c>
      <c r="T103" s="537">
        <v>54</v>
      </c>
      <c r="U103" s="541">
        <v>1273812</v>
      </c>
      <c r="V103" s="538">
        <v>3185.8</v>
      </c>
      <c r="W103" s="537">
        <v>1</v>
      </c>
      <c r="X103" s="43"/>
      <c r="Y103" s="219"/>
      <c r="Z103" s="43"/>
      <c r="AA103" s="40"/>
      <c r="AB103" s="846">
        <f t="shared" si="0"/>
        <v>19885760</v>
      </c>
    </row>
    <row r="104" spans="2:30" x14ac:dyDescent="0.2">
      <c r="B104" s="166">
        <f>'1. LDC Info'!$F$27-5</f>
        <v>2012</v>
      </c>
      <c r="C104" s="38" t="s">
        <v>117</v>
      </c>
      <c r="D104" s="520">
        <v>5791711</v>
      </c>
      <c r="E104" s="537">
        <v>8547</v>
      </c>
      <c r="F104" s="520">
        <v>2689392</v>
      </c>
      <c r="G104" s="537">
        <v>1071</v>
      </c>
      <c r="H104" s="541">
        <v>53023</v>
      </c>
      <c r="I104" s="537">
        <v>94</v>
      </c>
      <c r="J104" s="541"/>
      <c r="K104" s="537"/>
      <c r="L104" s="520">
        <v>10810375</v>
      </c>
      <c r="M104" s="538">
        <v>27608</v>
      </c>
      <c r="N104" s="537">
        <v>140</v>
      </c>
      <c r="O104" s="520">
        <v>78570</v>
      </c>
      <c r="P104" s="538">
        <v>280</v>
      </c>
      <c r="Q104" s="537">
        <v>2805</v>
      </c>
      <c r="R104" s="539">
        <v>2905</v>
      </c>
      <c r="S104" s="538">
        <v>11</v>
      </c>
      <c r="T104" s="537">
        <v>54</v>
      </c>
      <c r="U104" s="541">
        <v>1331320</v>
      </c>
      <c r="V104" s="538">
        <v>3360.6</v>
      </c>
      <c r="W104" s="537">
        <v>1</v>
      </c>
      <c r="X104" s="43"/>
      <c r="Y104" s="219"/>
      <c r="Z104" s="43"/>
      <c r="AA104" s="40"/>
      <c r="AB104" s="846">
        <f t="shared" si="0"/>
        <v>20757296</v>
      </c>
    </row>
    <row r="105" spans="2:30" x14ac:dyDescent="0.2">
      <c r="B105" s="166">
        <f>'1. LDC Info'!$F$27-5</f>
        <v>2012</v>
      </c>
      <c r="C105" s="38" t="s">
        <v>107</v>
      </c>
      <c r="D105" s="520">
        <v>6067565</v>
      </c>
      <c r="E105" s="537">
        <v>8557</v>
      </c>
      <c r="F105" s="520">
        <v>3183887</v>
      </c>
      <c r="G105" s="537">
        <v>1071</v>
      </c>
      <c r="H105" s="541">
        <v>1206</v>
      </c>
      <c r="I105" s="537">
        <v>93</v>
      </c>
      <c r="J105" s="541"/>
      <c r="K105" s="537"/>
      <c r="L105" s="520">
        <v>11858807</v>
      </c>
      <c r="M105" s="538">
        <v>28229</v>
      </c>
      <c r="N105" s="537">
        <v>140</v>
      </c>
      <c r="O105" s="520">
        <v>83127</v>
      </c>
      <c r="P105" s="538">
        <v>280</v>
      </c>
      <c r="Q105" s="537">
        <v>2816</v>
      </c>
      <c r="R105" s="539">
        <v>4130</v>
      </c>
      <c r="S105" s="538">
        <v>11</v>
      </c>
      <c r="T105" s="537">
        <v>54</v>
      </c>
      <c r="U105" s="541">
        <v>1035915</v>
      </c>
      <c r="V105" s="538">
        <v>3614.9</v>
      </c>
      <c r="W105" s="537">
        <v>1</v>
      </c>
      <c r="X105" s="43"/>
      <c r="Y105" s="219"/>
      <c r="Z105" s="43"/>
      <c r="AA105" s="40"/>
      <c r="AB105" s="846">
        <f t="shared" si="0"/>
        <v>22234637</v>
      </c>
    </row>
    <row r="106" spans="2:30" x14ac:dyDescent="0.2">
      <c r="B106" s="166">
        <f>'1. LDC Info'!$F$27-5</f>
        <v>2012</v>
      </c>
      <c r="C106" s="38" t="s">
        <v>108</v>
      </c>
      <c r="D106" s="520">
        <v>6218895</v>
      </c>
      <c r="E106" s="537">
        <v>8556</v>
      </c>
      <c r="F106" s="520">
        <v>2276693</v>
      </c>
      <c r="G106" s="537">
        <v>1058</v>
      </c>
      <c r="H106" s="541">
        <v>101730</v>
      </c>
      <c r="I106" s="537">
        <v>94</v>
      </c>
      <c r="J106" s="541"/>
      <c r="K106" s="537"/>
      <c r="L106" s="520">
        <v>10187763</v>
      </c>
      <c r="M106" s="538">
        <v>26574</v>
      </c>
      <c r="N106" s="537">
        <v>138</v>
      </c>
      <c r="O106" s="520">
        <v>98466</v>
      </c>
      <c r="P106" s="538">
        <v>280</v>
      </c>
      <c r="Q106" s="537">
        <v>2816</v>
      </c>
      <c r="R106" s="539">
        <v>2529</v>
      </c>
      <c r="S106" s="538">
        <v>11</v>
      </c>
      <c r="T106" s="537">
        <v>54</v>
      </c>
      <c r="U106" s="541">
        <v>977779</v>
      </c>
      <c r="V106" s="538">
        <v>3298.2</v>
      </c>
      <c r="W106" s="537">
        <v>1</v>
      </c>
      <c r="X106" s="43"/>
      <c r="Y106" s="219"/>
      <c r="Z106" s="43"/>
      <c r="AA106" s="40"/>
      <c r="AB106" s="846">
        <f t="shared" si="0"/>
        <v>19863855</v>
      </c>
    </row>
    <row r="107" spans="2:30" x14ac:dyDescent="0.2">
      <c r="B107" s="166">
        <f>'1. LDC Info'!$F$27-5</f>
        <v>2012</v>
      </c>
      <c r="C107" s="38" t="s">
        <v>109</v>
      </c>
      <c r="D107" s="520">
        <v>5216085</v>
      </c>
      <c r="E107" s="537">
        <v>8555</v>
      </c>
      <c r="F107" s="520">
        <v>2471177</v>
      </c>
      <c r="G107" s="537">
        <v>1057</v>
      </c>
      <c r="H107" s="541">
        <v>51183</v>
      </c>
      <c r="I107" s="537">
        <v>94</v>
      </c>
      <c r="J107" s="541"/>
      <c r="K107" s="537"/>
      <c r="L107" s="520">
        <v>11173996</v>
      </c>
      <c r="M107" s="538">
        <v>28947</v>
      </c>
      <c r="N107" s="537">
        <v>139</v>
      </c>
      <c r="O107" s="520">
        <v>114737</v>
      </c>
      <c r="P107" s="538">
        <v>280</v>
      </c>
      <c r="Q107" s="537">
        <v>2845</v>
      </c>
      <c r="R107" s="539">
        <v>4575</v>
      </c>
      <c r="S107" s="538">
        <v>11</v>
      </c>
      <c r="T107" s="537">
        <v>54</v>
      </c>
      <c r="U107" s="541">
        <v>1111452</v>
      </c>
      <c r="V107" s="538">
        <v>2743.1</v>
      </c>
      <c r="W107" s="537">
        <v>1</v>
      </c>
      <c r="X107" s="43"/>
      <c r="Y107" s="219"/>
      <c r="Z107" s="43"/>
      <c r="AA107" s="40"/>
      <c r="AB107" s="846">
        <f t="shared" si="0"/>
        <v>20143205</v>
      </c>
    </row>
    <row r="108" spans="2:30" x14ac:dyDescent="0.2">
      <c r="B108" s="166">
        <f>'1. LDC Info'!$F$27-5</f>
        <v>2012</v>
      </c>
      <c r="C108" s="38" t="s">
        <v>106</v>
      </c>
      <c r="D108" s="520">
        <v>4747092</v>
      </c>
      <c r="E108" s="537">
        <v>8575</v>
      </c>
      <c r="F108" s="520">
        <v>2626865</v>
      </c>
      <c r="G108" s="537">
        <v>1057</v>
      </c>
      <c r="H108" s="539">
        <v>50724</v>
      </c>
      <c r="I108" s="537">
        <v>94</v>
      </c>
      <c r="J108" s="539"/>
      <c r="K108" s="537"/>
      <c r="L108" s="520">
        <v>10810590</v>
      </c>
      <c r="M108" s="538">
        <v>24516</v>
      </c>
      <c r="N108" s="537">
        <v>140</v>
      </c>
      <c r="O108" s="520">
        <v>121510</v>
      </c>
      <c r="P108" s="538">
        <v>280</v>
      </c>
      <c r="Q108" s="537">
        <v>2845</v>
      </c>
      <c r="R108" s="539">
        <v>2291</v>
      </c>
      <c r="S108" s="538">
        <v>11</v>
      </c>
      <c r="T108" s="537">
        <v>54</v>
      </c>
      <c r="U108" s="539">
        <v>906371</v>
      </c>
      <c r="V108" s="538">
        <v>2438.8000000000002</v>
      </c>
      <c r="W108" s="537">
        <v>1</v>
      </c>
      <c r="X108" s="43"/>
      <c r="Y108" s="219"/>
      <c r="Z108" s="43"/>
      <c r="AA108" s="40"/>
      <c r="AB108" s="846">
        <f t="shared" si="0"/>
        <v>19265443</v>
      </c>
      <c r="AC108" s="846">
        <f>SUM(AB97:AB108)</f>
        <v>249701553</v>
      </c>
      <c r="AD108" s="24">
        <v>2012</v>
      </c>
    </row>
    <row r="109" spans="2:30" x14ac:dyDescent="0.2">
      <c r="B109" s="166">
        <f>'1. LDC Info'!$F$27-4</f>
        <v>2013</v>
      </c>
      <c r="C109" s="38" t="s">
        <v>110</v>
      </c>
      <c r="D109" s="539">
        <v>7215795</v>
      </c>
      <c r="E109" s="537">
        <v>8583</v>
      </c>
      <c r="F109" s="539">
        <v>2724360</v>
      </c>
      <c r="G109" s="537">
        <v>1057</v>
      </c>
      <c r="H109" s="541">
        <v>52212</v>
      </c>
      <c r="I109" s="537">
        <v>94</v>
      </c>
      <c r="J109" s="541"/>
      <c r="K109" s="537"/>
      <c r="L109" s="520">
        <v>9523660</v>
      </c>
      <c r="M109" s="538">
        <v>28369</v>
      </c>
      <c r="N109" s="537">
        <v>140</v>
      </c>
      <c r="O109" s="520">
        <v>133315</v>
      </c>
      <c r="P109" s="538">
        <v>281</v>
      </c>
      <c r="Q109" s="537">
        <v>2845</v>
      </c>
      <c r="R109" s="539">
        <v>5511</v>
      </c>
      <c r="S109" s="538">
        <v>11</v>
      </c>
      <c r="T109" s="537">
        <v>54</v>
      </c>
      <c r="U109" s="541">
        <v>876367</v>
      </c>
      <c r="V109" s="538">
        <v>2983</v>
      </c>
      <c r="W109" s="537">
        <v>1</v>
      </c>
      <c r="X109" s="43"/>
      <c r="Y109" s="219"/>
      <c r="Z109" s="43"/>
      <c r="AA109" s="40"/>
      <c r="AB109" s="846">
        <f t="shared" si="0"/>
        <v>20531220</v>
      </c>
    </row>
    <row r="110" spans="2:30" x14ac:dyDescent="0.2">
      <c r="B110" s="166">
        <f>'1. LDC Info'!$F$27-4</f>
        <v>2013</v>
      </c>
      <c r="C110" s="38" t="s">
        <v>111</v>
      </c>
      <c r="D110" s="539">
        <v>6452035</v>
      </c>
      <c r="E110" s="537">
        <v>8596</v>
      </c>
      <c r="F110" s="539">
        <v>3073929</v>
      </c>
      <c r="G110" s="537">
        <v>1055</v>
      </c>
      <c r="H110" s="541">
        <v>50597</v>
      </c>
      <c r="I110" s="537">
        <v>94</v>
      </c>
      <c r="J110" s="541"/>
      <c r="K110" s="537"/>
      <c r="L110" s="520">
        <v>12148846</v>
      </c>
      <c r="M110" s="538">
        <v>26210</v>
      </c>
      <c r="N110" s="537">
        <v>141</v>
      </c>
      <c r="O110" s="520">
        <v>131130</v>
      </c>
      <c r="P110" s="538">
        <v>281</v>
      </c>
      <c r="Q110" s="537">
        <v>2845</v>
      </c>
      <c r="R110" s="539">
        <v>1895</v>
      </c>
      <c r="S110" s="538">
        <v>11</v>
      </c>
      <c r="T110" s="537">
        <v>54</v>
      </c>
      <c r="U110" s="541">
        <v>1162232</v>
      </c>
      <c r="V110" s="538">
        <v>2891</v>
      </c>
      <c r="W110" s="537">
        <v>1</v>
      </c>
      <c r="X110" s="43"/>
      <c r="Y110" s="219"/>
      <c r="Z110" s="43"/>
      <c r="AA110" s="40"/>
      <c r="AB110" s="846">
        <f t="shared" si="0"/>
        <v>23020664</v>
      </c>
    </row>
    <row r="111" spans="2:30" x14ac:dyDescent="0.2">
      <c r="B111" s="166">
        <f>'1. LDC Info'!$F$27-4</f>
        <v>2013</v>
      </c>
      <c r="C111" s="38" t="s">
        <v>112</v>
      </c>
      <c r="D111" s="539">
        <v>7899287</v>
      </c>
      <c r="E111" s="537">
        <v>8598</v>
      </c>
      <c r="F111" s="539">
        <v>3344576</v>
      </c>
      <c r="G111" s="537">
        <v>1056</v>
      </c>
      <c r="H111" s="541">
        <v>52389</v>
      </c>
      <c r="I111" s="537">
        <v>94</v>
      </c>
      <c r="J111" s="541"/>
      <c r="K111" s="537"/>
      <c r="L111" s="520">
        <v>10545274</v>
      </c>
      <c r="M111" s="538">
        <v>26649</v>
      </c>
      <c r="N111" s="537">
        <v>142</v>
      </c>
      <c r="O111" s="520">
        <v>108570</v>
      </c>
      <c r="P111" s="538">
        <v>281</v>
      </c>
      <c r="Q111" s="537">
        <v>2845</v>
      </c>
      <c r="R111" s="539">
        <v>4917</v>
      </c>
      <c r="S111" s="538">
        <v>11</v>
      </c>
      <c r="T111" s="537">
        <v>54</v>
      </c>
      <c r="U111" s="541">
        <v>1310293</v>
      </c>
      <c r="V111" s="538">
        <v>3249</v>
      </c>
      <c r="W111" s="537">
        <v>1</v>
      </c>
      <c r="X111" s="43"/>
      <c r="Y111" s="219"/>
      <c r="Z111" s="43"/>
      <c r="AA111" s="40"/>
      <c r="AB111" s="846">
        <f t="shared" si="0"/>
        <v>23265306</v>
      </c>
    </row>
    <row r="112" spans="2:30" x14ac:dyDescent="0.2">
      <c r="B112" s="166">
        <f>'1. LDC Info'!$F$27-4</f>
        <v>2013</v>
      </c>
      <c r="C112" s="38" t="s">
        <v>113</v>
      </c>
      <c r="D112" s="539">
        <v>7434536</v>
      </c>
      <c r="E112" s="537">
        <v>8600</v>
      </c>
      <c r="F112" s="539">
        <v>2899058</v>
      </c>
      <c r="G112" s="537">
        <v>1062</v>
      </c>
      <c r="H112" s="541">
        <v>51753</v>
      </c>
      <c r="I112" s="537">
        <v>94</v>
      </c>
      <c r="J112" s="541"/>
      <c r="K112" s="537"/>
      <c r="L112" s="520">
        <v>11209418</v>
      </c>
      <c r="M112" s="538">
        <v>27103</v>
      </c>
      <c r="N112" s="537">
        <v>142</v>
      </c>
      <c r="O112" s="520">
        <v>109275</v>
      </c>
      <c r="P112" s="538">
        <v>281</v>
      </c>
      <c r="Q112" s="537">
        <v>2845</v>
      </c>
      <c r="R112" s="539">
        <v>3460</v>
      </c>
      <c r="S112" s="538">
        <v>11</v>
      </c>
      <c r="T112" s="537">
        <v>54</v>
      </c>
      <c r="U112" s="541">
        <v>1463064</v>
      </c>
      <c r="V112" s="538">
        <v>3670</v>
      </c>
      <c r="W112" s="537">
        <v>1</v>
      </c>
      <c r="X112" s="43"/>
      <c r="Y112" s="219"/>
      <c r="Z112" s="43"/>
      <c r="AA112" s="40"/>
      <c r="AB112" s="846">
        <f t="shared" si="0"/>
        <v>23170564</v>
      </c>
    </row>
    <row r="113" spans="2:30" x14ac:dyDescent="0.2">
      <c r="B113" s="166">
        <f>'1. LDC Info'!$F$27-4</f>
        <v>2013</v>
      </c>
      <c r="C113" s="38" t="s">
        <v>114</v>
      </c>
      <c r="D113" s="539">
        <v>5596371</v>
      </c>
      <c r="E113" s="537">
        <v>8616</v>
      </c>
      <c r="F113" s="539">
        <v>2788522</v>
      </c>
      <c r="G113" s="537">
        <v>1063</v>
      </c>
      <c r="H113" s="541">
        <v>51233</v>
      </c>
      <c r="I113" s="537">
        <v>94</v>
      </c>
      <c r="J113" s="541"/>
      <c r="K113" s="537"/>
      <c r="L113" s="520">
        <v>10154179</v>
      </c>
      <c r="M113" s="538">
        <v>26991</v>
      </c>
      <c r="N113" s="537">
        <v>141</v>
      </c>
      <c r="O113" s="520">
        <v>93061</v>
      </c>
      <c r="P113" s="538">
        <v>282</v>
      </c>
      <c r="Q113" s="537">
        <v>2845</v>
      </c>
      <c r="R113" s="539">
        <v>3644</v>
      </c>
      <c r="S113" s="538">
        <v>11</v>
      </c>
      <c r="T113" s="537">
        <v>54</v>
      </c>
      <c r="U113" s="541">
        <v>1628637</v>
      </c>
      <c r="V113" s="538">
        <v>4047.2</v>
      </c>
      <c r="W113" s="537">
        <v>1</v>
      </c>
      <c r="X113" s="43"/>
      <c r="Y113" s="219"/>
      <c r="Z113" s="43"/>
      <c r="AA113" s="40"/>
      <c r="AB113" s="846">
        <f t="shared" si="0"/>
        <v>20315647</v>
      </c>
    </row>
    <row r="114" spans="2:30" x14ac:dyDescent="0.2">
      <c r="B114" s="166">
        <f>'1. LDC Info'!$F$27-4</f>
        <v>2013</v>
      </c>
      <c r="C114" s="38" t="s">
        <v>115</v>
      </c>
      <c r="D114" s="539">
        <v>5941064</v>
      </c>
      <c r="E114" s="537">
        <v>8623</v>
      </c>
      <c r="F114" s="539">
        <v>2434525</v>
      </c>
      <c r="G114" s="537">
        <v>1069</v>
      </c>
      <c r="H114" s="541">
        <v>51753</v>
      </c>
      <c r="I114" s="537">
        <v>94</v>
      </c>
      <c r="J114" s="541"/>
      <c r="K114" s="537"/>
      <c r="L114" s="520">
        <v>10331894</v>
      </c>
      <c r="M114" s="538">
        <v>26991</v>
      </c>
      <c r="N114" s="537">
        <v>140</v>
      </c>
      <c r="O114" s="520">
        <v>85234</v>
      </c>
      <c r="P114" s="538">
        <v>282</v>
      </c>
      <c r="Q114" s="537">
        <v>2845</v>
      </c>
      <c r="R114" s="539">
        <v>3323</v>
      </c>
      <c r="S114" s="538">
        <v>11</v>
      </c>
      <c r="T114" s="537">
        <v>54</v>
      </c>
      <c r="U114" s="541">
        <v>1349184</v>
      </c>
      <c r="V114" s="538">
        <v>3272.2</v>
      </c>
      <c r="W114" s="537">
        <v>1</v>
      </c>
      <c r="X114" s="43"/>
      <c r="Y114" s="219"/>
      <c r="Z114" s="43"/>
      <c r="AA114" s="40"/>
      <c r="AB114" s="846">
        <f t="shared" si="0"/>
        <v>20196977</v>
      </c>
    </row>
    <row r="115" spans="2:30" x14ac:dyDescent="0.2">
      <c r="B115" s="166">
        <f>'1. LDC Info'!$F$27-4</f>
        <v>2013</v>
      </c>
      <c r="C115" s="38" t="s">
        <v>116</v>
      </c>
      <c r="D115" s="539">
        <v>5194618</v>
      </c>
      <c r="E115" s="537">
        <v>8633</v>
      </c>
      <c r="F115" s="539">
        <v>2581608</v>
      </c>
      <c r="G115" s="537">
        <v>1068</v>
      </c>
      <c r="H115" s="541">
        <v>51233</v>
      </c>
      <c r="I115" s="537">
        <v>94</v>
      </c>
      <c r="J115" s="541"/>
      <c r="K115" s="537"/>
      <c r="L115" s="520">
        <v>9916819</v>
      </c>
      <c r="M115" s="538">
        <v>27092</v>
      </c>
      <c r="N115" s="537">
        <v>140</v>
      </c>
      <c r="O115" s="520">
        <v>76141</v>
      </c>
      <c r="P115" s="538">
        <v>282</v>
      </c>
      <c r="Q115" s="537">
        <v>2859</v>
      </c>
      <c r="R115" s="539">
        <v>3849</v>
      </c>
      <c r="S115" s="538">
        <v>11</v>
      </c>
      <c r="T115" s="537">
        <v>54</v>
      </c>
      <c r="U115" s="541">
        <v>1313308</v>
      </c>
      <c r="V115" s="538">
        <v>3404.4</v>
      </c>
      <c r="W115" s="537">
        <v>1</v>
      </c>
      <c r="X115" s="43"/>
      <c r="Y115" s="219"/>
      <c r="Z115" s="43"/>
      <c r="AA115" s="40"/>
      <c r="AB115" s="846">
        <f t="shared" si="0"/>
        <v>19137576</v>
      </c>
    </row>
    <row r="116" spans="2:30" x14ac:dyDescent="0.2">
      <c r="B116" s="166">
        <f>'1. LDC Info'!$F$27-4</f>
        <v>2013</v>
      </c>
      <c r="C116" s="38" t="s">
        <v>117</v>
      </c>
      <c r="D116" s="539">
        <v>5843791</v>
      </c>
      <c r="E116" s="537">
        <v>8632</v>
      </c>
      <c r="F116" s="539">
        <v>2703537</v>
      </c>
      <c r="G116" s="537">
        <v>1068</v>
      </c>
      <c r="H116" s="541">
        <v>51753</v>
      </c>
      <c r="I116" s="537">
        <v>93</v>
      </c>
      <c r="J116" s="541"/>
      <c r="K116" s="537"/>
      <c r="L116" s="520">
        <v>11160487</v>
      </c>
      <c r="M116" s="538">
        <v>27993</v>
      </c>
      <c r="N116" s="537">
        <v>140</v>
      </c>
      <c r="O116" s="520">
        <v>81154</v>
      </c>
      <c r="P116" s="538">
        <v>282</v>
      </c>
      <c r="Q116" s="537">
        <v>2859</v>
      </c>
      <c r="R116" s="539">
        <v>3391</v>
      </c>
      <c r="S116" s="538">
        <v>11</v>
      </c>
      <c r="T116" s="537">
        <v>54</v>
      </c>
      <c r="U116" s="541">
        <v>1077980</v>
      </c>
      <c r="V116" s="538">
        <v>3039.7</v>
      </c>
      <c r="W116" s="537">
        <v>1</v>
      </c>
      <c r="X116" s="43"/>
      <c r="Y116" s="219"/>
      <c r="Z116" s="43"/>
      <c r="AA116" s="40"/>
      <c r="AB116" s="846">
        <f t="shared" si="0"/>
        <v>20922093</v>
      </c>
    </row>
    <row r="117" spans="2:30" x14ac:dyDescent="0.2">
      <c r="B117" s="166">
        <f>'1. LDC Info'!$F$27-4</f>
        <v>2013</v>
      </c>
      <c r="C117" s="38" t="s">
        <v>107</v>
      </c>
      <c r="D117" s="539">
        <v>5442302</v>
      </c>
      <c r="E117" s="537">
        <v>8664</v>
      </c>
      <c r="F117" s="539">
        <v>2707029</v>
      </c>
      <c r="G117" s="537">
        <v>1067</v>
      </c>
      <c r="H117" s="541">
        <v>51233</v>
      </c>
      <c r="I117" s="537">
        <v>94</v>
      </c>
      <c r="J117" s="541"/>
      <c r="K117" s="537"/>
      <c r="L117" s="520">
        <v>9949866</v>
      </c>
      <c r="M117" s="538">
        <v>26910</v>
      </c>
      <c r="N117" s="537">
        <v>141</v>
      </c>
      <c r="O117" s="520">
        <v>92121</v>
      </c>
      <c r="P117" s="538">
        <v>283</v>
      </c>
      <c r="Q117" s="537">
        <v>2859</v>
      </c>
      <c r="R117" s="539">
        <v>3699</v>
      </c>
      <c r="S117" s="538">
        <v>11</v>
      </c>
      <c r="T117" s="537">
        <v>54</v>
      </c>
      <c r="U117" s="541">
        <v>660137</v>
      </c>
      <c r="V117" s="538">
        <v>2754.1</v>
      </c>
      <c r="W117" s="537">
        <v>1</v>
      </c>
      <c r="X117" s="43"/>
      <c r="Y117" s="219"/>
      <c r="Z117" s="43"/>
      <c r="AA117" s="40"/>
      <c r="AB117" s="846">
        <f t="shared" si="0"/>
        <v>18906387</v>
      </c>
    </row>
    <row r="118" spans="2:30" x14ac:dyDescent="0.2">
      <c r="B118" s="166">
        <f>'1. LDC Info'!$F$27-4</f>
        <v>2013</v>
      </c>
      <c r="C118" s="38" t="s">
        <v>108</v>
      </c>
      <c r="D118" s="539">
        <v>6126576</v>
      </c>
      <c r="E118" s="537">
        <v>8672</v>
      </c>
      <c r="F118" s="539">
        <v>2551889</v>
      </c>
      <c r="G118" s="537">
        <v>1069</v>
      </c>
      <c r="H118" s="541">
        <v>51753</v>
      </c>
      <c r="I118" s="537">
        <v>93</v>
      </c>
      <c r="J118" s="541"/>
      <c r="K118" s="537"/>
      <c r="L118" s="520">
        <v>9688002</v>
      </c>
      <c r="M118" s="538">
        <v>26798</v>
      </c>
      <c r="N118" s="537">
        <v>141</v>
      </c>
      <c r="O118" s="520">
        <v>99763</v>
      </c>
      <c r="P118" s="538">
        <v>283</v>
      </c>
      <c r="Q118" s="537">
        <v>2859</v>
      </c>
      <c r="R118" s="539">
        <v>3494</v>
      </c>
      <c r="S118" s="538">
        <v>11</v>
      </c>
      <c r="T118" s="537">
        <v>54</v>
      </c>
      <c r="U118" s="541">
        <v>831390</v>
      </c>
      <c r="V118" s="538">
        <v>2952.5</v>
      </c>
      <c r="W118" s="537">
        <v>1</v>
      </c>
      <c r="X118" s="43"/>
      <c r="Y118" s="219"/>
      <c r="Z118" s="43"/>
      <c r="AA118" s="40"/>
      <c r="AB118" s="846">
        <f t="shared" si="0"/>
        <v>19352867</v>
      </c>
    </row>
    <row r="119" spans="2:30" x14ac:dyDescent="0.2">
      <c r="B119" s="166">
        <f>'1. LDC Info'!$F$27-4</f>
        <v>2013</v>
      </c>
      <c r="C119" s="38" t="s">
        <v>109</v>
      </c>
      <c r="D119" s="539">
        <v>4754810</v>
      </c>
      <c r="E119" s="537">
        <v>8713</v>
      </c>
      <c r="F119" s="539">
        <v>2306488</v>
      </c>
      <c r="G119" s="537">
        <v>1070</v>
      </c>
      <c r="H119" s="541">
        <v>51183</v>
      </c>
      <c r="I119" s="537">
        <v>93</v>
      </c>
      <c r="J119" s="541"/>
      <c r="K119" s="537"/>
      <c r="L119" s="520">
        <v>9797603</v>
      </c>
      <c r="M119" s="538">
        <v>25923</v>
      </c>
      <c r="N119" s="537">
        <v>142</v>
      </c>
      <c r="O119" s="520">
        <v>116248</v>
      </c>
      <c r="P119" s="538">
        <v>283</v>
      </c>
      <c r="Q119" s="537">
        <v>2873</v>
      </c>
      <c r="R119" s="539">
        <v>3678</v>
      </c>
      <c r="S119" s="538">
        <v>11</v>
      </c>
      <c r="T119" s="537">
        <v>54</v>
      </c>
      <c r="U119" s="541">
        <v>1194974</v>
      </c>
      <c r="V119" s="538">
        <v>2880.7</v>
      </c>
      <c r="W119" s="537">
        <v>1</v>
      </c>
      <c r="X119" s="43"/>
      <c r="Y119" s="219"/>
      <c r="Z119" s="43"/>
      <c r="AA119" s="40"/>
      <c r="AB119" s="846">
        <f t="shared" si="0"/>
        <v>18224984</v>
      </c>
    </row>
    <row r="120" spans="2:30" x14ac:dyDescent="0.2">
      <c r="B120" s="166">
        <f>'1. LDC Info'!$F$27-4</f>
        <v>2013</v>
      </c>
      <c r="C120" s="38" t="s">
        <v>106</v>
      </c>
      <c r="D120" s="520">
        <v>5486115</v>
      </c>
      <c r="E120" s="537">
        <v>8671</v>
      </c>
      <c r="F120" s="520">
        <v>2797400</v>
      </c>
      <c r="G120" s="537">
        <v>1059</v>
      </c>
      <c r="H120" s="539">
        <v>101310</v>
      </c>
      <c r="I120" s="537">
        <v>93</v>
      </c>
      <c r="J120" s="539"/>
      <c r="K120" s="537"/>
      <c r="L120" s="520">
        <v>10928771</v>
      </c>
      <c r="M120" s="538">
        <v>26398</v>
      </c>
      <c r="N120" s="537">
        <v>143</v>
      </c>
      <c r="O120" s="520">
        <v>123941</v>
      </c>
      <c r="P120" s="538">
        <v>285</v>
      </c>
      <c r="Q120" s="537">
        <v>2879</v>
      </c>
      <c r="R120" s="539">
        <v>3494</v>
      </c>
      <c r="S120" s="538">
        <v>11</v>
      </c>
      <c r="T120" s="537">
        <v>54</v>
      </c>
      <c r="U120" s="539">
        <v>1084885</v>
      </c>
      <c r="V120" s="538">
        <v>2798.8</v>
      </c>
      <c r="W120" s="537">
        <v>1</v>
      </c>
      <c r="X120" s="43"/>
      <c r="Y120" s="219"/>
      <c r="Z120" s="43"/>
      <c r="AA120" s="40"/>
      <c r="AB120" s="846">
        <f t="shared" si="0"/>
        <v>20525916</v>
      </c>
      <c r="AC120" s="846">
        <f>SUM(AB109:AB120)</f>
        <v>247570201</v>
      </c>
      <c r="AD120" s="24">
        <v>2013</v>
      </c>
    </row>
    <row r="121" spans="2:30" x14ac:dyDescent="0.2">
      <c r="B121" s="166">
        <f>'1. LDC Info'!$F$27-3</f>
        <v>2014</v>
      </c>
      <c r="C121" s="38" t="s">
        <v>110</v>
      </c>
      <c r="D121" s="539">
        <v>8499854</v>
      </c>
      <c r="E121" s="537">
        <v>8681</v>
      </c>
      <c r="F121" s="539">
        <v>2710757</v>
      </c>
      <c r="G121" s="537">
        <v>1060</v>
      </c>
      <c r="H121" s="540">
        <v>51753</v>
      </c>
      <c r="I121" s="537">
        <v>93</v>
      </c>
      <c r="J121" s="540"/>
      <c r="K121" s="537"/>
      <c r="L121" s="520">
        <v>8910571</v>
      </c>
      <c r="M121" s="538">
        <v>28369.399999999998</v>
      </c>
      <c r="N121" s="537">
        <v>142</v>
      </c>
      <c r="O121" s="520">
        <v>134488</v>
      </c>
      <c r="P121" s="538">
        <v>282.10000000000002</v>
      </c>
      <c r="Q121" s="537">
        <v>2574</v>
      </c>
      <c r="R121" s="539">
        <v>4054</v>
      </c>
      <c r="S121" s="538">
        <v>11</v>
      </c>
      <c r="T121" s="537">
        <v>54</v>
      </c>
      <c r="U121" s="540">
        <v>915522</v>
      </c>
      <c r="V121" s="538">
        <v>2983.9</v>
      </c>
      <c r="W121" s="537">
        <v>1</v>
      </c>
      <c r="X121" s="221"/>
      <c r="Y121" s="219"/>
      <c r="Z121" s="221"/>
      <c r="AA121" s="40"/>
      <c r="AB121" s="846">
        <f t="shared" si="0"/>
        <v>21226999</v>
      </c>
    </row>
    <row r="122" spans="2:30" x14ac:dyDescent="0.2">
      <c r="B122" s="166">
        <f>'1. LDC Info'!$F$27-3</f>
        <v>2014</v>
      </c>
      <c r="C122" s="38" t="s">
        <v>111</v>
      </c>
      <c r="D122" s="539">
        <v>5952715</v>
      </c>
      <c r="E122" s="537">
        <v>8686</v>
      </c>
      <c r="F122" s="539">
        <v>3954631</v>
      </c>
      <c r="G122" s="537">
        <v>1064</v>
      </c>
      <c r="H122" s="540">
        <v>51233</v>
      </c>
      <c r="I122" s="537">
        <v>94</v>
      </c>
      <c r="J122" s="540"/>
      <c r="K122" s="537"/>
      <c r="L122" s="520">
        <v>12063116</v>
      </c>
      <c r="M122" s="538">
        <v>26169.5</v>
      </c>
      <c r="N122" s="537">
        <v>142</v>
      </c>
      <c r="O122" s="520">
        <v>132283</v>
      </c>
      <c r="P122" s="538">
        <v>284.5</v>
      </c>
      <c r="Q122" s="537">
        <v>2574</v>
      </c>
      <c r="R122" s="539">
        <v>3049</v>
      </c>
      <c r="S122" s="538">
        <v>11</v>
      </c>
      <c r="T122" s="537">
        <v>54</v>
      </c>
      <c r="U122" s="540">
        <v>438012</v>
      </c>
      <c r="V122" s="538">
        <v>2535.6999999999998</v>
      </c>
      <c r="W122" s="537">
        <v>1</v>
      </c>
      <c r="X122" s="221"/>
      <c r="Y122" s="219"/>
      <c r="Z122" s="221"/>
      <c r="AA122" s="40"/>
      <c r="AB122" s="846">
        <f t="shared" si="0"/>
        <v>22595039</v>
      </c>
    </row>
    <row r="123" spans="2:30" x14ac:dyDescent="0.2">
      <c r="B123" s="166">
        <f>'1. LDC Info'!$F$27-3</f>
        <v>2014</v>
      </c>
      <c r="C123" s="38" t="s">
        <v>112</v>
      </c>
      <c r="D123" s="539">
        <v>10141471</v>
      </c>
      <c r="E123" s="537">
        <v>8699</v>
      </c>
      <c r="F123" s="539">
        <v>3290393</v>
      </c>
      <c r="G123" s="537">
        <v>1058</v>
      </c>
      <c r="H123" s="540">
        <v>52196</v>
      </c>
      <c r="I123" s="537">
        <v>94</v>
      </c>
      <c r="J123" s="540"/>
      <c r="K123" s="537"/>
      <c r="L123" s="520">
        <v>9805890</v>
      </c>
      <c r="M123" s="538">
        <v>26495.1</v>
      </c>
      <c r="N123" s="537">
        <v>147</v>
      </c>
      <c r="O123" s="520">
        <v>109525</v>
      </c>
      <c r="P123" s="538">
        <v>284.5</v>
      </c>
      <c r="Q123" s="537">
        <v>2694</v>
      </c>
      <c r="R123" s="539">
        <v>4054</v>
      </c>
      <c r="S123" s="538">
        <v>11</v>
      </c>
      <c r="T123" s="537">
        <v>54</v>
      </c>
      <c r="U123" s="540">
        <v>1078714</v>
      </c>
      <c r="V123" s="538">
        <v>3643</v>
      </c>
      <c r="W123" s="537">
        <v>1</v>
      </c>
      <c r="X123" s="221"/>
      <c r="Y123" s="219"/>
      <c r="Z123" s="221"/>
      <c r="AA123" s="40"/>
      <c r="AB123" s="846">
        <f t="shared" si="0"/>
        <v>24482243</v>
      </c>
    </row>
    <row r="124" spans="2:30" x14ac:dyDescent="0.2">
      <c r="B124" s="166">
        <f>'1. LDC Info'!$F$27-3</f>
        <v>2014</v>
      </c>
      <c r="C124" s="38" t="s">
        <v>113</v>
      </c>
      <c r="D124" s="539">
        <v>5396445</v>
      </c>
      <c r="E124" s="537">
        <v>8721</v>
      </c>
      <c r="F124" s="539">
        <v>2755815</v>
      </c>
      <c r="G124" s="537">
        <v>1060</v>
      </c>
      <c r="H124" s="540">
        <v>0</v>
      </c>
      <c r="I124" s="537">
        <v>94</v>
      </c>
      <c r="J124" s="540"/>
      <c r="K124" s="537"/>
      <c r="L124" s="520">
        <v>10199613</v>
      </c>
      <c r="M124" s="538">
        <v>26001</v>
      </c>
      <c r="N124" s="537">
        <v>147</v>
      </c>
      <c r="O124" s="520">
        <v>110235</v>
      </c>
      <c r="P124" s="538">
        <v>284</v>
      </c>
      <c r="Q124" s="537">
        <v>2694</v>
      </c>
      <c r="R124" s="539">
        <v>3118</v>
      </c>
      <c r="S124" s="538">
        <v>11</v>
      </c>
      <c r="T124" s="537">
        <v>54</v>
      </c>
      <c r="U124" s="540">
        <v>1401922</v>
      </c>
      <c r="V124" s="538">
        <v>3933</v>
      </c>
      <c r="W124" s="537">
        <v>1</v>
      </c>
      <c r="X124" s="221"/>
      <c r="Y124" s="219"/>
      <c r="Z124" s="221"/>
      <c r="AA124" s="40"/>
      <c r="AB124" s="846">
        <f t="shared" si="0"/>
        <v>19867148</v>
      </c>
    </row>
    <row r="125" spans="2:30" x14ac:dyDescent="0.2">
      <c r="B125" s="166">
        <f>'1. LDC Info'!$F$27-3</f>
        <v>2014</v>
      </c>
      <c r="C125" s="38" t="s">
        <v>114</v>
      </c>
      <c r="D125" s="539">
        <v>6318305</v>
      </c>
      <c r="E125" s="537">
        <v>8731</v>
      </c>
      <c r="F125" s="539">
        <v>2528537</v>
      </c>
      <c r="G125" s="537">
        <v>1059</v>
      </c>
      <c r="H125" s="540">
        <v>50337</v>
      </c>
      <c r="I125" s="537">
        <v>94</v>
      </c>
      <c r="J125" s="540"/>
      <c r="K125" s="537"/>
      <c r="L125" s="520">
        <v>9770455</v>
      </c>
      <c r="M125" s="538">
        <v>25350.5</v>
      </c>
      <c r="N125" s="537">
        <v>146</v>
      </c>
      <c r="O125" s="520">
        <v>93879</v>
      </c>
      <c r="P125" s="538">
        <v>284</v>
      </c>
      <c r="Q125" s="537">
        <v>2694</v>
      </c>
      <c r="R125" s="539">
        <v>3712</v>
      </c>
      <c r="S125" s="538">
        <v>11</v>
      </c>
      <c r="T125" s="537">
        <v>54</v>
      </c>
      <c r="U125" s="540">
        <v>1025400</v>
      </c>
      <c r="V125" s="538">
        <v>3014.5</v>
      </c>
      <c r="W125" s="537">
        <v>1</v>
      </c>
      <c r="X125" s="221"/>
      <c r="Y125" s="219"/>
      <c r="Z125" s="221"/>
      <c r="AA125" s="40"/>
      <c r="AB125" s="846">
        <f t="shared" si="0"/>
        <v>19790625</v>
      </c>
    </row>
    <row r="126" spans="2:30" x14ac:dyDescent="0.2">
      <c r="B126" s="166">
        <f>'1. LDC Info'!$F$27-3</f>
        <v>2014</v>
      </c>
      <c r="C126" s="38" t="s">
        <v>115</v>
      </c>
      <c r="D126" s="539">
        <v>5690246</v>
      </c>
      <c r="E126" s="537">
        <v>8753</v>
      </c>
      <c r="F126" s="539">
        <v>2179249</v>
      </c>
      <c r="G126" s="537">
        <v>1058</v>
      </c>
      <c r="H126" s="540">
        <v>1156</v>
      </c>
      <c r="I126" s="537">
        <v>94</v>
      </c>
      <c r="J126" s="540"/>
      <c r="K126" s="537"/>
      <c r="L126" s="520">
        <v>9427178</v>
      </c>
      <c r="M126" s="538">
        <v>25549.9</v>
      </c>
      <c r="N126" s="537">
        <v>146</v>
      </c>
      <c r="O126" s="520">
        <v>85984</v>
      </c>
      <c r="P126" s="538">
        <v>284.3</v>
      </c>
      <c r="Q126" s="537">
        <v>2694</v>
      </c>
      <c r="R126" s="539">
        <v>3254</v>
      </c>
      <c r="S126" s="538">
        <v>11</v>
      </c>
      <c r="T126" s="537">
        <v>54</v>
      </c>
      <c r="U126" s="540">
        <v>1025578</v>
      </c>
      <c r="V126" s="538">
        <v>3205.5</v>
      </c>
      <c r="W126" s="537">
        <v>1</v>
      </c>
      <c r="X126" s="221"/>
      <c r="Y126" s="219"/>
      <c r="Z126" s="221"/>
      <c r="AA126" s="40"/>
      <c r="AB126" s="846">
        <f t="shared" si="0"/>
        <v>18412645</v>
      </c>
    </row>
    <row r="127" spans="2:30" x14ac:dyDescent="0.2">
      <c r="B127" s="166">
        <f>'1. LDC Info'!$F$27-3</f>
        <v>2014</v>
      </c>
      <c r="C127" s="38" t="s">
        <v>116</v>
      </c>
      <c r="D127" s="539">
        <v>6110502</v>
      </c>
      <c r="E127" s="537">
        <v>8763</v>
      </c>
      <c r="F127" s="539">
        <v>2405406</v>
      </c>
      <c r="G127" s="537">
        <v>1059</v>
      </c>
      <c r="H127" s="540">
        <v>98998</v>
      </c>
      <c r="I127" s="537">
        <v>93</v>
      </c>
      <c r="J127" s="540"/>
      <c r="K127" s="537"/>
      <c r="L127" s="520">
        <v>10324790</v>
      </c>
      <c r="M127" s="538">
        <v>26198</v>
      </c>
      <c r="N127" s="537">
        <v>146</v>
      </c>
      <c r="O127" s="520">
        <v>76810</v>
      </c>
      <c r="P127" s="538">
        <v>284</v>
      </c>
      <c r="Q127" s="537">
        <v>2694</v>
      </c>
      <c r="R127" s="539">
        <v>4123</v>
      </c>
      <c r="S127" s="538">
        <v>11</v>
      </c>
      <c r="T127" s="537">
        <v>54</v>
      </c>
      <c r="U127" s="540">
        <v>1099006</v>
      </c>
      <c r="V127" s="538">
        <v>3325</v>
      </c>
      <c r="W127" s="537">
        <v>1</v>
      </c>
      <c r="X127" s="221"/>
      <c r="Y127" s="219"/>
      <c r="Z127" s="221"/>
      <c r="AA127" s="40"/>
      <c r="AB127" s="846">
        <f t="shared" si="0"/>
        <v>20119635</v>
      </c>
    </row>
    <row r="128" spans="2:30" x14ac:dyDescent="0.2">
      <c r="B128" s="166">
        <f>'1. LDC Info'!$F$27-3</f>
        <v>2014</v>
      </c>
      <c r="C128" s="38" t="s">
        <v>117</v>
      </c>
      <c r="D128" s="539">
        <v>4298701</v>
      </c>
      <c r="E128" s="537">
        <v>8764</v>
      </c>
      <c r="F128" s="539">
        <v>2335834</v>
      </c>
      <c r="G128" s="537">
        <v>1061</v>
      </c>
      <c r="H128" s="540">
        <v>49767</v>
      </c>
      <c r="I128" s="537">
        <v>93</v>
      </c>
      <c r="J128" s="540"/>
      <c r="K128" s="537"/>
      <c r="L128" s="520">
        <v>9727460</v>
      </c>
      <c r="M128" s="538">
        <v>26099.1</v>
      </c>
      <c r="N128" s="537">
        <v>146</v>
      </c>
      <c r="O128" s="520">
        <v>81574</v>
      </c>
      <c r="P128" s="538">
        <v>284.5</v>
      </c>
      <c r="Q128" s="537">
        <v>2694</v>
      </c>
      <c r="R128" s="539">
        <v>3118</v>
      </c>
      <c r="S128" s="538">
        <v>11</v>
      </c>
      <c r="T128" s="537">
        <v>54</v>
      </c>
      <c r="U128" s="540">
        <v>1007626</v>
      </c>
      <c r="V128" s="538">
        <v>3410.7</v>
      </c>
      <c r="W128" s="537">
        <v>1</v>
      </c>
      <c r="X128" s="221"/>
      <c r="Y128" s="219"/>
      <c r="Z128" s="221"/>
      <c r="AA128" s="40"/>
      <c r="AB128" s="846">
        <f t="shared" si="0"/>
        <v>17504080</v>
      </c>
    </row>
    <row r="129" spans="2:30" x14ac:dyDescent="0.2">
      <c r="B129" s="166">
        <f>'1. LDC Info'!$F$27-3</f>
        <v>2014</v>
      </c>
      <c r="C129" s="38" t="s">
        <v>107</v>
      </c>
      <c r="D129" s="539">
        <v>6463714</v>
      </c>
      <c r="E129" s="537">
        <v>8820</v>
      </c>
      <c r="F129" s="539">
        <v>2334190</v>
      </c>
      <c r="G129" s="537">
        <v>1062</v>
      </c>
      <c r="H129" s="540">
        <v>50287</v>
      </c>
      <c r="I129" s="537">
        <v>93</v>
      </c>
      <c r="J129" s="540"/>
      <c r="K129" s="537"/>
      <c r="L129" s="520">
        <v>9386422</v>
      </c>
      <c r="M129" s="538">
        <v>25997.8</v>
      </c>
      <c r="N129" s="537">
        <v>146</v>
      </c>
      <c r="O129" s="520">
        <v>92597</v>
      </c>
      <c r="P129" s="538">
        <v>284.2</v>
      </c>
      <c r="Q129" s="537">
        <v>2694</v>
      </c>
      <c r="R129" s="539">
        <v>3986</v>
      </c>
      <c r="S129" s="538">
        <v>11</v>
      </c>
      <c r="T129" s="537">
        <v>54</v>
      </c>
      <c r="U129" s="540">
        <v>931167</v>
      </c>
      <c r="V129" s="538">
        <v>3309.6</v>
      </c>
      <c r="W129" s="537">
        <v>1</v>
      </c>
      <c r="X129" s="221"/>
      <c r="Y129" s="219"/>
      <c r="Z129" s="221"/>
      <c r="AA129" s="40"/>
      <c r="AB129" s="846">
        <f t="shared" si="0"/>
        <v>19262363</v>
      </c>
    </row>
    <row r="130" spans="2:30" x14ac:dyDescent="0.2">
      <c r="B130" s="166">
        <f>'1. LDC Info'!$F$27-3</f>
        <v>2014</v>
      </c>
      <c r="C130" s="38" t="s">
        <v>108</v>
      </c>
      <c r="D130" s="539">
        <v>4113551</v>
      </c>
      <c r="E130" s="537">
        <v>8828</v>
      </c>
      <c r="F130" s="539">
        <v>2148423</v>
      </c>
      <c r="G130" s="537">
        <v>1076</v>
      </c>
      <c r="H130" s="540">
        <v>49767</v>
      </c>
      <c r="I130" s="537">
        <v>93</v>
      </c>
      <c r="J130" s="540"/>
      <c r="K130" s="537"/>
      <c r="L130" s="520">
        <v>10772608</v>
      </c>
      <c r="M130" s="538">
        <v>26997.800000000003</v>
      </c>
      <c r="N130" s="537">
        <v>136</v>
      </c>
      <c r="O130" s="520">
        <v>100280</v>
      </c>
      <c r="P130" s="538">
        <v>284.5</v>
      </c>
      <c r="Q130" s="537">
        <v>2694</v>
      </c>
      <c r="R130" s="539">
        <v>3111</v>
      </c>
      <c r="S130" s="538">
        <v>11</v>
      </c>
      <c r="T130" s="537">
        <v>54</v>
      </c>
      <c r="U130" s="540">
        <v>1247089</v>
      </c>
      <c r="V130" s="538">
        <v>1561.3</v>
      </c>
      <c r="W130" s="537">
        <v>1</v>
      </c>
      <c r="X130" s="221"/>
      <c r="Y130" s="219"/>
      <c r="Z130" s="221"/>
      <c r="AA130" s="40"/>
      <c r="AB130" s="846">
        <f t="shared" si="0"/>
        <v>18434829</v>
      </c>
    </row>
    <row r="131" spans="2:30" x14ac:dyDescent="0.2">
      <c r="B131" s="166">
        <f>'1. LDC Info'!$F$27-3</f>
        <v>2014</v>
      </c>
      <c r="C131" s="38" t="s">
        <v>109</v>
      </c>
      <c r="D131" s="539">
        <v>6361738</v>
      </c>
      <c r="E131" s="537">
        <v>8831</v>
      </c>
      <c r="F131" s="539">
        <v>2324461</v>
      </c>
      <c r="G131" s="537">
        <v>1075</v>
      </c>
      <c r="H131" s="540">
        <v>50287</v>
      </c>
      <c r="I131" s="537">
        <v>93</v>
      </c>
      <c r="J131" s="540"/>
      <c r="K131" s="537"/>
      <c r="L131" s="520">
        <v>9406996</v>
      </c>
      <c r="M131" s="538">
        <v>25733.1</v>
      </c>
      <c r="N131" s="537">
        <v>135</v>
      </c>
      <c r="O131" s="520">
        <v>116850</v>
      </c>
      <c r="P131" s="538">
        <v>284</v>
      </c>
      <c r="Q131" s="537">
        <v>2694</v>
      </c>
      <c r="R131" s="539">
        <v>4125</v>
      </c>
      <c r="S131" s="538">
        <v>11</v>
      </c>
      <c r="T131" s="537">
        <v>54</v>
      </c>
      <c r="U131" s="540">
        <v>1185114</v>
      </c>
      <c r="V131" s="538">
        <v>3048.4</v>
      </c>
      <c r="W131" s="537">
        <v>1</v>
      </c>
      <c r="X131" s="221"/>
      <c r="Y131" s="219"/>
      <c r="Z131" s="221"/>
      <c r="AA131" s="40"/>
      <c r="AB131" s="846">
        <f t="shared" si="0"/>
        <v>19449571</v>
      </c>
    </row>
    <row r="132" spans="2:30" x14ac:dyDescent="0.2">
      <c r="B132" s="166">
        <f>'1. LDC Info'!$F$27-3</f>
        <v>2014</v>
      </c>
      <c r="C132" s="38" t="s">
        <v>106</v>
      </c>
      <c r="D132" s="520">
        <v>4252969</v>
      </c>
      <c r="E132" s="537">
        <v>8840</v>
      </c>
      <c r="F132" s="520">
        <v>2533006</v>
      </c>
      <c r="G132" s="537">
        <v>1077</v>
      </c>
      <c r="H132" s="539">
        <v>49767</v>
      </c>
      <c r="I132" s="537">
        <v>93</v>
      </c>
      <c r="J132" s="539"/>
      <c r="K132" s="537"/>
      <c r="L132" s="520">
        <v>9541047</v>
      </c>
      <c r="M132" s="538">
        <v>25391</v>
      </c>
      <c r="N132" s="537">
        <v>134</v>
      </c>
      <c r="O132" s="520">
        <v>123748</v>
      </c>
      <c r="P132" s="538">
        <v>284</v>
      </c>
      <c r="Q132" s="537">
        <v>2694</v>
      </c>
      <c r="R132" s="539">
        <v>3239</v>
      </c>
      <c r="S132" s="538">
        <v>11</v>
      </c>
      <c r="T132" s="537">
        <v>54</v>
      </c>
      <c r="U132" s="539">
        <v>1229079</v>
      </c>
      <c r="V132" s="538">
        <v>2633</v>
      </c>
      <c r="W132" s="537">
        <v>1</v>
      </c>
      <c r="X132" s="221"/>
      <c r="Y132" s="219"/>
      <c r="Z132" s="221"/>
      <c r="AA132" s="40"/>
      <c r="AB132" s="846">
        <f t="shared" si="0"/>
        <v>17732855</v>
      </c>
      <c r="AC132" s="846">
        <f>SUM(AB121:AB132)</f>
        <v>238878032</v>
      </c>
      <c r="AD132" s="24">
        <v>2014</v>
      </c>
    </row>
    <row r="133" spans="2:30" x14ac:dyDescent="0.2">
      <c r="B133" s="166">
        <f>'1. LDC Info'!$F$27-2</f>
        <v>2015</v>
      </c>
      <c r="C133" s="38" t="s">
        <v>110</v>
      </c>
      <c r="D133" s="539">
        <v>7983857</v>
      </c>
      <c r="E133" s="537">
        <v>8844</v>
      </c>
      <c r="F133" s="539">
        <v>2673831</v>
      </c>
      <c r="G133" s="537">
        <v>1075</v>
      </c>
      <c r="H133" s="540">
        <v>50287</v>
      </c>
      <c r="I133" s="537">
        <v>93</v>
      </c>
      <c r="J133" s="540"/>
      <c r="K133" s="537"/>
      <c r="L133" s="520">
        <v>8536713</v>
      </c>
      <c r="M133" s="538">
        <v>25821.4</v>
      </c>
      <c r="N133" s="537">
        <v>134</v>
      </c>
      <c r="O133" s="520">
        <v>134488</v>
      </c>
      <c r="P133" s="538">
        <v>285</v>
      </c>
      <c r="Q133" s="537">
        <v>2694</v>
      </c>
      <c r="R133" s="539">
        <v>4118</v>
      </c>
      <c r="S133" s="538">
        <v>11</v>
      </c>
      <c r="T133" s="537">
        <v>54</v>
      </c>
      <c r="U133" s="540">
        <v>908190</v>
      </c>
      <c r="V133" s="538">
        <v>2590.9</v>
      </c>
      <c r="W133" s="537">
        <v>1</v>
      </c>
      <c r="X133" s="221"/>
      <c r="Y133" s="219"/>
      <c r="Z133" s="221"/>
      <c r="AA133" s="40"/>
      <c r="AB133" s="846">
        <f t="shared" si="0"/>
        <v>20291484</v>
      </c>
    </row>
    <row r="134" spans="2:30" x14ac:dyDescent="0.2">
      <c r="B134" s="166">
        <f>'1. LDC Info'!$F$27-2</f>
        <v>2015</v>
      </c>
      <c r="C134" s="38" t="s">
        <v>111</v>
      </c>
      <c r="D134" s="539">
        <v>5647769</v>
      </c>
      <c r="E134" s="537">
        <v>8846</v>
      </c>
      <c r="F134" s="539">
        <v>3188691</v>
      </c>
      <c r="G134" s="537">
        <v>1075</v>
      </c>
      <c r="H134" s="540">
        <v>49767</v>
      </c>
      <c r="I134" s="537">
        <v>93</v>
      </c>
      <c r="J134" s="540"/>
      <c r="K134" s="537"/>
      <c r="L134" s="520">
        <v>11690166</v>
      </c>
      <c r="M134" s="538">
        <v>24723.300000000003</v>
      </c>
      <c r="N134" s="537">
        <v>133</v>
      </c>
      <c r="O134" s="520">
        <v>132283</v>
      </c>
      <c r="P134" s="538">
        <v>285</v>
      </c>
      <c r="Q134" s="537">
        <v>2694</v>
      </c>
      <c r="R134" s="539">
        <v>2938</v>
      </c>
      <c r="S134" s="538">
        <v>11</v>
      </c>
      <c r="T134" s="537">
        <v>54</v>
      </c>
      <c r="U134" s="540">
        <v>1126355</v>
      </c>
      <c r="V134" s="538">
        <v>2542</v>
      </c>
      <c r="W134" s="537">
        <v>1</v>
      </c>
      <c r="X134" s="221"/>
      <c r="Y134" s="219"/>
      <c r="Z134" s="221"/>
      <c r="AA134" s="40"/>
      <c r="AB134" s="846">
        <f t="shared" si="0"/>
        <v>21837969</v>
      </c>
    </row>
    <row r="135" spans="2:30" x14ac:dyDescent="0.2">
      <c r="B135" s="166">
        <f>'1. LDC Info'!$F$27-2</f>
        <v>2015</v>
      </c>
      <c r="C135" s="38" t="s">
        <v>112</v>
      </c>
      <c r="D135" s="539">
        <v>9873655</v>
      </c>
      <c r="E135" s="537">
        <v>8846</v>
      </c>
      <c r="F135" s="539">
        <v>3426960</v>
      </c>
      <c r="G135" s="537">
        <v>1077</v>
      </c>
      <c r="H135" s="540">
        <v>50287</v>
      </c>
      <c r="I135" s="537">
        <v>93</v>
      </c>
      <c r="J135" s="540"/>
      <c r="K135" s="537"/>
      <c r="L135" s="520">
        <v>10195523</v>
      </c>
      <c r="M135" s="538">
        <v>27367.599999999999</v>
      </c>
      <c r="N135" s="537">
        <v>133</v>
      </c>
      <c r="O135" s="520">
        <v>109525</v>
      </c>
      <c r="P135" s="538">
        <v>285</v>
      </c>
      <c r="Q135" s="537">
        <v>2694</v>
      </c>
      <c r="R135" s="539">
        <v>4729</v>
      </c>
      <c r="S135" s="538">
        <v>11</v>
      </c>
      <c r="T135" s="537">
        <v>54</v>
      </c>
      <c r="U135" s="540">
        <v>1416587</v>
      </c>
      <c r="V135" s="538">
        <v>3188.9</v>
      </c>
      <c r="W135" s="537">
        <v>1</v>
      </c>
      <c r="X135" s="221"/>
      <c r="Y135" s="219"/>
      <c r="Z135" s="221"/>
      <c r="AA135" s="40"/>
      <c r="AB135" s="846">
        <f t="shared" si="0"/>
        <v>25077266</v>
      </c>
    </row>
    <row r="136" spans="2:30" x14ac:dyDescent="0.2">
      <c r="B136" s="166">
        <f>'1. LDC Info'!$F$27-2</f>
        <v>2015</v>
      </c>
      <c r="C136" s="38" t="s">
        <v>113</v>
      </c>
      <c r="D136" s="539">
        <v>5375350</v>
      </c>
      <c r="E136" s="537">
        <v>8851</v>
      </c>
      <c r="F136" s="539">
        <v>2807741</v>
      </c>
      <c r="G136" s="537">
        <v>1078</v>
      </c>
      <c r="H136" s="540">
        <v>49767</v>
      </c>
      <c r="I136" s="537">
        <v>93</v>
      </c>
      <c r="J136" s="540"/>
      <c r="K136" s="537"/>
      <c r="L136" s="520">
        <v>10708681</v>
      </c>
      <c r="M136" s="538">
        <v>25435</v>
      </c>
      <c r="N136" s="537">
        <v>133</v>
      </c>
      <c r="O136" s="520">
        <v>110235</v>
      </c>
      <c r="P136" s="538">
        <v>285</v>
      </c>
      <c r="Q136" s="537">
        <v>2694</v>
      </c>
      <c r="R136" s="539">
        <v>3245</v>
      </c>
      <c r="S136" s="538">
        <v>11</v>
      </c>
      <c r="T136" s="537">
        <v>54</v>
      </c>
      <c r="U136" s="540">
        <v>1460074</v>
      </c>
      <c r="V136" s="538">
        <v>2825.5</v>
      </c>
      <c r="W136" s="537">
        <v>1</v>
      </c>
      <c r="X136" s="221"/>
      <c r="Y136" s="219"/>
      <c r="Z136" s="221"/>
      <c r="AA136" s="40"/>
      <c r="AB136" s="846">
        <f t="shared" si="0"/>
        <v>20515093</v>
      </c>
    </row>
    <row r="137" spans="2:30" x14ac:dyDescent="0.2">
      <c r="B137" s="166">
        <f>'1. LDC Info'!$F$27-2</f>
        <v>2015</v>
      </c>
      <c r="C137" s="38" t="s">
        <v>114</v>
      </c>
      <c r="D137" s="539">
        <v>6314665</v>
      </c>
      <c r="E137" s="537">
        <v>8859</v>
      </c>
      <c r="F137" s="539">
        <v>2407875</v>
      </c>
      <c r="G137" s="537">
        <v>1078</v>
      </c>
      <c r="H137" s="540">
        <v>50287</v>
      </c>
      <c r="I137" s="537">
        <v>93</v>
      </c>
      <c r="J137" s="540"/>
      <c r="K137" s="537"/>
      <c r="L137" s="520">
        <v>8797111</v>
      </c>
      <c r="M137" s="538">
        <v>23972</v>
      </c>
      <c r="N137" s="537">
        <v>133</v>
      </c>
      <c r="O137" s="520">
        <v>93879</v>
      </c>
      <c r="P137" s="538">
        <v>285</v>
      </c>
      <c r="Q137" s="537">
        <v>2694</v>
      </c>
      <c r="R137" s="539">
        <v>3464</v>
      </c>
      <c r="S137" s="538">
        <v>11</v>
      </c>
      <c r="T137" s="537">
        <v>54</v>
      </c>
      <c r="U137" s="540">
        <v>1453204</v>
      </c>
      <c r="V137" s="538">
        <v>3136</v>
      </c>
      <c r="W137" s="537">
        <v>1</v>
      </c>
      <c r="X137" s="221"/>
      <c r="Y137" s="219"/>
      <c r="Z137" s="221"/>
      <c r="AA137" s="40"/>
      <c r="AB137" s="846">
        <f t="shared" si="0"/>
        <v>19120485</v>
      </c>
    </row>
    <row r="138" spans="2:30" x14ac:dyDescent="0.2">
      <c r="B138" s="166">
        <f>'1. LDC Info'!$F$27-2</f>
        <v>2015</v>
      </c>
      <c r="C138" s="38" t="s">
        <v>115</v>
      </c>
      <c r="D138" s="539">
        <v>5361913</v>
      </c>
      <c r="E138" s="537">
        <v>8866</v>
      </c>
      <c r="F138" s="539">
        <v>2276196</v>
      </c>
      <c r="G138" s="537">
        <v>1079</v>
      </c>
      <c r="H138" s="540">
        <v>49767</v>
      </c>
      <c r="I138" s="537">
        <v>93</v>
      </c>
      <c r="J138" s="540"/>
      <c r="K138" s="537"/>
      <c r="L138" s="520">
        <v>8996620</v>
      </c>
      <c r="M138" s="538">
        <v>22601.1</v>
      </c>
      <c r="N138" s="537">
        <v>133</v>
      </c>
      <c r="O138" s="520">
        <v>74057</v>
      </c>
      <c r="P138" s="538">
        <v>285</v>
      </c>
      <c r="Q138" s="537">
        <v>2694</v>
      </c>
      <c r="R138" s="539">
        <v>3622</v>
      </c>
      <c r="S138" s="538">
        <v>11</v>
      </c>
      <c r="T138" s="537">
        <v>54</v>
      </c>
      <c r="U138" s="540">
        <v>1474656</v>
      </c>
      <c r="V138" s="538">
        <v>3023.2</v>
      </c>
      <c r="W138" s="537">
        <v>1</v>
      </c>
      <c r="X138" s="221"/>
      <c r="Y138" s="219"/>
      <c r="Z138" s="221"/>
      <c r="AA138" s="40"/>
      <c r="AB138" s="846">
        <f t="shared" ref="AB138:AB144" si="1">D138+F138+H138+L138+O138+R138+U138</f>
        <v>18236831</v>
      </c>
    </row>
    <row r="139" spans="2:30" x14ac:dyDescent="0.2">
      <c r="B139" s="166">
        <f>'1. LDC Info'!$F$27-2</f>
        <v>2015</v>
      </c>
      <c r="C139" s="38" t="s">
        <v>116</v>
      </c>
      <c r="D139" s="807">
        <f>5535053+587289</f>
        <v>6122342</v>
      </c>
      <c r="E139" s="537">
        <f>7945+933</f>
        <v>8878</v>
      </c>
      <c r="F139" s="807">
        <f>2254026+149335</f>
        <v>2403361</v>
      </c>
      <c r="G139" s="537">
        <f>983+93</f>
        <v>1076</v>
      </c>
      <c r="H139" s="809">
        <v>50287</v>
      </c>
      <c r="I139" s="537">
        <v>88</v>
      </c>
      <c r="J139" s="774"/>
      <c r="K139" s="773"/>
      <c r="L139" s="808">
        <f>3799697+224680+5675854+389625</f>
        <v>10089856</v>
      </c>
      <c r="M139" s="810">
        <f>12773+1074+12896+909</f>
        <v>27652</v>
      </c>
      <c r="N139" s="537">
        <f t="shared" ref="N139:N144" si="2">110+6+17+1</f>
        <v>134</v>
      </c>
      <c r="O139" s="808">
        <f>124367+15846</f>
        <v>140213</v>
      </c>
      <c r="P139" s="810">
        <f>435+55</f>
        <v>490</v>
      </c>
      <c r="Q139" s="537">
        <v>2694</v>
      </c>
      <c r="R139" s="807">
        <v>4123</v>
      </c>
      <c r="S139" s="810">
        <v>11</v>
      </c>
      <c r="T139" s="537">
        <v>54</v>
      </c>
      <c r="U139" s="540">
        <v>1564420</v>
      </c>
      <c r="V139" s="538">
        <v>3197</v>
      </c>
      <c r="W139" s="537">
        <v>1</v>
      </c>
      <c r="X139" s="221"/>
      <c r="Y139" s="219"/>
      <c r="Z139" s="221"/>
      <c r="AA139" s="40"/>
      <c r="AB139" s="846">
        <f t="shared" si="1"/>
        <v>20374602</v>
      </c>
    </row>
    <row r="140" spans="2:30" x14ac:dyDescent="0.2">
      <c r="B140" s="166">
        <f>'1. LDC Info'!$F$27-2</f>
        <v>2015</v>
      </c>
      <c r="C140" s="38" t="s">
        <v>117</v>
      </c>
      <c r="D140" s="807">
        <f>3502870+782749</f>
        <v>4285619</v>
      </c>
      <c r="E140" s="537">
        <f>7963+931</f>
        <v>8894</v>
      </c>
      <c r="F140" s="807">
        <f>2224469+182101</f>
        <v>2406570</v>
      </c>
      <c r="G140" s="537">
        <f>987+92</f>
        <v>1079</v>
      </c>
      <c r="H140" s="809">
        <v>49767</v>
      </c>
      <c r="I140" s="537">
        <v>88</v>
      </c>
      <c r="J140" s="774"/>
      <c r="K140" s="773"/>
      <c r="L140" s="808">
        <f>3833159+215840+5026134+212615</f>
        <v>9287748</v>
      </c>
      <c r="M140" s="810">
        <f>12562+1083+11658+479</f>
        <v>25782</v>
      </c>
      <c r="N140" s="537">
        <f t="shared" si="2"/>
        <v>134</v>
      </c>
      <c r="O140" s="808">
        <f>49767+62319</f>
        <v>112086</v>
      </c>
      <c r="P140" s="810">
        <f>217+27</f>
        <v>244</v>
      </c>
      <c r="Q140" s="537">
        <v>2694</v>
      </c>
      <c r="R140" s="807">
        <v>3118</v>
      </c>
      <c r="S140" s="810">
        <v>11</v>
      </c>
      <c r="T140" s="537">
        <v>54</v>
      </c>
      <c r="U140" s="540">
        <v>1300702</v>
      </c>
      <c r="V140" s="538">
        <v>3116</v>
      </c>
      <c r="W140" s="537">
        <v>1</v>
      </c>
      <c r="X140" s="221"/>
      <c r="Y140" s="219"/>
      <c r="Z140" s="221"/>
      <c r="AA140" s="40"/>
      <c r="AB140" s="846">
        <f t="shared" si="1"/>
        <v>17445610</v>
      </c>
    </row>
    <row r="141" spans="2:30" x14ac:dyDescent="0.2">
      <c r="B141" s="166">
        <f>'1. LDC Info'!$F$27-2</f>
        <v>2015</v>
      </c>
      <c r="C141" s="38" t="s">
        <v>107</v>
      </c>
      <c r="D141" s="807">
        <f>6240500+641353</f>
        <v>6881853</v>
      </c>
      <c r="E141" s="537">
        <f>7977+932</f>
        <v>8909</v>
      </c>
      <c r="F141" s="807">
        <f>2568857+152017</f>
        <v>2720874</v>
      </c>
      <c r="G141" s="537">
        <f>988+92</f>
        <v>1080</v>
      </c>
      <c r="H141" s="809">
        <v>50287</v>
      </c>
      <c r="I141" s="537">
        <v>88</v>
      </c>
      <c r="J141" s="774"/>
      <c r="K141" s="773"/>
      <c r="L141" s="808">
        <f>4347791+218360+5049301+220939</f>
        <v>9836391</v>
      </c>
      <c r="M141" s="810">
        <f>13214+1093+11787+483</f>
        <v>26577</v>
      </c>
      <c r="N141" s="537">
        <f t="shared" si="2"/>
        <v>134</v>
      </c>
      <c r="O141" s="808">
        <f>50287+70740</f>
        <v>121027</v>
      </c>
      <c r="P141" s="810">
        <f>217+26</f>
        <v>243</v>
      </c>
      <c r="Q141" s="537">
        <v>2694</v>
      </c>
      <c r="R141" s="807">
        <v>3986</v>
      </c>
      <c r="S141" s="810">
        <v>11</v>
      </c>
      <c r="T141" s="537">
        <v>54</v>
      </c>
      <c r="U141" s="540">
        <v>1115527</v>
      </c>
      <c r="V141" s="538">
        <v>2918</v>
      </c>
      <c r="W141" s="537">
        <v>1</v>
      </c>
      <c r="X141" s="221"/>
      <c r="Y141" s="219"/>
      <c r="Z141" s="221"/>
      <c r="AA141" s="40"/>
      <c r="AB141" s="846">
        <f t="shared" si="1"/>
        <v>20729945</v>
      </c>
    </row>
    <row r="142" spans="2:30" x14ac:dyDescent="0.2">
      <c r="B142" s="166">
        <f>'1. LDC Info'!$F$27-2</f>
        <v>2015</v>
      </c>
      <c r="C142" s="38" t="s">
        <v>108</v>
      </c>
      <c r="D142" s="807">
        <f>6266438+663016</f>
        <v>6929454</v>
      </c>
      <c r="E142" s="537">
        <f>7981+935</f>
        <v>8916</v>
      </c>
      <c r="F142" s="807">
        <f>2588847+164059</f>
        <v>2752906</v>
      </c>
      <c r="G142" s="537">
        <f>988+92</f>
        <v>1080</v>
      </c>
      <c r="H142" s="809">
        <v>50287</v>
      </c>
      <c r="I142" s="537">
        <v>86</v>
      </c>
      <c r="J142" s="774"/>
      <c r="K142" s="773"/>
      <c r="L142" s="808">
        <f>4602508+349180+5066286+223701</f>
        <v>10241675</v>
      </c>
      <c r="M142" s="810">
        <f>13463+1240+11721+502</f>
        <v>26926</v>
      </c>
      <c r="N142" s="537">
        <f t="shared" si="2"/>
        <v>134</v>
      </c>
      <c r="O142" s="808">
        <f>50287+76609</f>
        <v>126896</v>
      </c>
      <c r="P142" s="810">
        <f>217+26</f>
        <v>243</v>
      </c>
      <c r="Q142" s="537">
        <v>2694</v>
      </c>
      <c r="R142" s="807">
        <v>3111</v>
      </c>
      <c r="S142" s="810">
        <v>11</v>
      </c>
      <c r="T142" s="537">
        <v>54</v>
      </c>
      <c r="U142" s="540">
        <v>1243106</v>
      </c>
      <c r="V142" s="538">
        <v>2824</v>
      </c>
      <c r="W142" s="537">
        <v>1</v>
      </c>
      <c r="X142" s="221"/>
      <c r="Y142" s="219"/>
      <c r="Z142" s="221"/>
      <c r="AA142" s="40"/>
      <c r="AB142" s="846">
        <f t="shared" si="1"/>
        <v>21347435</v>
      </c>
    </row>
    <row r="143" spans="2:30" x14ac:dyDescent="0.2">
      <c r="B143" s="166">
        <f>'1. LDC Info'!$F$27-2</f>
        <v>2015</v>
      </c>
      <c r="C143" s="38" t="s">
        <v>109</v>
      </c>
      <c r="D143" s="807">
        <f>5844166+698940</f>
        <v>6543106</v>
      </c>
      <c r="E143" s="537">
        <f>7983+935</f>
        <v>8918</v>
      </c>
      <c r="F143" s="807">
        <f>2169520+171041</f>
        <v>2340561</v>
      </c>
      <c r="G143" s="537">
        <f>989+92</f>
        <v>1081</v>
      </c>
      <c r="H143" s="809">
        <v>50287</v>
      </c>
      <c r="I143" s="537">
        <v>86</v>
      </c>
      <c r="J143" s="774"/>
      <c r="K143" s="773"/>
      <c r="L143" s="808">
        <f>4228957+258480+3707123+218625</f>
        <v>8413185</v>
      </c>
      <c r="M143" s="810">
        <f>12631+1226+10361+513</f>
        <v>24731</v>
      </c>
      <c r="N143" s="537">
        <f t="shared" si="2"/>
        <v>134</v>
      </c>
      <c r="O143" s="808">
        <f>50287+89268</f>
        <v>139555</v>
      </c>
      <c r="P143" s="810">
        <f>217+26</f>
        <v>243</v>
      </c>
      <c r="Q143" s="537">
        <v>2694</v>
      </c>
      <c r="R143" s="807">
        <v>4125</v>
      </c>
      <c r="S143" s="810">
        <v>11</v>
      </c>
      <c r="T143" s="537">
        <v>54</v>
      </c>
      <c r="U143" s="540">
        <v>985022</v>
      </c>
      <c r="V143" s="538">
        <v>2091</v>
      </c>
      <c r="W143" s="537">
        <v>1</v>
      </c>
      <c r="X143" s="221"/>
      <c r="Y143" s="219"/>
      <c r="Z143" s="221"/>
      <c r="AA143" s="40"/>
      <c r="AB143" s="846">
        <f t="shared" si="1"/>
        <v>18475841</v>
      </c>
    </row>
    <row r="144" spans="2:30" x14ac:dyDescent="0.2">
      <c r="B144" s="166">
        <f>'1. LDC Info'!$F$27-2</f>
        <v>2015</v>
      </c>
      <c r="C144" s="38" t="s">
        <v>106</v>
      </c>
      <c r="D144" s="808">
        <f>5080853+695074</f>
        <v>5775927</v>
      </c>
      <c r="E144" s="537">
        <f>7989+937</f>
        <v>8926</v>
      </c>
      <c r="F144" s="808">
        <f>2290723+169760</f>
        <v>2460483</v>
      </c>
      <c r="G144" s="537">
        <f>988+92</f>
        <v>1080</v>
      </c>
      <c r="H144" s="807">
        <v>51151</v>
      </c>
      <c r="I144" s="537">
        <v>87</v>
      </c>
      <c r="J144" s="772"/>
      <c r="K144" s="773"/>
      <c r="L144" s="808">
        <f>4609782+386140+3676195+220160</f>
        <v>8892277</v>
      </c>
      <c r="M144" s="810">
        <f>12959+1272+10381+614</f>
        <v>25226</v>
      </c>
      <c r="N144" s="537">
        <f t="shared" si="2"/>
        <v>134</v>
      </c>
      <c r="O144" s="808">
        <f>51151+94538</f>
        <v>145689</v>
      </c>
      <c r="P144" s="810">
        <f>217+26</f>
        <v>243</v>
      </c>
      <c r="Q144" s="537">
        <v>2694</v>
      </c>
      <c r="R144" s="807">
        <v>3239</v>
      </c>
      <c r="S144" s="810">
        <v>11</v>
      </c>
      <c r="T144" s="537">
        <v>54</v>
      </c>
      <c r="U144" s="539">
        <v>896017</v>
      </c>
      <c r="V144" s="538">
        <v>2415</v>
      </c>
      <c r="W144" s="537">
        <v>1</v>
      </c>
      <c r="X144" s="221"/>
      <c r="Y144" s="219"/>
      <c r="Z144" s="221"/>
      <c r="AA144" s="40"/>
      <c r="AB144" s="846">
        <f t="shared" si="1"/>
        <v>18224783</v>
      </c>
      <c r="AC144" s="846">
        <f>SUM(AB133:AB144)</f>
        <v>241677344</v>
      </c>
      <c r="AD144" s="24">
        <v>2015</v>
      </c>
    </row>
    <row r="145" spans="2:27" x14ac:dyDescent="0.2">
      <c r="B145" s="166">
        <f>'1. LDC Info'!$F$27-1</f>
        <v>2016</v>
      </c>
      <c r="C145" s="38" t="s">
        <v>110</v>
      </c>
      <c r="D145" s="2"/>
      <c r="E145" s="219"/>
      <c r="F145" s="2"/>
      <c r="G145" s="219"/>
      <c r="H145" s="221"/>
      <c r="I145" s="219"/>
      <c r="J145" s="282"/>
      <c r="K145" s="282"/>
      <c r="L145" s="39"/>
      <c r="M145" s="42"/>
      <c r="N145" s="219"/>
      <c r="O145" s="39"/>
      <c r="P145" s="42"/>
      <c r="Q145" s="219"/>
      <c r="R145" s="2"/>
      <c r="S145" s="21"/>
      <c r="T145" s="219"/>
      <c r="U145" s="221"/>
      <c r="V145" s="518"/>
      <c r="W145" s="219"/>
      <c r="X145" s="221"/>
      <c r="Y145" s="219"/>
      <c r="Z145" s="221"/>
      <c r="AA145" s="40"/>
    </row>
    <row r="146" spans="2:27" x14ac:dyDescent="0.2">
      <c r="B146" s="166">
        <f>'1. LDC Info'!$F$27-1</f>
        <v>2016</v>
      </c>
      <c r="C146" s="38" t="s">
        <v>111</v>
      </c>
      <c r="D146" s="2"/>
      <c r="E146" s="219"/>
      <c r="F146" s="2"/>
      <c r="G146" s="219"/>
      <c r="H146" s="221"/>
      <c r="I146" s="219"/>
      <c r="J146" s="282"/>
      <c r="K146" s="282"/>
      <c r="L146" s="39"/>
      <c r="M146" s="42"/>
      <c r="N146" s="219"/>
      <c r="O146" s="39"/>
      <c r="P146" s="42"/>
      <c r="Q146" s="219"/>
      <c r="R146" s="2"/>
      <c r="S146" s="21"/>
      <c r="T146" s="219"/>
      <c r="U146" s="221"/>
      <c r="V146" s="518"/>
      <c r="W146" s="219"/>
      <c r="X146" s="221"/>
      <c r="Y146" s="219"/>
      <c r="Z146" s="221"/>
      <c r="AA146" s="40"/>
    </row>
    <row r="147" spans="2:27" x14ac:dyDescent="0.2">
      <c r="B147" s="166">
        <f>'1. LDC Info'!$F$27-1</f>
        <v>2016</v>
      </c>
      <c r="C147" s="38" t="s">
        <v>112</v>
      </c>
      <c r="D147" s="2"/>
      <c r="E147" s="219"/>
      <c r="F147" s="2"/>
      <c r="G147" s="219"/>
      <c r="H147" s="221"/>
      <c r="I147" s="219"/>
      <c r="J147" s="282"/>
      <c r="K147" s="282"/>
      <c r="L147" s="39"/>
      <c r="M147" s="42"/>
      <c r="N147" s="219"/>
      <c r="O147" s="39"/>
      <c r="P147" s="42"/>
      <c r="Q147" s="219"/>
      <c r="R147" s="2"/>
      <c r="S147" s="21"/>
      <c r="T147" s="219"/>
      <c r="U147" s="221"/>
      <c r="V147" s="518"/>
      <c r="W147" s="219"/>
      <c r="X147" s="221"/>
      <c r="Y147" s="219"/>
      <c r="Z147" s="221"/>
      <c r="AA147" s="40"/>
    </row>
    <row r="148" spans="2:27" x14ac:dyDescent="0.2">
      <c r="B148" s="166">
        <f>'1. LDC Info'!$F$27-1</f>
        <v>2016</v>
      </c>
      <c r="C148" s="38" t="s">
        <v>113</v>
      </c>
      <c r="D148" s="2"/>
      <c r="E148" s="219"/>
      <c r="F148" s="2"/>
      <c r="G148" s="219"/>
      <c r="H148" s="221"/>
      <c r="I148" s="219"/>
      <c r="J148" s="282"/>
      <c r="K148" s="282"/>
      <c r="L148" s="39"/>
      <c r="M148" s="42"/>
      <c r="N148" s="219"/>
      <c r="O148" s="39"/>
      <c r="P148" s="42"/>
      <c r="Q148" s="219"/>
      <c r="R148" s="2"/>
      <c r="S148" s="21"/>
      <c r="T148" s="219"/>
      <c r="U148" s="221"/>
      <c r="V148" s="518"/>
      <c r="W148" s="219"/>
      <c r="X148" s="221"/>
      <c r="Y148" s="219"/>
      <c r="Z148" s="221"/>
      <c r="AA148" s="40"/>
    </row>
    <row r="149" spans="2:27" x14ac:dyDescent="0.2">
      <c r="B149" s="166">
        <f>'1. LDC Info'!$F$27-1</f>
        <v>2016</v>
      </c>
      <c r="C149" s="38" t="s">
        <v>114</v>
      </c>
      <c r="D149" s="2"/>
      <c r="E149" s="219"/>
      <c r="F149" s="2"/>
      <c r="G149" s="219"/>
      <c r="H149" s="221"/>
      <c r="I149" s="219"/>
      <c r="J149" s="282"/>
      <c r="K149" s="282"/>
      <c r="L149" s="39"/>
      <c r="M149" s="42"/>
      <c r="N149" s="219"/>
      <c r="O149" s="39"/>
      <c r="P149" s="42"/>
      <c r="Q149" s="219"/>
      <c r="R149" s="2"/>
      <c r="S149" s="21"/>
      <c r="T149" s="219"/>
      <c r="U149" s="221"/>
      <c r="V149" s="518"/>
      <c r="W149" s="219"/>
      <c r="X149" s="221"/>
      <c r="Y149" s="219"/>
      <c r="Z149" s="221"/>
      <c r="AA149" s="40"/>
    </row>
    <row r="150" spans="2:27" x14ac:dyDescent="0.2">
      <c r="B150" s="166">
        <f>'1. LDC Info'!$F$27-1</f>
        <v>2016</v>
      </c>
      <c r="C150" s="38" t="s">
        <v>115</v>
      </c>
      <c r="D150" s="2"/>
      <c r="E150" s="219"/>
      <c r="F150" s="2"/>
      <c r="G150" s="219"/>
      <c r="H150" s="221"/>
      <c r="I150" s="219"/>
      <c r="J150" s="282"/>
      <c r="K150" s="282"/>
      <c r="L150" s="39"/>
      <c r="M150" s="42"/>
      <c r="N150" s="219"/>
      <c r="O150" s="2"/>
      <c r="P150" s="21"/>
      <c r="Q150" s="219"/>
      <c r="R150" s="2"/>
      <c r="S150" s="21"/>
      <c r="T150" s="219"/>
      <c r="U150" s="221"/>
      <c r="V150" s="518"/>
      <c r="W150" s="219"/>
      <c r="X150" s="221"/>
      <c r="Y150" s="219"/>
      <c r="Z150" s="221"/>
      <c r="AA150" s="40"/>
    </row>
    <row r="151" spans="2:27" x14ac:dyDescent="0.2">
      <c r="B151" s="166">
        <f>'1. LDC Info'!$F$27-1</f>
        <v>2016</v>
      </c>
      <c r="C151" s="38" t="s">
        <v>116</v>
      </c>
      <c r="D151" s="2"/>
      <c r="E151" s="219"/>
      <c r="F151" s="2"/>
      <c r="G151" s="219"/>
      <c r="H151" s="221"/>
      <c r="I151" s="219"/>
      <c r="J151" s="282"/>
      <c r="K151" s="282"/>
      <c r="L151" s="39"/>
      <c r="M151" s="42"/>
      <c r="N151" s="219"/>
      <c r="O151" s="2"/>
      <c r="P151" s="21"/>
      <c r="Q151" s="219"/>
      <c r="R151" s="2"/>
      <c r="S151" s="21"/>
      <c r="T151" s="219"/>
      <c r="U151" s="221"/>
      <c r="V151" s="518"/>
      <c r="W151" s="219"/>
      <c r="X151" s="221"/>
      <c r="Y151" s="219"/>
      <c r="Z151" s="221"/>
      <c r="AA151" s="40"/>
    </row>
    <row r="152" spans="2:27" x14ac:dyDescent="0.2">
      <c r="B152" s="166">
        <f>'1. LDC Info'!$F$27-1</f>
        <v>2016</v>
      </c>
      <c r="C152" s="38" t="s">
        <v>117</v>
      </c>
      <c r="D152" s="2"/>
      <c r="E152" s="219"/>
      <c r="F152" s="2"/>
      <c r="G152" s="219"/>
      <c r="H152" s="221"/>
      <c r="I152" s="219"/>
      <c r="J152" s="282"/>
      <c r="K152" s="282"/>
      <c r="L152" s="39"/>
      <c r="M152" s="42"/>
      <c r="N152" s="219"/>
      <c r="O152" s="2"/>
      <c r="P152" s="21"/>
      <c r="Q152" s="219"/>
      <c r="R152" s="2"/>
      <c r="S152" s="21"/>
      <c r="T152" s="219"/>
      <c r="U152" s="221"/>
      <c r="V152" s="518"/>
      <c r="W152" s="219"/>
      <c r="X152" s="221"/>
      <c r="Y152" s="219"/>
      <c r="Z152" s="221"/>
      <c r="AA152" s="40"/>
    </row>
    <row r="153" spans="2:27" x14ac:dyDescent="0.2">
      <c r="B153" s="166">
        <f>'1. LDC Info'!$F$27-1</f>
        <v>2016</v>
      </c>
      <c r="C153" s="38" t="s">
        <v>107</v>
      </c>
      <c r="D153" s="2"/>
      <c r="E153" s="219"/>
      <c r="F153" s="2"/>
      <c r="G153" s="219"/>
      <c r="H153" s="221"/>
      <c r="I153" s="219"/>
      <c r="J153" s="282"/>
      <c r="K153" s="282"/>
      <c r="L153" s="39"/>
      <c r="M153" s="42"/>
      <c r="N153" s="219"/>
      <c r="O153" s="2"/>
      <c r="P153" s="21"/>
      <c r="Q153" s="219"/>
      <c r="R153" s="2"/>
      <c r="S153" s="21"/>
      <c r="T153" s="219"/>
      <c r="U153" s="221"/>
      <c r="V153" s="518"/>
      <c r="W153" s="219"/>
      <c r="X153" s="221"/>
      <c r="Y153" s="219"/>
      <c r="Z153" s="221"/>
      <c r="AA153" s="40"/>
    </row>
    <row r="154" spans="2:27" x14ac:dyDescent="0.2">
      <c r="B154" s="166">
        <f>'1. LDC Info'!$F$27-1</f>
        <v>2016</v>
      </c>
      <c r="C154" s="38" t="s">
        <v>108</v>
      </c>
      <c r="D154" s="2"/>
      <c r="E154" s="219"/>
      <c r="F154" s="44"/>
      <c r="G154" s="219"/>
      <c r="H154" s="221"/>
      <c r="I154" s="219"/>
      <c r="J154" s="282"/>
      <c r="K154" s="282"/>
      <c r="L154" s="39"/>
      <c r="M154" s="42"/>
      <c r="N154" s="219"/>
      <c r="O154" s="2"/>
      <c r="P154" s="21"/>
      <c r="Q154" s="219"/>
      <c r="R154" s="2"/>
      <c r="S154" s="21"/>
      <c r="T154" s="219"/>
      <c r="U154" s="221"/>
      <c r="V154" s="518"/>
      <c r="W154" s="219"/>
      <c r="X154" s="221"/>
      <c r="Y154" s="219"/>
      <c r="Z154" s="221"/>
      <c r="AA154" s="40"/>
    </row>
    <row r="155" spans="2:27" x14ac:dyDescent="0.2">
      <c r="B155" s="166">
        <f>'1. LDC Info'!$F$27-1</f>
        <v>2016</v>
      </c>
      <c r="C155" s="38" t="s">
        <v>109</v>
      </c>
      <c r="D155" s="2"/>
      <c r="E155" s="219"/>
      <c r="F155" s="2"/>
      <c r="G155" s="219"/>
      <c r="H155" s="221"/>
      <c r="I155" s="219"/>
      <c r="J155" s="282"/>
      <c r="K155" s="282"/>
      <c r="L155" s="39"/>
      <c r="M155" s="42"/>
      <c r="N155" s="219"/>
      <c r="O155" s="2"/>
      <c r="P155" s="21"/>
      <c r="Q155" s="219"/>
      <c r="R155" s="2"/>
      <c r="S155" s="21"/>
      <c r="T155" s="219"/>
      <c r="U155" s="221"/>
      <c r="V155" s="518"/>
      <c r="W155" s="219"/>
      <c r="X155" s="221"/>
      <c r="Y155" s="219"/>
      <c r="Z155" s="221"/>
      <c r="AA155" s="40"/>
    </row>
    <row r="156" spans="2:27" x14ac:dyDescent="0.2">
      <c r="B156" s="166">
        <f>'1. LDC Info'!$F$27-1</f>
        <v>2016</v>
      </c>
      <c r="C156" s="38" t="s">
        <v>106</v>
      </c>
      <c r="D156" s="520"/>
      <c r="E156" s="537"/>
      <c r="F156" s="520"/>
      <c r="G156" s="537"/>
      <c r="H156" s="539"/>
      <c r="I156" s="537"/>
      <c r="J156" s="539"/>
      <c r="K156" s="537"/>
      <c r="L156" s="520"/>
      <c r="M156" s="538"/>
      <c r="N156" s="537"/>
      <c r="O156" s="539"/>
      <c r="P156" s="538"/>
      <c r="Q156" s="537"/>
      <c r="R156" s="539"/>
      <c r="S156" s="538"/>
      <c r="T156" s="537"/>
      <c r="U156" s="539"/>
      <c r="V156" s="538"/>
      <c r="W156" s="537"/>
      <c r="X156" s="221"/>
      <c r="Y156" s="219"/>
      <c r="Z156" s="221"/>
      <c r="AA156" s="40"/>
    </row>
    <row r="157" spans="2:27" x14ac:dyDescent="0.2">
      <c r="B157" s="166" t="str">
        <f>'1. LDC Info'!$F$27</f>
        <v>2017</v>
      </c>
      <c r="C157" s="38" t="s">
        <v>110</v>
      </c>
      <c r="D157" s="39"/>
      <c r="E157" s="219"/>
      <c r="F157" s="39"/>
      <c r="G157" s="219"/>
      <c r="H157" s="221"/>
      <c r="I157" s="219"/>
      <c r="J157" s="282"/>
      <c r="K157" s="282"/>
      <c r="L157" s="39"/>
      <c r="M157" s="42"/>
      <c r="N157" s="219"/>
      <c r="O157" s="2"/>
      <c r="P157" s="21"/>
      <c r="Q157" s="219"/>
      <c r="R157" s="39"/>
      <c r="S157" s="21"/>
      <c r="T157" s="219"/>
      <c r="U157" s="221"/>
      <c r="V157" s="518"/>
      <c r="W157" s="219"/>
      <c r="X157" s="221"/>
      <c r="Y157" s="219"/>
      <c r="Z157" s="221"/>
      <c r="AA157" s="40"/>
    </row>
    <row r="158" spans="2:27" x14ac:dyDescent="0.2">
      <c r="B158" s="166" t="str">
        <f>'1. LDC Info'!$F$27</f>
        <v>2017</v>
      </c>
      <c r="C158" s="38" t="s">
        <v>111</v>
      </c>
      <c r="D158" s="39"/>
      <c r="E158" s="40"/>
      <c r="F158" s="39"/>
      <c r="G158" s="40"/>
      <c r="H158" s="221"/>
      <c r="I158" s="219"/>
      <c r="J158" s="282"/>
      <c r="K158" s="282"/>
      <c r="L158" s="39"/>
      <c r="M158" s="42"/>
      <c r="N158" s="40"/>
      <c r="O158" s="2"/>
      <c r="P158" s="21"/>
      <c r="Q158" s="40"/>
      <c r="R158" s="39"/>
      <c r="S158" s="21"/>
      <c r="T158" s="40"/>
      <c r="U158" s="41"/>
      <c r="V158" s="518"/>
      <c r="W158" s="40"/>
      <c r="X158" s="41"/>
      <c r="Y158" s="40"/>
      <c r="Z158" s="41"/>
      <c r="AA158" s="40"/>
    </row>
    <row r="159" spans="2:27" x14ac:dyDescent="0.2">
      <c r="B159" s="166" t="str">
        <f>'1. LDC Info'!$F$27</f>
        <v>2017</v>
      </c>
      <c r="C159" s="38" t="s">
        <v>112</v>
      </c>
      <c r="D159" s="45"/>
      <c r="E159" s="40"/>
      <c r="F159" s="45"/>
      <c r="G159" s="40"/>
      <c r="H159" s="221"/>
      <c r="I159" s="219"/>
      <c r="J159" s="282"/>
      <c r="K159" s="282"/>
      <c r="L159" s="39"/>
      <c r="M159" s="42"/>
      <c r="N159" s="40"/>
      <c r="O159" s="2"/>
      <c r="P159" s="21"/>
      <c r="Q159" s="40"/>
      <c r="R159" s="45"/>
      <c r="S159" s="21"/>
      <c r="T159" s="40"/>
      <c r="U159" s="41"/>
      <c r="V159" s="518"/>
      <c r="W159" s="40"/>
      <c r="X159" s="41"/>
      <c r="Y159" s="40"/>
      <c r="Z159" s="41"/>
      <c r="AA159" s="40"/>
    </row>
    <row r="160" spans="2:27" x14ac:dyDescent="0.2">
      <c r="B160" s="166" t="str">
        <f>'1. LDC Info'!$F$27</f>
        <v>2017</v>
      </c>
      <c r="C160" s="38" t="s">
        <v>113</v>
      </c>
      <c r="D160" s="39"/>
      <c r="E160" s="40"/>
      <c r="F160" s="39"/>
      <c r="G160" s="40"/>
      <c r="H160" s="221"/>
      <c r="I160" s="219"/>
      <c r="J160" s="282"/>
      <c r="K160" s="282"/>
      <c r="L160" s="39"/>
      <c r="M160" s="42"/>
      <c r="N160" s="40"/>
      <c r="O160" s="2"/>
      <c r="P160" s="21"/>
      <c r="Q160" s="40"/>
      <c r="R160" s="39"/>
      <c r="S160" s="21"/>
      <c r="T160" s="40"/>
      <c r="U160" s="41"/>
      <c r="V160" s="518"/>
      <c r="W160" s="40"/>
      <c r="X160" s="41"/>
      <c r="Y160" s="40"/>
      <c r="Z160" s="41"/>
      <c r="AA160" s="40"/>
    </row>
    <row r="161" spans="2:27" x14ac:dyDescent="0.2">
      <c r="B161" s="166" t="str">
        <f>'1. LDC Info'!$F$27</f>
        <v>2017</v>
      </c>
      <c r="C161" s="38" t="s">
        <v>114</v>
      </c>
      <c r="D161" s="39"/>
      <c r="E161" s="40"/>
      <c r="F161" s="39"/>
      <c r="G161" s="40"/>
      <c r="H161" s="221"/>
      <c r="I161" s="219"/>
      <c r="J161" s="282"/>
      <c r="K161" s="282"/>
      <c r="L161" s="39"/>
      <c r="M161" s="42"/>
      <c r="N161" s="40"/>
      <c r="O161" s="2"/>
      <c r="P161" s="21"/>
      <c r="Q161" s="40"/>
      <c r="R161" s="39"/>
      <c r="S161" s="21"/>
      <c r="T161" s="40"/>
      <c r="U161" s="41"/>
      <c r="V161" s="518"/>
      <c r="W161" s="40"/>
      <c r="X161" s="41"/>
      <c r="Y161" s="40"/>
      <c r="Z161" s="41"/>
      <c r="AA161" s="40"/>
    </row>
    <row r="162" spans="2:27" x14ac:dyDescent="0.2">
      <c r="B162" s="166" t="str">
        <f>'1. LDC Info'!$F$27</f>
        <v>2017</v>
      </c>
      <c r="C162" s="38" t="s">
        <v>115</v>
      </c>
      <c r="D162" s="39"/>
      <c r="E162" s="40"/>
      <c r="F162" s="39"/>
      <c r="G162" s="40"/>
      <c r="H162" s="221"/>
      <c r="I162" s="219"/>
      <c r="J162" s="282"/>
      <c r="K162" s="282"/>
      <c r="L162" s="39"/>
      <c r="M162" s="42"/>
      <c r="N162" s="40"/>
      <c r="O162" s="2"/>
      <c r="P162" s="21"/>
      <c r="Q162" s="40"/>
      <c r="R162" s="39"/>
      <c r="S162" s="21"/>
      <c r="T162" s="40"/>
      <c r="U162" s="41"/>
      <c r="V162" s="518"/>
      <c r="W162" s="40"/>
      <c r="X162" s="41"/>
      <c r="Y162" s="40"/>
      <c r="Z162" s="41"/>
      <c r="AA162" s="40"/>
    </row>
    <row r="163" spans="2:27" x14ac:dyDescent="0.2">
      <c r="B163" s="166" t="str">
        <f>'1. LDC Info'!$F$27</f>
        <v>2017</v>
      </c>
      <c r="C163" s="38" t="s">
        <v>116</v>
      </c>
      <c r="D163" s="39"/>
      <c r="E163" s="40"/>
      <c r="F163" s="39"/>
      <c r="G163" s="40"/>
      <c r="H163" s="221"/>
      <c r="I163" s="219"/>
      <c r="J163" s="282"/>
      <c r="K163" s="282"/>
      <c r="L163" s="39"/>
      <c r="M163" s="42"/>
      <c r="N163" s="40"/>
      <c r="O163" s="2"/>
      <c r="P163" s="21"/>
      <c r="Q163" s="40"/>
      <c r="R163" s="39"/>
      <c r="S163" s="21"/>
      <c r="T163" s="40"/>
      <c r="U163" s="41"/>
      <c r="V163" s="518"/>
      <c r="W163" s="40"/>
      <c r="X163" s="41"/>
      <c r="Y163" s="40"/>
      <c r="Z163" s="41"/>
      <c r="AA163" s="40"/>
    </row>
    <row r="164" spans="2:27" x14ac:dyDescent="0.2">
      <c r="B164" s="166" t="str">
        <f>'1. LDC Info'!$F$27</f>
        <v>2017</v>
      </c>
      <c r="C164" s="38" t="s">
        <v>117</v>
      </c>
      <c r="D164" s="39"/>
      <c r="E164" s="40"/>
      <c r="F164" s="39"/>
      <c r="G164" s="40"/>
      <c r="H164" s="221"/>
      <c r="I164" s="219"/>
      <c r="J164" s="282"/>
      <c r="K164" s="282"/>
      <c r="L164" s="39"/>
      <c r="M164" s="42"/>
      <c r="N164" s="40"/>
      <c r="O164" s="2"/>
      <c r="P164" s="21"/>
      <c r="Q164" s="40"/>
      <c r="R164" s="39"/>
      <c r="S164" s="21"/>
      <c r="T164" s="40"/>
      <c r="U164" s="41"/>
      <c r="V164" s="518"/>
      <c r="W164" s="40"/>
      <c r="X164" s="41"/>
      <c r="Y164" s="40"/>
      <c r="Z164" s="41"/>
      <c r="AA164" s="40"/>
    </row>
    <row r="165" spans="2:27" x14ac:dyDescent="0.2">
      <c r="B165" s="166" t="str">
        <f>'1. LDC Info'!$F$27</f>
        <v>2017</v>
      </c>
      <c r="C165" s="38" t="s">
        <v>107</v>
      </c>
      <c r="D165" s="46"/>
      <c r="E165" s="40"/>
      <c r="F165" s="46"/>
      <c r="G165" s="40"/>
      <c r="H165" s="221"/>
      <c r="I165" s="219"/>
      <c r="J165" s="282"/>
      <c r="K165" s="282"/>
      <c r="L165" s="39"/>
      <c r="M165" s="42"/>
      <c r="N165" s="40"/>
      <c r="O165" s="2"/>
      <c r="P165" s="21"/>
      <c r="Q165" s="40"/>
      <c r="R165" s="46"/>
      <c r="S165" s="21"/>
      <c r="T165" s="40"/>
      <c r="U165" s="41"/>
      <c r="V165" s="518"/>
      <c r="W165" s="40"/>
      <c r="X165" s="41"/>
      <c r="Y165" s="40"/>
      <c r="Z165" s="41"/>
      <c r="AA165" s="40"/>
    </row>
    <row r="166" spans="2:27" x14ac:dyDescent="0.2">
      <c r="B166" s="166" t="str">
        <f>'1. LDC Info'!$F$27</f>
        <v>2017</v>
      </c>
      <c r="C166" s="38" t="s">
        <v>108</v>
      </c>
      <c r="D166" s="39"/>
      <c r="E166" s="40"/>
      <c r="F166" s="39"/>
      <c r="G166" s="40"/>
      <c r="H166" s="221"/>
      <c r="I166" s="219"/>
      <c r="J166" s="282"/>
      <c r="K166" s="282"/>
      <c r="L166" s="39"/>
      <c r="M166" s="42"/>
      <c r="N166" s="40"/>
      <c r="O166" s="2"/>
      <c r="P166" s="21"/>
      <c r="Q166" s="40"/>
      <c r="R166" s="39"/>
      <c r="S166" s="21"/>
      <c r="T166" s="40"/>
      <c r="U166" s="41"/>
      <c r="V166" s="518"/>
      <c r="W166" s="40"/>
      <c r="X166" s="41"/>
      <c r="Y166" s="40"/>
      <c r="Z166" s="41"/>
      <c r="AA166" s="40"/>
    </row>
    <row r="167" spans="2:27" x14ac:dyDescent="0.2">
      <c r="B167" s="166" t="str">
        <f>'1. LDC Info'!$F$27</f>
        <v>2017</v>
      </c>
      <c r="C167" s="38" t="s">
        <v>109</v>
      </c>
      <c r="D167" s="39"/>
      <c r="E167" s="40"/>
      <c r="F167" s="39"/>
      <c r="G167" s="40"/>
      <c r="H167" s="221"/>
      <c r="I167" s="219"/>
      <c r="J167" s="282"/>
      <c r="K167" s="282"/>
      <c r="L167" s="39"/>
      <c r="M167" s="42"/>
      <c r="N167" s="40"/>
      <c r="O167" s="2"/>
      <c r="P167" s="21"/>
      <c r="Q167" s="40"/>
      <c r="R167" s="39"/>
      <c r="S167" s="21"/>
      <c r="T167" s="40"/>
      <c r="U167" s="41"/>
      <c r="V167" s="518"/>
      <c r="W167" s="40"/>
      <c r="X167" s="41"/>
      <c r="Y167" s="40"/>
      <c r="Z167" s="41"/>
      <c r="AA167" s="40"/>
    </row>
    <row r="168" spans="2:27" ht="13.5" thickBot="1" x14ac:dyDescent="0.25">
      <c r="B168" s="166" t="str">
        <f>'1. LDC Info'!$F$27</f>
        <v>2017</v>
      </c>
      <c r="C168" s="38" t="s">
        <v>106</v>
      </c>
      <c r="D168" s="47"/>
      <c r="E168" s="48"/>
      <c r="F168" s="47"/>
      <c r="G168" s="48"/>
      <c r="H168" s="50"/>
      <c r="I168" s="48"/>
      <c r="J168" s="283"/>
      <c r="K168" s="283"/>
      <c r="L168" s="47"/>
      <c r="M168" s="49"/>
      <c r="N168" s="48"/>
      <c r="O168" s="144"/>
      <c r="P168" s="22"/>
      <c r="Q168" s="48"/>
      <c r="R168" s="47"/>
      <c r="S168" s="22"/>
      <c r="T168" s="48"/>
      <c r="U168" s="50"/>
      <c r="V168" s="513"/>
      <c r="W168" s="48"/>
      <c r="X168" s="50"/>
      <c r="Y168" s="48"/>
      <c r="Z168" s="50"/>
      <c r="AA168" s="48"/>
    </row>
    <row r="169" spans="2:27" x14ac:dyDescent="0.2">
      <c r="O169" s="51"/>
      <c r="P169" s="51"/>
      <c r="R169" s="51"/>
      <c r="S169" s="51"/>
    </row>
    <row r="170" spans="2:27" x14ac:dyDescent="0.2">
      <c r="D170" s="51"/>
    </row>
    <row r="171" spans="2:27" x14ac:dyDescent="0.2">
      <c r="D171" s="233"/>
      <c r="E171" s="234"/>
      <c r="F171" s="233"/>
      <c r="G171" s="234"/>
      <c r="H171" s="233"/>
      <c r="I171" s="234"/>
      <c r="J171" s="234"/>
      <c r="K171" s="234"/>
      <c r="L171" s="233"/>
      <c r="M171" s="233"/>
      <c r="N171" s="234"/>
      <c r="O171" s="233"/>
      <c r="P171" s="233"/>
      <c r="Q171" s="234"/>
      <c r="R171" s="233"/>
      <c r="S171" s="233"/>
      <c r="T171" s="234"/>
    </row>
    <row r="172" spans="2:27" x14ac:dyDescent="0.2">
      <c r="D172" s="233"/>
      <c r="E172" s="234"/>
      <c r="F172" s="233"/>
      <c r="G172" s="234"/>
      <c r="H172" s="233"/>
      <c r="I172" s="234"/>
      <c r="J172" s="234"/>
      <c r="K172" s="234"/>
      <c r="L172" s="233"/>
      <c r="M172" s="233"/>
      <c r="N172" s="234"/>
      <c r="O172" s="233"/>
      <c r="P172" s="233"/>
      <c r="Q172" s="234"/>
      <c r="R172" s="233"/>
      <c r="S172" s="233"/>
      <c r="T172" s="234"/>
    </row>
    <row r="173" spans="2:27" x14ac:dyDescent="0.2">
      <c r="D173" s="233"/>
      <c r="E173" s="234"/>
      <c r="F173" s="233"/>
      <c r="G173" s="234"/>
      <c r="H173" s="233"/>
      <c r="I173" s="234"/>
      <c r="J173" s="234"/>
      <c r="K173" s="234"/>
      <c r="L173" s="233"/>
      <c r="M173" s="233"/>
      <c r="N173" s="234"/>
      <c r="O173" s="233"/>
      <c r="P173" s="233"/>
      <c r="Q173" s="234"/>
      <c r="R173" s="233"/>
      <c r="S173" s="233"/>
      <c r="T173" s="234"/>
    </row>
    <row r="174" spans="2:27" x14ac:dyDescent="0.2">
      <c r="D174" s="233"/>
      <c r="E174" s="234"/>
      <c r="F174" s="233"/>
      <c r="G174" s="234"/>
      <c r="H174" s="233"/>
      <c r="I174" s="234"/>
      <c r="J174" s="234"/>
      <c r="K174" s="234"/>
      <c r="L174" s="233"/>
      <c r="M174" s="233"/>
      <c r="N174" s="234"/>
      <c r="O174" s="233"/>
      <c r="P174" s="233"/>
      <c r="Q174" s="234"/>
      <c r="R174" s="233"/>
      <c r="S174" s="233"/>
      <c r="T174" s="234"/>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49"/>
  <sheetViews>
    <sheetView showGridLines="0" topLeftCell="A7" zoomScaleNormal="100" workbookViewId="0">
      <selection activeCell="B15" sqref="B15:W31"/>
    </sheetView>
  </sheetViews>
  <sheetFormatPr defaultRowHeight="12.75" x14ac:dyDescent="0.2"/>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881"/>
      <c r="C10" s="881"/>
      <c r="D10" s="881"/>
      <c r="E10" s="881"/>
      <c r="F10" s="881"/>
      <c r="G10" s="881"/>
      <c r="H10" s="881"/>
      <c r="I10" s="881"/>
      <c r="J10" s="511"/>
      <c r="K10" s="511"/>
      <c r="L10" s="511"/>
      <c r="M10" s="511"/>
    </row>
    <row r="11" spans="1:23" ht="23.25" x14ac:dyDescent="0.2">
      <c r="B11" s="132" t="s">
        <v>84</v>
      </c>
    </row>
    <row r="12" spans="1:23" s="532" customFormat="1" ht="15" x14ac:dyDescent="0.2">
      <c r="B12" s="57" t="s">
        <v>63</v>
      </c>
    </row>
    <row r="13" spans="1:23" ht="14.25" x14ac:dyDescent="0.2">
      <c r="B13" s="99" t="s">
        <v>243</v>
      </c>
      <c r="C13" s="532"/>
      <c r="D13" s="532"/>
      <c r="E13" s="532"/>
      <c r="F13" s="532"/>
      <c r="G13" s="532"/>
      <c r="H13" s="532"/>
      <c r="I13" s="532"/>
      <c r="J13" s="308"/>
      <c r="K13" s="309"/>
    </row>
    <row r="14" spans="1:23" ht="13.5" customHeight="1" thickBot="1" x14ac:dyDescent="0.25">
      <c r="B14" s="132"/>
      <c r="J14" s="308"/>
      <c r="K14" s="309"/>
    </row>
    <row r="15" spans="1:23" ht="24.75" customHeight="1" thickBot="1" x14ac:dyDescent="0.25">
      <c r="B15" s="791"/>
      <c r="C15" s="902" t="str">
        <f>'2. Customer Classes'!B14</f>
        <v>Residential</v>
      </c>
      <c r="D15" s="903"/>
      <c r="E15" s="902" t="str">
        <f>'2. Customer Classes'!B15</f>
        <v>General Service &lt; 50 kW</v>
      </c>
      <c r="F15" s="903"/>
      <c r="G15" s="902" t="str">
        <f>'2. Customer Classes'!B16</f>
        <v>Unmetered Scattered Load</v>
      </c>
      <c r="H15" s="903"/>
      <c r="I15" s="902">
        <f>'2. Customer Classes'!B17</f>
        <v>0</v>
      </c>
      <c r="J15" s="903"/>
      <c r="K15" s="902" t="str">
        <f>'2. Customer Classes'!B18</f>
        <v>General Service &gt; 50 kW - 2999 kW</v>
      </c>
      <c r="L15" s="903"/>
      <c r="M15" s="902" t="str">
        <f>'2. Customer Classes'!B19</f>
        <v>Streetlighting</v>
      </c>
      <c r="N15" s="903"/>
      <c r="O15" s="910" t="str">
        <f>'2. Customer Classes'!B20</f>
        <v>Sentinel Lighting</v>
      </c>
      <c r="P15" s="903"/>
      <c r="Q15" s="907" t="str">
        <f>'2. Customer Classes'!B21</f>
        <v>General Service 3000-4999 kW</v>
      </c>
      <c r="R15" s="909"/>
      <c r="S15" s="907" t="str">
        <f>'2. Customer Classes'!B22</f>
        <v>other</v>
      </c>
      <c r="T15" s="909"/>
      <c r="V15" s="907" t="s">
        <v>162</v>
      </c>
      <c r="W15" s="908"/>
    </row>
    <row r="16" spans="1:23" ht="39" thickBot="1" x14ac:dyDescent="0.25">
      <c r="B16" s="795" t="s">
        <v>3</v>
      </c>
      <c r="C16" s="796" t="s">
        <v>118</v>
      </c>
      <c r="D16" s="797" t="s">
        <v>5</v>
      </c>
      <c r="E16" s="796" t="s">
        <v>118</v>
      </c>
      <c r="F16" s="797" t="s">
        <v>5</v>
      </c>
      <c r="G16" s="796" t="s">
        <v>118</v>
      </c>
      <c r="H16" s="797" t="s">
        <v>5</v>
      </c>
      <c r="I16" s="796"/>
      <c r="J16" s="797"/>
      <c r="K16" s="796" t="s">
        <v>118</v>
      </c>
      <c r="L16" s="795" t="s">
        <v>5</v>
      </c>
      <c r="M16" s="796" t="s">
        <v>118</v>
      </c>
      <c r="N16" s="795" t="s">
        <v>5</v>
      </c>
      <c r="O16" s="796" t="s">
        <v>118</v>
      </c>
      <c r="P16" s="798" t="s">
        <v>5</v>
      </c>
      <c r="Q16" s="796" t="s">
        <v>118</v>
      </c>
      <c r="R16" s="798" t="s">
        <v>5</v>
      </c>
      <c r="S16" s="170" t="s">
        <v>118</v>
      </c>
      <c r="T16" s="4" t="s">
        <v>5</v>
      </c>
      <c r="V16" s="796" t="s">
        <v>172</v>
      </c>
      <c r="W16" s="798" t="s">
        <v>5</v>
      </c>
    </row>
    <row r="17" spans="2:23" x14ac:dyDescent="0.2">
      <c r="B17" s="5">
        <f>'1. LDC Info'!F25-10</f>
        <v>2006</v>
      </c>
      <c r="C17" s="200">
        <f>AVERAGE('3. Consumption by Rate Class'!E25,'3. Consumption by Rate Class'!E36)</f>
        <v>7704</v>
      </c>
      <c r="D17" s="169"/>
      <c r="E17" s="200">
        <f>AVERAGE('3. Consumption by Rate Class'!G25,'3. Consumption by Rate Class'!G36)</f>
        <v>1036.5</v>
      </c>
      <c r="F17" s="169"/>
      <c r="G17" s="171">
        <f>AVERAGE('3. Consumption by Rate Class'!I25,'3. Consumption by Rate Class'!I36)</f>
        <v>68.5</v>
      </c>
      <c r="H17" s="169"/>
      <c r="I17" s="200"/>
      <c r="J17" s="169"/>
      <c r="K17" s="171">
        <f>AVERAGE('3. Consumption by Rate Class'!N25,'3. Consumption by Rate Class'!N36)</f>
        <v>145.5</v>
      </c>
      <c r="L17" s="169"/>
      <c r="M17" s="200">
        <f>IF(SUM('3. Consumption by Rate Class'!Q25:Q36)&gt;0,+AVERAGE('3. Consumption by Rate Class'!Q25,'3. Consumption by Rate Class'!Q36),0)</f>
        <v>2671</v>
      </c>
      <c r="N17" s="169"/>
      <c r="O17" s="200">
        <f>AVERAGE('3. Consumption by Rate Class'!T25,'3. Consumption by Rate Class'!T36)</f>
        <v>55</v>
      </c>
      <c r="P17" s="172"/>
      <c r="Q17" s="385">
        <v>1</v>
      </c>
      <c r="R17" s="169"/>
      <c r="S17" s="385"/>
      <c r="T17" s="169"/>
      <c r="V17" s="238">
        <f>+C17+E17+G17+I17+K17+M17+O17+Q17</f>
        <v>11681.5</v>
      </c>
      <c r="W17" s="239"/>
    </row>
    <row r="18" spans="2:23" x14ac:dyDescent="0.2">
      <c r="B18" s="5">
        <f>'1. LDC Info'!F25-9</f>
        <v>2007</v>
      </c>
      <c r="C18" s="201">
        <f>AVERAGE('3. Consumption by Rate Class'!E37,'3. Consumption by Rate Class'!E48)</f>
        <v>7842</v>
      </c>
      <c r="D18" s="173">
        <f>C18/C17</f>
        <v>1.0179127725856698</v>
      </c>
      <c r="E18" s="201">
        <f>AVERAGE('3. Consumption by Rate Class'!G37,'3. Consumption by Rate Class'!G48)</f>
        <v>1043</v>
      </c>
      <c r="F18" s="173">
        <f>E18/E17</f>
        <v>1.0062711046792088</v>
      </c>
      <c r="G18" s="15">
        <f>AVERAGE('3. Consumption by Rate Class'!I37,'3. Consumption by Rate Class'!I48)</f>
        <v>80.5</v>
      </c>
      <c r="H18" s="173">
        <f t="shared" ref="H18:H26" si="0">G18/G17</f>
        <v>1.1751824817518248</v>
      </c>
      <c r="I18" s="200"/>
      <c r="J18" s="173"/>
      <c r="K18" s="15">
        <f>AVERAGE('3. Consumption by Rate Class'!N37,'3. Consumption by Rate Class'!N48)</f>
        <v>147.5</v>
      </c>
      <c r="L18" s="173">
        <f t="shared" ref="L18:L26" si="1">K18/K17</f>
        <v>1.0137457044673539</v>
      </c>
      <c r="M18" s="200">
        <f>IF(SUM('3. Consumption by Rate Class'!Q37:Q48)&gt;0,+AVERAGE('3. Consumption by Rate Class'!Q37,'3. Consumption by Rate Class'!Q48),0)</f>
        <v>2743</v>
      </c>
      <c r="N18" s="173">
        <f>IF(M18&gt;0,+M18/M17,0)</f>
        <v>1.0269561961812055</v>
      </c>
      <c r="O18" s="201">
        <f>AVERAGE('3. Consumption by Rate Class'!T37,'3. Consumption by Rate Class'!T48)</f>
        <v>55</v>
      </c>
      <c r="P18" s="174">
        <f>O18/O17</f>
        <v>1</v>
      </c>
      <c r="Q18" s="385">
        <v>1</v>
      </c>
      <c r="R18" s="174">
        <f>Q18/Q17</f>
        <v>1</v>
      </c>
      <c r="S18" s="385"/>
      <c r="T18" s="173"/>
      <c r="V18" s="396">
        <f t="shared" ref="V18:V26" si="2">+C18+E18+G18+I18+K18+M18+O18+Q18</f>
        <v>11912</v>
      </c>
      <c r="W18" s="237">
        <f t="shared" ref="W18:W26" si="3">V18/V17</f>
        <v>1.0197320549586955</v>
      </c>
    </row>
    <row r="19" spans="2:23" x14ac:dyDescent="0.2">
      <c r="B19" s="5">
        <f>'1. LDC Info'!F25-8</f>
        <v>2008</v>
      </c>
      <c r="C19" s="201">
        <f>AVERAGE('3. Consumption by Rate Class'!E49,'3. Consumption by Rate Class'!E60)</f>
        <v>7956</v>
      </c>
      <c r="D19" s="173">
        <f t="shared" ref="D19:F26" si="4">C19/C18</f>
        <v>1.0145371078806427</v>
      </c>
      <c r="E19" s="201">
        <f>AVERAGE('3. Consumption by Rate Class'!G49,'3. Consumption by Rate Class'!G60)</f>
        <v>1047.5</v>
      </c>
      <c r="F19" s="173">
        <f t="shared" si="4"/>
        <v>1.00431447746884</v>
      </c>
      <c r="G19" s="15">
        <f>AVERAGE('3. Consumption by Rate Class'!I49,'3. Consumption by Rate Class'!I60)</f>
        <v>90</v>
      </c>
      <c r="H19" s="173">
        <f t="shared" si="0"/>
        <v>1.1180124223602483</v>
      </c>
      <c r="I19" s="200"/>
      <c r="J19" s="173"/>
      <c r="K19" s="15">
        <f>AVERAGE('3. Consumption by Rate Class'!N49,'3. Consumption by Rate Class'!N60)</f>
        <v>133</v>
      </c>
      <c r="L19" s="173">
        <f t="shared" si="1"/>
        <v>0.90169491525423728</v>
      </c>
      <c r="M19" s="200">
        <f>IF(SUM('3. Consumption by Rate Class'!Q49:Q60)&gt;0,+AVERAGE('3. Consumption by Rate Class'!Q49,'3. Consumption by Rate Class'!Q60),0)</f>
        <v>2793</v>
      </c>
      <c r="N19" s="173">
        <f t="shared" ref="N19:N26" si="5">IF(M19&gt;0,+M19/M18,0)</f>
        <v>1.0182282172803501</v>
      </c>
      <c r="O19" s="201">
        <f>AVERAGE('3. Consumption by Rate Class'!T49,'3. Consumption by Rate Class'!T60)</f>
        <v>58</v>
      </c>
      <c r="P19" s="174">
        <f t="shared" ref="P19:P26" si="6">O19/O18</f>
        <v>1.0545454545454545</v>
      </c>
      <c r="Q19" s="385">
        <v>1</v>
      </c>
      <c r="R19" s="174">
        <f t="shared" ref="R19:R26" si="7">Q19/Q18</f>
        <v>1</v>
      </c>
      <c r="S19" s="385"/>
      <c r="T19" s="173"/>
      <c r="V19" s="396">
        <f t="shared" si="2"/>
        <v>12078.5</v>
      </c>
      <c r="W19" s="237">
        <f t="shared" si="3"/>
        <v>1.0139775016789792</v>
      </c>
    </row>
    <row r="20" spans="2:23" x14ac:dyDescent="0.2">
      <c r="B20" s="5">
        <f>'1. LDC Info'!F25-7</f>
        <v>2009</v>
      </c>
      <c r="C20" s="201">
        <f>AVERAGE('3. Consumption by Rate Class'!E61,'3. Consumption by Rate Class'!E72)</f>
        <v>8187.5</v>
      </c>
      <c r="D20" s="173">
        <f t="shared" si="4"/>
        <v>1.0290975364504775</v>
      </c>
      <c r="E20" s="201">
        <f>AVERAGE('3. Consumption by Rate Class'!G61,'3. Consumption by Rate Class'!G72)</f>
        <v>1062.5</v>
      </c>
      <c r="F20" s="173">
        <f t="shared" si="4"/>
        <v>1.0143198090692125</v>
      </c>
      <c r="G20" s="15">
        <f>AVERAGE('3. Consumption by Rate Class'!I61,'3. Consumption by Rate Class'!I72)</f>
        <v>95.5</v>
      </c>
      <c r="H20" s="173">
        <f t="shared" si="0"/>
        <v>1.0611111111111111</v>
      </c>
      <c r="I20" s="200"/>
      <c r="J20" s="173"/>
      <c r="K20" s="15">
        <f>AVERAGE('3. Consumption by Rate Class'!N61,'3. Consumption by Rate Class'!N72)</f>
        <v>129.5</v>
      </c>
      <c r="L20" s="173">
        <f t="shared" si="1"/>
        <v>0.97368421052631582</v>
      </c>
      <c r="M20" s="200">
        <f>IF(SUM('3. Consumption by Rate Class'!Q61:Q72)&gt;0,+AVERAGE('3. Consumption by Rate Class'!Q61,'3. Consumption by Rate Class'!Q72),0)</f>
        <v>2815.5</v>
      </c>
      <c r="N20" s="173">
        <f t="shared" si="5"/>
        <v>1.0080558539205156</v>
      </c>
      <c r="O20" s="201">
        <f>AVERAGE('3. Consumption by Rate Class'!T61,'3. Consumption by Rate Class'!T72)</f>
        <v>59.5</v>
      </c>
      <c r="P20" s="174">
        <f t="shared" si="6"/>
        <v>1.0258620689655173</v>
      </c>
      <c r="Q20" s="385">
        <v>1</v>
      </c>
      <c r="R20" s="174">
        <f t="shared" si="7"/>
        <v>1</v>
      </c>
      <c r="S20" s="385"/>
      <c r="T20" s="173"/>
      <c r="V20" s="396">
        <f t="shared" si="2"/>
        <v>12351</v>
      </c>
      <c r="W20" s="237">
        <f t="shared" si="3"/>
        <v>1.022560748437306</v>
      </c>
    </row>
    <row r="21" spans="2:23" x14ac:dyDescent="0.2">
      <c r="B21" s="5">
        <f>'1. LDC Info'!F25-6</f>
        <v>2010</v>
      </c>
      <c r="C21" s="201">
        <f>AVERAGE('3. Consumption by Rate Class'!E73,'3. Consumption by Rate Class'!E84)</f>
        <v>8296.5</v>
      </c>
      <c r="D21" s="173">
        <f t="shared" si="4"/>
        <v>1.0133129770992366</v>
      </c>
      <c r="E21" s="201">
        <f>AVERAGE('3. Consumption by Rate Class'!G73,'3. Consumption by Rate Class'!G84)</f>
        <v>1068.5</v>
      </c>
      <c r="F21" s="173">
        <f t="shared" si="4"/>
        <v>1.0056470588235293</v>
      </c>
      <c r="G21" s="15">
        <f>AVERAGE('3. Consumption by Rate Class'!I73,'3. Consumption by Rate Class'!I84)</f>
        <v>95</v>
      </c>
      <c r="H21" s="173">
        <f t="shared" si="0"/>
        <v>0.99476439790575921</v>
      </c>
      <c r="I21" s="200"/>
      <c r="J21" s="173"/>
      <c r="K21" s="15">
        <f>AVERAGE('3. Consumption by Rate Class'!N73,'3. Consumption by Rate Class'!N84)</f>
        <v>131</v>
      </c>
      <c r="L21" s="173">
        <f t="shared" si="1"/>
        <v>1.0115830115830116</v>
      </c>
      <c r="M21" s="200">
        <f>IF(SUM('3. Consumption by Rate Class'!Q73:Q84)&gt;0,+AVERAGE('3. Consumption by Rate Class'!Q73,'3. Consumption by Rate Class'!Q84),0)</f>
        <v>2752</v>
      </c>
      <c r="N21" s="173">
        <f t="shared" si="5"/>
        <v>0.97744627952406327</v>
      </c>
      <c r="O21" s="201">
        <f>AVERAGE('3. Consumption by Rate Class'!T73,'3. Consumption by Rate Class'!T84)</f>
        <v>55</v>
      </c>
      <c r="P21" s="174">
        <f t="shared" si="6"/>
        <v>0.92436974789915971</v>
      </c>
      <c r="Q21" s="385">
        <v>1</v>
      </c>
      <c r="R21" s="174">
        <f t="shared" si="7"/>
        <v>1</v>
      </c>
      <c r="S21" s="385"/>
      <c r="T21" s="173"/>
      <c r="V21" s="396">
        <f t="shared" si="2"/>
        <v>12399</v>
      </c>
      <c r="W21" s="237">
        <f t="shared" si="3"/>
        <v>1.0038863249939276</v>
      </c>
    </row>
    <row r="22" spans="2:23" x14ac:dyDescent="0.2">
      <c r="B22" s="5">
        <f>'1. LDC Info'!F25-5</f>
        <v>2011</v>
      </c>
      <c r="C22" s="201">
        <f>AVERAGE('3. Consumption by Rate Class'!E85,'3. Consumption by Rate Class'!E96)</f>
        <v>8425</v>
      </c>
      <c r="D22" s="173">
        <f t="shared" si="4"/>
        <v>1.0154884589887301</v>
      </c>
      <c r="E22" s="201">
        <f>AVERAGE('3. Consumption by Rate Class'!G85,'3. Consumption by Rate Class'!G96)</f>
        <v>1072.5</v>
      </c>
      <c r="F22" s="173">
        <f t="shared" si="4"/>
        <v>1.0037435657463734</v>
      </c>
      <c r="G22" s="15">
        <f>AVERAGE('3. Consumption by Rate Class'!I85,'3. Consumption by Rate Class'!I96)</f>
        <v>96</v>
      </c>
      <c r="H22" s="173">
        <f t="shared" si="0"/>
        <v>1.0105263157894737</v>
      </c>
      <c r="I22" s="200"/>
      <c r="J22" s="173"/>
      <c r="K22" s="15">
        <f>AVERAGE('3. Consumption by Rate Class'!N85,'3. Consumption by Rate Class'!N96)</f>
        <v>131.5</v>
      </c>
      <c r="L22" s="173">
        <f t="shared" si="1"/>
        <v>1.0038167938931297</v>
      </c>
      <c r="M22" s="200">
        <f>IF(SUM('3. Consumption by Rate Class'!Q85:Q96)&gt;0,+AVERAGE('3. Consumption by Rate Class'!Q85,'3. Consumption by Rate Class'!Q96),0)</f>
        <v>2759</v>
      </c>
      <c r="N22" s="173">
        <f t="shared" si="5"/>
        <v>1.0025436046511629</v>
      </c>
      <c r="O22" s="201">
        <f>AVERAGE('3. Consumption by Rate Class'!T85,'3. Consumption by Rate Class'!T96)</f>
        <v>53</v>
      </c>
      <c r="P22" s="174">
        <f t="shared" si="6"/>
        <v>0.96363636363636362</v>
      </c>
      <c r="Q22" s="385">
        <v>1</v>
      </c>
      <c r="R22" s="174">
        <f t="shared" si="7"/>
        <v>1</v>
      </c>
      <c r="S22" s="385"/>
      <c r="T22" s="173"/>
      <c r="V22" s="396">
        <f t="shared" si="2"/>
        <v>12538</v>
      </c>
      <c r="W22" s="237">
        <f t="shared" si="3"/>
        <v>1.011210581498508</v>
      </c>
    </row>
    <row r="23" spans="2:23" x14ac:dyDescent="0.2">
      <c r="B23" s="5">
        <f>'1. LDC Info'!F25-4</f>
        <v>2012</v>
      </c>
      <c r="C23" s="201">
        <f>AVERAGE('3. Consumption by Rate Class'!E97,'3. Consumption by Rate Class'!E108)</f>
        <v>8525</v>
      </c>
      <c r="D23" s="173">
        <f t="shared" si="4"/>
        <v>1.0118694362017804</v>
      </c>
      <c r="E23" s="201">
        <f>AVERAGE('3. Consumption by Rate Class'!G97,'3. Consumption by Rate Class'!G108)</f>
        <v>1067</v>
      </c>
      <c r="F23" s="173">
        <f t="shared" si="4"/>
        <v>0.99487179487179489</v>
      </c>
      <c r="G23" s="15">
        <f>AVERAGE('3. Consumption by Rate Class'!I97,'3. Consumption by Rate Class'!I108)</f>
        <v>94.5</v>
      </c>
      <c r="H23" s="173">
        <f t="shared" si="0"/>
        <v>0.984375</v>
      </c>
      <c r="I23" s="200"/>
      <c r="J23" s="173"/>
      <c r="K23" s="15">
        <f>AVERAGE('3. Consumption by Rate Class'!N97,'3. Consumption by Rate Class'!N108)</f>
        <v>137</v>
      </c>
      <c r="L23" s="173">
        <f t="shared" si="1"/>
        <v>1.0418250950570342</v>
      </c>
      <c r="M23" s="200">
        <f>IF(SUM('3. Consumption by Rate Class'!Q97:Q108)&gt;0,+AVERAGE('3. Consumption by Rate Class'!Q97,'3. Consumption by Rate Class'!Q108),0)</f>
        <v>2802</v>
      </c>
      <c r="N23" s="173">
        <f t="shared" si="5"/>
        <v>1.0155853570134106</v>
      </c>
      <c r="O23" s="201">
        <f>AVERAGE('3. Consumption by Rate Class'!T97,'3. Consumption by Rate Class'!T108)</f>
        <v>54</v>
      </c>
      <c r="P23" s="174">
        <f t="shared" si="6"/>
        <v>1.0188679245283019</v>
      </c>
      <c r="Q23" s="385">
        <v>1</v>
      </c>
      <c r="R23" s="174">
        <f t="shared" si="7"/>
        <v>1</v>
      </c>
      <c r="S23" s="385"/>
      <c r="T23" s="173"/>
      <c r="V23" s="396">
        <f t="shared" si="2"/>
        <v>12680.5</v>
      </c>
      <c r="W23" s="237">
        <f t="shared" si="3"/>
        <v>1.0113654490349338</v>
      </c>
    </row>
    <row r="24" spans="2:23" x14ac:dyDescent="0.2">
      <c r="B24" s="5">
        <f>'1. LDC Info'!F25-3</f>
        <v>2013</v>
      </c>
      <c r="C24" s="201">
        <f>AVERAGE('3. Consumption by Rate Class'!E109,'3. Consumption by Rate Class'!E120)</f>
        <v>8627</v>
      </c>
      <c r="D24" s="173">
        <f t="shared" si="4"/>
        <v>1.0119648093841642</v>
      </c>
      <c r="E24" s="201">
        <f>AVERAGE('3. Consumption by Rate Class'!G109,'3. Consumption by Rate Class'!G120)</f>
        <v>1058</v>
      </c>
      <c r="F24" s="173">
        <f t="shared" si="4"/>
        <v>0.99156513589503281</v>
      </c>
      <c r="G24" s="15">
        <f>AVERAGE('3. Consumption by Rate Class'!I109,'3. Consumption by Rate Class'!I120)</f>
        <v>93.5</v>
      </c>
      <c r="H24" s="173">
        <f t="shared" si="0"/>
        <v>0.98941798941798942</v>
      </c>
      <c r="I24" s="200"/>
      <c r="J24" s="173"/>
      <c r="K24" s="15">
        <f>AVERAGE('3. Consumption by Rate Class'!N109,'3. Consumption by Rate Class'!N120)</f>
        <v>141.5</v>
      </c>
      <c r="L24" s="173">
        <f t="shared" si="1"/>
        <v>1.0328467153284671</v>
      </c>
      <c r="M24" s="200">
        <f>IF(SUM('3. Consumption by Rate Class'!Q109:Q120)&gt;0,+AVERAGE('3. Consumption by Rate Class'!Q109,'3. Consumption by Rate Class'!Q120),0)</f>
        <v>2862</v>
      </c>
      <c r="N24" s="173">
        <f t="shared" si="5"/>
        <v>1.0214132762312633</v>
      </c>
      <c r="O24" s="201">
        <f>AVERAGE('3. Consumption by Rate Class'!T109,'3. Consumption by Rate Class'!T120)</f>
        <v>54</v>
      </c>
      <c r="P24" s="174">
        <f t="shared" si="6"/>
        <v>1</v>
      </c>
      <c r="Q24" s="385">
        <v>1</v>
      </c>
      <c r="R24" s="174">
        <f t="shared" si="7"/>
        <v>1</v>
      </c>
      <c r="S24" s="385"/>
      <c r="T24" s="173"/>
      <c r="V24" s="396">
        <f t="shared" si="2"/>
        <v>12837</v>
      </c>
      <c r="W24" s="237">
        <f t="shared" si="3"/>
        <v>1.0123417846299436</v>
      </c>
    </row>
    <row r="25" spans="2:23" x14ac:dyDescent="0.2">
      <c r="B25" s="5">
        <f>'1. LDC Info'!F25-2</f>
        <v>2014</v>
      </c>
      <c r="C25" s="201">
        <f>AVERAGE('3. Consumption by Rate Class'!E121,'3. Consumption by Rate Class'!E132)</f>
        <v>8760.5</v>
      </c>
      <c r="D25" s="173">
        <f t="shared" si="4"/>
        <v>1.015474672539701</v>
      </c>
      <c r="E25" s="201">
        <f>AVERAGE('3. Consumption by Rate Class'!G121,'3. Consumption by Rate Class'!G132)</f>
        <v>1068.5</v>
      </c>
      <c r="F25" s="173">
        <f t="shared" si="4"/>
        <v>1.0099243856332702</v>
      </c>
      <c r="G25" s="15">
        <f>AVERAGE('3. Consumption by Rate Class'!I121,'3. Consumption by Rate Class'!I132)</f>
        <v>93</v>
      </c>
      <c r="H25" s="173">
        <f t="shared" si="0"/>
        <v>0.99465240641711228</v>
      </c>
      <c r="I25" s="200"/>
      <c r="J25" s="173"/>
      <c r="K25" s="15">
        <f>AVERAGE('3. Consumption by Rate Class'!N121,'3. Consumption by Rate Class'!N132)</f>
        <v>138</v>
      </c>
      <c r="L25" s="173">
        <f t="shared" si="1"/>
        <v>0.97526501766784457</v>
      </c>
      <c r="M25" s="200">
        <f>IF(SUM('3. Consumption by Rate Class'!Q121:Q132)&gt;0,+AVERAGE('3. Consumption by Rate Class'!Q121,'3. Consumption by Rate Class'!Q132),0)</f>
        <v>2634</v>
      </c>
      <c r="N25" s="173">
        <f t="shared" si="5"/>
        <v>0.92033542976939209</v>
      </c>
      <c r="O25" s="201">
        <f>AVERAGE('3. Consumption by Rate Class'!T121,'3. Consumption by Rate Class'!T132)</f>
        <v>54</v>
      </c>
      <c r="P25" s="174">
        <f t="shared" si="6"/>
        <v>1</v>
      </c>
      <c r="Q25" s="385">
        <v>1</v>
      </c>
      <c r="R25" s="174">
        <f t="shared" si="7"/>
        <v>1</v>
      </c>
      <c r="S25" s="385"/>
      <c r="T25" s="173"/>
      <c r="V25" s="396">
        <f t="shared" si="2"/>
        <v>12749</v>
      </c>
      <c r="W25" s="237">
        <f t="shared" si="3"/>
        <v>0.99314481576692371</v>
      </c>
    </row>
    <row r="26" spans="2:23" x14ac:dyDescent="0.2">
      <c r="B26" s="5">
        <f>'1. LDC Info'!F25-1</f>
        <v>2015</v>
      </c>
      <c r="C26" s="201">
        <f>AVERAGE('3. Consumption by Rate Class'!E133,'3. Consumption by Rate Class'!E144)</f>
        <v>8885</v>
      </c>
      <c r="D26" s="173">
        <f t="shared" si="4"/>
        <v>1.0142115176074424</v>
      </c>
      <c r="E26" s="201">
        <f>AVERAGE('3. Consumption by Rate Class'!G133,'3. Consumption by Rate Class'!G144)</f>
        <v>1077.5</v>
      </c>
      <c r="F26" s="173">
        <f t="shared" si="4"/>
        <v>1.0084230229293403</v>
      </c>
      <c r="G26" s="15">
        <f>AVERAGE('3. Consumption by Rate Class'!I133,'3. Consumption by Rate Class'!I144)</f>
        <v>90</v>
      </c>
      <c r="H26" s="173">
        <f t="shared" si="0"/>
        <v>0.967741935483871</v>
      </c>
      <c r="I26" s="200"/>
      <c r="J26" s="173"/>
      <c r="K26" s="15">
        <f>AVERAGE('3. Consumption by Rate Class'!N133,'3. Consumption by Rate Class'!N144)</f>
        <v>134</v>
      </c>
      <c r="L26" s="173">
        <f t="shared" si="1"/>
        <v>0.97101449275362317</v>
      </c>
      <c r="M26" s="200">
        <f>IF(SUM('3. Consumption by Rate Class'!Q132:Q144)&gt;0,+AVERAGE('3. Consumption by Rate Class'!Q133,'3. Consumption by Rate Class'!Q144),0)</f>
        <v>2694</v>
      </c>
      <c r="N26" s="173">
        <f t="shared" si="5"/>
        <v>1.0227790432801822</v>
      </c>
      <c r="O26" s="201">
        <f>AVERAGE('3. Consumption by Rate Class'!T133,'3. Consumption by Rate Class'!T144)</f>
        <v>54</v>
      </c>
      <c r="P26" s="174">
        <f t="shared" si="6"/>
        <v>1</v>
      </c>
      <c r="Q26" s="385">
        <v>1</v>
      </c>
      <c r="R26" s="174">
        <f t="shared" si="7"/>
        <v>1</v>
      </c>
      <c r="S26" s="385"/>
      <c r="T26" s="173"/>
      <c r="V26" s="396">
        <f t="shared" si="2"/>
        <v>12935.5</v>
      </c>
      <c r="W26" s="237">
        <f t="shared" si="3"/>
        <v>1.0146285983214369</v>
      </c>
    </row>
    <row r="27" spans="2:23" x14ac:dyDescent="0.2">
      <c r="B27" s="9"/>
      <c r="C27" s="293"/>
      <c r="D27" s="7"/>
      <c r="E27" s="293"/>
      <c r="F27" s="7"/>
      <c r="G27" s="10"/>
      <c r="H27" s="7"/>
      <c r="I27" s="293"/>
      <c r="J27" s="7"/>
      <c r="K27" s="10"/>
      <c r="L27" s="7"/>
      <c r="M27" s="293"/>
      <c r="N27" s="7"/>
      <c r="O27" s="293"/>
      <c r="P27" s="8"/>
      <c r="Q27" s="293"/>
      <c r="R27" s="7"/>
      <c r="S27" s="293"/>
      <c r="T27" s="7"/>
      <c r="V27" s="238"/>
      <c r="W27" s="239"/>
    </row>
    <row r="28" spans="2:23" x14ac:dyDescent="0.2">
      <c r="B28" s="11" t="s">
        <v>4</v>
      </c>
      <c r="C28" s="293"/>
      <c r="D28" s="12">
        <f>GEOMEAN(D18:D26)</f>
        <v>1.015973431349555</v>
      </c>
      <c r="E28" s="295"/>
      <c r="F28" s="12">
        <f>GEOMEAN(F18:F26)</f>
        <v>1.0043197355088263</v>
      </c>
      <c r="G28" s="13"/>
      <c r="H28" s="12">
        <f>GEOMEAN(H18:H26)</f>
        <v>1.0307953186779488</v>
      </c>
      <c r="I28" s="295"/>
      <c r="J28" s="12"/>
      <c r="K28" s="13"/>
      <c r="L28" s="12">
        <f>GEOMEAN(L18:L26)</f>
        <v>0.99089324369193366</v>
      </c>
      <c r="M28" s="295"/>
      <c r="N28" s="12">
        <f>IF(SUM(N18:N26)&gt;0,+GEOMEAN(N18:N26),0)</f>
        <v>1.0009531365974109</v>
      </c>
      <c r="O28" s="295"/>
      <c r="P28" s="14">
        <f>GEOMEAN(P18:P26)</f>
        <v>0.99796328374175647</v>
      </c>
      <c r="Q28" s="295"/>
      <c r="R28" s="14">
        <f>GEOMEAN(R18:R26)</f>
        <v>1</v>
      </c>
      <c r="S28" s="295"/>
      <c r="T28" s="12"/>
      <c r="V28" s="238"/>
      <c r="W28" s="14">
        <f>GEOMEAN(W18:W26)</f>
        <v>1.0113943236927638</v>
      </c>
    </row>
    <row r="29" spans="2:23" x14ac:dyDescent="0.2">
      <c r="B29" s="11"/>
      <c r="C29" s="293"/>
      <c r="D29" s="12"/>
      <c r="E29" s="295"/>
      <c r="F29" s="12"/>
      <c r="G29" s="13"/>
      <c r="H29" s="12"/>
      <c r="I29" s="295"/>
      <c r="J29" s="12"/>
      <c r="K29" s="13"/>
      <c r="L29" s="12"/>
      <c r="M29" s="295"/>
      <c r="N29" s="12"/>
      <c r="O29" s="295"/>
      <c r="P29" s="14"/>
      <c r="Q29" s="295"/>
      <c r="R29" s="12"/>
      <c r="S29" s="295"/>
      <c r="T29" s="12"/>
      <c r="V29" s="238"/>
      <c r="W29" s="239"/>
    </row>
    <row r="30" spans="2:23" x14ac:dyDescent="0.2">
      <c r="B30" s="779" t="str">
        <f>'1. LDC Info'!F25</f>
        <v>2016</v>
      </c>
      <c r="C30" s="780">
        <f>C26*D28</f>
        <v>9026.923937540796</v>
      </c>
      <c r="D30" s="781" t="s">
        <v>30</v>
      </c>
      <c r="E30" s="780">
        <f>E26*F28</f>
        <v>1082.1545150107602</v>
      </c>
      <c r="F30" s="782"/>
      <c r="G30" s="783">
        <f>G26*H28</f>
        <v>92.771578681015399</v>
      </c>
      <c r="H30" s="782"/>
      <c r="I30" s="780"/>
      <c r="J30" s="782"/>
      <c r="K30" s="783">
        <f>K26*L28</f>
        <v>132.77969465471912</v>
      </c>
      <c r="L30" s="782"/>
      <c r="M30" s="780">
        <f>M26*N28</f>
        <v>2696.567749993425</v>
      </c>
      <c r="N30" s="782"/>
      <c r="O30" s="780">
        <f>O26*P28</f>
        <v>53.890017322054852</v>
      </c>
      <c r="P30" s="784"/>
      <c r="Q30" s="780">
        <f>Q26*R28</f>
        <v>1</v>
      </c>
      <c r="R30" s="782"/>
      <c r="S30" s="387"/>
      <c r="T30" s="724"/>
      <c r="V30" s="792">
        <f>+C30+E30+G30+I30+K30+M30+O30+R30</f>
        <v>13085.087493202769</v>
      </c>
      <c r="W30" s="793"/>
    </row>
    <row r="31" spans="2:23" ht="13.5" thickBot="1" x14ac:dyDescent="0.25">
      <c r="B31" s="785" t="str">
        <f>'1. LDC Info'!F27</f>
        <v>2017</v>
      </c>
      <c r="C31" s="786">
        <f>C30*D28</f>
        <v>9171.114887354759</v>
      </c>
      <c r="D31" s="787" t="s">
        <v>30</v>
      </c>
      <c r="E31" s="786">
        <f>E30*F28</f>
        <v>1086.8291362952889</v>
      </c>
      <c r="F31" s="788"/>
      <c r="G31" s="789">
        <f>G30*H28</f>
        <v>95.628509010753675</v>
      </c>
      <c r="H31" s="788"/>
      <c r="I31" s="786"/>
      <c r="J31" s="788"/>
      <c r="K31" s="789">
        <f>K30*L28</f>
        <v>131.57050233283914</v>
      </c>
      <c r="L31" s="788"/>
      <c r="M31" s="786">
        <f>M30*N28</f>
        <v>2699.1379474033415</v>
      </c>
      <c r="N31" s="788"/>
      <c r="O31" s="786">
        <f>O30*P28</f>
        <v>53.780258647617998</v>
      </c>
      <c r="P31" s="790"/>
      <c r="Q31" s="786">
        <f>Q30*R28</f>
        <v>1</v>
      </c>
      <c r="R31" s="788"/>
      <c r="S31" s="294"/>
      <c r="T31" s="725"/>
      <c r="V31" s="792">
        <f>+C31+E31+G31+I31+K31+M31+O31+R31</f>
        <v>13238.061241044601</v>
      </c>
      <c r="W31" s="794"/>
    </row>
    <row r="32" spans="2:23" x14ac:dyDescent="0.2">
      <c r="V32" s="236"/>
    </row>
    <row r="33" spans="2:23" x14ac:dyDescent="0.2">
      <c r="B33" s="177" t="s">
        <v>173</v>
      </c>
      <c r="V33" s="236"/>
    </row>
    <row r="34" spans="2:23" ht="13.5" thickBot="1" x14ac:dyDescent="0.25">
      <c r="V34" s="236"/>
    </row>
    <row r="35" spans="2:23" x14ac:dyDescent="0.2">
      <c r="B35" s="276" t="s">
        <v>31</v>
      </c>
      <c r="C35" s="19"/>
      <c r="D35" s="19"/>
      <c r="E35" s="19"/>
      <c r="F35" s="19"/>
      <c r="G35" s="19"/>
      <c r="H35" s="19"/>
      <c r="I35" s="19"/>
      <c r="J35" s="19"/>
      <c r="K35" s="19"/>
      <c r="L35" s="19"/>
      <c r="M35" s="19"/>
      <c r="N35" s="19"/>
      <c r="O35" s="19"/>
      <c r="P35" s="20"/>
      <c r="Q35" s="19"/>
      <c r="R35" s="20"/>
      <c r="S35" s="19"/>
      <c r="T35" s="20"/>
      <c r="V35" s="900" t="s">
        <v>31</v>
      </c>
      <c r="W35" s="901"/>
    </row>
    <row r="36" spans="2:23" x14ac:dyDescent="0.2">
      <c r="B36" s="168" t="str">
        <f>'1. LDC Info'!F25</f>
        <v>2016</v>
      </c>
      <c r="C36" s="296"/>
      <c r="D36" s="7">
        <f>C36/C26</f>
        <v>0</v>
      </c>
      <c r="E36" s="296"/>
      <c r="F36" s="7">
        <f>E36/E26</f>
        <v>0</v>
      </c>
      <c r="G36" s="296"/>
      <c r="H36" s="7">
        <f>G36/G26</f>
        <v>0</v>
      </c>
      <c r="I36" s="296"/>
      <c r="J36" s="173">
        <f>IF(I36&gt;0,+I36/I26,0)</f>
        <v>0</v>
      </c>
      <c r="K36" s="296"/>
      <c r="L36" s="7">
        <f>K36/K26</f>
        <v>0</v>
      </c>
      <c r="M36" s="296"/>
      <c r="N36" s="173">
        <f>IF(M36&gt;0,+M36/M26,0)</f>
        <v>0</v>
      </c>
      <c r="O36" s="296"/>
      <c r="P36" s="8">
        <f>O36/O26</f>
        <v>0</v>
      </c>
      <c r="Q36" s="21">
        <v>0</v>
      </c>
      <c r="R36" s="8">
        <f>Q36/Q26</f>
        <v>0</v>
      </c>
      <c r="S36" s="21"/>
      <c r="T36" s="8"/>
      <c r="V36" s="396">
        <f>+C36+E36+G36+I36+K36+M36+O36</f>
        <v>0</v>
      </c>
      <c r="W36" s="174">
        <f>V36/V26</f>
        <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0">
        <f>IF(O37&gt;0,+O37/O36,0)</f>
        <v>0</v>
      </c>
      <c r="Q37" s="22">
        <v>0</v>
      </c>
      <c r="R37" s="240">
        <f>IF(Q37&gt;0,+Q37/Q36,0)</f>
        <v>0</v>
      </c>
      <c r="S37" s="22"/>
      <c r="T37" s="23"/>
      <c r="V37" s="397">
        <f>+C37+E37+G37+I37+K37+M37+O37</f>
        <v>0</v>
      </c>
      <c r="W37" s="240">
        <f>IF(V37&gt;0,+V37/V36,0)</f>
        <v>0</v>
      </c>
    </row>
    <row r="38" spans="2:23" x14ac:dyDescent="0.2">
      <c r="C38" s="182" t="s">
        <v>30</v>
      </c>
      <c r="V38" s="236"/>
    </row>
    <row r="39" spans="2:23" x14ac:dyDescent="0.2">
      <c r="B39" s="1" t="s">
        <v>128</v>
      </c>
      <c r="V39" s="236"/>
    </row>
    <row r="40" spans="2:23" ht="13.5" thickBot="1" x14ac:dyDescent="0.25">
      <c r="V40" s="236"/>
    </row>
    <row r="41" spans="2:23" x14ac:dyDescent="0.2">
      <c r="B41" s="904" t="s">
        <v>157</v>
      </c>
      <c r="C41" s="905"/>
      <c r="D41" s="905"/>
      <c r="E41" s="905"/>
      <c r="F41" s="905"/>
      <c r="G41" s="905"/>
      <c r="H41" s="905"/>
      <c r="I41" s="905"/>
      <c r="J41" s="905"/>
      <c r="K41" s="905"/>
      <c r="L41" s="905"/>
      <c r="M41" s="905"/>
      <c r="N41" s="905"/>
      <c r="O41" s="905"/>
      <c r="P41" s="905"/>
      <c r="Q41" s="905"/>
      <c r="R41" s="906"/>
      <c r="V41" s="900" t="s">
        <v>31</v>
      </c>
      <c r="W41" s="901"/>
    </row>
    <row r="42" spans="2:23" ht="13.5" thickBot="1" x14ac:dyDescent="0.25">
      <c r="B42" s="546">
        <v>2014</v>
      </c>
      <c r="C42" s="720">
        <f>IF(C36&gt;0,+C36,C30)</f>
        <v>9026.923937540796</v>
      </c>
      <c r="D42" s="517">
        <f>IF(D36&gt;0,+D36,D28)</f>
        <v>1.015973431349555</v>
      </c>
      <c r="E42" s="720">
        <f>IF(E36&gt;0,+E36,E30)</f>
        <v>1082.1545150107602</v>
      </c>
      <c r="F42" s="517">
        <f>IF(F36&gt;0,+F36,F28)</f>
        <v>1.0043197355088263</v>
      </c>
      <c r="G42" s="720">
        <f>IF(G36&gt;0,+G36,G30)</f>
        <v>92.771578681015399</v>
      </c>
      <c r="H42" s="517">
        <f>IF(H36&gt;0,+H36,H28)</f>
        <v>1.0307953186779488</v>
      </c>
      <c r="I42" s="514">
        <f>IF(I36&gt;0,+I36,I30)</f>
        <v>0</v>
      </c>
      <c r="J42" s="517">
        <f>IF(J36&gt;0,+J36,J28)</f>
        <v>0</v>
      </c>
      <c r="K42" s="720">
        <f>IF(K36&gt;0,+K36,K30)</f>
        <v>132.77969465471912</v>
      </c>
      <c r="L42" s="517">
        <f>IF(L36&gt;0,+L36,L28)</f>
        <v>0.99089324369193366</v>
      </c>
      <c r="M42" s="720">
        <f>IF(M36&gt;0,+M36,M30)</f>
        <v>2696.567749993425</v>
      </c>
      <c r="N42" s="517">
        <f>IF(N36&gt;0,+N36,N28)</f>
        <v>1.0009531365974109</v>
      </c>
      <c r="O42" s="720">
        <f>IF(O36&gt;0,+O36,O30)</f>
        <v>53.890017322054852</v>
      </c>
      <c r="P42" s="517">
        <f>IF(P36&gt;0,+P36,P28)</f>
        <v>0.99796328374175647</v>
      </c>
      <c r="Q42" s="514">
        <f>IF(Q36&gt;0,+Q36,Q30)</f>
        <v>1</v>
      </c>
      <c r="R42" s="722">
        <f>IF(R36&gt;0,+R36,R28)</f>
        <v>1</v>
      </c>
      <c r="V42" s="396">
        <f>+C42+E42+G42+I42+K42+M42+O42</f>
        <v>13085.087493202769</v>
      </c>
      <c r="W42" s="254">
        <f>IF(V36&gt;1,+W36,W28)</f>
        <v>1.0113943236927638</v>
      </c>
    </row>
    <row r="43" spans="2:23" ht="13.5" thickBot="1" x14ac:dyDescent="0.25">
      <c r="B43" s="217">
        <v>2015</v>
      </c>
      <c r="C43" s="721">
        <f>IF(C37&gt;0,+C37,C31)</f>
        <v>9171.114887354759</v>
      </c>
      <c r="D43" s="220">
        <f>IF(D37&gt;0,+D37,D28)</f>
        <v>1.015973431349555</v>
      </c>
      <c r="E43" s="721">
        <f>IF(E37&gt;0,+E37,E31)</f>
        <v>1086.8291362952889</v>
      </c>
      <c r="F43" s="220">
        <f>IF(F37&gt;0,+F37,F28)</f>
        <v>1.0043197355088263</v>
      </c>
      <c r="G43" s="721">
        <f>IF(G37&gt;0,+G37,G31)</f>
        <v>95.628509010753675</v>
      </c>
      <c r="H43" s="220">
        <f>IF(H37&gt;0,+H37,H28)</f>
        <v>1.0307953186779488</v>
      </c>
      <c r="I43" s="292">
        <f>IF(I37&gt;0,+I37,I31)</f>
        <v>0</v>
      </c>
      <c r="J43" s="220">
        <f>IF(J37&gt;0,+J37,J28)</f>
        <v>0</v>
      </c>
      <c r="K43" s="721">
        <f>IF(K37&gt;0,+K37,K31)</f>
        <v>131.57050233283914</v>
      </c>
      <c r="L43" s="220">
        <f>IF(L37&gt;0,+L37,L28)</f>
        <v>0.99089324369193366</v>
      </c>
      <c r="M43" s="721">
        <f>IF(M37&gt;0,+M37,M31)</f>
        <v>2699.1379474033415</v>
      </c>
      <c r="N43" s="220">
        <f>IF(N37&gt;0,+N37,N28)</f>
        <v>1.0009531365974109</v>
      </c>
      <c r="O43" s="721">
        <f>IF(O37&gt;0,+O37,O31)</f>
        <v>53.780258647617998</v>
      </c>
      <c r="P43" s="220">
        <f>IF(P37&gt;0,+P37,P28)</f>
        <v>0.99796328374175647</v>
      </c>
      <c r="Q43" s="292">
        <f>IF(Q37&gt;0,+Q37,Q31)</f>
        <v>1</v>
      </c>
      <c r="R43" s="723">
        <f>IF(R37&gt;0,+R37,R28)</f>
        <v>1</v>
      </c>
      <c r="V43" s="397">
        <f>+C43+E43+G43+I43+K43+M43+O43</f>
        <v>13238.061241044601</v>
      </c>
      <c r="W43" s="255">
        <f>IF(W37&gt;1,+W37,W28)</f>
        <v>1.0113943236927638</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67" zoomScaleNormal="100" zoomScaleSheetLayoutView="100" workbookViewId="0">
      <selection activeCell="B91" sqref="B91"/>
    </sheetView>
  </sheetViews>
  <sheetFormatPr defaultRowHeight="12.75" x14ac:dyDescent="0.2"/>
  <cols>
    <col min="1" max="1" width="13.6640625" style="1" customWidth="1"/>
    <col min="2" max="2" width="24.83203125" style="52" customWidth="1"/>
    <col min="3" max="14" width="14.83203125" style="52" customWidth="1"/>
    <col min="15" max="15" width="16.6640625" style="1" customWidth="1"/>
    <col min="16" max="25" width="9.33203125" style="1"/>
    <col min="26" max="26" width="19.33203125" style="1" customWidth="1"/>
    <col min="27" max="16384" width="9.33203125" style="1"/>
  </cols>
  <sheetData>
    <row r="1" spans="1:15" s="532" customFormat="1" x14ac:dyDescent="0.2">
      <c r="A1" s="726" t="s">
        <v>266</v>
      </c>
      <c r="B1" s="52"/>
      <c r="C1" s="52"/>
      <c r="D1" s="52"/>
      <c r="E1" s="52"/>
      <c r="F1" s="52"/>
      <c r="G1" s="52"/>
      <c r="H1" s="52"/>
      <c r="I1" s="52"/>
      <c r="J1" s="52"/>
      <c r="K1" s="52"/>
      <c r="L1" s="52"/>
      <c r="M1" s="52"/>
      <c r="N1" s="52"/>
    </row>
    <row r="2" spans="1:15" s="532" customFormat="1" x14ac:dyDescent="0.2">
      <c r="B2" s="52"/>
      <c r="C2" s="52"/>
      <c r="D2" s="52"/>
      <c r="E2" s="52"/>
      <c r="F2" s="52"/>
      <c r="G2" s="52"/>
      <c r="H2" s="52"/>
      <c r="I2" s="52"/>
      <c r="J2" s="52"/>
      <c r="K2" s="52"/>
      <c r="L2" s="52"/>
      <c r="M2" s="52"/>
      <c r="N2" s="52"/>
    </row>
    <row r="3" spans="1:15" s="532" customFormat="1" x14ac:dyDescent="0.2">
      <c r="B3" s="52"/>
      <c r="C3" s="52"/>
      <c r="D3" s="52"/>
      <c r="E3" s="52"/>
      <c r="F3" s="52"/>
      <c r="G3" s="52"/>
      <c r="H3" s="52"/>
      <c r="I3" s="52"/>
      <c r="J3" s="52"/>
      <c r="K3" s="52"/>
      <c r="L3" s="52"/>
      <c r="M3" s="52"/>
      <c r="N3" s="52"/>
    </row>
    <row r="4" spans="1:15" s="532" customFormat="1" x14ac:dyDescent="0.2">
      <c r="B4" s="52"/>
      <c r="C4" s="52"/>
      <c r="D4" s="52"/>
      <c r="E4" s="52"/>
      <c r="F4" s="52"/>
      <c r="G4" s="52"/>
      <c r="H4" s="52"/>
      <c r="I4" s="52"/>
      <c r="J4" s="52"/>
      <c r="K4" s="52"/>
      <c r="L4" s="52"/>
      <c r="M4" s="52"/>
      <c r="N4" s="52"/>
    </row>
    <row r="5" spans="1:15" s="532" customFormat="1" x14ac:dyDescent="0.2">
      <c r="B5" s="52"/>
      <c r="C5" s="52"/>
      <c r="D5" s="52"/>
      <c r="E5" s="52"/>
      <c r="F5" s="52"/>
      <c r="G5" s="52"/>
      <c r="H5" s="52"/>
      <c r="I5" s="52"/>
      <c r="J5" s="52"/>
      <c r="K5" s="52"/>
      <c r="L5" s="52"/>
      <c r="M5" s="52"/>
      <c r="N5" s="52"/>
    </row>
    <row r="6" spans="1:15" s="532" customFormat="1" x14ac:dyDescent="0.2">
      <c r="B6" s="52"/>
      <c r="C6" s="52"/>
      <c r="D6" s="52"/>
      <c r="E6" s="52"/>
      <c r="F6" s="52"/>
      <c r="G6" s="52"/>
      <c r="H6" s="52"/>
      <c r="I6" s="52"/>
      <c r="J6" s="52"/>
      <c r="K6" s="52"/>
      <c r="L6" s="52"/>
      <c r="M6" s="52"/>
      <c r="N6" s="52"/>
    </row>
    <row r="7" spans="1:15" s="532" customFormat="1" x14ac:dyDescent="0.2">
      <c r="B7" s="52"/>
      <c r="C7" s="52"/>
      <c r="D7" s="52"/>
      <c r="E7" s="52"/>
      <c r="F7" s="52"/>
      <c r="G7" s="52"/>
      <c r="H7" s="52"/>
      <c r="I7" s="52"/>
      <c r="J7" s="52"/>
      <c r="K7" s="52"/>
      <c r="L7" s="52"/>
      <c r="M7" s="52"/>
      <c r="N7" s="52"/>
    </row>
    <row r="8" spans="1:15" s="532" customFormat="1" x14ac:dyDescent="0.2">
      <c r="B8" s="52"/>
      <c r="C8" s="52"/>
      <c r="D8" s="52"/>
      <c r="E8" s="52"/>
      <c r="F8" s="52"/>
      <c r="G8" s="52"/>
      <c r="H8" s="52"/>
      <c r="I8" s="52"/>
      <c r="J8" s="52"/>
      <c r="K8" s="52"/>
      <c r="L8" s="52"/>
      <c r="M8" s="52"/>
      <c r="N8" s="52"/>
    </row>
    <row r="9" spans="1:15" s="532" customFormat="1" x14ac:dyDescent="0.2">
      <c r="B9" s="52"/>
      <c r="C9" s="52"/>
      <c r="D9" s="52"/>
      <c r="E9" s="52"/>
      <c r="F9" s="52"/>
      <c r="G9" s="52"/>
      <c r="H9" s="52"/>
      <c r="I9" s="52"/>
      <c r="J9" s="52"/>
      <c r="K9" s="52"/>
      <c r="L9" s="52"/>
      <c r="M9" s="52"/>
      <c r="N9" s="52"/>
    </row>
    <row r="10" spans="1:15" x14ac:dyDescent="0.2">
      <c r="A10" s="242"/>
      <c r="B10" s="243"/>
      <c r="C10" s="243"/>
      <c r="D10" s="243"/>
      <c r="E10" s="243"/>
      <c r="F10" s="243"/>
      <c r="G10" s="243"/>
      <c r="H10" s="243"/>
      <c r="I10" s="243"/>
      <c r="J10" s="243"/>
      <c r="K10" s="243"/>
      <c r="L10" s="243"/>
      <c r="M10" s="243"/>
      <c r="N10" s="243"/>
      <c r="O10" s="242"/>
    </row>
    <row r="11" spans="1:15" ht="23.25" x14ac:dyDescent="0.35">
      <c r="A11" s="242"/>
      <c r="B11" s="244" t="s">
        <v>147</v>
      </c>
      <c r="C11" s="243"/>
      <c r="D11" s="243"/>
      <c r="E11" s="243"/>
      <c r="F11" s="243"/>
      <c r="G11" s="243"/>
      <c r="H11" s="243"/>
      <c r="I11" s="243"/>
      <c r="J11" s="243"/>
      <c r="K11" s="243"/>
      <c r="L11" s="243"/>
      <c r="M11" s="242"/>
      <c r="N11" s="1"/>
    </row>
    <row r="12" spans="1:15" ht="15" x14ac:dyDescent="0.2">
      <c r="A12" s="242"/>
      <c r="B12" s="57" t="s">
        <v>63</v>
      </c>
      <c r="C12" s="243"/>
      <c r="D12" s="243"/>
      <c r="E12" s="243"/>
      <c r="F12" s="243"/>
      <c r="G12" s="243"/>
      <c r="H12" s="243"/>
      <c r="I12" s="243"/>
      <c r="J12" s="243"/>
      <c r="K12" s="243"/>
      <c r="L12" s="243"/>
      <c r="M12" s="243"/>
      <c r="N12" s="243"/>
      <c r="O12" s="242"/>
    </row>
    <row r="13" spans="1:15" ht="14.25" x14ac:dyDescent="0.2">
      <c r="A13" s="242"/>
      <c r="B13" s="99" t="s">
        <v>244</v>
      </c>
      <c r="C13" s="243"/>
      <c r="D13" s="243"/>
      <c r="E13" s="243"/>
      <c r="F13" s="243"/>
      <c r="G13" s="243"/>
      <c r="H13" s="243"/>
      <c r="I13" s="243"/>
      <c r="J13" s="243"/>
      <c r="K13" s="243"/>
      <c r="L13" s="243"/>
      <c r="M13" s="243"/>
      <c r="N13" s="243"/>
      <c r="O13" s="242"/>
    </row>
    <row r="14" spans="1:15" ht="14.25" x14ac:dyDescent="0.2">
      <c r="A14" s="242"/>
      <c r="B14" s="718" t="s">
        <v>245</v>
      </c>
      <c r="C14" s="243"/>
      <c r="D14" s="243"/>
      <c r="E14" s="243"/>
      <c r="F14" s="243"/>
      <c r="G14" s="243"/>
      <c r="H14" s="243"/>
      <c r="I14" s="243"/>
      <c r="J14" s="243"/>
      <c r="K14" s="243"/>
      <c r="L14" s="243"/>
      <c r="M14" s="243"/>
      <c r="N14" s="243"/>
      <c r="O14" s="242"/>
    </row>
    <row r="15" spans="1:15" x14ac:dyDescent="0.2">
      <c r="A15" s="242"/>
      <c r="B15" s="243"/>
      <c r="C15" s="243"/>
      <c r="D15" s="243"/>
      <c r="E15" s="243"/>
      <c r="F15" s="243"/>
      <c r="G15" s="243"/>
      <c r="H15" s="243"/>
      <c r="I15" s="243"/>
      <c r="J15" s="243"/>
      <c r="K15" s="243"/>
      <c r="L15" s="243"/>
      <c r="M15" s="243"/>
      <c r="N15" s="243"/>
      <c r="O15" s="242"/>
    </row>
    <row r="16" spans="1:15" x14ac:dyDescent="0.2">
      <c r="A16" s="242"/>
      <c r="B16" s="241" t="s">
        <v>1</v>
      </c>
      <c r="C16" s="246" t="s">
        <v>135</v>
      </c>
      <c r="D16" s="246" t="s">
        <v>136</v>
      </c>
      <c r="E16" s="246" t="s">
        <v>137</v>
      </c>
      <c r="F16" s="246" t="s">
        <v>138</v>
      </c>
      <c r="G16" s="246" t="s">
        <v>114</v>
      </c>
      <c r="H16" s="246" t="s">
        <v>139</v>
      </c>
      <c r="I16" s="246" t="s">
        <v>140</v>
      </c>
      <c r="J16" s="246" t="s">
        <v>141</v>
      </c>
      <c r="K16" s="246" t="s">
        <v>142</v>
      </c>
      <c r="L16" s="246" t="s">
        <v>145</v>
      </c>
      <c r="M16" s="246" t="s">
        <v>143</v>
      </c>
      <c r="N16" s="246" t="s">
        <v>144</v>
      </c>
      <c r="O16" s="242"/>
    </row>
    <row r="17" spans="1:26" x14ac:dyDescent="0.2">
      <c r="A17" s="245"/>
      <c r="B17" s="247" t="s">
        <v>288</v>
      </c>
      <c r="C17" s="526">
        <v>761.8</v>
      </c>
      <c r="D17" s="526">
        <v>669.3</v>
      </c>
      <c r="E17" s="526">
        <v>625.5</v>
      </c>
      <c r="F17" s="526">
        <v>415.6</v>
      </c>
      <c r="G17" s="526">
        <v>252.7</v>
      </c>
      <c r="H17" s="526">
        <v>38.700000000000003</v>
      </c>
      <c r="I17" s="526">
        <v>12.9</v>
      </c>
      <c r="J17" s="526">
        <v>3.1</v>
      </c>
      <c r="K17" s="526">
        <v>65.5</v>
      </c>
      <c r="L17" s="526">
        <v>275.3</v>
      </c>
      <c r="M17" s="526">
        <v>513</v>
      </c>
      <c r="N17" s="526">
        <v>539</v>
      </c>
      <c r="O17" s="242"/>
    </row>
    <row r="18" spans="1:26" ht="12" customHeight="1" x14ac:dyDescent="0.2">
      <c r="A18" s="242"/>
      <c r="B18" s="247">
        <f>'1. LDC Info'!F27-20</f>
        <v>1997</v>
      </c>
      <c r="C18" s="526">
        <v>739</v>
      </c>
      <c r="D18" s="526">
        <v>582.79999999999995</v>
      </c>
      <c r="E18" s="526">
        <v>601.6</v>
      </c>
      <c r="F18" s="526">
        <v>389.4</v>
      </c>
      <c r="G18" s="526">
        <v>290</v>
      </c>
      <c r="H18" s="526">
        <v>33.299999999999997</v>
      </c>
      <c r="I18" s="526">
        <v>24.6</v>
      </c>
      <c r="J18" s="526">
        <v>17.100000000000001</v>
      </c>
      <c r="K18" s="526">
        <v>105.7</v>
      </c>
      <c r="L18" s="526">
        <v>293.7</v>
      </c>
      <c r="M18" s="526">
        <v>457.6</v>
      </c>
      <c r="N18" s="526">
        <v>578.6</v>
      </c>
      <c r="O18" s="242"/>
    </row>
    <row r="19" spans="1:26" ht="12" customHeight="1" x14ac:dyDescent="0.2">
      <c r="A19" s="242"/>
      <c r="B19" s="247">
        <f>'1. LDC Info'!F27-19</f>
        <v>1998</v>
      </c>
      <c r="C19" s="526">
        <v>639.29999999999995</v>
      </c>
      <c r="D19" s="526">
        <v>520.70000000000005</v>
      </c>
      <c r="E19" s="526">
        <v>518.79999999999995</v>
      </c>
      <c r="F19" s="526">
        <v>323.60000000000002</v>
      </c>
      <c r="G19" s="526">
        <v>78.8</v>
      </c>
      <c r="H19" s="526">
        <v>66.3</v>
      </c>
      <c r="I19" s="526">
        <v>4.5999999999999996</v>
      </c>
      <c r="J19" s="526">
        <v>5.2</v>
      </c>
      <c r="K19" s="526">
        <v>56.3</v>
      </c>
      <c r="L19" s="526">
        <v>247.6</v>
      </c>
      <c r="M19" s="526">
        <v>419.1</v>
      </c>
      <c r="N19" s="526">
        <v>566.4</v>
      </c>
      <c r="O19" s="242"/>
    </row>
    <row r="20" spans="1:26" ht="12" customHeight="1" x14ac:dyDescent="0.2">
      <c r="A20" s="242"/>
      <c r="B20" s="247">
        <f>'1. LDC Info'!F27-18</f>
        <v>1999</v>
      </c>
      <c r="C20" s="526">
        <v>738.5</v>
      </c>
      <c r="D20" s="526">
        <v>551.79999999999995</v>
      </c>
      <c r="E20" s="526">
        <v>576.5</v>
      </c>
      <c r="F20" s="526">
        <v>335.6</v>
      </c>
      <c r="G20" s="526">
        <v>136.1</v>
      </c>
      <c r="H20" s="526">
        <v>36.1</v>
      </c>
      <c r="I20" s="526">
        <v>4.4000000000000004</v>
      </c>
      <c r="J20" s="526">
        <v>14.9</v>
      </c>
      <c r="K20" s="526">
        <v>56.7</v>
      </c>
      <c r="L20" s="526">
        <v>269.10000000000002</v>
      </c>
      <c r="M20" s="526">
        <v>385.3</v>
      </c>
      <c r="N20" s="526">
        <v>586.6</v>
      </c>
      <c r="O20" s="242"/>
    </row>
    <row r="21" spans="1:26" ht="12" customHeight="1" x14ac:dyDescent="0.2">
      <c r="A21" s="242"/>
      <c r="B21" s="247">
        <f>'1. LDC Info'!F27-17</f>
        <v>2000</v>
      </c>
      <c r="C21" s="526">
        <v>678.5</v>
      </c>
      <c r="D21" s="526">
        <v>577</v>
      </c>
      <c r="E21" s="526">
        <v>473.9</v>
      </c>
      <c r="F21" s="526">
        <v>377.8</v>
      </c>
      <c r="G21" s="526">
        <v>193.7</v>
      </c>
      <c r="H21" s="526">
        <v>73.5</v>
      </c>
      <c r="I21" s="526">
        <v>16.899999999999999</v>
      </c>
      <c r="J21" s="526">
        <v>25.7</v>
      </c>
      <c r="K21" s="526">
        <v>124</v>
      </c>
      <c r="L21" s="526">
        <v>251.1</v>
      </c>
      <c r="M21" s="526">
        <v>432.2</v>
      </c>
      <c r="N21" s="526">
        <v>769.6</v>
      </c>
      <c r="O21" s="242"/>
    </row>
    <row r="22" spans="1:26" ht="12" customHeight="1" x14ac:dyDescent="0.2">
      <c r="A22" s="242"/>
      <c r="B22" s="247">
        <f>'1. LDC Info'!F27-16</f>
        <v>2001</v>
      </c>
      <c r="C22" s="526">
        <v>657.4</v>
      </c>
      <c r="D22" s="526">
        <v>601</v>
      </c>
      <c r="E22" s="526">
        <v>581.1</v>
      </c>
      <c r="F22" s="526">
        <v>335.8</v>
      </c>
      <c r="G22" s="526">
        <v>158.19999999999999</v>
      </c>
      <c r="H22" s="526">
        <v>51.1</v>
      </c>
      <c r="I22" s="526">
        <v>28</v>
      </c>
      <c r="J22" s="526">
        <v>3</v>
      </c>
      <c r="K22" s="526">
        <v>80.900000000000006</v>
      </c>
      <c r="L22" s="526">
        <v>263.8</v>
      </c>
      <c r="M22" s="526">
        <v>368.5</v>
      </c>
      <c r="N22" s="526">
        <v>521.1</v>
      </c>
      <c r="O22" s="242"/>
    </row>
    <row r="23" spans="1:26" ht="12" customHeight="1" x14ac:dyDescent="0.2">
      <c r="A23" s="242"/>
      <c r="B23" s="247">
        <f>'1. LDC Info'!F27-15</f>
        <v>2002</v>
      </c>
      <c r="C23" s="526">
        <v>573.79999999999995</v>
      </c>
      <c r="D23" s="526">
        <v>547.4</v>
      </c>
      <c r="E23" s="526">
        <v>474.8</v>
      </c>
      <c r="F23" s="526">
        <v>354</v>
      </c>
      <c r="G23" s="526">
        <v>261.89999999999998</v>
      </c>
      <c r="H23" s="526">
        <v>57.8</v>
      </c>
      <c r="I23" s="526">
        <v>5</v>
      </c>
      <c r="J23" s="526">
        <v>3</v>
      </c>
      <c r="K23" s="526">
        <v>35.799999999999997</v>
      </c>
      <c r="L23" s="526">
        <v>295.89999999999998</v>
      </c>
      <c r="M23" s="526">
        <v>446.6</v>
      </c>
      <c r="N23" s="526">
        <v>617.4</v>
      </c>
      <c r="O23" s="242"/>
    </row>
    <row r="24" spans="1:26" ht="12" customHeight="1" x14ac:dyDescent="0.2">
      <c r="A24" s="242"/>
      <c r="B24" s="247">
        <f>'1. LDC Info'!F27-14</f>
        <v>2003</v>
      </c>
      <c r="C24" s="526">
        <v>832.6</v>
      </c>
      <c r="D24" s="526">
        <v>713.4</v>
      </c>
      <c r="E24" s="526">
        <v>592.20000000000005</v>
      </c>
      <c r="F24" s="526">
        <v>435.4</v>
      </c>
      <c r="G24" s="526">
        <v>207.7</v>
      </c>
      <c r="H24" s="526">
        <v>65.400000000000006</v>
      </c>
      <c r="I24" s="526">
        <v>11.9</v>
      </c>
      <c r="J24" s="526">
        <v>9.6999999999999993</v>
      </c>
      <c r="K24" s="526">
        <v>59.9</v>
      </c>
      <c r="L24" s="526">
        <v>325.60000000000002</v>
      </c>
      <c r="M24" s="526">
        <v>420.5</v>
      </c>
      <c r="N24" s="526">
        <v>606.4</v>
      </c>
      <c r="O24" s="242"/>
    </row>
    <row r="25" spans="1:26" ht="12" customHeight="1" x14ac:dyDescent="0.2">
      <c r="A25" s="242"/>
      <c r="B25" s="247">
        <f>'1. LDC Info'!F27-13</f>
        <v>2004</v>
      </c>
      <c r="C25" s="526">
        <v>872.6</v>
      </c>
      <c r="D25" s="526">
        <v>636.4</v>
      </c>
      <c r="E25" s="526">
        <v>519.9</v>
      </c>
      <c r="F25" s="526">
        <v>372.3</v>
      </c>
      <c r="G25" s="526">
        <v>205.4</v>
      </c>
      <c r="H25" s="526">
        <v>100.8</v>
      </c>
      <c r="I25" s="526">
        <v>14.7</v>
      </c>
      <c r="J25" s="526">
        <v>26.9</v>
      </c>
      <c r="K25" s="526">
        <v>50.3</v>
      </c>
      <c r="L25" s="526">
        <v>250.1</v>
      </c>
      <c r="M25" s="526">
        <v>411</v>
      </c>
      <c r="N25" s="526">
        <v>645.20000000000005</v>
      </c>
      <c r="O25" s="242"/>
    </row>
    <row r="26" spans="1:26" ht="12" customHeight="1" x14ac:dyDescent="0.2">
      <c r="A26" s="242"/>
      <c r="B26" s="247">
        <f>'1. LDC Info'!F27-12</f>
        <v>2005</v>
      </c>
      <c r="C26" s="526">
        <v>782.8</v>
      </c>
      <c r="D26" s="526">
        <v>631.29999999999995</v>
      </c>
      <c r="E26" s="526">
        <v>612.1</v>
      </c>
      <c r="F26" s="526">
        <v>362.5</v>
      </c>
      <c r="G26" s="526">
        <v>259.89999999999998</v>
      </c>
      <c r="H26" s="526">
        <v>40.700000000000003</v>
      </c>
      <c r="I26" s="526">
        <v>4.2</v>
      </c>
      <c r="J26" s="526">
        <v>1</v>
      </c>
      <c r="K26" s="526">
        <v>45.5</v>
      </c>
      <c r="L26" s="526">
        <v>251.9</v>
      </c>
      <c r="M26" s="526">
        <v>411.5</v>
      </c>
      <c r="N26" s="526">
        <v>668.4</v>
      </c>
      <c r="O26" s="242"/>
    </row>
    <row r="27" spans="1:26" x14ac:dyDescent="0.2">
      <c r="A27" s="242"/>
      <c r="B27" s="247">
        <f>'1. LDC Info'!F27-11</f>
        <v>2006</v>
      </c>
      <c r="C27" s="526">
        <v>589</v>
      </c>
      <c r="D27" s="526">
        <v>627.20000000000005</v>
      </c>
      <c r="E27" s="526">
        <v>564.4</v>
      </c>
      <c r="F27" s="526">
        <v>342.6</v>
      </c>
      <c r="G27" s="526">
        <v>192.1</v>
      </c>
      <c r="H27" s="526">
        <v>40.1</v>
      </c>
      <c r="I27" s="526">
        <v>5.9</v>
      </c>
      <c r="J27" s="526">
        <v>6.7</v>
      </c>
      <c r="K27" s="526">
        <v>103.3</v>
      </c>
      <c r="L27" s="526">
        <v>296.39999999999998</v>
      </c>
      <c r="M27" s="526">
        <v>390.9</v>
      </c>
      <c r="N27" s="526">
        <v>505.5</v>
      </c>
      <c r="O27" s="242"/>
      <c r="Z27" s="215" t="str">
        <f>+$B$16</f>
        <v>HDD</v>
      </c>
    </row>
    <row r="28" spans="1:26" x14ac:dyDescent="0.2">
      <c r="A28" s="242"/>
      <c r="B28" s="247">
        <f>'1. LDC Info'!F27-10</f>
        <v>2007</v>
      </c>
      <c r="C28" s="526">
        <v>669.3</v>
      </c>
      <c r="D28" s="526">
        <v>728.2</v>
      </c>
      <c r="E28" s="526">
        <v>578.29999999999995</v>
      </c>
      <c r="F28" s="526">
        <v>401</v>
      </c>
      <c r="G28" s="526">
        <v>208.1</v>
      </c>
      <c r="H28" s="526">
        <v>45.4</v>
      </c>
      <c r="I28" s="526">
        <v>22.4</v>
      </c>
      <c r="J28" s="526">
        <v>12.1</v>
      </c>
      <c r="K28" s="526">
        <v>61.8</v>
      </c>
      <c r="L28" s="526">
        <v>165.8</v>
      </c>
      <c r="M28" s="526">
        <v>441.5</v>
      </c>
      <c r="N28" s="526">
        <v>648.29999999999995</v>
      </c>
      <c r="O28" s="242"/>
      <c r="Z28" s="215" t="str">
        <f>+B39</f>
        <v>CDD</v>
      </c>
    </row>
    <row r="29" spans="1:26" x14ac:dyDescent="0.2">
      <c r="A29" s="242"/>
      <c r="B29" s="247">
        <f>'1. LDC Info'!F27-9</f>
        <v>2008</v>
      </c>
      <c r="C29" s="526">
        <v>633.29999999999995</v>
      </c>
      <c r="D29" s="526">
        <v>660.6</v>
      </c>
      <c r="E29" s="526">
        <v>632.29999999999995</v>
      </c>
      <c r="F29" s="526">
        <v>326.3</v>
      </c>
      <c r="G29" s="526">
        <v>253.6</v>
      </c>
      <c r="H29" s="526">
        <v>71</v>
      </c>
      <c r="I29" s="526">
        <v>9.4</v>
      </c>
      <c r="J29" s="526">
        <v>15.2</v>
      </c>
      <c r="K29" s="526">
        <v>73.5</v>
      </c>
      <c r="L29" s="526">
        <v>288.10000000000002</v>
      </c>
      <c r="M29" s="526">
        <v>459</v>
      </c>
      <c r="N29" s="526">
        <v>652.5</v>
      </c>
      <c r="O29" s="242"/>
      <c r="Z29" s="215" t="str">
        <f>+B62</f>
        <v>Number of Days in Month</v>
      </c>
    </row>
    <row r="30" spans="1:26" x14ac:dyDescent="0.2">
      <c r="A30" s="242"/>
      <c r="B30" s="247">
        <f>'1. LDC Info'!F27-8</f>
        <v>2009</v>
      </c>
      <c r="C30" s="526">
        <v>823.9</v>
      </c>
      <c r="D30" s="526">
        <v>608.5</v>
      </c>
      <c r="E30" s="526">
        <v>568.1</v>
      </c>
      <c r="F30" s="526">
        <v>345.4</v>
      </c>
      <c r="G30" s="526">
        <v>231.1</v>
      </c>
      <c r="H30" s="526">
        <v>86.1</v>
      </c>
      <c r="I30" s="526">
        <v>41.5</v>
      </c>
      <c r="J30" s="526">
        <v>15.7</v>
      </c>
      <c r="K30" s="526">
        <v>70.099999999999994</v>
      </c>
      <c r="L30" s="526">
        <v>313.3</v>
      </c>
      <c r="M30" s="526">
        <v>361</v>
      </c>
      <c r="N30" s="526">
        <v>638.6</v>
      </c>
      <c r="O30" s="242"/>
      <c r="Z30" s="215" t="str">
        <f>+B76</f>
        <v>Employment Stats</v>
      </c>
    </row>
    <row r="31" spans="1:26" x14ac:dyDescent="0.2">
      <c r="A31" s="242"/>
      <c r="B31" s="247">
        <f>'1. LDC Info'!F27-7</f>
        <v>2010</v>
      </c>
      <c r="C31" s="526">
        <v>718</v>
      </c>
      <c r="D31" s="526">
        <v>597.20000000000005</v>
      </c>
      <c r="E31" s="526">
        <v>450.7</v>
      </c>
      <c r="F31" s="526">
        <v>262.7</v>
      </c>
      <c r="G31" s="526">
        <v>160.4</v>
      </c>
      <c r="H31" s="526">
        <v>37.9</v>
      </c>
      <c r="I31" s="526">
        <v>5.0999999999999996</v>
      </c>
      <c r="J31" s="526">
        <v>6</v>
      </c>
      <c r="K31" s="526">
        <v>99.9</v>
      </c>
      <c r="L31" s="526">
        <v>265.5</v>
      </c>
      <c r="M31" s="526">
        <v>412.1</v>
      </c>
      <c r="N31" s="526">
        <v>676.5</v>
      </c>
      <c r="O31" s="242"/>
      <c r="Z31" s="215" t="str">
        <f>+B90</f>
        <v xml:space="preserve">Spring and Fall </v>
      </c>
    </row>
    <row r="32" spans="1:26" x14ac:dyDescent="0.2">
      <c r="A32" s="242"/>
      <c r="B32" s="247">
        <f>'1. LDC Info'!F27-6</f>
        <v>2011</v>
      </c>
      <c r="C32" s="872">
        <v>789.5</v>
      </c>
      <c r="D32" s="872">
        <v>648.9</v>
      </c>
      <c r="E32" s="872">
        <v>574.5</v>
      </c>
      <c r="F32" s="872">
        <v>372.4</v>
      </c>
      <c r="G32" s="872">
        <v>177.6</v>
      </c>
      <c r="H32" s="872">
        <v>64</v>
      </c>
      <c r="I32" s="872">
        <v>8.4</v>
      </c>
      <c r="J32" s="872">
        <v>9.1</v>
      </c>
      <c r="K32" s="872">
        <v>59.7</v>
      </c>
      <c r="L32" s="872">
        <v>244.3</v>
      </c>
      <c r="M32" s="872">
        <v>360.3</v>
      </c>
      <c r="N32" s="872">
        <v>546.20000000000005</v>
      </c>
      <c r="O32" s="242"/>
    </row>
    <row r="33" spans="1:15" x14ac:dyDescent="0.2">
      <c r="A33" s="242"/>
      <c r="B33" s="247">
        <f>'1. LDC Info'!F27-5</f>
        <v>2012</v>
      </c>
      <c r="C33" s="872">
        <v>633</v>
      </c>
      <c r="D33" s="872">
        <v>539.6</v>
      </c>
      <c r="E33" s="872">
        <v>425.1</v>
      </c>
      <c r="F33" s="872">
        <v>355.6</v>
      </c>
      <c r="G33" s="872">
        <v>136</v>
      </c>
      <c r="H33" s="872">
        <v>36.6</v>
      </c>
      <c r="I33" s="872">
        <v>0</v>
      </c>
      <c r="J33" s="872">
        <v>7.3</v>
      </c>
      <c r="K33" s="872">
        <v>87.5</v>
      </c>
      <c r="L33" s="872">
        <v>245.1</v>
      </c>
      <c r="M33" s="872">
        <v>449.4</v>
      </c>
      <c r="N33" s="872">
        <v>535.79999999999995</v>
      </c>
      <c r="O33" s="242"/>
    </row>
    <row r="34" spans="1:15" x14ac:dyDescent="0.2">
      <c r="A34" s="242"/>
      <c r="B34" s="247">
        <f>'1. LDC Info'!F27-4</f>
        <v>2013</v>
      </c>
      <c r="C34" s="872">
        <v>649.6</v>
      </c>
      <c r="D34" s="872">
        <v>633.29999999999995</v>
      </c>
      <c r="E34" s="872">
        <v>556.1</v>
      </c>
      <c r="F34" s="872">
        <v>383.6</v>
      </c>
      <c r="G34" s="872">
        <v>171.6</v>
      </c>
      <c r="H34" s="872">
        <v>67.099999999999994</v>
      </c>
      <c r="I34" s="872">
        <v>9.3000000000000007</v>
      </c>
      <c r="J34" s="872">
        <v>18.5</v>
      </c>
      <c r="K34" s="872">
        <v>110.4</v>
      </c>
      <c r="L34" s="872">
        <v>202.2</v>
      </c>
      <c r="M34" s="872">
        <v>481.9</v>
      </c>
      <c r="N34" s="872">
        <v>683.9</v>
      </c>
      <c r="O34" s="242"/>
    </row>
    <row r="35" spans="1:15" x14ac:dyDescent="0.2">
      <c r="A35" s="242"/>
      <c r="B35" s="247">
        <f>'1. LDC Info'!F27-3</f>
        <v>2014</v>
      </c>
      <c r="C35" s="872">
        <v>792.3</v>
      </c>
      <c r="D35" s="872">
        <v>714.7</v>
      </c>
      <c r="E35" s="872">
        <v>692.7</v>
      </c>
      <c r="F35" s="872">
        <v>394.2</v>
      </c>
      <c r="G35" s="872">
        <v>218.9</v>
      </c>
      <c r="H35" s="872">
        <v>61.9</v>
      </c>
      <c r="I35" s="872">
        <v>36.9</v>
      </c>
      <c r="J35" s="872">
        <v>26.9</v>
      </c>
      <c r="K35" s="872">
        <v>97.3</v>
      </c>
      <c r="L35" s="872">
        <v>231.4</v>
      </c>
      <c r="M35" s="872">
        <v>473.2</v>
      </c>
      <c r="N35" s="872">
        <v>519.4</v>
      </c>
      <c r="O35" s="242"/>
    </row>
    <row r="36" spans="1:15" x14ac:dyDescent="0.2">
      <c r="A36" s="242"/>
      <c r="B36" s="247">
        <f>'1. LDC Info'!F27-2</f>
        <v>2015</v>
      </c>
      <c r="C36" s="872">
        <v>759.2</v>
      </c>
      <c r="D36" s="872">
        <v>842.5</v>
      </c>
      <c r="E36" s="872">
        <v>639.70000000000005</v>
      </c>
      <c r="F36" s="872">
        <v>351</v>
      </c>
      <c r="G36" s="872">
        <v>183.4</v>
      </c>
      <c r="H36" s="872">
        <v>88.3</v>
      </c>
      <c r="I36" s="872">
        <v>18.5</v>
      </c>
      <c r="J36" s="872">
        <v>12.9</v>
      </c>
      <c r="K36" s="872">
        <v>43.1</v>
      </c>
      <c r="L36" s="872">
        <v>271.10000000000002</v>
      </c>
      <c r="M36" s="872">
        <v>349.8</v>
      </c>
      <c r="N36" s="872">
        <v>430.8</v>
      </c>
      <c r="O36" s="242"/>
    </row>
    <row r="37" spans="1:15" x14ac:dyDescent="0.2">
      <c r="A37" s="242"/>
      <c r="O37" s="242"/>
    </row>
    <row r="38" spans="1:15" x14ac:dyDescent="0.2">
      <c r="A38" s="242"/>
      <c r="B38" s="248"/>
      <c r="C38" s="243"/>
      <c r="D38" s="243"/>
      <c r="E38" s="243"/>
      <c r="F38" s="243"/>
      <c r="G38" s="243"/>
      <c r="H38" s="243"/>
      <c r="I38" s="243"/>
      <c r="J38" s="243"/>
      <c r="K38" s="243"/>
      <c r="L38" s="243"/>
      <c r="M38" s="243"/>
      <c r="N38" s="243"/>
      <c r="O38" s="242"/>
    </row>
    <row r="39" spans="1:15" x14ac:dyDescent="0.2">
      <c r="A39" s="242"/>
      <c r="B39" s="241" t="s">
        <v>2</v>
      </c>
      <c r="C39" s="246" t="s">
        <v>135</v>
      </c>
      <c r="D39" s="246" t="s">
        <v>136</v>
      </c>
      <c r="E39" s="246" t="s">
        <v>137</v>
      </c>
      <c r="F39" s="246" t="s">
        <v>138</v>
      </c>
      <c r="G39" s="246" t="s">
        <v>114</v>
      </c>
      <c r="H39" s="246" t="s">
        <v>139</v>
      </c>
      <c r="I39" s="246" t="s">
        <v>140</v>
      </c>
      <c r="J39" s="246" t="s">
        <v>141</v>
      </c>
      <c r="K39" s="246" t="s">
        <v>142</v>
      </c>
      <c r="L39" s="246" t="s">
        <v>145</v>
      </c>
      <c r="M39" s="246" t="s">
        <v>143</v>
      </c>
      <c r="N39" s="246" t="s">
        <v>144</v>
      </c>
      <c r="O39" s="242"/>
    </row>
    <row r="40" spans="1:15" x14ac:dyDescent="0.2">
      <c r="A40" s="242"/>
      <c r="B40" s="249" t="str">
        <f t="shared" ref="B40:B59" si="0">B17</f>
        <v>1996</v>
      </c>
      <c r="C40" s="525">
        <v>0</v>
      </c>
      <c r="D40" s="525">
        <v>0</v>
      </c>
      <c r="E40" s="525">
        <v>0</v>
      </c>
      <c r="F40" s="525">
        <v>0</v>
      </c>
      <c r="G40" s="525">
        <v>0</v>
      </c>
      <c r="H40" s="525">
        <v>18.100000000000001</v>
      </c>
      <c r="I40" s="525">
        <v>35</v>
      </c>
      <c r="J40" s="525">
        <v>61.8</v>
      </c>
      <c r="K40" s="525">
        <v>26.3</v>
      </c>
      <c r="L40" s="525">
        <v>0</v>
      </c>
      <c r="M40" s="525">
        <v>0</v>
      </c>
      <c r="N40" s="525">
        <v>0</v>
      </c>
      <c r="O40" s="242"/>
    </row>
    <row r="41" spans="1:15" x14ac:dyDescent="0.2">
      <c r="A41" s="242"/>
      <c r="B41" s="249">
        <f t="shared" si="0"/>
        <v>1997</v>
      </c>
      <c r="C41" s="525">
        <v>0</v>
      </c>
      <c r="D41" s="525">
        <v>0</v>
      </c>
      <c r="E41" s="525">
        <v>0</v>
      </c>
      <c r="F41" s="525">
        <v>0</v>
      </c>
      <c r="G41" s="525">
        <v>0</v>
      </c>
      <c r="H41" s="525">
        <v>17.7</v>
      </c>
      <c r="I41" s="525">
        <v>45.8</v>
      </c>
      <c r="J41" s="525">
        <v>12.7</v>
      </c>
      <c r="K41" s="525">
        <v>0.8</v>
      </c>
      <c r="L41" s="525">
        <v>0.3</v>
      </c>
      <c r="M41" s="525">
        <v>0</v>
      </c>
      <c r="N41" s="525">
        <v>0</v>
      </c>
      <c r="O41" s="242"/>
    </row>
    <row r="42" spans="1:15" x14ac:dyDescent="0.2">
      <c r="A42" s="242"/>
      <c r="B42" s="249">
        <f t="shared" si="0"/>
        <v>1998</v>
      </c>
      <c r="C42" s="525">
        <v>0</v>
      </c>
      <c r="D42" s="525">
        <v>0</v>
      </c>
      <c r="E42" s="525">
        <v>0</v>
      </c>
      <c r="F42" s="525">
        <v>0</v>
      </c>
      <c r="G42" s="525">
        <v>4</v>
      </c>
      <c r="H42" s="525">
        <v>35.6</v>
      </c>
      <c r="I42" s="525">
        <v>58.5</v>
      </c>
      <c r="J42" s="525">
        <v>64</v>
      </c>
      <c r="K42" s="525">
        <v>14.3</v>
      </c>
      <c r="L42" s="525">
        <v>0</v>
      </c>
      <c r="M42" s="525">
        <v>0</v>
      </c>
      <c r="N42" s="525">
        <v>0</v>
      </c>
      <c r="O42" s="242"/>
    </row>
    <row r="43" spans="1:15" x14ac:dyDescent="0.2">
      <c r="A43" s="242"/>
      <c r="B43" s="249">
        <f t="shared" si="0"/>
        <v>1999</v>
      </c>
      <c r="C43" s="525">
        <v>0</v>
      </c>
      <c r="D43" s="525">
        <v>0</v>
      </c>
      <c r="E43" s="525">
        <v>0</v>
      </c>
      <c r="F43" s="525">
        <v>0</v>
      </c>
      <c r="G43" s="525">
        <v>0</v>
      </c>
      <c r="H43" s="525">
        <v>27.5</v>
      </c>
      <c r="I43" s="525">
        <v>95.5</v>
      </c>
      <c r="J43" s="525">
        <v>48.1</v>
      </c>
      <c r="K43" s="525">
        <v>32.9</v>
      </c>
      <c r="L43" s="525">
        <v>0</v>
      </c>
      <c r="M43" s="525">
        <v>0</v>
      </c>
      <c r="N43" s="525">
        <v>0</v>
      </c>
      <c r="O43" s="242"/>
    </row>
    <row r="44" spans="1:15" x14ac:dyDescent="0.2">
      <c r="A44" s="242"/>
      <c r="B44" s="249">
        <f t="shared" si="0"/>
        <v>2000</v>
      </c>
      <c r="C44" s="525">
        <v>0</v>
      </c>
      <c r="D44" s="525">
        <v>0</v>
      </c>
      <c r="E44" s="525">
        <v>0</v>
      </c>
      <c r="F44" s="525">
        <v>0</v>
      </c>
      <c r="G44" s="525">
        <v>0</v>
      </c>
      <c r="H44" s="525">
        <v>2</v>
      </c>
      <c r="I44" s="525">
        <v>30.2</v>
      </c>
      <c r="J44" s="525">
        <v>46.2</v>
      </c>
      <c r="K44" s="525">
        <v>15</v>
      </c>
      <c r="L44" s="525">
        <v>0</v>
      </c>
      <c r="M44" s="525">
        <v>0</v>
      </c>
      <c r="N44" s="525">
        <v>0</v>
      </c>
      <c r="O44" s="242"/>
    </row>
    <row r="45" spans="1:15" x14ac:dyDescent="0.2">
      <c r="A45" s="242"/>
      <c r="B45" s="249">
        <f t="shared" si="0"/>
        <v>2001</v>
      </c>
      <c r="C45" s="525">
        <v>0</v>
      </c>
      <c r="D45" s="525">
        <v>0</v>
      </c>
      <c r="E45" s="525">
        <v>0</v>
      </c>
      <c r="F45" s="525">
        <v>0</v>
      </c>
      <c r="G45" s="525">
        <v>0</v>
      </c>
      <c r="H45" s="525">
        <v>26.5</v>
      </c>
      <c r="I45" s="525">
        <v>45.4</v>
      </c>
      <c r="J45" s="525">
        <v>83.2</v>
      </c>
      <c r="K45" s="525">
        <v>18.5</v>
      </c>
      <c r="L45" s="525">
        <v>0</v>
      </c>
      <c r="M45" s="525">
        <v>0</v>
      </c>
      <c r="N45" s="525">
        <v>0</v>
      </c>
      <c r="O45" s="242"/>
    </row>
    <row r="46" spans="1:15" x14ac:dyDescent="0.2">
      <c r="A46" s="242"/>
      <c r="B46" s="249">
        <f t="shared" si="0"/>
        <v>2002</v>
      </c>
      <c r="C46" s="525">
        <v>0</v>
      </c>
      <c r="D46" s="525">
        <v>0</v>
      </c>
      <c r="E46" s="525">
        <v>0</v>
      </c>
      <c r="F46" s="525">
        <v>0</v>
      </c>
      <c r="G46" s="525">
        <v>0</v>
      </c>
      <c r="H46" s="525">
        <v>18.3</v>
      </c>
      <c r="I46" s="525">
        <v>72.7</v>
      </c>
      <c r="J46" s="525">
        <v>68.400000000000006</v>
      </c>
      <c r="K46" s="525">
        <v>30.3</v>
      </c>
      <c r="L46" s="525">
        <v>2.8</v>
      </c>
      <c r="M46" s="525">
        <v>0</v>
      </c>
      <c r="N46" s="525">
        <v>0</v>
      </c>
      <c r="O46" s="242"/>
    </row>
    <row r="47" spans="1:15" x14ac:dyDescent="0.2">
      <c r="A47" s="242"/>
      <c r="B47" s="249">
        <f t="shared" si="0"/>
        <v>2003</v>
      </c>
      <c r="C47" s="525">
        <v>0</v>
      </c>
      <c r="D47" s="525">
        <v>0</v>
      </c>
      <c r="E47" s="525">
        <v>0</v>
      </c>
      <c r="F47" s="525">
        <v>0</v>
      </c>
      <c r="G47" s="525">
        <v>0</v>
      </c>
      <c r="H47" s="525">
        <v>5.6</v>
      </c>
      <c r="I47" s="525">
        <v>20.399999999999999</v>
      </c>
      <c r="J47" s="525">
        <v>77.7</v>
      </c>
      <c r="K47" s="525">
        <v>10.9</v>
      </c>
      <c r="L47" s="525">
        <v>0</v>
      </c>
      <c r="M47" s="525">
        <v>0</v>
      </c>
      <c r="N47" s="525">
        <v>0</v>
      </c>
      <c r="O47" s="242"/>
    </row>
    <row r="48" spans="1:15" x14ac:dyDescent="0.2">
      <c r="A48" s="242"/>
      <c r="B48" s="249">
        <f t="shared" si="0"/>
        <v>2004</v>
      </c>
      <c r="C48" s="525">
        <v>0</v>
      </c>
      <c r="D48" s="525">
        <v>0</v>
      </c>
      <c r="E48" s="525">
        <v>0</v>
      </c>
      <c r="F48" s="525">
        <v>0</v>
      </c>
      <c r="G48" s="525">
        <v>0</v>
      </c>
      <c r="H48" s="525">
        <v>5.0999999999999996</v>
      </c>
      <c r="I48" s="525">
        <v>41.2</v>
      </c>
      <c r="J48" s="525">
        <v>43.1</v>
      </c>
      <c r="K48" s="525">
        <v>18.100000000000001</v>
      </c>
      <c r="L48" s="525">
        <v>0</v>
      </c>
      <c r="M48" s="525">
        <v>0</v>
      </c>
      <c r="N48" s="525">
        <v>0</v>
      </c>
      <c r="O48" s="242"/>
    </row>
    <row r="49" spans="1:15" x14ac:dyDescent="0.2">
      <c r="A49" s="242"/>
      <c r="B49" s="249">
        <f t="shared" si="0"/>
        <v>2005</v>
      </c>
      <c r="C49" s="525">
        <v>0</v>
      </c>
      <c r="D49" s="525">
        <v>0</v>
      </c>
      <c r="E49" s="525">
        <v>0</v>
      </c>
      <c r="F49" s="525">
        <v>0</v>
      </c>
      <c r="G49" s="525">
        <v>0</v>
      </c>
      <c r="H49" s="525">
        <v>52.6</v>
      </c>
      <c r="I49" s="525">
        <v>116.8</v>
      </c>
      <c r="J49" s="525">
        <v>87.6</v>
      </c>
      <c r="K49" s="525">
        <v>16.3</v>
      </c>
      <c r="L49" s="525">
        <v>0</v>
      </c>
      <c r="M49" s="525">
        <v>0</v>
      </c>
      <c r="N49" s="525">
        <v>0</v>
      </c>
      <c r="O49" s="242"/>
    </row>
    <row r="50" spans="1:15" x14ac:dyDescent="0.2">
      <c r="A50" s="242"/>
      <c r="B50" s="249">
        <f t="shared" si="0"/>
        <v>2006</v>
      </c>
      <c r="C50" s="525">
        <v>0</v>
      </c>
      <c r="D50" s="525">
        <v>0</v>
      </c>
      <c r="E50" s="525">
        <v>0</v>
      </c>
      <c r="F50" s="525">
        <v>0</v>
      </c>
      <c r="G50" s="525">
        <v>6.3</v>
      </c>
      <c r="H50" s="525">
        <v>18</v>
      </c>
      <c r="I50" s="525">
        <v>86.9</v>
      </c>
      <c r="J50" s="525">
        <v>56.4</v>
      </c>
      <c r="K50" s="525">
        <v>1.3</v>
      </c>
      <c r="L50" s="525">
        <v>0</v>
      </c>
      <c r="M50" s="525">
        <v>0</v>
      </c>
      <c r="N50" s="525">
        <v>0</v>
      </c>
      <c r="O50" s="242"/>
    </row>
    <row r="51" spans="1:15" x14ac:dyDescent="0.2">
      <c r="A51" s="242"/>
      <c r="B51" s="249">
        <f t="shared" si="0"/>
        <v>2007</v>
      </c>
      <c r="C51" s="525">
        <v>0</v>
      </c>
      <c r="D51" s="525">
        <v>0</v>
      </c>
      <c r="E51" s="525">
        <v>0</v>
      </c>
      <c r="F51" s="525">
        <v>0</v>
      </c>
      <c r="G51" s="525">
        <v>0</v>
      </c>
      <c r="H51" s="525">
        <v>19.899999999999999</v>
      </c>
      <c r="I51" s="525">
        <v>45.3</v>
      </c>
      <c r="J51" s="525">
        <v>91.5</v>
      </c>
      <c r="K51" s="525">
        <v>17.899999999999999</v>
      </c>
      <c r="L51" s="525">
        <v>4.0999999999999996</v>
      </c>
      <c r="M51" s="525">
        <v>0</v>
      </c>
      <c r="N51" s="525">
        <v>0</v>
      </c>
      <c r="O51" s="242"/>
    </row>
    <row r="52" spans="1:15" x14ac:dyDescent="0.2">
      <c r="A52" s="242"/>
      <c r="B52" s="249">
        <f t="shared" si="0"/>
        <v>2008</v>
      </c>
      <c r="C52" s="525">
        <v>0</v>
      </c>
      <c r="D52" s="525">
        <v>0</v>
      </c>
      <c r="E52" s="525">
        <v>0</v>
      </c>
      <c r="F52" s="525">
        <v>0</v>
      </c>
      <c r="G52" s="525">
        <v>0</v>
      </c>
      <c r="H52" s="525">
        <v>2.6</v>
      </c>
      <c r="I52" s="525">
        <v>50.9</v>
      </c>
      <c r="J52" s="525">
        <v>40.4</v>
      </c>
      <c r="K52" s="525">
        <v>16.2</v>
      </c>
      <c r="L52" s="525">
        <v>0</v>
      </c>
      <c r="M52" s="525">
        <v>0</v>
      </c>
      <c r="N52" s="525">
        <v>0</v>
      </c>
      <c r="O52" s="242"/>
    </row>
    <row r="53" spans="1:15" x14ac:dyDescent="0.2">
      <c r="A53" s="242"/>
      <c r="B53" s="249">
        <f t="shared" si="0"/>
        <v>2009</v>
      </c>
      <c r="C53" s="525">
        <v>0</v>
      </c>
      <c r="D53" s="525">
        <v>0</v>
      </c>
      <c r="E53" s="525">
        <v>0</v>
      </c>
      <c r="F53" s="525">
        <v>0</v>
      </c>
      <c r="G53" s="525">
        <v>0</v>
      </c>
      <c r="H53" s="525">
        <v>12.1</v>
      </c>
      <c r="I53" s="525">
        <v>18.2</v>
      </c>
      <c r="J53" s="525">
        <v>58.6</v>
      </c>
      <c r="K53" s="525">
        <v>11.6</v>
      </c>
      <c r="L53" s="525">
        <v>0</v>
      </c>
      <c r="M53" s="525">
        <v>0</v>
      </c>
      <c r="N53" s="525">
        <v>0</v>
      </c>
      <c r="O53" s="242"/>
    </row>
    <row r="54" spans="1:15" x14ac:dyDescent="0.2">
      <c r="A54" s="242"/>
      <c r="B54" s="249">
        <f t="shared" si="0"/>
        <v>2010</v>
      </c>
      <c r="C54" s="525">
        <v>0</v>
      </c>
      <c r="D54" s="525">
        <v>0</v>
      </c>
      <c r="E54" s="525">
        <v>0</v>
      </c>
      <c r="F54" s="525">
        <v>0</v>
      </c>
      <c r="G54" s="525">
        <v>9.1</v>
      </c>
      <c r="H54" s="525">
        <v>15.7</v>
      </c>
      <c r="I54" s="525">
        <v>90.2</v>
      </c>
      <c r="J54" s="525">
        <v>80.7</v>
      </c>
      <c r="K54" s="525">
        <v>14.4</v>
      </c>
      <c r="L54" s="525">
        <v>0</v>
      </c>
      <c r="M54" s="525">
        <v>0</v>
      </c>
      <c r="N54" s="525">
        <v>0</v>
      </c>
      <c r="O54" s="242"/>
    </row>
    <row r="55" spans="1:15" x14ac:dyDescent="0.2">
      <c r="A55" s="242"/>
      <c r="B55" s="249">
        <f t="shared" si="0"/>
        <v>2011</v>
      </c>
      <c r="C55" s="871">
        <v>0</v>
      </c>
      <c r="D55" s="871">
        <v>0</v>
      </c>
      <c r="E55" s="871">
        <v>0</v>
      </c>
      <c r="F55" s="871">
        <v>0</v>
      </c>
      <c r="G55" s="871">
        <v>0.1</v>
      </c>
      <c r="H55" s="871">
        <v>14.7</v>
      </c>
      <c r="I55" s="871">
        <v>91.3</v>
      </c>
      <c r="J55" s="871">
        <v>57.5</v>
      </c>
      <c r="K55" s="871">
        <v>21.4</v>
      </c>
      <c r="L55" s="871">
        <v>0</v>
      </c>
      <c r="M55" s="871">
        <v>0</v>
      </c>
      <c r="N55" s="871">
        <v>0</v>
      </c>
      <c r="O55" s="242"/>
    </row>
    <row r="56" spans="1:15" x14ac:dyDescent="0.2">
      <c r="A56" s="242"/>
      <c r="B56" s="249">
        <f t="shared" si="0"/>
        <v>2012</v>
      </c>
      <c r="C56" s="871">
        <v>0</v>
      </c>
      <c r="D56" s="871">
        <v>0</v>
      </c>
      <c r="E56" s="871">
        <v>0</v>
      </c>
      <c r="F56" s="871">
        <v>0</v>
      </c>
      <c r="G56" s="871">
        <v>5.6</v>
      </c>
      <c r="H56" s="871">
        <v>39.299999999999997</v>
      </c>
      <c r="I56" s="871">
        <v>120.3</v>
      </c>
      <c r="J56" s="871">
        <v>74.2</v>
      </c>
      <c r="K56" s="871">
        <v>18.2</v>
      </c>
      <c r="L56" s="871">
        <v>0</v>
      </c>
      <c r="M56" s="871">
        <v>0</v>
      </c>
      <c r="N56" s="871">
        <v>0</v>
      </c>
      <c r="O56" s="242"/>
    </row>
    <row r="57" spans="1:15" x14ac:dyDescent="0.2">
      <c r="A57" s="242"/>
      <c r="B57" s="249">
        <f t="shared" si="0"/>
        <v>2013</v>
      </c>
      <c r="C57" s="872">
        <v>0</v>
      </c>
      <c r="D57" s="872">
        <v>0</v>
      </c>
      <c r="E57" s="872">
        <v>0</v>
      </c>
      <c r="F57" s="872">
        <v>0</v>
      </c>
      <c r="G57" s="872">
        <v>0.1</v>
      </c>
      <c r="H57" s="872">
        <v>13.3</v>
      </c>
      <c r="I57" s="872">
        <v>72</v>
      </c>
      <c r="J57" s="872">
        <v>40.6</v>
      </c>
      <c r="K57" s="872">
        <v>14.5</v>
      </c>
      <c r="L57" s="872">
        <v>0</v>
      </c>
      <c r="M57" s="872">
        <v>0</v>
      </c>
      <c r="N57" s="872">
        <v>0</v>
      </c>
      <c r="O57" s="242"/>
    </row>
    <row r="58" spans="1:15" x14ac:dyDescent="0.2">
      <c r="A58" s="242"/>
      <c r="B58" s="249">
        <f t="shared" si="0"/>
        <v>2014</v>
      </c>
      <c r="C58" s="871">
        <v>0</v>
      </c>
      <c r="D58" s="871">
        <v>0</v>
      </c>
      <c r="E58" s="871">
        <v>0</v>
      </c>
      <c r="F58" s="871">
        <v>0</v>
      </c>
      <c r="G58" s="871">
        <v>0</v>
      </c>
      <c r="H58" s="871">
        <v>17.5</v>
      </c>
      <c r="I58" s="871">
        <v>18.8</v>
      </c>
      <c r="J58" s="871">
        <v>33.299999999999997</v>
      </c>
      <c r="K58" s="871">
        <v>10.1</v>
      </c>
      <c r="L58" s="871">
        <v>0</v>
      </c>
      <c r="M58" s="871">
        <v>0</v>
      </c>
      <c r="N58" s="871">
        <v>0</v>
      </c>
      <c r="O58" s="242"/>
    </row>
    <row r="59" spans="1:15" x14ac:dyDescent="0.2">
      <c r="A59" s="242"/>
      <c r="B59" s="249">
        <f t="shared" si="0"/>
        <v>2015</v>
      </c>
      <c r="C59" s="871">
        <v>0</v>
      </c>
      <c r="D59" s="871">
        <v>0</v>
      </c>
      <c r="E59" s="871">
        <v>0</v>
      </c>
      <c r="F59" s="871">
        <v>0</v>
      </c>
      <c r="G59" s="871">
        <v>0</v>
      </c>
      <c r="H59" s="871">
        <v>5.6</v>
      </c>
      <c r="I59" s="871">
        <v>37</v>
      </c>
      <c r="J59" s="871">
        <v>44.7</v>
      </c>
      <c r="K59" s="871">
        <v>41.7</v>
      </c>
      <c r="L59" s="871">
        <v>0</v>
      </c>
      <c r="M59" s="871">
        <v>0</v>
      </c>
      <c r="N59" s="871">
        <v>0</v>
      </c>
      <c r="O59" s="242"/>
    </row>
    <row r="60" spans="1:15" x14ac:dyDescent="0.2">
      <c r="A60" s="242"/>
      <c r="B60" s="243"/>
      <c r="C60" s="243"/>
      <c r="D60" s="243"/>
      <c r="E60" s="243"/>
      <c r="F60" s="243"/>
      <c r="G60" s="243"/>
      <c r="H60" s="243"/>
      <c r="I60" s="243"/>
      <c r="J60" s="243"/>
      <c r="K60" s="243"/>
      <c r="L60" s="243"/>
      <c r="M60" s="243"/>
      <c r="N60" s="243"/>
      <c r="O60" s="242"/>
    </row>
    <row r="61" spans="1:15" x14ac:dyDescent="0.2">
      <c r="A61" s="242"/>
      <c r="B61" s="243"/>
      <c r="C61" s="243"/>
      <c r="D61" s="243"/>
      <c r="E61" s="243"/>
      <c r="F61" s="243"/>
      <c r="G61" s="243"/>
      <c r="H61" s="243"/>
      <c r="I61" s="243"/>
      <c r="J61" s="243"/>
      <c r="K61" s="243"/>
      <c r="L61" s="243"/>
      <c r="M61" s="243"/>
      <c r="N61" s="243"/>
      <c r="O61" s="242"/>
    </row>
    <row r="62" spans="1:15" ht="25.5" x14ac:dyDescent="0.2">
      <c r="A62" s="242"/>
      <c r="B62" s="250" t="s">
        <v>240</v>
      </c>
      <c r="C62" s="243"/>
      <c r="D62" s="243"/>
      <c r="E62" s="243"/>
      <c r="F62" s="243"/>
      <c r="G62" s="243"/>
      <c r="H62" s="243"/>
      <c r="I62" s="243"/>
      <c r="J62" s="243"/>
      <c r="K62" s="243"/>
      <c r="L62" s="243"/>
      <c r="M62" s="243"/>
      <c r="N62" s="243"/>
      <c r="O62" s="242"/>
    </row>
    <row r="63" spans="1:15" x14ac:dyDescent="0.2">
      <c r="A63" s="242"/>
      <c r="B63" s="242"/>
      <c r="C63" s="246" t="s">
        <v>135</v>
      </c>
      <c r="D63" s="246" t="s">
        <v>136</v>
      </c>
      <c r="E63" s="246" t="s">
        <v>137</v>
      </c>
      <c r="F63" s="246" t="s">
        <v>138</v>
      </c>
      <c r="G63" s="246" t="s">
        <v>114</v>
      </c>
      <c r="H63" s="246" t="s">
        <v>139</v>
      </c>
      <c r="I63" s="246" t="s">
        <v>140</v>
      </c>
      <c r="J63" s="246" t="s">
        <v>141</v>
      </c>
      <c r="K63" s="246" t="s">
        <v>142</v>
      </c>
      <c r="L63" s="246" t="s">
        <v>145</v>
      </c>
      <c r="M63" s="246" t="s">
        <v>143</v>
      </c>
      <c r="N63" s="246" t="s">
        <v>144</v>
      </c>
      <c r="O63" s="242"/>
    </row>
    <row r="64" spans="1:15" x14ac:dyDescent="0.2">
      <c r="A64" s="242"/>
      <c r="B64" s="247">
        <f t="shared" ref="B64:B73" si="1">B50</f>
        <v>2006</v>
      </c>
      <c r="C64" s="522">
        <v>31</v>
      </c>
      <c r="D64" s="522">
        <v>28</v>
      </c>
      <c r="E64" s="522">
        <v>31</v>
      </c>
      <c r="F64" s="522">
        <v>30</v>
      </c>
      <c r="G64" s="522">
        <v>31</v>
      </c>
      <c r="H64" s="522">
        <v>30</v>
      </c>
      <c r="I64" s="522">
        <v>31</v>
      </c>
      <c r="J64" s="522">
        <v>31</v>
      </c>
      <c r="K64" s="522">
        <v>30</v>
      </c>
      <c r="L64" s="522">
        <v>31</v>
      </c>
      <c r="M64" s="522">
        <v>30</v>
      </c>
      <c r="N64" s="522">
        <v>31</v>
      </c>
      <c r="O64" s="242"/>
    </row>
    <row r="65" spans="1:15" x14ac:dyDescent="0.2">
      <c r="A65" s="242"/>
      <c r="B65" s="247">
        <f t="shared" si="1"/>
        <v>2007</v>
      </c>
      <c r="C65" s="522">
        <v>31</v>
      </c>
      <c r="D65" s="522">
        <v>28</v>
      </c>
      <c r="E65" s="522">
        <v>31</v>
      </c>
      <c r="F65" s="522">
        <v>30</v>
      </c>
      <c r="G65" s="522">
        <v>31</v>
      </c>
      <c r="H65" s="522">
        <v>30</v>
      </c>
      <c r="I65" s="522">
        <v>31</v>
      </c>
      <c r="J65" s="522">
        <v>31</v>
      </c>
      <c r="K65" s="522">
        <v>30</v>
      </c>
      <c r="L65" s="522">
        <v>31</v>
      </c>
      <c r="M65" s="522">
        <v>30</v>
      </c>
      <c r="N65" s="522">
        <v>31</v>
      </c>
      <c r="O65" s="242"/>
    </row>
    <row r="66" spans="1:15" x14ac:dyDescent="0.2">
      <c r="A66" s="242"/>
      <c r="B66" s="247">
        <f t="shared" si="1"/>
        <v>2008</v>
      </c>
      <c r="C66" s="522">
        <v>31</v>
      </c>
      <c r="D66" s="522">
        <v>29</v>
      </c>
      <c r="E66" s="522">
        <v>31</v>
      </c>
      <c r="F66" s="522">
        <v>30</v>
      </c>
      <c r="G66" s="522">
        <v>31</v>
      </c>
      <c r="H66" s="522">
        <v>30</v>
      </c>
      <c r="I66" s="522">
        <v>31</v>
      </c>
      <c r="J66" s="522">
        <v>31</v>
      </c>
      <c r="K66" s="522">
        <v>30</v>
      </c>
      <c r="L66" s="522">
        <v>31</v>
      </c>
      <c r="M66" s="522">
        <v>30</v>
      </c>
      <c r="N66" s="522">
        <v>31</v>
      </c>
      <c r="O66" s="242"/>
    </row>
    <row r="67" spans="1:15" x14ac:dyDescent="0.2">
      <c r="A67" s="242"/>
      <c r="B67" s="247">
        <f t="shared" si="1"/>
        <v>2009</v>
      </c>
      <c r="C67" s="522">
        <v>31</v>
      </c>
      <c r="D67" s="522">
        <v>28</v>
      </c>
      <c r="E67" s="522">
        <v>31</v>
      </c>
      <c r="F67" s="522">
        <v>30</v>
      </c>
      <c r="G67" s="522">
        <v>31</v>
      </c>
      <c r="H67" s="522">
        <v>30</v>
      </c>
      <c r="I67" s="522">
        <v>31</v>
      </c>
      <c r="J67" s="522">
        <v>31</v>
      </c>
      <c r="K67" s="522">
        <v>30</v>
      </c>
      <c r="L67" s="522">
        <v>31</v>
      </c>
      <c r="M67" s="522">
        <v>30</v>
      </c>
      <c r="N67" s="522">
        <v>31</v>
      </c>
      <c r="O67" s="242"/>
    </row>
    <row r="68" spans="1:15" x14ac:dyDescent="0.2">
      <c r="A68" s="242"/>
      <c r="B68" s="247">
        <f t="shared" si="1"/>
        <v>2010</v>
      </c>
      <c r="C68" s="522">
        <v>31</v>
      </c>
      <c r="D68" s="522">
        <v>28</v>
      </c>
      <c r="E68" s="522">
        <v>31</v>
      </c>
      <c r="F68" s="522">
        <v>30</v>
      </c>
      <c r="G68" s="522">
        <v>31</v>
      </c>
      <c r="H68" s="522">
        <v>30</v>
      </c>
      <c r="I68" s="522">
        <v>31</v>
      </c>
      <c r="J68" s="522">
        <v>31</v>
      </c>
      <c r="K68" s="522">
        <v>30</v>
      </c>
      <c r="L68" s="522">
        <v>31</v>
      </c>
      <c r="M68" s="522">
        <v>30</v>
      </c>
      <c r="N68" s="522">
        <v>31</v>
      </c>
      <c r="O68" s="242"/>
    </row>
    <row r="69" spans="1:15" x14ac:dyDescent="0.2">
      <c r="A69" s="242"/>
      <c r="B69" s="247">
        <f t="shared" si="1"/>
        <v>2011</v>
      </c>
      <c r="C69" s="522">
        <v>31</v>
      </c>
      <c r="D69" s="522">
        <v>28</v>
      </c>
      <c r="E69" s="522">
        <v>31</v>
      </c>
      <c r="F69" s="522">
        <v>30</v>
      </c>
      <c r="G69" s="522">
        <v>31</v>
      </c>
      <c r="H69" s="522">
        <v>30</v>
      </c>
      <c r="I69" s="522">
        <v>31</v>
      </c>
      <c r="J69" s="522">
        <v>31</v>
      </c>
      <c r="K69" s="522">
        <v>30</v>
      </c>
      <c r="L69" s="522">
        <v>31</v>
      </c>
      <c r="M69" s="522">
        <v>30</v>
      </c>
      <c r="N69" s="522">
        <v>31</v>
      </c>
      <c r="O69" s="242"/>
    </row>
    <row r="70" spans="1:15" x14ac:dyDescent="0.2">
      <c r="A70" s="242"/>
      <c r="B70" s="247">
        <f t="shared" si="1"/>
        <v>2012</v>
      </c>
      <c r="C70" s="522">
        <v>31</v>
      </c>
      <c r="D70" s="522">
        <v>29</v>
      </c>
      <c r="E70" s="522">
        <v>31</v>
      </c>
      <c r="F70" s="522">
        <v>30</v>
      </c>
      <c r="G70" s="522">
        <v>31</v>
      </c>
      <c r="H70" s="522">
        <v>30</v>
      </c>
      <c r="I70" s="522">
        <v>31</v>
      </c>
      <c r="J70" s="522">
        <v>31</v>
      </c>
      <c r="K70" s="522">
        <v>30</v>
      </c>
      <c r="L70" s="522">
        <v>31</v>
      </c>
      <c r="M70" s="522">
        <v>30</v>
      </c>
      <c r="N70" s="522">
        <v>31</v>
      </c>
      <c r="O70" s="242"/>
    </row>
    <row r="71" spans="1:15" x14ac:dyDescent="0.2">
      <c r="A71" s="242"/>
      <c r="B71" s="247">
        <f t="shared" si="1"/>
        <v>2013</v>
      </c>
      <c r="C71" s="522">
        <v>31</v>
      </c>
      <c r="D71" s="522">
        <v>28</v>
      </c>
      <c r="E71" s="522">
        <v>31</v>
      </c>
      <c r="F71" s="522">
        <v>30</v>
      </c>
      <c r="G71" s="522">
        <v>31</v>
      </c>
      <c r="H71" s="522">
        <v>30</v>
      </c>
      <c r="I71" s="522">
        <v>31</v>
      </c>
      <c r="J71" s="522">
        <v>31</v>
      </c>
      <c r="K71" s="522">
        <v>30</v>
      </c>
      <c r="L71" s="522">
        <v>31</v>
      </c>
      <c r="M71" s="522">
        <v>30</v>
      </c>
      <c r="N71" s="522">
        <v>31</v>
      </c>
      <c r="O71" s="242"/>
    </row>
    <row r="72" spans="1:15" x14ac:dyDescent="0.2">
      <c r="A72" s="242"/>
      <c r="B72" s="247">
        <f t="shared" si="1"/>
        <v>2014</v>
      </c>
      <c r="C72" s="522">
        <v>31</v>
      </c>
      <c r="D72" s="522">
        <v>28</v>
      </c>
      <c r="E72" s="522">
        <v>31</v>
      </c>
      <c r="F72" s="522">
        <v>30</v>
      </c>
      <c r="G72" s="522">
        <v>31</v>
      </c>
      <c r="H72" s="522">
        <v>30</v>
      </c>
      <c r="I72" s="522">
        <v>31</v>
      </c>
      <c r="J72" s="522">
        <v>31</v>
      </c>
      <c r="K72" s="522">
        <v>30</v>
      </c>
      <c r="L72" s="522">
        <v>31</v>
      </c>
      <c r="M72" s="522">
        <v>30</v>
      </c>
      <c r="N72" s="522">
        <v>31</v>
      </c>
      <c r="O72" s="242"/>
    </row>
    <row r="73" spans="1:15" x14ac:dyDescent="0.2">
      <c r="A73" s="242"/>
      <c r="B73" s="247">
        <f t="shared" si="1"/>
        <v>2015</v>
      </c>
      <c r="C73" s="522">
        <v>31</v>
      </c>
      <c r="D73" s="522">
        <v>28</v>
      </c>
      <c r="E73" s="522">
        <v>31</v>
      </c>
      <c r="F73" s="522">
        <v>30</v>
      </c>
      <c r="G73" s="522">
        <v>31</v>
      </c>
      <c r="H73" s="522">
        <v>30</v>
      </c>
      <c r="I73" s="522">
        <v>31</v>
      </c>
      <c r="J73" s="522">
        <v>31</v>
      </c>
      <c r="K73" s="522">
        <v>30</v>
      </c>
      <c r="L73" s="522">
        <v>31</v>
      </c>
      <c r="M73" s="522">
        <v>30</v>
      </c>
      <c r="N73" s="522">
        <v>31</v>
      </c>
      <c r="O73" s="242"/>
    </row>
    <row r="74" spans="1:15" x14ac:dyDescent="0.2">
      <c r="A74" s="242"/>
      <c r="B74" s="243"/>
      <c r="C74" s="243"/>
      <c r="D74" s="243"/>
      <c r="E74" s="243"/>
      <c r="F74" s="243"/>
      <c r="G74" s="243"/>
      <c r="H74" s="243"/>
      <c r="I74" s="243"/>
      <c r="J74" s="243"/>
      <c r="K74" s="243"/>
      <c r="L74" s="243"/>
      <c r="M74" s="243"/>
      <c r="N74" s="243"/>
      <c r="O74" s="242"/>
    </row>
    <row r="75" spans="1:15" x14ac:dyDescent="0.2">
      <c r="A75" s="242"/>
      <c r="B75" s="243"/>
      <c r="C75" s="243"/>
      <c r="D75" s="243"/>
      <c r="E75" s="243"/>
      <c r="F75" s="243"/>
      <c r="G75" s="243"/>
      <c r="H75" s="243"/>
      <c r="I75" s="243"/>
      <c r="J75" s="243"/>
      <c r="K75" s="243"/>
      <c r="L75" s="243"/>
      <c r="M75" s="243"/>
      <c r="N75" s="243"/>
      <c r="O75" s="242"/>
    </row>
    <row r="76" spans="1:15" x14ac:dyDescent="0.2">
      <c r="A76" s="242"/>
      <c r="B76" s="250" t="s">
        <v>262</v>
      </c>
      <c r="C76" s="243"/>
      <c r="D76" s="243"/>
      <c r="E76" s="243"/>
      <c r="F76" s="243"/>
      <c r="G76" s="243"/>
      <c r="H76" s="243"/>
      <c r="I76" s="243"/>
      <c r="J76" s="243"/>
      <c r="K76" s="243"/>
      <c r="L76" s="243"/>
      <c r="M76" s="243"/>
      <c r="N76" s="243"/>
      <c r="O76" s="242"/>
    </row>
    <row r="77" spans="1:15" x14ac:dyDescent="0.2">
      <c r="A77" s="242"/>
      <c r="B77" s="242"/>
      <c r="C77" s="246" t="s">
        <v>135</v>
      </c>
      <c r="D77" s="246" t="s">
        <v>136</v>
      </c>
      <c r="E77" s="246" t="s">
        <v>137</v>
      </c>
      <c r="F77" s="246" t="s">
        <v>138</v>
      </c>
      <c r="G77" s="246" t="s">
        <v>114</v>
      </c>
      <c r="H77" s="246" t="s">
        <v>139</v>
      </c>
      <c r="I77" s="246" t="s">
        <v>140</v>
      </c>
      <c r="J77" s="246" t="s">
        <v>141</v>
      </c>
      <c r="K77" s="246" t="s">
        <v>142</v>
      </c>
      <c r="L77" s="246" t="s">
        <v>145</v>
      </c>
      <c r="M77" s="246" t="s">
        <v>143</v>
      </c>
      <c r="N77" s="246" t="s">
        <v>144</v>
      </c>
      <c r="O77" s="242"/>
    </row>
    <row r="78" spans="1:15" x14ac:dyDescent="0.2">
      <c r="A78" s="242"/>
      <c r="B78" s="247">
        <f t="shared" ref="B78:B86" si="2">B64</f>
        <v>2006</v>
      </c>
      <c r="C78" s="523">
        <v>134.25</v>
      </c>
      <c r="D78" s="524">
        <v>134.56</v>
      </c>
      <c r="E78" s="524">
        <v>134.81</v>
      </c>
      <c r="F78" s="524">
        <v>135.08000000000001</v>
      </c>
      <c r="G78" s="523">
        <v>135.36000000000001</v>
      </c>
      <c r="H78" s="523">
        <v>135.63999999999999</v>
      </c>
      <c r="I78" s="523">
        <v>135.91999999999999</v>
      </c>
      <c r="J78" s="523">
        <v>136.19999999999999</v>
      </c>
      <c r="K78" s="523">
        <v>136.47999999999999</v>
      </c>
      <c r="L78" s="523">
        <v>136.76</v>
      </c>
      <c r="M78" s="523">
        <v>137.04</v>
      </c>
      <c r="N78" s="523">
        <v>137.33000000000001</v>
      </c>
      <c r="O78" s="242"/>
    </row>
    <row r="79" spans="1:15" x14ac:dyDescent="0.2">
      <c r="A79" s="242"/>
      <c r="B79" s="247">
        <f t="shared" si="2"/>
        <v>2007</v>
      </c>
      <c r="C79" s="523">
        <v>137.59</v>
      </c>
      <c r="D79" s="523">
        <v>137.85</v>
      </c>
      <c r="E79" s="523">
        <v>138.11000000000001</v>
      </c>
      <c r="F79" s="523">
        <v>138.37</v>
      </c>
      <c r="G79" s="523">
        <v>138.63</v>
      </c>
      <c r="H79" s="523">
        <v>138.9</v>
      </c>
      <c r="I79" s="523">
        <v>139.16</v>
      </c>
      <c r="J79" s="523">
        <v>139.41999999999999</v>
      </c>
      <c r="K79" s="523">
        <v>139.69</v>
      </c>
      <c r="L79" s="523">
        <v>139.94999999999999</v>
      </c>
      <c r="M79" s="523">
        <v>140.22</v>
      </c>
      <c r="N79" s="523">
        <v>140.47999999999999</v>
      </c>
      <c r="O79" s="242"/>
    </row>
    <row r="80" spans="1:15" x14ac:dyDescent="0.2">
      <c r="A80" s="242"/>
      <c r="B80" s="247">
        <f t="shared" si="2"/>
        <v>2008</v>
      </c>
      <c r="C80" s="523">
        <v>140.43</v>
      </c>
      <c r="D80" s="523">
        <v>140.37</v>
      </c>
      <c r="E80" s="523">
        <v>140.31</v>
      </c>
      <c r="F80" s="523">
        <v>140.25</v>
      </c>
      <c r="G80" s="523">
        <v>140.19</v>
      </c>
      <c r="H80" s="523">
        <v>140.13</v>
      </c>
      <c r="I80" s="523">
        <v>140.07</v>
      </c>
      <c r="J80" s="523">
        <v>140.02000000000001</v>
      </c>
      <c r="K80" s="523">
        <v>139.96</v>
      </c>
      <c r="L80" s="523">
        <v>139.9</v>
      </c>
      <c r="M80" s="523">
        <v>139.84</v>
      </c>
      <c r="N80" s="523">
        <v>139.78</v>
      </c>
      <c r="O80" s="242"/>
    </row>
    <row r="81" spans="1:15" x14ac:dyDescent="0.2">
      <c r="A81" s="242"/>
      <c r="B81" s="247">
        <f t="shared" si="2"/>
        <v>2009</v>
      </c>
      <c r="C81" s="523">
        <v>139.38</v>
      </c>
      <c r="D81" s="523">
        <v>138.97999999999999</v>
      </c>
      <c r="E81" s="523">
        <v>138.58000000000001</v>
      </c>
      <c r="F81" s="523">
        <v>138.18</v>
      </c>
      <c r="G81" s="523">
        <v>137.78</v>
      </c>
      <c r="H81" s="523">
        <v>137.38</v>
      </c>
      <c r="I81" s="523">
        <v>136.99</v>
      </c>
      <c r="J81" s="523">
        <v>136.59</v>
      </c>
      <c r="K81" s="523">
        <v>136.19999999999999</v>
      </c>
      <c r="L81" s="523">
        <v>135.81</v>
      </c>
      <c r="M81" s="523">
        <v>135.41999999999999</v>
      </c>
      <c r="N81" s="523">
        <v>135.03</v>
      </c>
      <c r="O81" s="242"/>
    </row>
    <row r="82" spans="1:15" x14ac:dyDescent="0.2">
      <c r="A82" s="242"/>
      <c r="B82" s="247">
        <f t="shared" si="2"/>
        <v>2010</v>
      </c>
      <c r="C82" s="523">
        <v>135.33000000000001</v>
      </c>
      <c r="D82" s="523">
        <v>135.63</v>
      </c>
      <c r="E82" s="523">
        <v>135.93</v>
      </c>
      <c r="F82" s="523">
        <v>136.22999999999999</v>
      </c>
      <c r="G82" s="523">
        <v>136.54</v>
      </c>
      <c r="H82" s="523">
        <v>136.84</v>
      </c>
      <c r="I82" s="523">
        <v>137.13999999999999</v>
      </c>
      <c r="J82" s="523">
        <v>137.44999999999999</v>
      </c>
      <c r="K82" s="523">
        <v>137.75</v>
      </c>
      <c r="L82" s="523">
        <v>138.06</v>
      </c>
      <c r="M82" s="523">
        <v>138.37</v>
      </c>
      <c r="N82" s="523">
        <v>138.66999999999999</v>
      </c>
      <c r="O82" s="242"/>
    </row>
    <row r="83" spans="1:15" x14ac:dyDescent="0.2">
      <c r="A83" s="242"/>
      <c r="B83" s="247">
        <f t="shared" si="2"/>
        <v>2011</v>
      </c>
      <c r="C83" s="523">
        <v>139</v>
      </c>
      <c r="D83" s="523">
        <v>139.30000000000001</v>
      </c>
      <c r="E83" s="523">
        <v>139.6</v>
      </c>
      <c r="F83" s="523">
        <v>139.9</v>
      </c>
      <c r="G83" s="523">
        <v>140.19999999999999</v>
      </c>
      <c r="H83" s="523">
        <v>140.5</v>
      </c>
      <c r="I83" s="523">
        <v>140.80000000000001</v>
      </c>
      <c r="J83" s="523">
        <v>141.1</v>
      </c>
      <c r="K83" s="523">
        <v>141.4</v>
      </c>
      <c r="L83" s="523">
        <v>141.69999999999999</v>
      </c>
      <c r="M83" s="523">
        <v>142</v>
      </c>
      <c r="N83" s="523">
        <v>142.30000000000001</v>
      </c>
      <c r="O83" s="242"/>
    </row>
    <row r="84" spans="1:15" x14ac:dyDescent="0.2">
      <c r="A84" s="242"/>
      <c r="B84" s="247">
        <f t="shared" si="2"/>
        <v>2012</v>
      </c>
      <c r="C84" s="523">
        <v>142.6</v>
      </c>
      <c r="D84" s="523">
        <v>142.9</v>
      </c>
      <c r="E84" s="523">
        <v>143.19999999999999</v>
      </c>
      <c r="F84" s="523">
        <v>143.5</v>
      </c>
      <c r="G84" s="523">
        <v>143.80000000000001</v>
      </c>
      <c r="H84" s="523">
        <v>144.11000000000001</v>
      </c>
      <c r="I84" s="523">
        <v>144.4</v>
      </c>
      <c r="J84" s="523">
        <v>144.69999999999999</v>
      </c>
      <c r="K84" s="523">
        <v>145</v>
      </c>
      <c r="L84" s="523">
        <v>145.4</v>
      </c>
      <c r="M84" s="523">
        <v>145.69999999999999</v>
      </c>
      <c r="N84" s="523">
        <v>146</v>
      </c>
      <c r="O84" s="242"/>
    </row>
    <row r="85" spans="1:15" x14ac:dyDescent="0.2">
      <c r="A85" s="242"/>
      <c r="B85" s="247">
        <f t="shared" si="2"/>
        <v>2013</v>
      </c>
      <c r="C85" s="523">
        <v>145</v>
      </c>
      <c r="D85" s="523">
        <v>145.1</v>
      </c>
      <c r="E85" s="523">
        <v>145.30000000000001</v>
      </c>
      <c r="F85" s="523">
        <v>145.5</v>
      </c>
      <c r="G85" s="523">
        <v>145.6</v>
      </c>
      <c r="H85" s="523">
        <v>145.80000000000001</v>
      </c>
      <c r="I85" s="523">
        <v>145.9</v>
      </c>
      <c r="J85" s="523">
        <v>146.1</v>
      </c>
      <c r="K85" s="523">
        <v>146.19999999999999</v>
      </c>
      <c r="L85" s="523">
        <v>146.4</v>
      </c>
      <c r="M85" s="523">
        <v>146.6</v>
      </c>
      <c r="N85" s="523">
        <v>146.69999999999999</v>
      </c>
      <c r="O85" s="242"/>
    </row>
    <row r="86" spans="1:15" x14ac:dyDescent="0.2">
      <c r="A86" s="242"/>
      <c r="B86" s="247">
        <f t="shared" si="2"/>
        <v>2014</v>
      </c>
      <c r="C86" s="523">
        <v>146.9</v>
      </c>
      <c r="D86" s="523">
        <v>147.19999999999999</v>
      </c>
      <c r="E86" s="523">
        <v>147.4</v>
      </c>
      <c r="F86" s="523">
        <v>147.6</v>
      </c>
      <c r="G86" s="523">
        <v>147.9</v>
      </c>
      <c r="H86" s="523">
        <v>148.1</v>
      </c>
      <c r="I86" s="523">
        <v>148.30000000000001</v>
      </c>
      <c r="J86" s="523">
        <v>148.6</v>
      </c>
      <c r="K86" s="523">
        <v>148.80000000000001</v>
      </c>
      <c r="L86" s="523">
        <v>149</v>
      </c>
      <c r="M86" s="523">
        <v>149.30000000000001</v>
      </c>
      <c r="N86" s="523">
        <v>149.5</v>
      </c>
      <c r="O86" s="242"/>
    </row>
    <row r="87" spans="1:15" x14ac:dyDescent="0.2">
      <c r="A87" s="242"/>
      <c r="B87" s="247">
        <f>B73</f>
        <v>2015</v>
      </c>
      <c r="C87" s="523">
        <v>140.05333333333337</v>
      </c>
      <c r="D87" s="523">
        <v>140.21</v>
      </c>
      <c r="E87" s="523">
        <v>140.36000000000001</v>
      </c>
      <c r="F87" s="523">
        <v>140.51222222222225</v>
      </c>
      <c r="G87" s="523">
        <v>140.66666666666666</v>
      </c>
      <c r="H87" s="523">
        <v>140.82222222222219</v>
      </c>
      <c r="I87" s="523">
        <v>140.96444444444444</v>
      </c>
      <c r="J87" s="523">
        <v>141.1311111111111</v>
      </c>
      <c r="K87" s="523">
        <v>141.27555555555554</v>
      </c>
      <c r="L87" s="523">
        <v>141.44222222222223</v>
      </c>
      <c r="M87" s="523">
        <v>141.60999999999999</v>
      </c>
      <c r="N87" s="523">
        <v>141.75444444444443</v>
      </c>
      <c r="O87" s="242"/>
    </row>
    <row r="88" spans="1:15" x14ac:dyDescent="0.2">
      <c r="A88" s="242"/>
      <c r="B88" s="243"/>
      <c r="C88" s="243"/>
      <c r="D88" s="243"/>
      <c r="E88" s="243"/>
      <c r="F88" s="243"/>
      <c r="G88" s="243"/>
      <c r="H88" s="243"/>
      <c r="I88" s="243"/>
      <c r="J88" s="243"/>
      <c r="K88" s="243"/>
      <c r="L88" s="243"/>
      <c r="M88" s="243"/>
      <c r="N88" s="243"/>
      <c r="O88" s="242"/>
    </row>
    <row r="89" spans="1:15" x14ac:dyDescent="0.2">
      <c r="A89" s="242"/>
      <c r="B89" s="243"/>
      <c r="C89" s="243"/>
      <c r="D89" s="243"/>
      <c r="E89" s="243"/>
      <c r="F89" s="243"/>
      <c r="G89" s="243"/>
      <c r="H89" s="243"/>
      <c r="I89" s="243"/>
      <c r="J89" s="243"/>
      <c r="K89" s="243"/>
      <c r="L89" s="243"/>
      <c r="M89" s="243"/>
      <c r="N89" s="243"/>
      <c r="O89" s="242"/>
    </row>
    <row r="90" spans="1:15" x14ac:dyDescent="0.2">
      <c r="A90" s="242"/>
      <c r="B90" s="250" t="s">
        <v>360</v>
      </c>
      <c r="C90" s="243"/>
      <c r="D90" s="243"/>
      <c r="E90" s="243"/>
      <c r="F90" s="243"/>
      <c r="G90" s="243"/>
      <c r="H90" s="243"/>
      <c r="I90" s="243"/>
      <c r="J90" s="243"/>
      <c r="K90" s="243"/>
      <c r="L90" s="243"/>
      <c r="M90" s="243"/>
      <c r="N90" s="243"/>
      <c r="O90" s="242"/>
    </row>
    <row r="91" spans="1:15" x14ac:dyDescent="0.2">
      <c r="A91" s="242"/>
      <c r="B91" s="242"/>
      <c r="C91" s="246" t="s">
        <v>135</v>
      </c>
      <c r="D91" s="246" t="s">
        <v>136</v>
      </c>
      <c r="E91" s="246" t="s">
        <v>137</v>
      </c>
      <c r="F91" s="246" t="s">
        <v>138</v>
      </c>
      <c r="G91" s="246" t="s">
        <v>114</v>
      </c>
      <c r="H91" s="246" t="s">
        <v>139</v>
      </c>
      <c r="I91" s="246" t="s">
        <v>140</v>
      </c>
      <c r="J91" s="246" t="s">
        <v>141</v>
      </c>
      <c r="K91" s="246" t="s">
        <v>142</v>
      </c>
      <c r="L91" s="246" t="s">
        <v>145</v>
      </c>
      <c r="M91" s="246" t="s">
        <v>143</v>
      </c>
      <c r="N91" s="246" t="s">
        <v>144</v>
      </c>
      <c r="O91" s="242"/>
    </row>
    <row r="92" spans="1:15" x14ac:dyDescent="0.2">
      <c r="A92" s="242"/>
      <c r="B92" s="247">
        <f t="shared" ref="B92:B100" si="3">B78</f>
        <v>2006</v>
      </c>
      <c r="C92" s="42">
        <v>0</v>
      </c>
      <c r="D92" s="42">
        <v>0</v>
      </c>
      <c r="E92" s="42">
        <v>1</v>
      </c>
      <c r="F92" s="42">
        <v>1</v>
      </c>
      <c r="G92" s="42">
        <v>1</v>
      </c>
      <c r="H92" s="42">
        <v>0</v>
      </c>
      <c r="I92" s="42">
        <v>0</v>
      </c>
      <c r="J92" s="42">
        <v>0</v>
      </c>
      <c r="K92" s="42">
        <v>1</v>
      </c>
      <c r="L92" s="42">
        <v>1</v>
      </c>
      <c r="M92" s="42">
        <v>1</v>
      </c>
      <c r="N92" s="42">
        <v>0</v>
      </c>
      <c r="O92" s="242"/>
    </row>
    <row r="93" spans="1:15" x14ac:dyDescent="0.2">
      <c r="A93" s="242"/>
      <c r="B93" s="247">
        <f t="shared" si="3"/>
        <v>2007</v>
      </c>
      <c r="C93" s="42">
        <v>0</v>
      </c>
      <c r="D93" s="42">
        <v>0</v>
      </c>
      <c r="E93" s="42">
        <v>1</v>
      </c>
      <c r="F93" s="42">
        <v>1</v>
      </c>
      <c r="G93" s="42">
        <v>1</v>
      </c>
      <c r="H93" s="42">
        <v>0</v>
      </c>
      <c r="I93" s="42">
        <v>0</v>
      </c>
      <c r="J93" s="42">
        <v>0</v>
      </c>
      <c r="K93" s="42">
        <v>1</v>
      </c>
      <c r="L93" s="42">
        <v>1</v>
      </c>
      <c r="M93" s="42">
        <v>1</v>
      </c>
      <c r="N93" s="42">
        <v>0</v>
      </c>
      <c r="O93" s="242"/>
    </row>
    <row r="94" spans="1:15" x14ac:dyDescent="0.2">
      <c r="A94" s="242"/>
      <c r="B94" s="247">
        <f t="shared" si="3"/>
        <v>2008</v>
      </c>
      <c r="C94" s="42">
        <v>0</v>
      </c>
      <c r="D94" s="42">
        <v>0</v>
      </c>
      <c r="E94" s="42">
        <v>1</v>
      </c>
      <c r="F94" s="42">
        <v>1</v>
      </c>
      <c r="G94" s="42">
        <v>1</v>
      </c>
      <c r="H94" s="42">
        <v>0</v>
      </c>
      <c r="I94" s="42">
        <v>0</v>
      </c>
      <c r="J94" s="42">
        <v>0</v>
      </c>
      <c r="K94" s="42">
        <v>1</v>
      </c>
      <c r="L94" s="42">
        <v>1</v>
      </c>
      <c r="M94" s="42">
        <v>1</v>
      </c>
      <c r="N94" s="42">
        <v>0</v>
      </c>
      <c r="O94" s="242"/>
    </row>
    <row r="95" spans="1:15" x14ac:dyDescent="0.2">
      <c r="A95" s="242"/>
      <c r="B95" s="247">
        <f t="shared" si="3"/>
        <v>2009</v>
      </c>
      <c r="C95" s="42">
        <v>0</v>
      </c>
      <c r="D95" s="42">
        <v>0</v>
      </c>
      <c r="E95" s="42">
        <v>1</v>
      </c>
      <c r="F95" s="42">
        <v>1</v>
      </c>
      <c r="G95" s="42">
        <v>1</v>
      </c>
      <c r="H95" s="42">
        <v>0</v>
      </c>
      <c r="I95" s="42">
        <v>0</v>
      </c>
      <c r="J95" s="42">
        <v>0</v>
      </c>
      <c r="K95" s="42">
        <v>1</v>
      </c>
      <c r="L95" s="42">
        <v>1</v>
      </c>
      <c r="M95" s="42">
        <v>1</v>
      </c>
      <c r="N95" s="42">
        <v>0</v>
      </c>
      <c r="O95" s="242"/>
    </row>
    <row r="96" spans="1:15" x14ac:dyDescent="0.2">
      <c r="A96" s="242"/>
      <c r="B96" s="247">
        <f t="shared" si="3"/>
        <v>2010</v>
      </c>
      <c r="C96" s="42">
        <v>0</v>
      </c>
      <c r="D96" s="42">
        <v>0</v>
      </c>
      <c r="E96" s="42">
        <v>1</v>
      </c>
      <c r="F96" s="42">
        <v>1</v>
      </c>
      <c r="G96" s="42">
        <v>1</v>
      </c>
      <c r="H96" s="42">
        <v>0</v>
      </c>
      <c r="I96" s="42">
        <v>0</v>
      </c>
      <c r="J96" s="42">
        <v>0</v>
      </c>
      <c r="K96" s="42">
        <v>1</v>
      </c>
      <c r="L96" s="42">
        <v>1</v>
      </c>
      <c r="M96" s="42">
        <v>1</v>
      </c>
      <c r="N96" s="42">
        <v>0</v>
      </c>
      <c r="O96" s="242"/>
    </row>
    <row r="97" spans="1:15" x14ac:dyDescent="0.2">
      <c r="A97" s="242"/>
      <c r="B97" s="247">
        <f t="shared" si="3"/>
        <v>2011</v>
      </c>
      <c r="C97" s="42">
        <v>0</v>
      </c>
      <c r="D97" s="42">
        <v>0</v>
      </c>
      <c r="E97" s="42">
        <v>1</v>
      </c>
      <c r="F97" s="42">
        <v>1</v>
      </c>
      <c r="G97" s="42">
        <v>1</v>
      </c>
      <c r="H97" s="42">
        <v>0</v>
      </c>
      <c r="I97" s="42">
        <v>0</v>
      </c>
      <c r="J97" s="42">
        <v>0</v>
      </c>
      <c r="K97" s="42">
        <v>1</v>
      </c>
      <c r="L97" s="42">
        <v>1</v>
      </c>
      <c r="M97" s="42">
        <v>1</v>
      </c>
      <c r="N97" s="42">
        <v>0</v>
      </c>
      <c r="O97" s="242"/>
    </row>
    <row r="98" spans="1:15" x14ac:dyDescent="0.2">
      <c r="A98" s="242"/>
      <c r="B98" s="247">
        <f t="shared" si="3"/>
        <v>2012</v>
      </c>
      <c r="C98" s="42">
        <v>0</v>
      </c>
      <c r="D98" s="42">
        <v>0</v>
      </c>
      <c r="E98" s="42">
        <v>1</v>
      </c>
      <c r="F98" s="42">
        <v>1</v>
      </c>
      <c r="G98" s="42">
        <v>1</v>
      </c>
      <c r="H98" s="42">
        <v>0</v>
      </c>
      <c r="I98" s="42">
        <v>0</v>
      </c>
      <c r="J98" s="42">
        <v>0</v>
      </c>
      <c r="K98" s="42">
        <v>1</v>
      </c>
      <c r="L98" s="42">
        <v>1</v>
      </c>
      <c r="M98" s="42">
        <v>1</v>
      </c>
      <c r="N98" s="42">
        <v>0</v>
      </c>
      <c r="O98" s="242"/>
    </row>
    <row r="99" spans="1:15" x14ac:dyDescent="0.2">
      <c r="A99" s="242"/>
      <c r="B99" s="247">
        <f t="shared" si="3"/>
        <v>2013</v>
      </c>
      <c r="C99" s="42">
        <v>0</v>
      </c>
      <c r="D99" s="42">
        <v>0</v>
      </c>
      <c r="E99" s="42">
        <v>1</v>
      </c>
      <c r="F99" s="42">
        <v>1</v>
      </c>
      <c r="G99" s="42">
        <v>1</v>
      </c>
      <c r="H99" s="42">
        <v>0</v>
      </c>
      <c r="I99" s="42">
        <v>0</v>
      </c>
      <c r="J99" s="42">
        <v>0</v>
      </c>
      <c r="K99" s="42">
        <v>1</v>
      </c>
      <c r="L99" s="42">
        <v>1</v>
      </c>
      <c r="M99" s="42">
        <v>1</v>
      </c>
      <c r="N99" s="42">
        <v>0</v>
      </c>
      <c r="O99" s="242"/>
    </row>
    <row r="100" spans="1:15" x14ac:dyDescent="0.2">
      <c r="A100" s="242"/>
      <c r="B100" s="247">
        <f t="shared" si="3"/>
        <v>2014</v>
      </c>
      <c r="C100" s="42">
        <v>0</v>
      </c>
      <c r="D100" s="42">
        <v>0</v>
      </c>
      <c r="E100" s="42">
        <v>1</v>
      </c>
      <c r="F100" s="42">
        <v>1</v>
      </c>
      <c r="G100" s="42">
        <v>1</v>
      </c>
      <c r="H100" s="42">
        <v>0</v>
      </c>
      <c r="I100" s="42">
        <v>0</v>
      </c>
      <c r="J100" s="42">
        <v>0</v>
      </c>
      <c r="K100" s="42">
        <v>1</v>
      </c>
      <c r="L100" s="42">
        <v>1</v>
      </c>
      <c r="M100" s="42">
        <v>1</v>
      </c>
      <c r="N100" s="42">
        <v>0</v>
      </c>
      <c r="O100" s="242"/>
    </row>
    <row r="101" spans="1:15" x14ac:dyDescent="0.2">
      <c r="A101" s="242"/>
      <c r="B101" s="247">
        <f>B87</f>
        <v>2015</v>
      </c>
      <c r="C101" s="42">
        <v>0</v>
      </c>
      <c r="D101" s="42">
        <v>0</v>
      </c>
      <c r="E101" s="42">
        <v>1</v>
      </c>
      <c r="F101" s="42">
        <v>1</v>
      </c>
      <c r="G101" s="42">
        <v>1</v>
      </c>
      <c r="H101" s="42">
        <v>0</v>
      </c>
      <c r="I101" s="42">
        <v>0</v>
      </c>
      <c r="J101" s="42">
        <v>0</v>
      </c>
      <c r="K101" s="42">
        <v>1</v>
      </c>
      <c r="L101" s="42">
        <v>1</v>
      </c>
      <c r="M101" s="42">
        <v>1</v>
      </c>
      <c r="N101" s="42">
        <v>0</v>
      </c>
      <c r="O101" s="242"/>
    </row>
    <row r="102" spans="1:15" x14ac:dyDescent="0.2">
      <c r="A102" s="242"/>
      <c r="B102" s="243"/>
      <c r="C102" s="243"/>
      <c r="D102" s="243"/>
      <c r="E102" s="243"/>
      <c r="F102" s="243"/>
      <c r="G102" s="243"/>
      <c r="H102" s="243"/>
      <c r="I102" s="243"/>
      <c r="J102" s="243"/>
      <c r="K102" s="243"/>
      <c r="L102" s="243"/>
      <c r="M102" s="243"/>
      <c r="N102" s="243"/>
      <c r="O102" s="242"/>
    </row>
    <row r="103" spans="1:15" x14ac:dyDescent="0.2">
      <c r="A103" s="242"/>
      <c r="B103" s="243"/>
      <c r="C103" s="243"/>
      <c r="D103" s="243"/>
      <c r="E103" s="243"/>
      <c r="F103" s="243"/>
      <c r="G103" s="243"/>
      <c r="H103" s="243"/>
      <c r="I103" s="243"/>
      <c r="J103" s="243"/>
      <c r="K103" s="243"/>
      <c r="L103" s="243"/>
      <c r="M103" s="243"/>
      <c r="N103" s="243"/>
      <c r="O103" s="242"/>
    </row>
    <row r="104" spans="1:15" x14ac:dyDescent="0.2">
      <c r="A104" s="242"/>
      <c r="B104" s="250" t="s">
        <v>263</v>
      </c>
      <c r="C104" s="243"/>
      <c r="D104" s="243"/>
      <c r="E104" s="243"/>
      <c r="F104" s="243"/>
      <c r="G104" s="243"/>
      <c r="H104" s="243"/>
      <c r="I104" s="243"/>
      <c r="J104" s="243"/>
      <c r="K104" s="243"/>
      <c r="L104" s="243"/>
      <c r="M104" s="243"/>
      <c r="N104" s="243"/>
      <c r="O104" s="242"/>
    </row>
    <row r="105" spans="1:15" x14ac:dyDescent="0.2">
      <c r="A105" s="242"/>
      <c r="B105" s="242"/>
      <c r="C105" s="246" t="s">
        <v>135</v>
      </c>
      <c r="D105" s="246" t="s">
        <v>136</v>
      </c>
      <c r="E105" s="246" t="s">
        <v>137</v>
      </c>
      <c r="F105" s="246" t="s">
        <v>138</v>
      </c>
      <c r="G105" s="246" t="s">
        <v>114</v>
      </c>
      <c r="H105" s="246" t="s">
        <v>139</v>
      </c>
      <c r="I105" s="246" t="s">
        <v>140</v>
      </c>
      <c r="J105" s="246" t="s">
        <v>141</v>
      </c>
      <c r="K105" s="246" t="s">
        <v>142</v>
      </c>
      <c r="L105" s="246" t="s">
        <v>145</v>
      </c>
      <c r="M105" s="246" t="s">
        <v>143</v>
      </c>
      <c r="N105" s="246" t="s">
        <v>144</v>
      </c>
      <c r="O105" s="242"/>
    </row>
    <row r="106" spans="1:15" x14ac:dyDescent="0.2">
      <c r="A106" s="242"/>
      <c r="B106" s="247">
        <f t="shared" ref="B106:B114" si="4">B92</f>
        <v>2006</v>
      </c>
      <c r="C106" s="669">
        <v>336</v>
      </c>
      <c r="D106" s="669">
        <v>320</v>
      </c>
      <c r="E106" s="669">
        <v>368</v>
      </c>
      <c r="F106" s="669">
        <v>304</v>
      </c>
      <c r="G106" s="669">
        <v>352</v>
      </c>
      <c r="H106" s="669">
        <v>352</v>
      </c>
      <c r="I106" s="669">
        <v>320</v>
      </c>
      <c r="J106" s="669">
        <v>352</v>
      </c>
      <c r="K106" s="669">
        <v>320</v>
      </c>
      <c r="L106" s="669">
        <v>336</v>
      </c>
      <c r="M106" s="669">
        <v>352</v>
      </c>
      <c r="N106" s="669">
        <v>304</v>
      </c>
      <c r="O106" s="242"/>
    </row>
    <row r="107" spans="1:15" x14ac:dyDescent="0.2">
      <c r="A107" s="242"/>
      <c r="B107" s="247">
        <f t="shared" si="4"/>
        <v>2007</v>
      </c>
      <c r="C107" s="669">
        <v>352</v>
      </c>
      <c r="D107" s="669">
        <v>320</v>
      </c>
      <c r="E107" s="669">
        <v>352</v>
      </c>
      <c r="F107" s="669">
        <v>320</v>
      </c>
      <c r="G107" s="669">
        <v>352</v>
      </c>
      <c r="H107" s="669">
        <v>336</v>
      </c>
      <c r="I107" s="669">
        <v>336</v>
      </c>
      <c r="J107" s="669">
        <v>352</v>
      </c>
      <c r="K107" s="669">
        <v>304</v>
      </c>
      <c r="L107" s="669">
        <v>352</v>
      </c>
      <c r="M107" s="669">
        <v>352</v>
      </c>
      <c r="N107" s="669">
        <v>304</v>
      </c>
      <c r="O107" s="242"/>
    </row>
    <row r="108" spans="1:15" x14ac:dyDescent="0.2">
      <c r="A108" s="242"/>
      <c r="B108" s="247">
        <f t="shared" si="4"/>
        <v>2008</v>
      </c>
      <c r="C108" s="669">
        <v>352</v>
      </c>
      <c r="D108" s="669">
        <v>320</v>
      </c>
      <c r="E108" s="669">
        <v>304</v>
      </c>
      <c r="F108" s="669">
        <v>352</v>
      </c>
      <c r="G108" s="669">
        <v>336</v>
      </c>
      <c r="H108" s="669">
        <v>336</v>
      </c>
      <c r="I108" s="669">
        <v>352</v>
      </c>
      <c r="J108" s="669">
        <v>320</v>
      </c>
      <c r="K108" s="669">
        <v>336</v>
      </c>
      <c r="L108" s="669">
        <v>352</v>
      </c>
      <c r="M108" s="669">
        <v>304</v>
      </c>
      <c r="N108" s="669">
        <v>336</v>
      </c>
      <c r="O108" s="242"/>
    </row>
    <row r="109" spans="1:15" x14ac:dyDescent="0.2">
      <c r="A109" s="242"/>
      <c r="B109" s="247">
        <f t="shared" si="4"/>
        <v>2009</v>
      </c>
      <c r="C109" s="669">
        <v>336</v>
      </c>
      <c r="D109" s="669">
        <v>304</v>
      </c>
      <c r="E109" s="669">
        <v>352</v>
      </c>
      <c r="F109" s="669">
        <v>320</v>
      </c>
      <c r="G109" s="669">
        <v>320</v>
      </c>
      <c r="H109" s="669">
        <v>352</v>
      </c>
      <c r="I109" s="669">
        <v>352</v>
      </c>
      <c r="J109" s="669">
        <v>320</v>
      </c>
      <c r="K109" s="669">
        <v>336</v>
      </c>
      <c r="L109" s="669">
        <v>336</v>
      </c>
      <c r="M109" s="669">
        <v>320</v>
      </c>
      <c r="N109" s="669">
        <v>352</v>
      </c>
      <c r="O109" s="242"/>
    </row>
    <row r="110" spans="1:15" x14ac:dyDescent="0.2">
      <c r="A110" s="242"/>
      <c r="B110" s="247">
        <f t="shared" si="4"/>
        <v>2010</v>
      </c>
      <c r="C110" s="669">
        <v>320</v>
      </c>
      <c r="D110" s="669">
        <v>304</v>
      </c>
      <c r="E110" s="669">
        <v>368</v>
      </c>
      <c r="F110" s="669">
        <v>320</v>
      </c>
      <c r="G110" s="669">
        <v>320</v>
      </c>
      <c r="H110" s="669">
        <v>352</v>
      </c>
      <c r="I110" s="669">
        <v>336</v>
      </c>
      <c r="J110" s="669">
        <v>336</v>
      </c>
      <c r="K110" s="669">
        <v>336</v>
      </c>
      <c r="L110" s="669">
        <v>320</v>
      </c>
      <c r="M110" s="669">
        <v>336</v>
      </c>
      <c r="N110" s="669">
        <v>368</v>
      </c>
      <c r="O110" s="242"/>
    </row>
    <row r="111" spans="1:15" x14ac:dyDescent="0.2">
      <c r="A111" s="242"/>
      <c r="B111" s="247">
        <f t="shared" si="4"/>
        <v>2011</v>
      </c>
      <c r="C111" s="669">
        <v>352</v>
      </c>
      <c r="D111" s="669">
        <v>320</v>
      </c>
      <c r="E111" s="669">
        <v>352</v>
      </c>
      <c r="F111" s="669">
        <v>320</v>
      </c>
      <c r="G111" s="669">
        <v>352</v>
      </c>
      <c r="H111" s="669">
        <v>336</v>
      </c>
      <c r="I111" s="669">
        <v>336</v>
      </c>
      <c r="J111" s="669">
        <v>352</v>
      </c>
      <c r="K111" s="669">
        <v>304</v>
      </c>
      <c r="L111" s="669">
        <v>352</v>
      </c>
      <c r="M111" s="669">
        <v>352</v>
      </c>
      <c r="N111" s="669">
        <v>304</v>
      </c>
      <c r="O111" s="242"/>
    </row>
    <row r="112" spans="1:15" x14ac:dyDescent="0.2">
      <c r="A112" s="242"/>
      <c r="B112" s="247">
        <f t="shared" si="4"/>
        <v>2012</v>
      </c>
      <c r="C112" s="669">
        <v>352</v>
      </c>
      <c r="D112" s="669">
        <v>320</v>
      </c>
      <c r="E112" s="669">
        <v>304</v>
      </c>
      <c r="F112" s="669">
        <v>352</v>
      </c>
      <c r="G112" s="669">
        <v>336</v>
      </c>
      <c r="H112" s="669">
        <v>336</v>
      </c>
      <c r="I112" s="669">
        <v>352</v>
      </c>
      <c r="J112" s="669">
        <v>320</v>
      </c>
      <c r="K112" s="669">
        <v>336</v>
      </c>
      <c r="L112" s="669">
        <v>352</v>
      </c>
      <c r="M112" s="669">
        <v>304</v>
      </c>
      <c r="N112" s="669">
        <v>336</v>
      </c>
      <c r="O112" s="242"/>
    </row>
    <row r="113" spans="1:15" x14ac:dyDescent="0.2">
      <c r="A113" s="242"/>
      <c r="B113" s="247">
        <f t="shared" si="4"/>
        <v>2013</v>
      </c>
      <c r="C113" s="669">
        <v>352</v>
      </c>
      <c r="D113" s="669">
        <v>304</v>
      </c>
      <c r="E113" s="669">
        <v>320</v>
      </c>
      <c r="F113" s="669">
        <v>352</v>
      </c>
      <c r="G113" s="669">
        <v>352</v>
      </c>
      <c r="H113" s="669">
        <v>320</v>
      </c>
      <c r="I113" s="669">
        <v>352</v>
      </c>
      <c r="J113" s="669">
        <v>336</v>
      </c>
      <c r="K113" s="669">
        <v>320</v>
      </c>
      <c r="L113" s="669">
        <v>352</v>
      </c>
      <c r="M113" s="669">
        <v>336</v>
      </c>
      <c r="N113" s="669">
        <v>320</v>
      </c>
      <c r="O113" s="242"/>
    </row>
    <row r="114" spans="1:15" x14ac:dyDescent="0.2">
      <c r="A114" s="242"/>
      <c r="B114" s="247">
        <f t="shared" si="4"/>
        <v>2014</v>
      </c>
      <c r="C114" s="669">
        <v>352</v>
      </c>
      <c r="D114" s="669">
        <v>304</v>
      </c>
      <c r="E114" s="669">
        <v>336</v>
      </c>
      <c r="F114" s="669">
        <v>336</v>
      </c>
      <c r="G114" s="669">
        <v>336</v>
      </c>
      <c r="H114" s="669">
        <v>336</v>
      </c>
      <c r="I114" s="669">
        <v>352</v>
      </c>
      <c r="J114" s="669">
        <v>320</v>
      </c>
      <c r="K114" s="669">
        <v>336</v>
      </c>
      <c r="L114" s="669">
        <v>352</v>
      </c>
      <c r="M114" s="669">
        <v>320</v>
      </c>
      <c r="N114" s="669">
        <v>336</v>
      </c>
      <c r="O114" s="242"/>
    </row>
    <row r="115" spans="1:15" x14ac:dyDescent="0.2">
      <c r="A115" s="242"/>
      <c r="B115" s="247">
        <f>B101</f>
        <v>2015</v>
      </c>
      <c r="C115" s="847">
        <v>344.88888888888891</v>
      </c>
      <c r="D115" s="847">
        <v>312.88888888888891</v>
      </c>
      <c r="E115" s="847">
        <v>339.55555555555554</v>
      </c>
      <c r="F115" s="847">
        <v>330.66666666666669</v>
      </c>
      <c r="G115" s="847">
        <v>339.55555555555554</v>
      </c>
      <c r="H115" s="847">
        <v>339.55555555555554</v>
      </c>
      <c r="I115" s="847">
        <v>343.11111111111109</v>
      </c>
      <c r="J115" s="847">
        <v>334.22222222222223</v>
      </c>
      <c r="K115" s="847">
        <v>325.33333333333331</v>
      </c>
      <c r="L115" s="847">
        <v>344.88888888888891</v>
      </c>
      <c r="M115" s="847">
        <v>330.66666666666669</v>
      </c>
      <c r="N115" s="847">
        <v>328.88888888888891</v>
      </c>
      <c r="O115" s="242"/>
    </row>
    <row r="116" spans="1:15" x14ac:dyDescent="0.2">
      <c r="A116" s="242"/>
      <c r="B116" s="243"/>
      <c r="C116" s="243"/>
      <c r="D116" s="243"/>
      <c r="E116" s="243"/>
      <c r="F116" s="243"/>
      <c r="G116" s="243"/>
      <c r="H116" s="243"/>
      <c r="I116" s="243"/>
      <c r="J116" s="243"/>
      <c r="K116" s="243"/>
      <c r="L116" s="243"/>
      <c r="M116" s="243"/>
      <c r="N116" s="243"/>
      <c r="O116" s="242"/>
    </row>
    <row r="117" spans="1:15" x14ac:dyDescent="0.2">
      <c r="A117" s="242"/>
      <c r="B117" s="243"/>
      <c r="C117" s="243"/>
      <c r="D117" s="243"/>
      <c r="E117" s="243"/>
      <c r="F117" s="243"/>
      <c r="G117" s="243"/>
      <c r="H117" s="243"/>
      <c r="I117" s="243"/>
      <c r="J117" s="243"/>
      <c r="K117" s="243"/>
      <c r="L117" s="243"/>
      <c r="M117" s="243"/>
      <c r="N117" s="243"/>
      <c r="O117" s="242"/>
    </row>
    <row r="118" spans="1:15" x14ac:dyDescent="0.2">
      <c r="A118" s="242"/>
      <c r="B118" s="251" t="s">
        <v>133</v>
      </c>
      <c r="C118" s="243"/>
      <c r="D118" s="243"/>
      <c r="E118" s="243"/>
      <c r="F118" s="243"/>
      <c r="G118" s="243"/>
      <c r="H118" s="243"/>
      <c r="I118" s="243"/>
      <c r="J118" s="243"/>
      <c r="K118" s="243"/>
      <c r="L118" s="243"/>
      <c r="M118" s="243"/>
      <c r="N118" s="243"/>
      <c r="O118" s="242"/>
    </row>
    <row r="119" spans="1:15" x14ac:dyDescent="0.2">
      <c r="A119" s="242"/>
      <c r="B119" s="252"/>
      <c r="C119" s="243"/>
      <c r="D119" s="243"/>
      <c r="E119" s="243"/>
      <c r="F119" s="243"/>
      <c r="G119" s="243"/>
      <c r="H119" s="243"/>
      <c r="I119" s="243"/>
      <c r="J119" s="243"/>
      <c r="K119" s="243"/>
      <c r="L119" s="243"/>
      <c r="M119" s="243"/>
      <c r="N119" s="243"/>
      <c r="O119" s="242"/>
    </row>
    <row r="120" spans="1:15" x14ac:dyDescent="0.2">
      <c r="A120" s="242"/>
      <c r="B120" s="253" t="str">
        <f>Variable1</f>
        <v>HDD</v>
      </c>
      <c r="C120" s="243"/>
      <c r="D120" s="243"/>
      <c r="E120" s="243"/>
      <c r="F120" s="243"/>
      <c r="G120" s="243"/>
      <c r="H120" s="243"/>
      <c r="I120" s="243"/>
      <c r="J120" s="243"/>
      <c r="K120" s="243"/>
      <c r="L120" s="243"/>
      <c r="M120" s="243"/>
      <c r="N120" s="243"/>
      <c r="O120" s="242"/>
    </row>
    <row r="121" spans="1:15" x14ac:dyDescent="0.2">
      <c r="A121" s="242"/>
      <c r="B121" s="253" t="str">
        <f>Variable2</f>
        <v>CDD</v>
      </c>
      <c r="C121" s="243"/>
      <c r="D121" s="243"/>
      <c r="E121" s="243"/>
      <c r="F121" s="243"/>
      <c r="G121" s="243"/>
      <c r="H121" s="243"/>
      <c r="I121" s="243"/>
      <c r="J121" s="243"/>
      <c r="K121" s="243"/>
      <c r="L121" s="243"/>
      <c r="M121" s="243"/>
      <c r="N121" s="243"/>
      <c r="O121" s="242"/>
    </row>
    <row r="122" spans="1:15" x14ac:dyDescent="0.2">
      <c r="A122" s="242"/>
      <c r="B122" s="253" t="str">
        <f>Variable3</f>
        <v>Number of Days in Month</v>
      </c>
      <c r="C122" s="243"/>
      <c r="D122" s="243"/>
      <c r="E122" s="243"/>
      <c r="F122" s="243"/>
      <c r="G122" s="243"/>
      <c r="H122" s="243"/>
      <c r="I122" s="243"/>
      <c r="J122" s="243"/>
      <c r="K122" s="243"/>
      <c r="L122" s="243"/>
      <c r="M122" s="243"/>
      <c r="N122" s="243"/>
      <c r="O122" s="242"/>
    </row>
    <row r="123" spans="1:15" x14ac:dyDescent="0.2">
      <c r="A123" s="242"/>
      <c r="B123" s="253" t="str">
        <f>B76</f>
        <v>Employment Stats</v>
      </c>
      <c r="C123" s="243"/>
      <c r="D123" s="243"/>
      <c r="E123" s="243"/>
      <c r="F123" s="243"/>
      <c r="G123" s="243"/>
      <c r="H123" s="243"/>
      <c r="I123" s="243"/>
      <c r="J123" s="243"/>
      <c r="K123" s="243"/>
      <c r="L123" s="243"/>
      <c r="M123" s="243"/>
      <c r="N123" s="243"/>
      <c r="O123" s="242"/>
    </row>
    <row r="124" spans="1:15" x14ac:dyDescent="0.2">
      <c r="A124" s="242"/>
      <c r="B124" s="253" t="str">
        <f>Variable5</f>
        <v xml:space="preserve">Spring and Fall </v>
      </c>
      <c r="C124" s="243"/>
      <c r="D124" s="243"/>
      <c r="E124" s="243"/>
      <c r="F124" s="243"/>
      <c r="G124" s="243"/>
      <c r="H124" s="243"/>
      <c r="I124" s="243"/>
      <c r="J124" s="243"/>
      <c r="K124" s="243"/>
      <c r="L124" s="243"/>
      <c r="M124" s="243"/>
      <c r="N124" s="243"/>
      <c r="O124" s="242"/>
    </row>
    <row r="125" spans="1:15" x14ac:dyDescent="0.2">
      <c r="A125" s="242"/>
      <c r="B125" s="253" t="str">
        <f>Variable6</f>
        <v>Holiday Months</v>
      </c>
      <c r="C125" s="243"/>
      <c r="D125" s="243"/>
      <c r="E125" s="243"/>
      <c r="F125" s="243"/>
      <c r="G125" s="243"/>
      <c r="H125" s="243"/>
      <c r="I125" s="243"/>
      <c r="J125" s="243"/>
      <c r="K125" s="243"/>
      <c r="L125" s="243"/>
      <c r="M125" s="243"/>
      <c r="N125" s="243"/>
      <c r="O125" s="242"/>
    </row>
    <row r="126" spans="1:15" x14ac:dyDescent="0.2">
      <c r="A126" s="242"/>
      <c r="B126" s="243"/>
      <c r="C126" s="243"/>
      <c r="D126" s="243"/>
      <c r="E126" s="243"/>
      <c r="F126" s="243"/>
      <c r="G126" s="243"/>
      <c r="H126" s="243"/>
      <c r="I126" s="243"/>
      <c r="J126" s="243"/>
      <c r="K126" s="243"/>
      <c r="L126" s="243"/>
      <c r="M126" s="243"/>
      <c r="N126" s="243"/>
      <c r="O126" s="242"/>
    </row>
    <row r="127" spans="1:15" x14ac:dyDescent="0.2">
      <c r="A127" s="242"/>
      <c r="B127" s="243"/>
      <c r="C127" s="243"/>
      <c r="D127" s="243"/>
      <c r="E127" s="243"/>
      <c r="F127" s="243"/>
      <c r="G127" s="243"/>
      <c r="H127" s="243"/>
      <c r="I127" s="243"/>
      <c r="J127" s="243"/>
      <c r="K127" s="243"/>
      <c r="L127" s="243"/>
      <c r="M127" s="243"/>
      <c r="N127" s="243"/>
      <c r="O127" s="242"/>
    </row>
    <row r="128" spans="1:15" x14ac:dyDescent="0.2">
      <c r="A128" s="242"/>
      <c r="B128" s="243"/>
      <c r="C128" s="243"/>
      <c r="D128" s="243"/>
      <c r="E128" s="243"/>
      <c r="F128" s="243"/>
      <c r="G128" s="243"/>
      <c r="H128" s="243"/>
      <c r="I128" s="243"/>
      <c r="J128" s="243"/>
      <c r="K128" s="243"/>
      <c r="L128" s="243"/>
      <c r="M128" s="243"/>
      <c r="N128" s="243"/>
      <c r="O128" s="242"/>
    </row>
    <row r="129" spans="1:15" x14ac:dyDescent="0.2">
      <c r="A129" s="242"/>
      <c r="B129" s="243"/>
      <c r="C129" s="243"/>
      <c r="D129" s="243"/>
      <c r="E129" s="243"/>
      <c r="F129" s="243"/>
      <c r="G129" s="243"/>
      <c r="H129" s="243"/>
      <c r="I129" s="243"/>
      <c r="J129" s="243"/>
      <c r="K129" s="243"/>
      <c r="L129" s="243"/>
      <c r="M129" s="243"/>
      <c r="N129" s="243"/>
      <c r="O129" s="242"/>
    </row>
    <row r="130" spans="1:15" x14ac:dyDescent="0.2">
      <c r="A130" s="242"/>
      <c r="B130" s="243"/>
      <c r="C130" s="243"/>
      <c r="D130" s="243"/>
      <c r="E130" s="243"/>
      <c r="F130" s="243"/>
      <c r="G130" s="243"/>
      <c r="H130" s="243"/>
      <c r="I130" s="243"/>
      <c r="J130" s="243"/>
      <c r="K130" s="243"/>
      <c r="L130" s="243"/>
      <c r="M130" s="243"/>
      <c r="N130" s="243"/>
      <c r="O130" s="242"/>
    </row>
    <row r="131" spans="1:15" x14ac:dyDescent="0.2">
      <c r="A131" s="242"/>
      <c r="B131" s="243"/>
      <c r="C131" s="243"/>
      <c r="D131" s="243"/>
      <c r="E131" s="243"/>
      <c r="F131" s="243"/>
      <c r="G131" s="243"/>
      <c r="H131" s="243"/>
      <c r="I131" s="243"/>
      <c r="J131" s="243"/>
      <c r="K131" s="243"/>
      <c r="L131" s="243"/>
      <c r="M131" s="243"/>
      <c r="N131" s="243"/>
      <c r="O131" s="242"/>
    </row>
    <row r="132" spans="1:15" x14ac:dyDescent="0.2">
      <c r="A132" s="242"/>
      <c r="B132" s="243"/>
      <c r="C132" s="243"/>
      <c r="D132" s="243"/>
      <c r="E132" s="243"/>
      <c r="F132" s="243"/>
      <c r="G132" s="243"/>
      <c r="H132" s="243"/>
      <c r="I132" s="243"/>
      <c r="J132" s="243"/>
      <c r="K132" s="243"/>
      <c r="L132" s="243"/>
      <c r="M132" s="243"/>
      <c r="N132" s="243"/>
      <c r="O132" s="242"/>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L128" zoomScaleNormal="100" workbookViewId="0">
      <selection activeCell="S151" sqref="S151"/>
    </sheetView>
  </sheetViews>
  <sheetFormatPr defaultRowHeight="12.75" x14ac:dyDescent="0.2"/>
  <cols>
    <col min="1" max="1" width="13.6640625" customWidth="1"/>
    <col min="2" max="2" width="25.33203125" style="52" customWidth="1"/>
    <col min="3" max="3" width="16.83203125" style="681" customWidth="1"/>
    <col min="4" max="4" width="16.83203125" style="52" customWidth="1"/>
    <col min="5" max="5" width="16.83203125" style="752" customWidth="1"/>
    <col min="6" max="10" width="16.83203125" style="52" customWidth="1"/>
    <col min="11" max="16" width="16.83203125" style="695" customWidth="1"/>
    <col min="17" max="17" width="4.1640625" style="1" customWidth="1"/>
    <col min="18" max="18" width="20.33203125" style="52" bestFit="1" customWidth="1"/>
    <col min="19" max="19" width="21.6640625" style="1" bestFit="1" customWidth="1"/>
    <col min="20" max="20" width="10.1640625" style="1" customWidth="1"/>
    <col min="21" max="21" width="21.5" style="1" customWidth="1"/>
    <col min="22" max="22" width="33.6640625" style="1" bestFit="1" customWidth="1"/>
    <col min="23" max="24" width="21" style="1" bestFit="1" customWidth="1"/>
    <col min="25" max="25" width="17" style="1" bestFit="1" customWidth="1"/>
    <col min="26" max="26" width="26.6640625" style="1" bestFit="1" customWidth="1"/>
    <col min="27" max="27" width="17.33203125" style="1" customWidth="1"/>
    <col min="28" max="16384" width="9.33203125" style="1"/>
  </cols>
  <sheetData>
    <row r="1" spans="1:39" s="532" customFormat="1" x14ac:dyDescent="0.2">
      <c r="A1" s="726" t="s">
        <v>266</v>
      </c>
      <c r="B1" s="52"/>
      <c r="C1" s="681"/>
      <c r="D1" s="52"/>
      <c r="E1" s="752"/>
      <c r="F1" s="52"/>
      <c r="G1" s="52"/>
      <c r="H1" s="52"/>
      <c r="I1" s="52"/>
      <c r="J1" s="52"/>
      <c r="K1" s="695"/>
      <c r="L1" s="695"/>
      <c r="M1" s="695"/>
      <c r="N1" s="695"/>
      <c r="O1" s="695"/>
      <c r="P1" s="695"/>
      <c r="R1" s="52"/>
    </row>
    <row r="2" spans="1:39" s="532" customFormat="1" x14ac:dyDescent="0.2">
      <c r="A2"/>
      <c r="B2" s="52"/>
      <c r="C2" s="681"/>
      <c r="D2" s="52"/>
      <c r="E2" s="752"/>
      <c r="F2" s="52"/>
      <c r="G2" s="52"/>
      <c r="H2" s="52"/>
      <c r="I2" s="52"/>
      <c r="J2" s="52"/>
      <c r="K2" s="695"/>
      <c r="L2" s="695"/>
      <c r="M2" s="695"/>
      <c r="N2" s="695"/>
      <c r="O2" s="695"/>
      <c r="P2" s="695"/>
      <c r="R2" s="52"/>
    </row>
    <row r="3" spans="1:39" s="532" customFormat="1" x14ac:dyDescent="0.2">
      <c r="A3"/>
      <c r="B3" s="52"/>
      <c r="C3" s="681"/>
      <c r="D3" s="52"/>
      <c r="E3" s="752"/>
      <c r="F3" s="52"/>
      <c r="G3" s="52"/>
      <c r="H3" s="52"/>
      <c r="I3" s="52"/>
      <c r="J3" s="52"/>
      <c r="K3" s="695"/>
      <c r="L3" s="695"/>
      <c r="M3" s="695"/>
      <c r="N3" s="695"/>
      <c r="O3" s="695"/>
      <c r="P3" s="695"/>
      <c r="R3" s="52"/>
    </row>
    <row r="4" spans="1:39" s="532" customFormat="1" x14ac:dyDescent="0.2">
      <c r="A4"/>
      <c r="B4" s="52"/>
      <c r="C4" s="681"/>
      <c r="D4" s="52"/>
      <c r="E4" s="752"/>
      <c r="F4" s="52"/>
      <c r="G4" s="52"/>
      <c r="H4" s="52"/>
      <c r="I4" s="52"/>
      <c r="J4" s="52"/>
      <c r="K4" s="695"/>
      <c r="L4" s="695"/>
      <c r="M4" s="695"/>
      <c r="N4" s="695"/>
      <c r="O4" s="695"/>
      <c r="P4" s="695"/>
      <c r="R4" s="52"/>
    </row>
    <row r="5" spans="1:39" s="532" customFormat="1" x14ac:dyDescent="0.2">
      <c r="A5"/>
      <c r="B5" s="52"/>
      <c r="C5" s="681"/>
      <c r="D5" s="52"/>
      <c r="E5" s="752"/>
      <c r="F5" s="52"/>
      <c r="G5" s="52"/>
      <c r="H5" s="52"/>
      <c r="I5" s="52"/>
      <c r="J5" s="52"/>
      <c r="K5" s="695"/>
      <c r="L5" s="695"/>
      <c r="M5" s="695"/>
      <c r="N5" s="695"/>
      <c r="O5" s="695"/>
      <c r="P5" s="695"/>
      <c r="R5" s="52"/>
    </row>
    <row r="6" spans="1:39" s="532" customFormat="1" x14ac:dyDescent="0.2">
      <c r="A6"/>
      <c r="B6" s="52"/>
      <c r="C6" s="681"/>
      <c r="D6" s="52"/>
      <c r="E6" s="752"/>
      <c r="F6" s="52"/>
      <c r="G6" s="52"/>
      <c r="H6" s="52"/>
      <c r="I6" s="52"/>
      <c r="J6" s="52"/>
      <c r="K6" s="695"/>
      <c r="L6" s="695"/>
      <c r="M6" s="695"/>
      <c r="N6" s="695"/>
      <c r="O6" s="695"/>
      <c r="P6" s="695"/>
      <c r="R6" s="52"/>
    </row>
    <row r="7" spans="1:39" s="532" customFormat="1" x14ac:dyDescent="0.2">
      <c r="A7"/>
      <c r="B7" s="52"/>
      <c r="C7" s="681"/>
      <c r="D7" s="52"/>
      <c r="E7" s="752"/>
      <c r="F7" s="52"/>
      <c r="G7" s="52"/>
      <c r="H7" s="52"/>
      <c r="I7" s="52"/>
      <c r="J7" s="52"/>
      <c r="K7" s="695"/>
      <c r="L7" s="695"/>
      <c r="M7" s="695"/>
      <c r="N7" s="695"/>
      <c r="O7" s="695"/>
      <c r="P7" s="695"/>
      <c r="R7" s="52"/>
    </row>
    <row r="8" spans="1:39" s="532" customFormat="1" x14ac:dyDescent="0.2">
      <c r="A8"/>
      <c r="B8" s="52"/>
      <c r="C8" s="681"/>
      <c r="D8" s="52"/>
      <c r="E8" s="752"/>
      <c r="F8" s="52"/>
      <c r="G8" s="52"/>
      <c r="H8" s="52"/>
      <c r="I8" s="52"/>
      <c r="J8" s="52"/>
      <c r="K8" s="695"/>
      <c r="L8" s="695"/>
      <c r="M8" s="695"/>
      <c r="N8" s="695"/>
      <c r="O8" s="695"/>
      <c r="P8" s="695"/>
      <c r="R8" s="52"/>
    </row>
    <row r="9" spans="1:39" s="532" customFormat="1" x14ac:dyDescent="0.2">
      <c r="A9"/>
      <c r="B9" s="52"/>
      <c r="C9" s="681"/>
      <c r="D9" s="52"/>
      <c r="E9" s="752"/>
      <c r="F9" s="52"/>
      <c r="G9" s="52"/>
      <c r="H9" s="52"/>
      <c r="I9" s="52"/>
      <c r="J9" s="52"/>
      <c r="K9" s="695"/>
      <c r="L9" s="695"/>
      <c r="M9" s="695"/>
      <c r="N9" s="695"/>
      <c r="O9" s="695"/>
      <c r="P9" s="695"/>
      <c r="R9" s="52"/>
    </row>
    <row r="10" spans="1:39" s="532" customFormat="1" x14ac:dyDescent="0.2">
      <c r="A10"/>
      <c r="B10" s="52"/>
      <c r="C10" s="681"/>
      <c r="D10" s="52"/>
      <c r="E10" s="752"/>
      <c r="F10" s="52"/>
      <c r="G10" s="52"/>
      <c r="H10" s="52"/>
      <c r="I10" s="52"/>
      <c r="J10" s="52"/>
      <c r="K10" s="695"/>
      <c r="L10" s="695"/>
      <c r="M10" s="695"/>
      <c r="N10" s="695"/>
      <c r="O10" s="695"/>
      <c r="P10" s="695"/>
      <c r="R10" s="52"/>
    </row>
    <row r="11" spans="1:39" ht="23.25" x14ac:dyDescent="0.2">
      <c r="A11" s="256"/>
      <c r="B11" s="257" t="s">
        <v>97</v>
      </c>
      <c r="C11" s="682"/>
      <c r="D11" s="243"/>
      <c r="E11" s="753"/>
      <c r="F11" s="243"/>
      <c r="G11" s="243"/>
      <c r="H11" s="243"/>
      <c r="I11" s="243"/>
      <c r="J11" s="243"/>
      <c r="K11" s="696"/>
      <c r="L11" s="696"/>
      <c r="M11" s="696"/>
      <c r="N11" s="696"/>
      <c r="O11" s="696"/>
      <c r="P11" s="696"/>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ht="15" x14ac:dyDescent="0.2">
      <c r="A12" s="256"/>
      <c r="B12" s="57" t="s">
        <v>63</v>
      </c>
      <c r="C12" s="682"/>
      <c r="D12" s="243"/>
      <c r="E12" s="753"/>
      <c r="F12" s="243"/>
      <c r="G12" s="243"/>
      <c r="H12" s="243"/>
      <c r="I12" s="243"/>
      <c r="J12" s="243"/>
      <c r="K12" s="696"/>
      <c r="L12" s="696"/>
      <c r="M12" s="696"/>
      <c r="N12" s="696"/>
      <c r="O12" s="696"/>
      <c r="P12" s="696"/>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ht="14.25" x14ac:dyDescent="0.2">
      <c r="A13" s="256"/>
      <c r="B13" s="99" t="s">
        <v>246</v>
      </c>
      <c r="C13" s="682"/>
      <c r="D13" s="243"/>
      <c r="E13" s="753"/>
      <c r="F13" s="243"/>
      <c r="G13" s="243"/>
      <c r="H13" s="243"/>
      <c r="I13" s="243"/>
      <c r="J13" s="243"/>
      <c r="K13" s="696"/>
      <c r="L13" s="696"/>
      <c r="M13" s="696"/>
      <c r="N13" s="696"/>
      <c r="O13" s="696"/>
      <c r="P13" s="696"/>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ht="14.25" x14ac:dyDescent="0.2">
      <c r="A14" s="256"/>
      <c r="B14" s="99" t="s">
        <v>247</v>
      </c>
      <c r="C14" s="682"/>
      <c r="D14" s="243"/>
      <c r="E14" s="753"/>
      <c r="F14" s="243"/>
      <c r="G14" s="243"/>
      <c r="H14" s="243"/>
      <c r="I14" s="243"/>
      <c r="J14" s="243"/>
      <c r="K14" s="696"/>
      <c r="L14" s="696"/>
      <c r="M14" s="696"/>
      <c r="N14" s="696"/>
      <c r="O14" s="696"/>
      <c r="P14" s="696"/>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5" spans="1:39" ht="15" customHeight="1" x14ac:dyDescent="0.2">
      <c r="A15" s="256"/>
      <c r="B15" s="99" t="s">
        <v>248</v>
      </c>
      <c r="C15" s="683"/>
      <c r="D15" s="257"/>
      <c r="E15" s="757"/>
      <c r="F15" s="257"/>
      <c r="G15" s="257"/>
      <c r="H15" s="257"/>
      <c r="I15" s="257"/>
      <c r="J15" s="243"/>
      <c r="K15" s="696"/>
      <c r="L15" s="696"/>
      <c r="M15" s="696"/>
      <c r="N15" s="696"/>
      <c r="O15" s="696"/>
      <c r="P15" s="696"/>
      <c r="Q15" s="242"/>
      <c r="R15" s="243"/>
      <c r="S15" s="242"/>
      <c r="T15" s="242"/>
      <c r="U15" s="242"/>
      <c r="V15" s="242"/>
      <c r="W15" s="242"/>
      <c r="X15" s="242"/>
      <c r="Y15" s="242"/>
      <c r="Z15" s="242"/>
      <c r="AA15" s="242"/>
      <c r="AB15" s="242"/>
      <c r="AC15" s="242"/>
      <c r="AD15" s="242"/>
      <c r="AE15" s="242"/>
      <c r="AF15" s="242"/>
      <c r="AG15" s="242"/>
      <c r="AH15" s="242"/>
      <c r="AI15" s="242"/>
      <c r="AJ15" s="242"/>
      <c r="AK15" s="242"/>
      <c r="AL15" s="242"/>
      <c r="AM15" s="242"/>
    </row>
    <row r="16" spans="1:39" ht="13.5" customHeight="1" x14ac:dyDescent="0.2">
      <c r="A16" s="256"/>
      <c r="C16" s="683"/>
      <c r="D16" s="257"/>
      <c r="E16" s="757"/>
      <c r="F16" s="257"/>
      <c r="G16" s="257"/>
      <c r="H16" s="257"/>
      <c r="I16" s="257"/>
      <c r="J16" s="243"/>
      <c r="K16" s="696"/>
      <c r="L16" s="696"/>
      <c r="M16" s="696"/>
      <c r="N16" s="696"/>
      <c r="O16" s="696"/>
      <c r="P16" s="696"/>
      <c r="Q16" s="242"/>
      <c r="R16" s="243"/>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1:39" s="177" customFormat="1" x14ac:dyDescent="0.2">
      <c r="A17" s="551"/>
      <c r="B17" s="555"/>
      <c r="C17" s="684"/>
      <c r="D17" s="911" t="s">
        <v>134</v>
      </c>
      <c r="E17" s="911"/>
      <c r="F17" s="911"/>
      <c r="G17" s="911"/>
      <c r="H17" s="911"/>
      <c r="I17" s="911"/>
      <c r="J17" s="555"/>
      <c r="K17" s="911" t="s">
        <v>122</v>
      </c>
      <c r="L17" s="911"/>
      <c r="M17" s="911"/>
      <c r="N17" s="911"/>
      <c r="O17" s="911"/>
      <c r="P17" s="911"/>
      <c r="Q17" s="269"/>
      <c r="R17" s="555"/>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764" customFormat="1" ht="75" customHeight="1" thickBot="1" x14ac:dyDescent="0.25">
      <c r="A18" s="760"/>
      <c r="B18" s="552"/>
      <c r="C18" s="685" t="s">
        <v>120</v>
      </c>
      <c r="D18" s="553" t="s">
        <v>264</v>
      </c>
      <c r="E18" s="553" t="s">
        <v>293</v>
      </c>
      <c r="F18" s="553" t="s">
        <v>294</v>
      </c>
      <c r="G18" s="553" t="s">
        <v>357</v>
      </c>
      <c r="H18" s="554" t="s">
        <v>242</v>
      </c>
      <c r="I18" s="554" t="s">
        <v>242</v>
      </c>
      <c r="J18" s="549" t="s">
        <v>121</v>
      </c>
      <c r="K18" s="742" t="s">
        <v>1</v>
      </c>
      <c r="L18" s="742" t="s">
        <v>2</v>
      </c>
      <c r="M18" s="742" t="s">
        <v>240</v>
      </c>
      <c r="N18" s="742" t="s">
        <v>262</v>
      </c>
      <c r="O18" s="742" t="s">
        <v>265</v>
      </c>
      <c r="P18" s="742" t="s">
        <v>263</v>
      </c>
      <c r="Q18" s="761"/>
      <c r="R18" s="241" t="s">
        <v>146</v>
      </c>
      <c r="S18" s="241" t="s">
        <v>32</v>
      </c>
      <c r="T18" s="555"/>
      <c r="U18" s="762" t="s">
        <v>156</v>
      </c>
      <c r="V18" s="762"/>
      <c r="W18" s="762"/>
      <c r="X18" s="762"/>
      <c r="Y18" s="762"/>
      <c r="Z18" s="762"/>
      <c r="AA18" s="762"/>
      <c r="AB18" s="762"/>
      <c r="AC18" s="762"/>
      <c r="AD18" s="763"/>
      <c r="AE18" s="555"/>
      <c r="AF18" s="555"/>
      <c r="AG18" s="555"/>
      <c r="AH18" s="555"/>
      <c r="AI18" s="555"/>
      <c r="AJ18" s="555"/>
      <c r="AK18" s="555"/>
      <c r="AL18" s="555"/>
      <c r="AM18" s="555"/>
    </row>
    <row r="19" spans="1:39" s="755" customFormat="1" ht="26.25" hidden="1" thickBot="1" x14ac:dyDescent="0.25">
      <c r="A19" s="765"/>
      <c r="B19" s="766"/>
      <c r="C19" s="767"/>
      <c r="D19" s="768"/>
      <c r="E19" s="754"/>
      <c r="F19" s="754"/>
      <c r="G19" s="547"/>
      <c r="H19" s="752"/>
      <c r="I19" s="717" t="s">
        <v>165</v>
      </c>
      <c r="J19" s="680"/>
      <c r="K19" s="769" t="s">
        <v>167</v>
      </c>
      <c r="L19" s="769" t="s">
        <v>167</v>
      </c>
      <c r="M19" s="769" t="s">
        <v>167</v>
      </c>
      <c r="N19" s="769" t="s">
        <v>233</v>
      </c>
      <c r="O19" s="769" t="s">
        <v>167</v>
      </c>
      <c r="P19" s="769" t="s">
        <v>167</v>
      </c>
      <c r="Q19" s="912"/>
      <c r="R19" s="912"/>
      <c r="S19" s="912"/>
      <c r="T19" s="756"/>
      <c r="U19" s="770"/>
      <c r="V19" s="770"/>
      <c r="W19" s="770"/>
      <c r="X19" s="770"/>
      <c r="Y19" s="770"/>
      <c r="Z19" s="770"/>
      <c r="AA19" s="770"/>
      <c r="AB19" s="770"/>
      <c r="AC19" s="770"/>
      <c r="AD19" s="771"/>
      <c r="AE19" s="756"/>
      <c r="AF19" s="756"/>
      <c r="AG19" s="756"/>
      <c r="AH19" s="756"/>
      <c r="AI19" s="756"/>
      <c r="AJ19" s="756"/>
      <c r="AK19" s="756"/>
      <c r="AL19" s="756"/>
      <c r="AM19" s="756"/>
    </row>
    <row r="20" spans="1:39" x14ac:dyDescent="0.2">
      <c r="A20" s="500">
        <v>1</v>
      </c>
      <c r="B20" s="548" t="str">
        <f>CONCATENATE('3. Consumption by Rate Class'!B25,"-",'3. Consumption by Rate Class'!C25)</f>
        <v>2006-January</v>
      </c>
      <c r="C20" s="686">
        <v>26817115</v>
      </c>
      <c r="D20" s="822">
        <v>2612043</v>
      </c>
      <c r="E20" s="823">
        <v>1851400</v>
      </c>
      <c r="F20" s="822"/>
      <c r="G20" s="822"/>
      <c r="H20" s="674"/>
      <c r="I20" s="674"/>
      <c r="J20" s="550">
        <f t="shared" ref="J20:J83" si="0">C20-D20-E20+F20+G20</f>
        <v>22353672</v>
      </c>
      <c r="K20" s="697">
        <f>IF(K$18='5.Variables'!$B$16,+'5.Variables'!$C27,+IF(K$18='5.Variables'!$B$39,+'5.Variables'!$C50,+IF(K$18='5.Variables'!$B$62,+'5.Variables'!$C64,+IF(K$18='5.Variables'!$B$76,+'5.Variables'!$C78,+IF(K$18='5.Variables'!$B$90,+'5.Variables'!$C92,+IF(K$18='5.Variables'!$B$104,+'5.Variables'!$C106,0))))))</f>
        <v>589</v>
      </c>
      <c r="L20" s="697">
        <f>IF(L$18='5.Variables'!$B$16,+'5.Variables'!$C27,+IF(L$18='5.Variables'!$B$39,+'5.Variables'!$C50,+IF(L$18='5.Variables'!$B$62,+'5.Variables'!$C64,+IF(L$18='5.Variables'!$B$76,+'5.Variables'!$C78,+IF(L$18='5.Variables'!$B$90,+'5.Variables'!$C92,+IF(L$18='5.Variables'!$B$104,+'5.Variables'!$C106,0))))))</f>
        <v>0</v>
      </c>
      <c r="M20" s="697">
        <f>IF(M$18='5.Variables'!$B$16,+'5.Variables'!$C26,+IF(M$18='5.Variables'!$B$39,+'5.Variables'!$C50,+IF(M$18='5.Variables'!$B$62,+'5.Variables'!$C64,+IF(M$18='5.Variables'!$B$76,+'5.Variables'!$C78,+IF(M$18='5.Variables'!$B$90,+'5.Variables'!$C92,+IF(M$18='5.Variables'!$B$104,+'5.Variables'!$C106,0))))))</f>
        <v>31</v>
      </c>
      <c r="N20" s="697">
        <f>IF(N$18='5.Variables'!$B$16,+'5.Variables'!$C26,+IF(N$18='5.Variables'!$B$39,+'5.Variables'!$C50,+IF(N$18='5.Variables'!$B$62,+'5.Variables'!$C64,+IF(N$18='5.Variables'!$B$76,+'5.Variables'!$C78,+IF(N$18='5.Variables'!$B$90,+'5.Variables'!$C92,+IF(N$18='5.Variables'!$B$104,+'5.Variables'!$C106,0))))))</f>
        <v>134.25</v>
      </c>
      <c r="O20" s="697">
        <f>IF(O$18='5.Variables'!$B$16,+'5.Variables'!$C26,+IF(O$18='5.Variables'!$B$39,+'5.Variables'!$C50,+IF(O$18='5.Variables'!$B$62,+'5.Variables'!$C64,+IF(O$18='5.Variables'!$B$76,+'5.Variables'!$C78,+IF(O$18='5.Variables'!$B$90,+'5.Variables'!$C92,+IF(O$18='5.Variables'!$B$104,+'5.Variables'!$C106,0))))))</f>
        <v>0</v>
      </c>
      <c r="P20" s="697">
        <f>IF(P$18='5.Variables'!$B$16,+'5.Variables'!$C26,+IF(P$18='5.Variables'!$B$39,+'5.Variables'!$C50,+IF(P$18='5.Variables'!$B$62,+'5.Variables'!$C64,+IF(P$18='5.Variables'!$B$76,+'5.Variables'!$C78,+IF(P$18='5.Variables'!$B$90,+'5.Variables'!$C92,+IF(P$18='5.Variables'!$B$104,+'5.Variables'!$C106,0))))))</f>
        <v>336</v>
      </c>
      <c r="Q20" s="242"/>
      <c r="R20" s="550">
        <f>$V$34+(K20*$V$35)+(L20*$V$36)+(M20*$V$37)+(N20*$V$38)+(O20*$V$39)+(P20*$V$40)</f>
        <v>21887805.869645253</v>
      </c>
      <c r="S20" s="261"/>
      <c r="T20" s="242"/>
      <c r="U20" s="776" t="s">
        <v>7</v>
      </c>
      <c r="V20" s="776"/>
      <c r="W20"/>
      <c r="X20"/>
      <c r="Y20"/>
      <c r="Z20"/>
      <c r="AA20"/>
      <c r="AB20"/>
      <c r="AC20"/>
      <c r="AD20" s="258"/>
      <c r="AE20" s="242"/>
      <c r="AF20" s="242"/>
      <c r="AG20" s="242"/>
      <c r="AH20" s="242"/>
      <c r="AI20" s="242"/>
      <c r="AJ20" s="242"/>
      <c r="AK20" s="242"/>
      <c r="AL20" s="242"/>
      <c r="AM20" s="242"/>
    </row>
    <row r="21" spans="1:39" x14ac:dyDescent="0.2">
      <c r="A21" s="500">
        <f>+A20+1</f>
        <v>2</v>
      </c>
      <c r="B21" s="259" t="str">
        <f>CONCATENATE('3. Consumption by Rate Class'!B26,"-",'3. Consumption by Rate Class'!C26)</f>
        <v>2006-February</v>
      </c>
      <c r="C21" s="670">
        <v>25311949</v>
      </c>
      <c r="D21" s="824">
        <v>2635193</v>
      </c>
      <c r="E21" s="825">
        <v>2180089</v>
      </c>
      <c r="F21" s="824"/>
      <c r="G21" s="824"/>
      <c r="H21" s="675"/>
      <c r="I21" s="675"/>
      <c r="J21" s="550">
        <f t="shared" si="0"/>
        <v>20496667</v>
      </c>
      <c r="K21" s="697">
        <f>IF(K$18='5.Variables'!$B$16,+'5.Variables'!$D27,+IF(K$18='5.Variables'!$B$39,+'5.Variables'!$D50,+IF(K$18='5.Variables'!$B$62,+'5.Variables'!$D64,+IF(K$18='5.Variables'!$B$76,+'5.Variables'!$D78,+IF(K$18='5.Variables'!$B$90,+'5.Variables'!$D92,+IF(K$18='5.Variables'!$B$104,+'5.Variables'!$D106,0))))))</f>
        <v>627.20000000000005</v>
      </c>
      <c r="L21" s="697">
        <f>IF(L$18='5.Variables'!$B$16,+'5.Variables'!$D27,+IF(L$18='5.Variables'!$B$39,+'5.Variables'!$D50,+IF(L$18='5.Variables'!$B$62,+'5.Variables'!$D64,+IF(L$18='5.Variables'!$B$76,+'5.Variables'!$D78,+IF(L$18='5.Variables'!$B$90,+'5.Variables'!$D92,+IF(L$18='5.Variables'!$B$104,+'5.Variables'!$D106,0))))))</f>
        <v>0</v>
      </c>
      <c r="M21" s="697">
        <f>IF(M$18='5.Variables'!$B$16,+'5.Variables'!$D26,+IF(M$18='5.Variables'!$B$39,+'5.Variables'!$D50,+IF(M$18='5.Variables'!$B$62,+'5.Variables'!$D64,+IF(M$18='5.Variables'!$B$76,+'5.Variables'!$D78,+IF(M$18='5.Variables'!$B$90,+'5.Variables'!$D92,+IF(M$18='5.Variables'!$B$104,+'5.Variables'!$D106,0))))))</f>
        <v>28</v>
      </c>
      <c r="N21" s="697">
        <f>IF(N$18='5.Variables'!$B$16,+'5.Variables'!$D26,+IF(N$18='5.Variables'!$B$39,+'5.Variables'!$D50,+IF(N$18='5.Variables'!$B$62,+'5.Variables'!$D64,+IF(N$18='5.Variables'!$B$76,+'5.Variables'!$D78,+IF(N$18='5.Variables'!$B$90,+'5.Variables'!$D92,+IF(N$18='5.Variables'!$B$104,+'5.Variables'!$D106,0))))))</f>
        <v>134.56</v>
      </c>
      <c r="O21" s="697">
        <f>IF(O$18='5.Variables'!$B$16,+'5.Variables'!$D26,+IF(O$18='5.Variables'!$B$39,+'5.Variables'!$D50,+IF(O$18='5.Variables'!$B$62,+'5.Variables'!$D64,+IF(O$18='5.Variables'!$B$76,+'5.Variables'!$D78,+IF(O$18='5.Variables'!$B$90,+'5.Variables'!$D92,+IF(O$18='5.Variables'!$B$104,+'5.Variables'!$D106,0))))))</f>
        <v>0</v>
      </c>
      <c r="P21" s="697">
        <f>IF(P$18='5.Variables'!$B$16,+'5.Variables'!$D26,+IF(P$18='5.Variables'!$B$39,+'5.Variables'!$D50,+IF(P$18='5.Variables'!$B$62,+'5.Variables'!$D64,+IF(P$18='5.Variables'!$B$76,+'5.Variables'!$D78,+IF(P$18='5.Variables'!$B$90,+'5.Variables'!$D92,+IF(P$18='5.Variables'!$B$104,+'5.Variables'!$D106,0))))))</f>
        <v>320</v>
      </c>
      <c r="Q21" s="242"/>
      <c r="R21" s="260">
        <f t="shared" ref="R21:R84" si="1">$V$34+(K21*$V$35)+(L21*$V$36)+(M21*$V$37)+(N21*$V$38)+(O21*$V$39)+(P21*$V$40)</f>
        <v>20884991.695493937</v>
      </c>
      <c r="S21" s="261"/>
      <c r="T21" s="242"/>
      <c r="U21" s="542" t="s">
        <v>8</v>
      </c>
      <c r="V21" s="542">
        <v>0.93612971280501212</v>
      </c>
      <c r="W21"/>
      <c r="X21"/>
      <c r="Y21"/>
      <c r="Z21"/>
      <c r="AA21"/>
      <c r="AB21"/>
      <c r="AC21"/>
      <c r="AD21" s="258"/>
      <c r="AE21" s="242"/>
      <c r="AF21" s="242"/>
      <c r="AG21" s="242"/>
      <c r="AH21" s="242"/>
      <c r="AI21" s="242"/>
      <c r="AJ21" s="242"/>
      <c r="AK21" s="242"/>
      <c r="AL21" s="242"/>
      <c r="AM21" s="242"/>
    </row>
    <row r="22" spans="1:39" x14ac:dyDescent="0.2">
      <c r="A22" s="500">
        <f t="shared" ref="A22:A85" si="2">+A21+1</f>
        <v>3</v>
      </c>
      <c r="B22" s="259" t="str">
        <f>CONCATENATE('3. Consumption by Rate Class'!B27,"-",'3. Consumption by Rate Class'!C27)</f>
        <v>2006-March</v>
      </c>
      <c r="C22" s="670">
        <v>27026370</v>
      </c>
      <c r="D22" s="826">
        <v>2700439</v>
      </c>
      <c r="E22" s="827">
        <v>2772699</v>
      </c>
      <c r="F22" s="826"/>
      <c r="G22" s="826"/>
      <c r="H22" s="677"/>
      <c r="I22" s="677"/>
      <c r="J22" s="550">
        <f t="shared" si="0"/>
        <v>21553232</v>
      </c>
      <c r="K22" s="697">
        <f>IF(K$18='5.Variables'!$B$16,+'5.Variables'!$E27,+IF(K$18='5.Variables'!$B$39,+'5.Variables'!$E50,+IF(K$18='5.Variables'!$B$62,+'5.Variables'!$E64,+IF(K$18='5.Variables'!$B$76,+'5.Variables'!$E78,+IF(K$18='5.Variables'!$B$90,+'5.Variables'!$E92,+IF(K$18='5.Variables'!$B$104,+'5.Variables'!$E106,0))))))</f>
        <v>564.4</v>
      </c>
      <c r="L22" s="697">
        <f>IF(L$18='5.Variables'!$B$16,+'5.Variables'!$E27,+IF(L$18='5.Variables'!$B$39,+'5.Variables'!$E50,+IF(L$18='5.Variables'!$B$62,+'5.Variables'!$E64,+IF(L$18='5.Variables'!$B$76,+'5.Variables'!$E78,+IF(L$18='5.Variables'!$B$90,+'5.Variables'!$E92,+IF(L$18='5.Variables'!$B$104,+'5.Variables'!$E106,0))))))</f>
        <v>0</v>
      </c>
      <c r="M22" s="697">
        <f>IF(M$18='5.Variables'!$B$16,+'5.Variables'!$E26,+IF(M$18='5.Variables'!$B$39,+'5.Variables'!$E50,+IF(M$18='5.Variables'!$B$62,+'5.Variables'!$E64,+IF(M$18='5.Variables'!$B$76,+'5.Variables'!$E78,+IF(M$18='5.Variables'!$B$90,+'5.Variables'!$E92,+IF(M$18='5.Variables'!$B$104,+'5.Variables'!$E106,0))))))</f>
        <v>31</v>
      </c>
      <c r="N22" s="697">
        <f>IF(N$18='5.Variables'!$B$16,+'5.Variables'!$E26,+IF(N$18='5.Variables'!$B$39,+'5.Variables'!$E50,+IF(N$18='5.Variables'!$B$62,+'5.Variables'!$E64,+IF(N$18='5.Variables'!$B$76,+'5.Variables'!$E78,+IF(N$18='5.Variables'!$B$90,+'5.Variables'!$E92,+IF(N$18='5.Variables'!$B$104,+'5.Variables'!$E106,0))))))</f>
        <v>134.81</v>
      </c>
      <c r="O22" s="697">
        <f>IF(O$18='5.Variables'!$B$16,+'5.Variables'!$E26,+IF(O$18='5.Variables'!$B$39,+'5.Variables'!$E50,+IF(O$18='5.Variables'!$B$62,+'5.Variables'!$E64,+IF(O$18='5.Variables'!$B$76,+'5.Variables'!$E78,+IF(O$18='5.Variables'!$B$90,+'5.Variables'!$E92,+IF(O$18='5.Variables'!$B$104,+'5.Variables'!$E106,0))))))</f>
        <v>0</v>
      </c>
      <c r="P22" s="697">
        <f>IF(P$18='5.Variables'!$B$16,+'5.Variables'!$E26,+IF(P$18='5.Variables'!$B$39,+'5.Variables'!$E50,+IF(P$18='5.Variables'!$B$62,+'5.Variables'!$E64,+IF(P$18='5.Variables'!$B$76,+'5.Variables'!$E78,+IF(P$18='5.Variables'!$B$90,+'5.Variables'!$E92,+IF(P$18='5.Variables'!$B$104,+'5.Variables'!$E106,0))))))</f>
        <v>368</v>
      </c>
      <c r="Q22" s="242"/>
      <c r="R22" s="260">
        <f t="shared" si="1"/>
        <v>21987354.292250689</v>
      </c>
      <c r="S22" s="262"/>
      <c r="T22" s="242"/>
      <c r="U22" s="542" t="s">
        <v>9</v>
      </c>
      <c r="V22" s="542">
        <v>0.87633883919639455</v>
      </c>
      <c r="W22"/>
      <c r="X22"/>
      <c r="Y22"/>
      <c r="Z22"/>
      <c r="AA22"/>
      <c r="AB22"/>
      <c r="AC22"/>
      <c r="AD22" s="258"/>
      <c r="AE22" s="242"/>
      <c r="AF22" s="242"/>
      <c r="AG22" s="242"/>
      <c r="AH22" s="242"/>
      <c r="AI22" s="242"/>
      <c r="AJ22" s="242"/>
      <c r="AK22" s="242"/>
      <c r="AL22" s="242"/>
      <c r="AM22" s="242"/>
    </row>
    <row r="23" spans="1:39" x14ac:dyDescent="0.2">
      <c r="A23" s="500">
        <f t="shared" si="2"/>
        <v>4</v>
      </c>
      <c r="B23" s="259" t="str">
        <f>CONCATENATE('3. Consumption by Rate Class'!B28,"-",'3. Consumption by Rate Class'!C28)</f>
        <v>2006-April</v>
      </c>
      <c r="C23" s="670">
        <v>23542027</v>
      </c>
      <c r="D23" s="826">
        <v>2416600</v>
      </c>
      <c r="E23" s="827">
        <v>2666000</v>
      </c>
      <c r="F23" s="826"/>
      <c r="G23" s="826"/>
      <c r="H23" s="677"/>
      <c r="I23" s="677"/>
      <c r="J23" s="550">
        <f t="shared" si="0"/>
        <v>18459427</v>
      </c>
      <c r="K23" s="697">
        <f>IF(K$18='5.Variables'!$B$16,+'5.Variables'!$F27,+IF(K$18='5.Variables'!$B$39,+'5.Variables'!$F50,+IF(K$18='5.Variables'!$B$62,+'5.Variables'!$F64,+IF(K$18='5.Variables'!$B$76,+'5.Variables'!$F78,+IF(K$18='5.Variables'!$B$90,+'5.Variables'!$F92,+IF(K$18='5.Variables'!$B$104,+'5.Variables'!$F106,0))))))</f>
        <v>342.6</v>
      </c>
      <c r="L23" s="697">
        <f>IF(L$18='5.Variables'!$B$16,+'5.Variables'!$F27,+IF(L$18='5.Variables'!$B$39,+'5.Variables'!$F50,+IF(L$18='5.Variables'!$B$62,+'5.Variables'!$F64,+IF(L$18='5.Variables'!$B$76,+'5.Variables'!$F78,+IF(L$18='5.Variables'!$B$90,+'5.Variables'!$F92,+IF(L$18='5.Variables'!$B$104,+'5.Variables'!$F106,0))))))</f>
        <v>0</v>
      </c>
      <c r="M23" s="697">
        <f>IF(M$18='5.Variables'!$B$16,+'5.Variables'!$F26,+IF(M$18='5.Variables'!$B$39,+'5.Variables'!$F50,+IF(M$18='5.Variables'!$B$62,+'5.Variables'!$F64,+IF(M$18='5.Variables'!$B$76,+'5.Variables'!$F78,+IF(M$18='5.Variables'!$B$90,+'5.Variables'!$F92,+IF(M$18='5.Variables'!$B$104,+'5.Variables'!$F106,0))))))</f>
        <v>30</v>
      </c>
      <c r="N23" s="697">
        <f>IF(N$18='5.Variables'!$B$16,+'5.Variables'!$F26,+IF(N$18='5.Variables'!$B$39,+'5.Variables'!$F50,+IF(N$18='5.Variables'!$B$62,+'5.Variables'!$F64,+IF(N$18='5.Variables'!$B$76,+'5.Variables'!$F78,+IF(N$18='5.Variables'!$B$90,+'5.Variables'!$F92,+IF(N$18='5.Variables'!$B$104,+'5.Variables'!$F106,0))))))</f>
        <v>135.08000000000001</v>
      </c>
      <c r="O23" s="697">
        <f>IF(O$18='5.Variables'!$B$16,+'5.Variables'!$F26,+IF(O$18='5.Variables'!$B$39,+'5.Variables'!$F50,+IF(O$18='5.Variables'!$B$62,+'5.Variables'!$F64,+IF(O$18='5.Variables'!$B$76,+'5.Variables'!$F78,+IF(O$18='5.Variables'!$B$90,+'5.Variables'!$F92,+IF(O$18='5.Variables'!$B$104,+'5.Variables'!$F106,0))))))</f>
        <v>0</v>
      </c>
      <c r="P23" s="697">
        <f>IF(P$18='5.Variables'!$B$16,+'5.Variables'!$F26,+IF(P$18='5.Variables'!$B$39,+'5.Variables'!$F50,+IF(P$18='5.Variables'!$B$62,+'5.Variables'!$F64,+IF(P$18='5.Variables'!$B$76,+'5.Variables'!$F78,+IF(P$18='5.Variables'!$B$90,+'5.Variables'!$F92,+IF(P$18='5.Variables'!$B$104,+'5.Variables'!$F106,0))))))</f>
        <v>304</v>
      </c>
      <c r="Q23" s="242"/>
      <c r="R23" s="260">
        <f t="shared" si="1"/>
        <v>19683574.678058315</v>
      </c>
      <c r="S23" s="262"/>
      <c r="T23" s="242"/>
      <c r="U23" s="542" t="s">
        <v>10</v>
      </c>
      <c r="V23" s="542">
        <v>0.86977275986168989</v>
      </c>
      <c r="W23"/>
      <c r="X23"/>
      <c r="Y23"/>
      <c r="Z23"/>
      <c r="AA23"/>
      <c r="AB23"/>
      <c r="AC23"/>
      <c r="AD23" s="258"/>
      <c r="AE23" s="242"/>
      <c r="AF23" s="242"/>
      <c r="AG23" s="242"/>
      <c r="AH23" s="242"/>
      <c r="AI23" s="242"/>
      <c r="AJ23" s="242"/>
      <c r="AK23" s="242"/>
      <c r="AL23" s="242"/>
      <c r="AM23" s="242"/>
    </row>
    <row r="24" spans="1:39" x14ac:dyDescent="0.2">
      <c r="A24" s="500">
        <f t="shared" si="2"/>
        <v>5</v>
      </c>
      <c r="B24" s="259" t="str">
        <f>CONCATENATE('3. Consumption by Rate Class'!B29,"-",'3. Consumption by Rate Class'!C29)</f>
        <v>2006-May</v>
      </c>
      <c r="C24" s="670">
        <v>23594804</v>
      </c>
      <c r="D24" s="826">
        <v>2664711</v>
      </c>
      <c r="E24" s="827">
        <v>2329487</v>
      </c>
      <c r="F24" s="826"/>
      <c r="G24" s="826"/>
      <c r="H24" s="677"/>
      <c r="I24" s="677"/>
      <c r="J24" s="550">
        <f t="shared" si="0"/>
        <v>18600606</v>
      </c>
      <c r="K24" s="697">
        <f>IF(K$18='5.Variables'!$B$16,+'5.Variables'!$G27,+IF(K$18='5.Variables'!$B$39,+'5.Variables'!$G50,+IF(K$18='5.Variables'!$B$62,+'5.Variables'!$G64,+IF(K$18='5.Variables'!$B$76,+'5.Variables'!$G78,+IF(K$18='5.Variables'!$B$90,+'5.Variables'!$G92,+IF(K$18='5.Variables'!$B$104,+'5.Variables'!$G106,0))))))</f>
        <v>192.1</v>
      </c>
      <c r="L24" s="697">
        <f>IF(L$18='5.Variables'!$B$16,+'5.Variables'!$G27,+IF(L$18='5.Variables'!$B$39,+'5.Variables'!$G50,+IF(L$18='5.Variables'!$B$62,+'5.Variables'!$G64,+IF(L$18='5.Variables'!$B$76,+'5.Variables'!$G78,+IF(L$18='5.Variables'!$B$90,+'5.Variables'!$G92,+IF(L$18='5.Variables'!$B$104,+'5.Variables'!$G106,0))))))</f>
        <v>6.3</v>
      </c>
      <c r="M24" s="697">
        <f>IF(M$18='5.Variables'!$B$16,+'5.Variables'!$G26,+IF(M$18='5.Variables'!$B$39,+'5.Variables'!$G50,+IF(M$18='5.Variables'!$B$62,+'5.Variables'!$G64,+IF(M$18='5.Variables'!$B$76,+'5.Variables'!$G78,+IF(M$18='5.Variables'!$B$90,+'5.Variables'!$G92,+IF(M$18='5.Variables'!$B$104,+'5.Variables'!$G106,0))))))</f>
        <v>31</v>
      </c>
      <c r="N24" s="697">
        <f>IF(N$18='5.Variables'!$B$16,+'5.Variables'!$G26,+IF(N$18='5.Variables'!$B$39,+'5.Variables'!$G50,+IF(N$18='5.Variables'!$B$62,+'5.Variables'!$G64,+IF(N$18='5.Variables'!$B$76,+'5.Variables'!$G78,+IF(N$18='5.Variables'!$B$90,+'5.Variables'!$G92,+IF(N$18='5.Variables'!$B$104,+'5.Variables'!$G106,0))))))</f>
        <v>135.36000000000001</v>
      </c>
      <c r="O24" s="697">
        <f>IF(O$18='5.Variables'!$B$16,+'5.Variables'!$G26,+IF(O$18='5.Variables'!$B$39,+'5.Variables'!$G50,+IF(O$18='5.Variables'!$B$62,+'5.Variables'!$G64,+IF(O$18='5.Variables'!$B$76,+'5.Variables'!$G78,+IF(O$18='5.Variables'!$B$90,+'5.Variables'!$G92,+IF(O$18='5.Variables'!$B$104,+'5.Variables'!$G106,0))))))</f>
        <v>0</v>
      </c>
      <c r="P24" s="697">
        <f>IF(P$18='5.Variables'!$B$16,+'5.Variables'!$G26,+IF(P$18='5.Variables'!$B$39,+'5.Variables'!$G50,+IF(P$18='5.Variables'!$B$62,+'5.Variables'!$G64,+IF(P$18='5.Variables'!$B$76,+'5.Variables'!$G78,+IF(P$18='5.Variables'!$B$90,+'5.Variables'!$G92,+IF(P$18='5.Variables'!$B$104,+'5.Variables'!$G106,0))))))</f>
        <v>352</v>
      </c>
      <c r="Q24" s="242"/>
      <c r="R24" s="260">
        <f t="shared" si="1"/>
        <v>19706791.014873397</v>
      </c>
      <c r="S24" s="262"/>
      <c r="T24" s="242"/>
      <c r="U24" s="542" t="s">
        <v>11</v>
      </c>
      <c r="V24" s="542">
        <v>562293.8466490329</v>
      </c>
      <c r="W24"/>
      <c r="X24"/>
      <c r="Y24"/>
      <c r="Z24"/>
      <c r="AA24"/>
      <c r="AB24"/>
      <c r="AC24"/>
      <c r="AD24" s="258"/>
      <c r="AE24" s="242"/>
      <c r="AF24" s="242"/>
      <c r="AG24" s="242"/>
      <c r="AH24" s="242"/>
      <c r="AI24" s="242"/>
      <c r="AJ24" s="242"/>
      <c r="AK24" s="242"/>
      <c r="AL24" s="242"/>
      <c r="AM24" s="242"/>
    </row>
    <row r="25" spans="1:39" ht="13.5" thickBot="1" x14ac:dyDescent="0.25">
      <c r="A25" s="500">
        <f t="shared" si="2"/>
        <v>6</v>
      </c>
      <c r="B25" s="259" t="str">
        <f>CONCATENATE('3. Consumption by Rate Class'!B30,"-",'3. Consumption by Rate Class'!C30)</f>
        <v>2006-June</v>
      </c>
      <c r="C25" s="670">
        <v>24393760</v>
      </c>
      <c r="D25" s="826">
        <v>2672909</v>
      </c>
      <c r="E25" s="827">
        <v>2501167</v>
      </c>
      <c r="F25" s="826"/>
      <c r="G25" s="826"/>
      <c r="H25" s="677"/>
      <c r="I25" s="677"/>
      <c r="J25" s="550">
        <f t="shared" si="0"/>
        <v>19219684</v>
      </c>
      <c r="K25" s="697">
        <f>IF(K$18='5.Variables'!$B$16,+'5.Variables'!$H27,+IF(K$18='5.Variables'!$B$39,+'5.Variables'!$H50,+IF(K$18='5.Variables'!$B$62,+'5.Variables'!$H64,+IF(K$18='5.Variables'!$B$76,+'5.Variables'!$H78,+IF(K$18='5.Variables'!$B$90,+'5.Variables'!$H92,+IF(K$18='5.Variables'!$B$104,+'5.Variables'!$H106,0))))))</f>
        <v>40.1</v>
      </c>
      <c r="L25" s="697">
        <f>IF(L$18='5.Variables'!$B$16,+'5.Variables'!$H27,+IF(L$18='5.Variables'!$B$39,+'5.Variables'!$H50,+IF(L$18='5.Variables'!$B$62,+'5.Variables'!$H64,+IF(L$18='5.Variables'!$B$76,+'5.Variables'!$H78,+IF(L$18='5.Variables'!$B$90,+'5.Variables'!$H92,+IF(L$18='5.Variables'!$B$104,+'5.Variables'!$H106,0))))))</f>
        <v>18</v>
      </c>
      <c r="M25" s="697">
        <f>IF(M$18='5.Variables'!$B$16,+'5.Variables'!$H26,+IF(M$18='5.Variables'!$B$39,+'5.Variables'!$H50,+IF(M$18='5.Variables'!$B$62,+'5.Variables'!$H64,+IF(M$18='5.Variables'!$B$76,+'5.Variables'!$H78,+IF(M$18='5.Variables'!$B$90,+'5.Variables'!$H92,+IF(M$18='5.Variables'!$B$104,+'5.Variables'!$H106,0))))))</f>
        <v>30</v>
      </c>
      <c r="N25" s="697">
        <f>IF(N$18='5.Variables'!$B$16,+'5.Variables'!$H26,+IF(N$18='5.Variables'!$B$39,+'5.Variables'!$H50,+IF(N$18='5.Variables'!$B$62,+'5.Variables'!$H64,+IF(N$18='5.Variables'!$B$76,+'5.Variables'!$H78,+IF(N$18='5.Variables'!$B$90,+'5.Variables'!$H92,+IF(N$18='5.Variables'!$B$104,+'5.Variables'!$H106,0))))))</f>
        <v>135.63999999999999</v>
      </c>
      <c r="O25" s="697">
        <f>IF(O$18='5.Variables'!$B$16,+'5.Variables'!$H26,+IF(O$18='5.Variables'!$B$39,+'5.Variables'!$H50,+IF(O$18='5.Variables'!$B$62,+'5.Variables'!$H64,+IF(O$18='5.Variables'!$B$76,+'5.Variables'!$H78,+IF(O$18='5.Variables'!$B$90,+'5.Variables'!$H92,+IF(O$18='5.Variables'!$B$104,+'5.Variables'!$H106,0))))))</f>
        <v>0</v>
      </c>
      <c r="P25" s="697">
        <f>IF(P$18='5.Variables'!$B$16,+'5.Variables'!$H26,+IF(P$18='5.Variables'!$B$39,+'5.Variables'!$H50,+IF(P$18='5.Variables'!$B$62,+'5.Variables'!$H64,+IF(P$18='5.Variables'!$B$76,+'5.Variables'!$H78,+IF(P$18='5.Variables'!$B$90,+'5.Variables'!$H92,+IF(P$18='5.Variables'!$B$104,+'5.Variables'!$H106,0))))))</f>
        <v>352</v>
      </c>
      <c r="Q25" s="242"/>
      <c r="R25" s="260">
        <f t="shared" si="1"/>
        <v>18810653.053761128</v>
      </c>
      <c r="S25" s="262"/>
      <c r="T25" s="242"/>
      <c r="U25" s="543" t="s">
        <v>12</v>
      </c>
      <c r="V25" s="543">
        <v>120</v>
      </c>
      <c r="W25"/>
      <c r="X25"/>
      <c r="Y25"/>
      <c r="Z25"/>
      <c r="AA25"/>
      <c r="AB25"/>
      <c r="AC25"/>
      <c r="AD25" s="258"/>
      <c r="AE25" s="242"/>
      <c r="AF25" s="242"/>
      <c r="AG25" s="242"/>
      <c r="AH25" s="242"/>
      <c r="AI25" s="242"/>
      <c r="AJ25" s="242"/>
      <c r="AK25" s="242"/>
      <c r="AL25" s="242"/>
      <c r="AM25" s="242"/>
    </row>
    <row r="26" spans="1:39" x14ac:dyDescent="0.2">
      <c r="A26" s="500">
        <f t="shared" si="2"/>
        <v>7</v>
      </c>
      <c r="B26" s="259" t="str">
        <f>CONCATENATE('3. Consumption by Rate Class'!B31,"-",'3. Consumption by Rate Class'!C31)</f>
        <v>2006-July</v>
      </c>
      <c r="C26" s="670">
        <v>25023621</v>
      </c>
      <c r="D26" s="826">
        <v>2416512</v>
      </c>
      <c r="E26" s="827">
        <v>1764031</v>
      </c>
      <c r="F26" s="826"/>
      <c r="G26" s="826"/>
      <c r="H26" s="677"/>
      <c r="I26" s="677"/>
      <c r="J26" s="550">
        <f t="shared" si="0"/>
        <v>20843078</v>
      </c>
      <c r="K26" s="697">
        <f>IF(K$18='5.Variables'!$B$16,+'5.Variables'!$I27,+IF(K$18='5.Variables'!$B$39,+'5.Variables'!$I50,+IF(K$18='5.Variables'!$B$62,+'5.Variables'!$I64,+IF(K$18='5.Variables'!$B$76,+'5.Variables'!$I78,+IF(K$18='5.Variables'!$B$90,+'5.Variables'!$I92,+IF(K$18='5.Variables'!$B$104,+'5.Variables'!$I106,0))))))</f>
        <v>5.9</v>
      </c>
      <c r="L26" s="697">
        <f>IF(L$18='5.Variables'!$B$16,+'5.Variables'!$I27,+IF(L$18='5.Variables'!$B$39,+'5.Variables'!$I50,+IF(L$18='5.Variables'!$B$62,+'5.Variables'!$I64,+IF(L$18='5.Variables'!$B$76,+'5.Variables'!$I78,+IF(L$18='5.Variables'!$B$90,+'5.Variables'!$I92,+IF(L$18='5.Variables'!$B$104,+'5.Variables'!$I106,0))))))</f>
        <v>86.9</v>
      </c>
      <c r="M26" s="697">
        <f>IF(M$18='5.Variables'!$B$16,+'5.Variables'!$I26,+IF(M$18='5.Variables'!$B$39,+'5.Variables'!$I50,+IF(M$18='5.Variables'!$B$62,+'5.Variables'!$I64,+IF(M$18='5.Variables'!$B$76,+'5.Variables'!$I78,+IF(M$18='5.Variables'!$B$90,+'5.Variables'!$I92,+IF(M$18='5.Variables'!$B$104,+'5.Variables'!$I106,0))))))</f>
        <v>31</v>
      </c>
      <c r="N26" s="697">
        <f>IF(N$18='5.Variables'!$B$16,+'5.Variables'!$I26,+IF(N$18='5.Variables'!$B$39,+'5.Variables'!$I50,+IF(N$18='5.Variables'!$B$62,+'5.Variables'!$I64,+IF(N$18='5.Variables'!$B$76,+'5.Variables'!$I78,+IF(N$18='5.Variables'!$B$90,+'5.Variables'!$I92,+IF(N$18='5.Variables'!$B$104,+'5.Variables'!$I106,0))))))</f>
        <v>135.91999999999999</v>
      </c>
      <c r="O26" s="697">
        <f>IF(O$18='5.Variables'!$B$16,+'5.Variables'!$I26,+IF(O$18='5.Variables'!$B$39,+'5.Variables'!$I50,+IF(O$18='5.Variables'!$B$62,+'5.Variables'!$I64,+IF(O$18='5.Variables'!$B$76,+'5.Variables'!$I78,+IF(O$18='5.Variables'!$B$90,+'5.Variables'!$I92,+IF(O$18='5.Variables'!$B$104,+'5.Variables'!$I106,0))))))</f>
        <v>0</v>
      </c>
      <c r="P26" s="697">
        <f>IF(P$18='5.Variables'!$B$16,+'5.Variables'!$I26,+IF(P$18='5.Variables'!$B$39,+'5.Variables'!$I50,+IF(P$18='5.Variables'!$B$62,+'5.Variables'!$I64,+IF(P$18='5.Variables'!$B$76,+'5.Variables'!$I78,+IF(P$18='5.Variables'!$B$90,+'5.Variables'!$I92,+IF(P$18='5.Variables'!$B$104,+'5.Variables'!$I106,0))))))</f>
        <v>320</v>
      </c>
      <c r="Q26" s="242"/>
      <c r="R26" s="260">
        <f t="shared" si="1"/>
        <v>21474796.733189043</v>
      </c>
      <c r="S26" s="262"/>
      <c r="T26" s="242"/>
      <c r="U26"/>
      <c r="V26"/>
      <c r="W26"/>
      <c r="X26"/>
      <c r="Y26"/>
      <c r="Z26"/>
      <c r="AA26"/>
      <c r="AB26"/>
      <c r="AC26"/>
      <c r="AD26" s="258"/>
      <c r="AE26" s="242"/>
      <c r="AF26" s="242"/>
      <c r="AG26" s="242"/>
      <c r="AH26" s="242"/>
      <c r="AI26" s="242"/>
      <c r="AJ26" s="242"/>
      <c r="AK26" s="242"/>
      <c r="AL26" s="242"/>
      <c r="AM26" s="242"/>
    </row>
    <row r="27" spans="1:39" ht="13.5" thickBot="1" x14ac:dyDescent="0.25">
      <c r="A27" s="500">
        <f t="shared" si="2"/>
        <v>8</v>
      </c>
      <c r="B27" s="259" t="str">
        <f>CONCATENATE('3. Consumption by Rate Class'!B32,"-",'3. Consumption by Rate Class'!C32)</f>
        <v>2006-August</v>
      </c>
      <c r="C27" s="670">
        <v>24820037</v>
      </c>
      <c r="D27" s="826">
        <v>2557912</v>
      </c>
      <c r="E27" s="827">
        <v>1888942</v>
      </c>
      <c r="F27" s="826"/>
      <c r="G27" s="826"/>
      <c r="H27" s="677"/>
      <c r="I27" s="677"/>
      <c r="J27" s="550">
        <f t="shared" si="0"/>
        <v>20373183</v>
      </c>
      <c r="K27" s="697">
        <f>IF(K$18='5.Variables'!$B$16,+'5.Variables'!$J27,+IF(K$18='5.Variables'!$B$39,+'5.Variables'!$J50,+IF(K$18='5.Variables'!$B$62,+'5.Variables'!$J64,+IF(K$18='5.Variables'!$B$76,+'5.Variables'!$J78,+IF(K$18='5.Variables'!$B$90,+'5.Variables'!$J92,+IF(K$18='5.Variables'!$B$104,+'5.Variables'!$J106,0))))))</f>
        <v>6.7</v>
      </c>
      <c r="L27" s="697">
        <f>IF(L$18='5.Variables'!$B$16,+'5.Variables'!$J27,+IF(L$18='5.Variables'!$B$39,+'5.Variables'!$J50,+IF(L$18='5.Variables'!$B$62,+'5.Variables'!$J64,+IF(L$18='5.Variables'!$B$76,+'5.Variables'!$J78,+IF(L$18='5.Variables'!$B$90,+'5.Variables'!$J92,+IF(L$18='5.Variables'!$B$104,+'5.Variables'!$J106,0))))))</f>
        <v>56.4</v>
      </c>
      <c r="M27" s="697">
        <f>IF(M$18='5.Variables'!$B$16,+'5.Variables'!$J26,+IF(M$18='5.Variables'!$B$39,+'5.Variables'!$J50,+IF(M$18='5.Variables'!$B$62,+'5.Variables'!$J64,+IF(M$18='5.Variables'!$B$76,+'5.Variables'!$J78,+IF(M$18='5.Variables'!$B$90,+'5.Variables'!$J92,+IF(M$18='5.Variables'!$B$104,+'5.Variables'!$J106,0))))))</f>
        <v>31</v>
      </c>
      <c r="N27" s="697">
        <f>IF(N$18='5.Variables'!$B$16,+'5.Variables'!$J26,+IF(N$18='5.Variables'!$B$39,+'5.Variables'!$J50,+IF(N$18='5.Variables'!$B$62,+'5.Variables'!$J64,+IF(N$18='5.Variables'!$B$76,+'5.Variables'!$J78,+IF(N$18='5.Variables'!$B$90,+'5.Variables'!$J92,+IF(N$18='5.Variables'!$B$104,+'5.Variables'!$J106,0))))))</f>
        <v>136.19999999999999</v>
      </c>
      <c r="O27" s="697">
        <f>IF(O$18='5.Variables'!$B$16,+'5.Variables'!$J26,+IF(O$18='5.Variables'!$B$39,+'5.Variables'!$J50,+IF(O$18='5.Variables'!$B$62,+'5.Variables'!$J64,+IF(O$18='5.Variables'!$B$76,+'5.Variables'!$J78,+IF(O$18='5.Variables'!$B$90,+'5.Variables'!$J92,+IF(O$18='5.Variables'!$B$104,+'5.Variables'!$J106,0))))))</f>
        <v>0</v>
      </c>
      <c r="P27" s="697">
        <f>IF(P$18='5.Variables'!$B$16,+'5.Variables'!$J26,+IF(P$18='5.Variables'!$B$39,+'5.Variables'!$J50,+IF(P$18='5.Variables'!$B$62,+'5.Variables'!$J64,+IF(P$18='5.Variables'!$B$76,+'5.Variables'!$J78,+IF(P$18='5.Variables'!$B$90,+'5.Variables'!$J92,+IF(P$18='5.Variables'!$B$104,+'5.Variables'!$J106,0))))))</f>
        <v>352</v>
      </c>
      <c r="Q27" s="242"/>
      <c r="R27" s="260">
        <f t="shared" si="1"/>
        <v>20517609.473419935</v>
      </c>
      <c r="S27" s="262"/>
      <c r="T27" s="242"/>
      <c r="U27" t="s">
        <v>13</v>
      </c>
      <c r="V27"/>
      <c r="W27"/>
      <c r="X27"/>
      <c r="Y27"/>
      <c r="Z27"/>
      <c r="AA27"/>
      <c r="AB27"/>
      <c r="AC27"/>
      <c r="AD27" s="258"/>
      <c r="AE27" s="242"/>
      <c r="AF27" s="242"/>
      <c r="AG27" s="242"/>
      <c r="AH27" s="242"/>
      <c r="AI27" s="242"/>
      <c r="AJ27" s="242"/>
      <c r="AK27" s="242"/>
      <c r="AL27" s="242"/>
      <c r="AM27" s="242"/>
    </row>
    <row r="28" spans="1:39" x14ac:dyDescent="0.2">
      <c r="A28" s="500">
        <f t="shared" si="2"/>
        <v>9</v>
      </c>
      <c r="B28" s="259" t="str">
        <f>CONCATENATE('3. Consumption by Rate Class'!B33,"-",'3. Consumption by Rate Class'!C33)</f>
        <v>2006-September</v>
      </c>
      <c r="C28" s="670">
        <v>22477600</v>
      </c>
      <c r="D28" s="826">
        <v>2531686</v>
      </c>
      <c r="E28" s="827">
        <v>1629291</v>
      </c>
      <c r="F28" s="826"/>
      <c r="G28" s="826"/>
      <c r="H28" s="677"/>
      <c r="I28" s="677"/>
      <c r="J28" s="550">
        <f t="shared" si="0"/>
        <v>18316623</v>
      </c>
      <c r="K28" s="697">
        <f>IF(K$18='5.Variables'!$B$16,+'5.Variables'!$K27,+IF(K$18='5.Variables'!$B$39,+'5.Variables'!$K50,+IF(K$18='5.Variables'!$B$62,+'5.Variables'!$K64,+IF(K$18='5.Variables'!$B$76,+'5.Variables'!$K78,+IF(K$18='5.Variables'!$B$90,+'5.Variables'!$K92,+IF(K$18='5.Variables'!$B$104,+'5.Variables'!$K106,0))))))</f>
        <v>103.3</v>
      </c>
      <c r="L28" s="697">
        <f>IF(L$18='5.Variables'!$B$16,+'5.Variables'!$K27,+IF(L$18='5.Variables'!$B$39,+'5.Variables'!$K50,+IF(L$18='5.Variables'!$B$62,+'5.Variables'!$K64,+IF(L$18='5.Variables'!$B$76,+'5.Variables'!$K78,+IF(L$18='5.Variables'!$B$90,+'5.Variables'!$K92,+IF(L$18='5.Variables'!$B$104,+'5.Variables'!$K106,0))))))</f>
        <v>1.3</v>
      </c>
      <c r="M28" s="697">
        <f>IF(M$18='5.Variables'!$B$16,+'5.Variables'!$K26,+IF(M$18='5.Variables'!$B$39,+'5.Variables'!$K50,+IF(M$18='5.Variables'!$B$62,+'5.Variables'!$K64,+IF(M$18='5.Variables'!$B$76,+'5.Variables'!$K78,+IF(M$18='5.Variables'!$B$90,+'5.Variables'!$K92,+IF(M$18='5.Variables'!$B$104,+'5.Variables'!$K106,0))))))</f>
        <v>30</v>
      </c>
      <c r="N28" s="697">
        <f>IF(N$18='5.Variables'!$B$16,+'5.Variables'!$K26,+IF(N$18='5.Variables'!$B$39,+'5.Variables'!$K50,+IF(N$18='5.Variables'!$B$62,+'5.Variables'!$K64,+IF(N$18='5.Variables'!$B$76,+'5.Variables'!$K78,+IF(N$18='5.Variables'!$B$90,+'5.Variables'!$K92,+IF(N$18='5.Variables'!$B$104,+'5.Variables'!$K106,0))))))</f>
        <v>136.47999999999999</v>
      </c>
      <c r="O28" s="697">
        <f>IF(O$18='5.Variables'!$B$16,+'5.Variables'!$K26,+IF(O$18='5.Variables'!$B$39,+'5.Variables'!$K50,+IF(O$18='5.Variables'!$B$62,+'5.Variables'!$K64,+IF(O$18='5.Variables'!$B$76,+'5.Variables'!$K78,+IF(O$18='5.Variables'!$B$90,+'5.Variables'!$K92,+IF(O$18='5.Variables'!$B$104,+'5.Variables'!$K106,0))))))</f>
        <v>0</v>
      </c>
      <c r="P28" s="697">
        <f>IF(P$18='5.Variables'!$B$16,+'5.Variables'!$K26,+IF(P$18='5.Variables'!$B$39,+'5.Variables'!$K50,+IF(P$18='5.Variables'!$B$62,+'5.Variables'!$K64,+IF(P$18='5.Variables'!$B$76,+'5.Variables'!$K78,+IF(P$18='5.Variables'!$B$90,+'5.Variables'!$K92,+IF(P$18='5.Variables'!$B$104,+'5.Variables'!$K106,0))))))</f>
        <v>320</v>
      </c>
      <c r="Q28" s="242"/>
      <c r="R28" s="260">
        <f t="shared" si="1"/>
        <v>18338876.787210129</v>
      </c>
      <c r="S28" s="262"/>
      <c r="T28" s="242"/>
      <c r="U28" s="777"/>
      <c r="V28" s="777" t="s">
        <v>18</v>
      </c>
      <c r="W28" s="777" t="s">
        <v>19</v>
      </c>
      <c r="X28" s="777" t="s">
        <v>20</v>
      </c>
      <c r="Y28" s="777" t="s">
        <v>21</v>
      </c>
      <c r="Z28" s="777" t="s">
        <v>22</v>
      </c>
      <c r="AA28"/>
      <c r="AB28"/>
      <c r="AC28"/>
      <c r="AD28" s="258"/>
      <c r="AE28" s="242"/>
      <c r="AF28" s="242"/>
      <c r="AG28" s="242"/>
      <c r="AH28" s="242"/>
      <c r="AI28" s="242"/>
      <c r="AJ28" s="242"/>
      <c r="AK28" s="242"/>
      <c r="AL28" s="242"/>
      <c r="AM28" s="242"/>
    </row>
    <row r="29" spans="1:39" x14ac:dyDescent="0.2">
      <c r="A29" s="500">
        <f t="shared" si="2"/>
        <v>10</v>
      </c>
      <c r="B29" s="259" t="str">
        <f>CONCATENATE('3. Consumption by Rate Class'!B34,"-",'3. Consumption by Rate Class'!C34)</f>
        <v>2006-October</v>
      </c>
      <c r="C29" s="670">
        <v>23787971</v>
      </c>
      <c r="D29" s="826">
        <v>2787075</v>
      </c>
      <c r="E29" s="827">
        <v>1485638</v>
      </c>
      <c r="F29" s="826"/>
      <c r="G29" s="826"/>
      <c r="H29" s="677"/>
      <c r="I29" s="677"/>
      <c r="J29" s="550">
        <f t="shared" si="0"/>
        <v>19515258</v>
      </c>
      <c r="K29" s="697">
        <f>IF(K$18='5.Variables'!$B$16,+'5.Variables'!$L27,+IF(K$18='5.Variables'!$B$39,+'5.Variables'!$L50,+IF(K$18='5.Variables'!$B$62,+'5.Variables'!$L64,+IF(K$18='5.Variables'!$B$76,+'5.Variables'!$L78,+IF(K$18='5.Variables'!$B$90,+'5.Variables'!$L92,+IF(K$18='5.Variables'!$B$104,+'5.Variables'!$L106,0))))))</f>
        <v>296.39999999999998</v>
      </c>
      <c r="L29" s="697">
        <f>IF(L$18='5.Variables'!$B$16,+'5.Variables'!$L27,+IF(L$18='5.Variables'!$B$39,+'5.Variables'!$L50,+IF(L$18='5.Variables'!$B$62,+'5.Variables'!$L64,+IF(L$18='5.Variables'!$B$76,+'5.Variables'!$L78,+IF(L$18='5.Variables'!$B$90,+'5.Variables'!$L92,+IF(L$18='5.Variables'!$B$104,+'5.Variables'!$L106,0))))))</f>
        <v>0</v>
      </c>
      <c r="M29" s="697">
        <f>IF(M$18='5.Variables'!$B$16,+'5.Variables'!$L26,+IF(M$18='5.Variables'!$B$39,+'5.Variables'!$L50,+IF(M$18='5.Variables'!$B$62,+'5.Variables'!$L64,+IF(M$18='5.Variables'!$B$76,+'5.Variables'!$L78,+IF(M$18='5.Variables'!$B$90,+'5.Variables'!$L92,+IF(M$18='5.Variables'!$B$104,+'5.Variables'!$L106,0))))))</f>
        <v>31</v>
      </c>
      <c r="N29" s="697">
        <f>IF(N$18='5.Variables'!$B$16,+'5.Variables'!$L26,+IF(N$18='5.Variables'!$B$39,+'5.Variables'!$L50,+IF(N$18='5.Variables'!$B$62,+'5.Variables'!$L64,+IF(N$18='5.Variables'!$B$76,+'5.Variables'!$L78,+IF(N$18='5.Variables'!$B$90,+'5.Variables'!$L92,+IF(N$18='5.Variables'!$B$104,+'5.Variables'!$L106,0))))))</f>
        <v>136.76</v>
      </c>
      <c r="O29" s="697">
        <f>IF(O$18='5.Variables'!$B$16,+'5.Variables'!$L26,+IF(O$18='5.Variables'!$B$39,+'5.Variables'!$L50,+IF(O$18='5.Variables'!$B$62,+'5.Variables'!$L64,+IF(O$18='5.Variables'!$B$76,+'5.Variables'!$L78,+IF(O$18='5.Variables'!$B$90,+'5.Variables'!$L92,+IF(O$18='5.Variables'!$B$104,+'5.Variables'!$L106,0))))))</f>
        <v>0</v>
      </c>
      <c r="P29" s="697">
        <f>IF(P$18='5.Variables'!$B$16,+'5.Variables'!$L26,+IF(P$18='5.Variables'!$B$39,+'5.Variables'!$L50,+IF(P$18='5.Variables'!$B$62,+'5.Variables'!$L64,+IF(P$18='5.Variables'!$B$76,+'5.Variables'!$L78,+IF(P$18='5.Variables'!$B$90,+'5.Variables'!$L92,+IF(P$18='5.Variables'!$B$104,+'5.Variables'!$L106,0))))))</f>
        <v>336</v>
      </c>
      <c r="Q29" s="242"/>
      <c r="R29" s="260">
        <f t="shared" si="1"/>
        <v>20054881.934300248</v>
      </c>
      <c r="S29" s="262"/>
      <c r="T29" s="242"/>
      <c r="U29" s="542" t="s">
        <v>14</v>
      </c>
      <c r="V29" s="542">
        <v>6</v>
      </c>
      <c r="W29" s="542">
        <v>253188424550611.62</v>
      </c>
      <c r="X29" s="542">
        <v>42198070758435.273</v>
      </c>
      <c r="Y29" s="542">
        <v>133.46455236453593</v>
      </c>
      <c r="Z29" s="542">
        <v>6.6750091410471063E-49</v>
      </c>
      <c r="AA29"/>
      <c r="AB29"/>
      <c r="AC29"/>
      <c r="AD29" s="258"/>
      <c r="AE29" s="242"/>
      <c r="AF29" s="242"/>
      <c r="AG29" s="242"/>
      <c r="AH29" s="242"/>
      <c r="AI29" s="242"/>
      <c r="AJ29" s="242"/>
      <c r="AK29" s="242"/>
      <c r="AL29" s="242"/>
      <c r="AM29" s="242"/>
    </row>
    <row r="30" spans="1:39" x14ac:dyDescent="0.2">
      <c r="A30" s="500">
        <f t="shared" si="2"/>
        <v>11</v>
      </c>
      <c r="B30" s="259" t="str">
        <f>CONCATENATE('3. Consumption by Rate Class'!B35,"-",'3. Consumption by Rate Class'!C35)</f>
        <v>2006-November</v>
      </c>
      <c r="C30" s="670">
        <v>24490934</v>
      </c>
      <c r="D30" s="826">
        <v>2645364</v>
      </c>
      <c r="E30" s="827">
        <v>1925007</v>
      </c>
      <c r="F30" s="826"/>
      <c r="G30" s="826"/>
      <c r="H30" s="677"/>
      <c r="I30" s="677"/>
      <c r="J30" s="550">
        <f t="shared" si="0"/>
        <v>19920563</v>
      </c>
      <c r="K30" s="697">
        <f>IF(K$18='5.Variables'!$B$16,+'5.Variables'!$M27,+IF(K$18='5.Variables'!$B$39,+'5.Variables'!$M50,+IF(K$18='5.Variables'!$B$62,+'5.Variables'!$M64,+IF(K$18='5.Variables'!$B$76,+'5.Variables'!$M78,+IF(K$18='5.Variables'!$B$90,+'5.Variables'!$M92,+IF(K$18='5.Variables'!$B$104,+'5.Variables'!$M106,0))))))</f>
        <v>390.9</v>
      </c>
      <c r="L30" s="697">
        <f>IF(L$18='5.Variables'!$B$16,+'5.Variables'!$M27,+IF(L$18='5.Variables'!$B$39,+'5.Variables'!$M50,+IF(L$18='5.Variables'!$B$62,+'5.Variables'!$M64,+IF(L$18='5.Variables'!$B$76,+'5.Variables'!$M78,+IF(L$18='5.Variables'!$B$90,+'5.Variables'!$M92,+IF(L$18='5.Variables'!$B$104,+'5.Variables'!$M106,0))))))</f>
        <v>0</v>
      </c>
      <c r="M30" s="697">
        <f>IF(M$18='5.Variables'!$B$16,+'5.Variables'!$M26,+IF(M$18='5.Variables'!$B$39,+'5.Variables'!$M50,+IF(M$18='5.Variables'!$B$62,+'5.Variables'!$M64,+IF(M$18='5.Variables'!$B$76,+'5.Variables'!$M78,+IF(M$18='5.Variables'!$B$90,+'5.Variables'!$M92,+IF(M$18='5.Variables'!$B$104,+'5.Variables'!$M106,0))))))</f>
        <v>30</v>
      </c>
      <c r="N30" s="697">
        <f>IF(N$18='5.Variables'!$B$16,+'5.Variables'!$M26,+IF(N$18='5.Variables'!$B$39,+'5.Variables'!$M50,+IF(N$18='5.Variables'!$B$62,+'5.Variables'!$M64,+IF(N$18='5.Variables'!$B$76,+'5.Variables'!$M78,+IF(N$18='5.Variables'!$B$90,+'5.Variables'!$M92,+IF(N$18='5.Variables'!$B$104,+'5.Variables'!$M106,0))))))</f>
        <v>137.04</v>
      </c>
      <c r="O30" s="697">
        <f>IF(O$18='5.Variables'!$B$16,+'5.Variables'!$M26,+IF(O$18='5.Variables'!$B$39,+'5.Variables'!$M50,+IF(O$18='5.Variables'!$B$62,+'5.Variables'!$M64,+IF(O$18='5.Variables'!$B$76,+'5.Variables'!$M78,+IF(O$18='5.Variables'!$B$90,+'5.Variables'!$M92,+IF(O$18='5.Variables'!$B$104,+'5.Variables'!$M106,0))))))</f>
        <v>0</v>
      </c>
      <c r="P30" s="697">
        <f>IF(P$18='5.Variables'!$B$16,+'5.Variables'!$M26,+IF(P$18='5.Variables'!$B$39,+'5.Variables'!$M50,+IF(P$18='5.Variables'!$B$62,+'5.Variables'!$M64,+IF(P$18='5.Variables'!$B$76,+'5.Variables'!$M78,+IF(P$18='5.Variables'!$B$90,+'5.Variables'!$M92,+IF(P$18='5.Variables'!$B$104,+'5.Variables'!$M106,0))))))</f>
        <v>352</v>
      </c>
      <c r="Q30" s="242"/>
      <c r="R30" s="260">
        <f t="shared" si="1"/>
        <v>20420821.98264952</v>
      </c>
      <c r="S30" s="262"/>
      <c r="T30" s="242"/>
      <c r="U30" s="542" t="s">
        <v>15</v>
      </c>
      <c r="V30" s="542">
        <v>113</v>
      </c>
      <c r="W30" s="542">
        <v>35727703807668.375</v>
      </c>
      <c r="X30" s="542">
        <v>316174369979.36615</v>
      </c>
      <c r="Y30" s="542"/>
      <c r="Z30" s="542"/>
      <c r="AA30"/>
      <c r="AB30"/>
      <c r="AC30"/>
      <c r="AD30" s="258"/>
      <c r="AE30" s="242"/>
      <c r="AF30" s="242"/>
      <c r="AG30" s="242"/>
      <c r="AH30" s="242"/>
      <c r="AI30" s="242"/>
      <c r="AJ30" s="242"/>
      <c r="AK30" s="242"/>
      <c r="AL30" s="242"/>
      <c r="AM30" s="242"/>
    </row>
    <row r="31" spans="1:39" ht="13.5" thickBot="1" x14ac:dyDescent="0.25">
      <c r="A31" s="500">
        <f t="shared" si="2"/>
        <v>12</v>
      </c>
      <c r="B31" s="519" t="str">
        <f>CONCATENATE('3. Consumption by Rate Class'!B36,"-",'3. Consumption by Rate Class'!C36)</f>
        <v>2006-December</v>
      </c>
      <c r="C31" s="671">
        <v>24544738</v>
      </c>
      <c r="D31" s="828">
        <v>2032814</v>
      </c>
      <c r="E31" s="829">
        <v>1476249</v>
      </c>
      <c r="F31" s="828"/>
      <c r="G31" s="828"/>
      <c r="H31" s="679"/>
      <c r="I31" s="679"/>
      <c r="J31" s="550">
        <f t="shared" si="0"/>
        <v>21035675</v>
      </c>
      <c r="K31" s="697">
        <f>IF(K$18='5.Variables'!$B$16,+'5.Variables'!$N27,+IF(K$18='5.Variables'!$B$39,+'5.Variables'!$N50,+IF(K$18='5.Variables'!$B$62,+'5.Variables'!$N64,+IF(K$18='5.Variables'!$B$76,+'5.Variables'!$N78,+IF(K$18='5.Variables'!$B$90,+'5.Variables'!$N92,+IF(K$18='5.Variables'!$B$104,+'5.Variables'!$N106,0))))))</f>
        <v>505.5</v>
      </c>
      <c r="L31" s="697">
        <f>IF(L$18='5.Variables'!$B$16,+'5.Variables'!$N27,+IF(L$18='5.Variables'!$B$39,+'5.Variables'!$N50,+IF(L$18='5.Variables'!$B$62,+'5.Variables'!$N64,+IF(L$18='5.Variables'!$B$76,+'5.Variables'!$N78,+IF(L$18='5.Variables'!$B$90,+'5.Variables'!$N92,+IF(L$18='5.Variables'!$B$104,+'5.Variables'!$N106,0))))))</f>
        <v>0</v>
      </c>
      <c r="M31" s="697">
        <f>IF(M$18='5.Variables'!$B$16,+'5.Variables'!$N26,+IF(M$18='5.Variables'!$B$39,+'5.Variables'!$N50,+IF(M$18='5.Variables'!$B$62,+'5.Variables'!$N64,+IF(M$18='5.Variables'!$B$76,+'5.Variables'!$N78,+IF(M$18='5.Variables'!$B$90,+'5.Variables'!$N92,+IF(M$18='5.Variables'!$B$104,+'5.Variables'!$N106,0))))))</f>
        <v>31</v>
      </c>
      <c r="N31" s="697">
        <f>IF(N$18='5.Variables'!$B$16,+'5.Variables'!$N26,+IF(N$18='5.Variables'!$B$39,+'5.Variables'!$N50,+IF(N$18='5.Variables'!$B$62,+'5.Variables'!$N64,+IF(N$18='5.Variables'!$B$76,+'5.Variables'!$N78,+IF(N$18='5.Variables'!$B$90,+'5.Variables'!$N92,+IF(N$18='5.Variables'!$B$104,+'5.Variables'!$N106,0))))))</f>
        <v>137.33000000000001</v>
      </c>
      <c r="O31" s="697">
        <f>IF(O$18='5.Variables'!$B$16,+'5.Variables'!$N26,+IF(O$18='5.Variables'!$B$39,+'5.Variables'!$N50,+IF(O$18='5.Variables'!$B$62,+'5.Variables'!$N64,+IF(O$18='5.Variables'!$B$76,+'5.Variables'!$N78,+IF(O$18='5.Variables'!$B$90,+'5.Variables'!$N92,+IF(O$18='5.Variables'!$B$104,+'5.Variables'!$N106,0))))))</f>
        <v>0</v>
      </c>
      <c r="P31" s="697">
        <f>IF(P$18='5.Variables'!$B$16,+'5.Variables'!$N26,+IF(P$18='5.Variables'!$B$39,+'5.Variables'!$N50,+IF(P$18='5.Variables'!$B$62,+'5.Variables'!$N64,+IF(P$18='5.Variables'!$B$76,+'5.Variables'!$N78,+IF(P$18='5.Variables'!$B$90,+'5.Variables'!$N92,+IF(P$18='5.Variables'!$B$104,+'5.Variables'!$N106,0))))))</f>
        <v>304</v>
      </c>
      <c r="Q31" s="242"/>
      <c r="R31" s="260">
        <f t="shared" si="1"/>
        <v>21190541.224607203</v>
      </c>
      <c r="S31" s="262">
        <f>SUM(R20:R31)</f>
        <v>244958698.73945877</v>
      </c>
      <c r="T31" s="242"/>
      <c r="U31" s="543" t="s">
        <v>16</v>
      </c>
      <c r="V31" s="543">
        <v>119</v>
      </c>
      <c r="W31" s="543">
        <v>288916128358280</v>
      </c>
      <c r="X31" s="543"/>
      <c r="Y31" s="543"/>
      <c r="Z31" s="543"/>
      <c r="AA31"/>
      <c r="AB31"/>
      <c r="AC31"/>
      <c r="AD31" s="258"/>
      <c r="AE31" s="242"/>
      <c r="AF31" s="242"/>
      <c r="AG31" s="242"/>
      <c r="AH31" s="242"/>
      <c r="AI31" s="242"/>
      <c r="AJ31" s="242"/>
      <c r="AK31" s="242"/>
      <c r="AL31" s="242"/>
      <c r="AM31" s="242"/>
    </row>
    <row r="32" spans="1:39" ht="13.5" thickBot="1" x14ac:dyDescent="0.25">
      <c r="A32" s="500">
        <f t="shared" si="2"/>
        <v>13</v>
      </c>
      <c r="B32" s="259" t="str">
        <f>CONCATENATE('3. Consumption by Rate Class'!B37,"-",'3. Consumption by Rate Class'!C37)</f>
        <v>2007-January</v>
      </c>
      <c r="C32" s="670">
        <v>27264426.190000001</v>
      </c>
      <c r="D32" s="826">
        <v>2165951</v>
      </c>
      <c r="E32" s="827">
        <v>1905585</v>
      </c>
      <c r="F32" s="826"/>
      <c r="G32" s="826"/>
      <c r="H32" s="677"/>
      <c r="I32" s="677"/>
      <c r="J32" s="550">
        <f t="shared" si="0"/>
        <v>23192890.190000001</v>
      </c>
      <c r="K32" s="697">
        <f>IF(K$18='5.Variables'!$B$16,+'5.Variables'!$C28,+IF(K$18='5.Variables'!$B$39,+'5.Variables'!$C51,+IF(K$18='5.Variables'!$B$62,+'5.Variables'!$C65,+IF(K$18='5.Variables'!$B$76,+'5.Variables'!$C79,+IF(K$18='5.Variables'!$B$90,+'5.Variables'!$C93,+IF(K$18='5.Variables'!$B$104,+'5.Variables'!$C107,0))))))</f>
        <v>669.3</v>
      </c>
      <c r="L32" s="697">
        <f>IF(L$18='5.Variables'!$B$16,+'5.Variables'!$C27,+IF(L$18='5.Variables'!$B$39,+'5.Variables'!$C51,+IF(L$18='5.Variables'!$B$62,+'5.Variables'!$C65,+IF(L$18='5.Variables'!$B$76,+'5.Variables'!$C79,+IF(L$18='5.Variables'!$B$90,+'5.Variables'!$C93,+IF(L$18='5.Variables'!$B$104,+'5.Variables'!$C107,0))))))</f>
        <v>0</v>
      </c>
      <c r="M32" s="697">
        <f>IF(M$18='5.Variables'!$B$16,+'5.Variables'!$C27,+IF(M$18='5.Variables'!$B$39,+'5.Variables'!$C51,+IF(M$18='5.Variables'!$B$62,+'5.Variables'!$C65,+IF(M$18='5.Variables'!$B$76,+'5.Variables'!$C79,+IF(M$18='5.Variables'!$B$90,+'5.Variables'!$C93,+IF(M$18='5.Variables'!$B$104,+'5.Variables'!$C107,0))))))</f>
        <v>31</v>
      </c>
      <c r="N32" s="697">
        <f>IF(N$18='5.Variables'!$B$16,+'5.Variables'!$C27,+IF(N$18='5.Variables'!$B$39,+'5.Variables'!$C51,+IF(N$18='5.Variables'!$B$62,+'5.Variables'!$C65,+IF(N$18='5.Variables'!$B$76,+'5.Variables'!$C79,+IF(N$18='5.Variables'!$B$90,+'5.Variables'!$C93,+IF(N$18='5.Variables'!$B$104,+'5.Variables'!$C107,0))))))</f>
        <v>137.59</v>
      </c>
      <c r="O32" s="697">
        <f>IF(O$18='5.Variables'!$B$16,+'5.Variables'!$C27,+IF(O$18='5.Variables'!$B$39,+'5.Variables'!$C51,+IF(O$18='5.Variables'!$B$62,+'5.Variables'!$C65,+IF(O$18='5.Variables'!$B$76,+'5.Variables'!$C79,+IF(O$18='5.Variables'!$B$90,+'5.Variables'!$C93,+IF(O$18='5.Variables'!$B$104,+'5.Variables'!$C107,0))))))</f>
        <v>0</v>
      </c>
      <c r="P32" s="697">
        <f>IF(P$18='5.Variables'!$B$16,+'5.Variables'!$C27,+IF(P$18='5.Variables'!$B$39,+'5.Variables'!$C51,+IF(P$18='5.Variables'!$B$62,+'5.Variables'!$C65,+IF(P$18='5.Variables'!$B$76,+'5.Variables'!$C79,+IF(P$18='5.Variables'!$B$90,+'5.Variables'!$C93,+IF(P$18='5.Variables'!$B$104,+'5.Variables'!$C107,0))))))</f>
        <v>352</v>
      </c>
      <c r="Q32" s="242"/>
      <c r="R32" s="260">
        <f t="shared" si="1"/>
        <v>22630539.367575422</v>
      </c>
      <c r="S32" s="262"/>
      <c r="T32" s="242"/>
      <c r="U32"/>
      <c r="V32"/>
      <c r="W32"/>
      <c r="X32"/>
      <c r="Y32"/>
      <c r="Z32"/>
      <c r="AA32"/>
      <c r="AB32"/>
      <c r="AC32"/>
      <c r="AD32" s="258"/>
      <c r="AE32" s="242"/>
      <c r="AF32" s="242"/>
      <c r="AG32" s="242"/>
      <c r="AH32" s="242"/>
      <c r="AI32" s="242"/>
      <c r="AJ32" s="242"/>
      <c r="AK32" s="242"/>
      <c r="AL32" s="242"/>
      <c r="AM32" s="242"/>
    </row>
    <row r="33" spans="1:39" x14ac:dyDescent="0.2">
      <c r="A33" s="500">
        <f t="shared" si="2"/>
        <v>14</v>
      </c>
      <c r="B33" s="259" t="str">
        <f>CONCATENATE('3. Consumption by Rate Class'!B38,"-",'3. Consumption by Rate Class'!C38)</f>
        <v>2007-February</v>
      </c>
      <c r="C33" s="670">
        <v>26230424.609999999</v>
      </c>
      <c r="D33" s="826">
        <v>2178438</v>
      </c>
      <c r="E33" s="827">
        <v>1999329</v>
      </c>
      <c r="F33" s="826"/>
      <c r="G33" s="826"/>
      <c r="H33" s="677"/>
      <c r="I33" s="677"/>
      <c r="J33" s="550">
        <f t="shared" si="0"/>
        <v>22052657.609999999</v>
      </c>
      <c r="K33" s="697">
        <f>IF(K$18='5.Variables'!$B$16,+'5.Variables'!$D28,+IF(K$18='5.Variables'!$B$39,+'5.Variables'!$D51,+IF(K$18='5.Variables'!$B$62,+'5.Variables'!$D65,+IF(K$18='5.Variables'!$B$76,+'5.Variables'!$D79,+IF(K$18='5.Variables'!$B$90,+'5.Variables'!$D93,+IF(K$18='5.Variables'!$B$104,+'5.Variables'!$D107,0))))))</f>
        <v>728.2</v>
      </c>
      <c r="L33" s="697">
        <f>IF(L$18='5.Variables'!$B$16,+'5.Variables'!$D27,+IF(L$18='5.Variables'!$B$39,+'5.Variables'!$D51,+IF(L$18='5.Variables'!$B$62,+'5.Variables'!$D65,+IF(L$18='5.Variables'!$B$76,+'5.Variables'!$D79,+IF(L$18='5.Variables'!$B$90,+'5.Variables'!$D93,+IF(L$18='5.Variables'!$B$104,+'5.Variables'!$D107,0))))))</f>
        <v>0</v>
      </c>
      <c r="M33" s="697">
        <f>IF(M$18='5.Variables'!$B$16,+'5.Variables'!$D27,+IF(M$18='5.Variables'!$B$39,+'5.Variables'!$D51,+IF(M$18='5.Variables'!$B$62,+'5.Variables'!$D65,+IF(M$18='5.Variables'!$B$76,+'5.Variables'!$D79,+IF(M$18='5.Variables'!$B$90,+'5.Variables'!$D93,+IF(M$18='5.Variables'!$B$104,+'5.Variables'!$D107,0))))))</f>
        <v>28</v>
      </c>
      <c r="N33" s="697">
        <f>IF(N$18='5.Variables'!$B$16,+'5.Variables'!$D27,+IF(N$18='5.Variables'!$B$39,+'5.Variables'!$D51,+IF(N$18='5.Variables'!$B$62,+'5.Variables'!$D65,+IF(N$18='5.Variables'!$B$76,+'5.Variables'!$D79,+IF(N$18='5.Variables'!$B$90,+'5.Variables'!$D93,+IF(N$18='5.Variables'!$B$104,+'5.Variables'!$D107,0))))))</f>
        <v>137.85</v>
      </c>
      <c r="O33" s="697">
        <f>IF(O$18='5.Variables'!$B$16,+'5.Variables'!$D27,+IF(O$18='5.Variables'!$B$39,+'5.Variables'!$D51,+IF(O$18='5.Variables'!$B$62,+'5.Variables'!$D65,+IF(O$18='5.Variables'!$B$76,+'5.Variables'!$D79,+IF(O$18='5.Variables'!$B$90,+'5.Variables'!$D93,+IF(O$18='5.Variables'!$B$104,+'5.Variables'!$D107,0))))))</f>
        <v>0</v>
      </c>
      <c r="P33" s="697">
        <f>IF(P$18='5.Variables'!$B$16,+'5.Variables'!$D27,+IF(P$18='5.Variables'!$B$39,+'5.Variables'!$D51,+IF(P$18='5.Variables'!$B$62,+'5.Variables'!$D65,+IF(P$18='5.Variables'!$B$76,+'5.Variables'!$D79,+IF(P$18='5.Variables'!$B$90,+'5.Variables'!$D93,+IF(P$18='5.Variables'!$B$104,+'5.Variables'!$D107,0))))))</f>
        <v>320</v>
      </c>
      <c r="Q33" s="242"/>
      <c r="R33" s="260">
        <f t="shared" si="1"/>
        <v>21639417.640154444</v>
      </c>
      <c r="S33" s="262"/>
      <c r="T33" s="242"/>
      <c r="U33" s="777"/>
      <c r="V33" s="777" t="s">
        <v>23</v>
      </c>
      <c r="W33" s="777" t="s">
        <v>11</v>
      </c>
      <c r="X33" s="777" t="s">
        <v>24</v>
      </c>
      <c r="Y33" s="777" t="s">
        <v>25</v>
      </c>
      <c r="Z33" s="777" t="s">
        <v>26</v>
      </c>
      <c r="AA33" s="777" t="s">
        <v>27</v>
      </c>
      <c r="AB33" s="777" t="s">
        <v>28</v>
      </c>
      <c r="AC33" s="777" t="s">
        <v>29</v>
      </c>
      <c r="AD33" s="258"/>
      <c r="AE33" s="242"/>
      <c r="AF33" s="242"/>
      <c r="AG33" s="242"/>
      <c r="AH33" s="242"/>
      <c r="AI33" s="242"/>
      <c r="AJ33" s="242"/>
      <c r="AK33" s="242"/>
      <c r="AL33" s="242"/>
      <c r="AM33" s="242"/>
    </row>
    <row r="34" spans="1:39" x14ac:dyDescent="0.2">
      <c r="A34" s="500">
        <f t="shared" si="2"/>
        <v>15</v>
      </c>
      <c r="B34" s="259" t="str">
        <f>CONCATENATE('3. Consumption by Rate Class'!B39,"-",'3. Consumption by Rate Class'!C39)</f>
        <v>2007-March</v>
      </c>
      <c r="C34" s="670">
        <v>27093283.050000001</v>
      </c>
      <c r="D34" s="826">
        <v>2320895</v>
      </c>
      <c r="E34" s="827">
        <v>2532285</v>
      </c>
      <c r="F34" s="826"/>
      <c r="G34" s="826"/>
      <c r="H34" s="677"/>
      <c r="I34" s="677"/>
      <c r="J34" s="550">
        <f t="shared" si="0"/>
        <v>22240103.050000001</v>
      </c>
      <c r="K34" s="697">
        <f>IF(K$18='5.Variables'!$B$16,+'5.Variables'!$E28,+IF(K$18='5.Variables'!$B$39,+'5.Variables'!$E51,+IF(K$18='5.Variables'!$B$62,+'5.Variables'!$E65,+IF(K$18='5.Variables'!$B$76,+'5.Variables'!$E79,+IF(K$18='5.Variables'!$B$90,+'5.Variables'!$E93,+IF(K$18='5.Variables'!$B$104,+'5.Variables'!$E107,0))))))</f>
        <v>578.29999999999995</v>
      </c>
      <c r="L34" s="697">
        <f>IF(L$18='5.Variables'!$B$16,+'5.Variables'!$E27,+IF(L$18='5.Variables'!$B$39,+'5.Variables'!$E51,+IF(L$18='5.Variables'!$B$62,+'5.Variables'!$E65,+IF(L$18='5.Variables'!$B$76,+'5.Variables'!$E79,+IF(L$18='5.Variables'!$B$90,+'5.Variables'!$E93,+IF(L$18='5.Variables'!$B$104,+'5.Variables'!$E107,0))))))</f>
        <v>0</v>
      </c>
      <c r="M34" s="697">
        <f>IF(M$18='5.Variables'!$B$16,+'5.Variables'!$E27,+IF(M$18='5.Variables'!$B$39,+'5.Variables'!$E51,+IF(M$18='5.Variables'!$B$62,+'5.Variables'!$E65,+IF(M$18='5.Variables'!$B$76,+'5.Variables'!$E79,+IF(M$18='5.Variables'!$B$90,+'5.Variables'!$E93,+IF(M$18='5.Variables'!$B$104,+'5.Variables'!$E107,0))))))</f>
        <v>31</v>
      </c>
      <c r="N34" s="697">
        <f>IF(N$18='5.Variables'!$B$16,+'5.Variables'!$E27,+IF(N$18='5.Variables'!$B$39,+'5.Variables'!$E51,+IF(N$18='5.Variables'!$B$62,+'5.Variables'!$E65,+IF(N$18='5.Variables'!$B$76,+'5.Variables'!$E79,+IF(N$18='5.Variables'!$B$90,+'5.Variables'!$E93,+IF(N$18='5.Variables'!$B$104,+'5.Variables'!$E107,0))))))</f>
        <v>138.11000000000001</v>
      </c>
      <c r="O34" s="697">
        <f>IF(O$18='5.Variables'!$B$16,+'5.Variables'!$E27,+IF(O$18='5.Variables'!$B$39,+'5.Variables'!$E51,+IF(O$18='5.Variables'!$B$62,+'5.Variables'!$E65,+IF(O$18='5.Variables'!$B$76,+'5.Variables'!$E79,+IF(O$18='5.Variables'!$B$90,+'5.Variables'!$E93,+IF(O$18='5.Variables'!$B$104,+'5.Variables'!$E107,0))))))</f>
        <v>0</v>
      </c>
      <c r="P34" s="697">
        <f>IF(P$18='5.Variables'!$B$16,+'5.Variables'!$E27,+IF(P$18='5.Variables'!$B$39,+'5.Variables'!$E51,+IF(P$18='5.Variables'!$B$62,+'5.Variables'!$E65,+IF(P$18='5.Variables'!$B$76,+'5.Variables'!$E79,+IF(P$18='5.Variables'!$B$90,+'5.Variables'!$E93,+IF(P$18='5.Variables'!$B$104,+'5.Variables'!$E107,0))))))</f>
        <v>352</v>
      </c>
      <c r="Q34" s="242"/>
      <c r="R34" s="260">
        <f t="shared" si="1"/>
        <v>22052858.005707134</v>
      </c>
      <c r="S34" s="262"/>
      <c r="T34" s="242"/>
      <c r="U34" s="542" t="s">
        <v>17</v>
      </c>
      <c r="V34" s="542">
        <v>-208229.04637622135</v>
      </c>
      <c r="W34" s="542">
        <v>2656633.6329958383</v>
      </c>
      <c r="X34" s="542">
        <v>-7.8380791310469544E-2</v>
      </c>
      <c r="Y34" s="542">
        <v>0.93766378027039332</v>
      </c>
      <c r="Z34" s="542">
        <v>-5471499.4222279955</v>
      </c>
      <c r="AA34" s="542">
        <v>5055041.3294755537</v>
      </c>
      <c r="AB34" s="542">
        <v>-5471499.4222279955</v>
      </c>
      <c r="AC34" s="542">
        <v>5055041.3294755537</v>
      </c>
      <c r="AD34" s="258"/>
      <c r="AE34" s="242"/>
      <c r="AF34" s="242"/>
      <c r="AG34" s="242"/>
      <c r="AH34" s="242"/>
      <c r="AI34" s="242"/>
      <c r="AJ34" s="242"/>
      <c r="AK34" s="242"/>
      <c r="AL34" s="242"/>
      <c r="AM34" s="242"/>
    </row>
    <row r="35" spans="1:39" ht="15" x14ac:dyDescent="0.25">
      <c r="A35" s="500">
        <f t="shared" si="2"/>
        <v>16</v>
      </c>
      <c r="B35" s="259" t="str">
        <f>CONCATENATE('3. Consumption by Rate Class'!B40,"-",'3. Consumption by Rate Class'!C40)</f>
        <v>2007-April</v>
      </c>
      <c r="C35" s="670">
        <v>24473676.850000001</v>
      </c>
      <c r="D35" s="826">
        <v>2552010</v>
      </c>
      <c r="E35" s="827">
        <v>2572558</v>
      </c>
      <c r="F35" s="826"/>
      <c r="G35" s="826"/>
      <c r="H35" s="677"/>
      <c r="I35" s="677"/>
      <c r="J35" s="550">
        <f t="shared" si="0"/>
        <v>19349108.850000001</v>
      </c>
      <c r="K35" s="697">
        <f>IF(K$18='5.Variables'!$B$16,+'5.Variables'!$F28,+IF(K$18='5.Variables'!$B$39,+'5.Variables'!$F51,+IF(K$18='5.Variables'!$B$62,+'5.Variables'!$F65,+IF(K$18='5.Variables'!$B$76,+'5.Variables'!$F79,+IF(K$18='5.Variables'!$B$90,+'5.Variables'!$F93,+IF(K$18='5.Variables'!$B$104,+'5.Variables'!$F107,0))))))</f>
        <v>401</v>
      </c>
      <c r="L35" s="697">
        <f>IF(L$18='5.Variables'!$B$16,+'5.Variables'!$F27,+IF(L$18='5.Variables'!$B$39,+'5.Variables'!$F51,+IF(L$18='5.Variables'!$B$62,+'5.Variables'!$F65,+IF(L$18='5.Variables'!$B$76,+'5.Variables'!$F79,+IF(L$18='5.Variables'!$B$90,+'5.Variables'!$F93,+IF(L$18='5.Variables'!$B$104,+'5.Variables'!$F107,0))))))</f>
        <v>0</v>
      </c>
      <c r="M35" s="697">
        <f>IF(M$18='5.Variables'!$B$16,+'5.Variables'!$F27,+IF(M$18='5.Variables'!$B$39,+'5.Variables'!$F51,+IF(M$18='5.Variables'!$B$62,+'5.Variables'!$F65,+IF(M$18='5.Variables'!$B$76,+'5.Variables'!$F79,+IF(M$18='5.Variables'!$B$90,+'5.Variables'!$F93,+IF(M$18='5.Variables'!$B$104,+'5.Variables'!$F107,0))))))</f>
        <v>30</v>
      </c>
      <c r="N35" s="697">
        <f>IF(N$18='5.Variables'!$B$16,+'5.Variables'!$F27,+IF(N$18='5.Variables'!$B$39,+'5.Variables'!$F51,+IF(N$18='5.Variables'!$B$62,+'5.Variables'!$F65,+IF(N$18='5.Variables'!$B$76,+'5.Variables'!$F79,+IF(N$18='5.Variables'!$B$90,+'5.Variables'!$F93,+IF(N$18='5.Variables'!$B$104,+'5.Variables'!$F107,0))))))</f>
        <v>138.37</v>
      </c>
      <c r="O35" s="697">
        <f>IF(O$18='5.Variables'!$B$16,+'5.Variables'!$F27,+IF(O$18='5.Variables'!$B$39,+'5.Variables'!$F51,+IF(O$18='5.Variables'!$B$62,+'5.Variables'!$F65,+IF(O$18='5.Variables'!$B$76,+'5.Variables'!$F79,+IF(O$18='5.Variables'!$B$90,+'5.Variables'!$F93,+IF(O$18='5.Variables'!$B$104,+'5.Variables'!$F107,0))))))</f>
        <v>0</v>
      </c>
      <c r="P35" s="697">
        <f>IF(P$18='5.Variables'!$B$16,+'5.Variables'!$F27,+IF(P$18='5.Variables'!$B$39,+'5.Variables'!$F51,+IF(P$18='5.Variables'!$B$62,+'5.Variables'!$F65,+IF(P$18='5.Variables'!$B$76,+'5.Variables'!$F79,+IF(P$18='5.Variables'!$B$90,+'5.Variables'!$F93,+IF(P$18='5.Variables'!$B$104,+'5.Variables'!$F107,0))))))</f>
        <v>320</v>
      </c>
      <c r="Q35" s="242"/>
      <c r="R35" s="260">
        <f t="shared" si="1"/>
        <v>20282154.075131625</v>
      </c>
      <c r="S35" s="262"/>
      <c r="T35" s="516"/>
      <c r="U35" s="542" t="s">
        <v>1</v>
      </c>
      <c r="V35" s="542">
        <v>6515.5101354611243</v>
      </c>
      <c r="W35" s="542">
        <v>286.55695155010562</v>
      </c>
      <c r="X35" s="542">
        <v>22.737225882031556</v>
      </c>
      <c r="Y35" s="542">
        <v>5.6683761577781432E-44</v>
      </c>
      <c r="Z35" s="542">
        <v>5947.7891311963158</v>
      </c>
      <c r="AA35" s="542">
        <v>7083.2311397259327</v>
      </c>
      <c r="AB35" s="542">
        <v>5947.7891311963158</v>
      </c>
      <c r="AC35" s="542">
        <v>7083.2311397259327</v>
      </c>
      <c r="AD35" s="258"/>
      <c r="AE35" s="242"/>
      <c r="AF35" s="242"/>
      <c r="AG35" s="242"/>
      <c r="AH35" s="242"/>
      <c r="AI35" s="242"/>
      <c r="AJ35" s="242"/>
      <c r="AK35" s="242"/>
      <c r="AL35" s="242"/>
      <c r="AM35" s="242"/>
    </row>
    <row r="36" spans="1:39" ht="15" x14ac:dyDescent="0.25">
      <c r="A36" s="500">
        <f t="shared" si="2"/>
        <v>17</v>
      </c>
      <c r="B36" s="259" t="str">
        <f>CONCATENATE('3. Consumption by Rate Class'!B41,"-",'3. Consumption by Rate Class'!C41)</f>
        <v>2007-May</v>
      </c>
      <c r="C36" s="670">
        <v>23433103.780000001</v>
      </c>
      <c r="D36" s="826">
        <v>2745510</v>
      </c>
      <c r="E36" s="827">
        <v>2303985</v>
      </c>
      <c r="F36" s="826"/>
      <c r="G36" s="826"/>
      <c r="H36" s="677"/>
      <c r="I36" s="677"/>
      <c r="J36" s="550">
        <f t="shared" si="0"/>
        <v>18383608.780000001</v>
      </c>
      <c r="K36" s="697">
        <f>IF(K$18='5.Variables'!$B$16,+'5.Variables'!$G28,+IF(K$18='5.Variables'!$B$39,+'5.Variables'!$G51,+IF(K$18='5.Variables'!$B$62,+'5.Variables'!$G65,+IF(K$18='5.Variables'!$B$76,+'5.Variables'!$G79,+IF(K$18='5.Variables'!$B$90,+'5.Variables'!$G93,+IF(K$18='5.Variables'!$B$104,+'5.Variables'!$G107,0))))))</f>
        <v>208.1</v>
      </c>
      <c r="L36" s="697">
        <f>IF(L$18='5.Variables'!$B$16,+'5.Variables'!$G27,+IF(L$18='5.Variables'!$B$39,+'5.Variables'!$G51,+IF(L$18='5.Variables'!$B$62,+'5.Variables'!$G65,+IF(L$18='5.Variables'!$B$76,+'5.Variables'!$G79,+IF(L$18='5.Variables'!$B$90,+'5.Variables'!$G93,+IF(L$18='5.Variables'!$B$104,+'5.Variables'!$G107,0))))))</f>
        <v>0</v>
      </c>
      <c r="M36" s="697">
        <f>IF(M$18='5.Variables'!$B$16,+'5.Variables'!$G27,+IF(M$18='5.Variables'!$B$39,+'5.Variables'!$G51,+IF(M$18='5.Variables'!$B$62,+'5.Variables'!$G65,+IF(M$18='5.Variables'!$B$76,+'5.Variables'!$G79,+IF(M$18='5.Variables'!$B$90,+'5.Variables'!$G93,+IF(M$18='5.Variables'!$B$104,+'5.Variables'!$G107,0))))))</f>
        <v>31</v>
      </c>
      <c r="N36" s="697">
        <f>IF(N$18='5.Variables'!$B$16,+'5.Variables'!$G27,+IF(N$18='5.Variables'!$B$39,+'5.Variables'!$G51,+IF(N$18='5.Variables'!$B$62,+'5.Variables'!$G65,+IF(N$18='5.Variables'!$B$76,+'5.Variables'!$G79,+IF(N$18='5.Variables'!$B$90,+'5.Variables'!$G93,+IF(N$18='5.Variables'!$B$104,+'5.Variables'!$G107,0))))))</f>
        <v>138.63</v>
      </c>
      <c r="O36" s="697">
        <f>IF(O$18='5.Variables'!$B$16,+'5.Variables'!$G27,+IF(O$18='5.Variables'!$B$39,+'5.Variables'!$G51,+IF(O$18='5.Variables'!$B$62,+'5.Variables'!$G65,+IF(O$18='5.Variables'!$B$76,+'5.Variables'!$G79,+IF(O$18='5.Variables'!$B$90,+'5.Variables'!$G93,+IF(O$18='5.Variables'!$B$104,+'5.Variables'!$G107,0))))))</f>
        <v>0</v>
      </c>
      <c r="P36" s="697">
        <f>IF(P$18='5.Variables'!$B$16,+'5.Variables'!$G27,+IF(P$18='5.Variables'!$B$39,+'5.Variables'!$G51,+IF(P$18='5.Variables'!$B$62,+'5.Variables'!$G65,+IF(P$18='5.Variables'!$B$76,+'5.Variables'!$G79,+IF(P$18='5.Variables'!$B$90,+'5.Variables'!$G93,+IF(P$18='5.Variables'!$B$104,+'5.Variables'!$G107,0))))))</f>
        <v>352</v>
      </c>
      <c r="Q36" s="242"/>
      <c r="R36" s="260">
        <f t="shared" si="1"/>
        <v>19656046.214018103</v>
      </c>
      <c r="S36" s="262"/>
      <c r="T36" s="516"/>
      <c r="U36" s="542" t="s">
        <v>2</v>
      </c>
      <c r="V36" s="542">
        <v>39804.224197698772</v>
      </c>
      <c r="W36" s="542">
        <v>3223.7489369966256</v>
      </c>
      <c r="X36" s="542">
        <v>12.347184900441407</v>
      </c>
      <c r="Y36" s="542">
        <v>1.0857814462385689E-22</v>
      </c>
      <c r="Z36" s="542">
        <v>33417.396120037163</v>
      </c>
      <c r="AA36" s="542">
        <v>46191.05227536038</v>
      </c>
      <c r="AB36" s="542">
        <v>33417.396120037163</v>
      </c>
      <c r="AC36" s="542">
        <v>46191.05227536038</v>
      </c>
      <c r="AD36" s="258"/>
      <c r="AE36" s="242"/>
      <c r="AF36" s="242"/>
      <c r="AG36" s="242"/>
      <c r="AH36" s="242"/>
      <c r="AI36" s="242"/>
      <c r="AJ36" s="242"/>
      <c r="AK36" s="242"/>
      <c r="AL36" s="242"/>
      <c r="AM36" s="242"/>
    </row>
    <row r="37" spans="1:39" ht="15" x14ac:dyDescent="0.25">
      <c r="A37" s="500">
        <f t="shared" si="2"/>
        <v>18</v>
      </c>
      <c r="B37" s="259" t="str">
        <f>CONCATENATE('3. Consumption by Rate Class'!B42,"-",'3. Consumption by Rate Class'!C42)</f>
        <v>2007-June</v>
      </c>
      <c r="C37" s="670">
        <v>24099861.809999999</v>
      </c>
      <c r="D37" s="826">
        <v>2671934</v>
      </c>
      <c r="E37" s="827">
        <v>1627280</v>
      </c>
      <c r="F37" s="826"/>
      <c r="G37" s="826"/>
      <c r="H37" s="677"/>
      <c r="I37" s="677"/>
      <c r="J37" s="550">
        <f t="shared" si="0"/>
        <v>19800647.809999999</v>
      </c>
      <c r="K37" s="697">
        <f>IF(K$18='5.Variables'!$B$16,+'5.Variables'!$H28,+IF(K$18='5.Variables'!$B$39,+'5.Variables'!$H51,+IF(K$18='5.Variables'!$B$62,+'5.Variables'!$H65,+IF(K$18='5.Variables'!$B$76,+'5.Variables'!$H79,+IF(K$18='5.Variables'!$B$90,+'5.Variables'!$H93,+IF(K$18='5.Variables'!$B$104,+'5.Variables'!$H107,0))))))</f>
        <v>45.4</v>
      </c>
      <c r="L37" s="697">
        <f>IF(L$18='5.Variables'!$B$16,+'5.Variables'!$H27,+IF(L$18='5.Variables'!$B$39,+'5.Variables'!$H51,+IF(L$18='5.Variables'!$B$62,+'5.Variables'!$H65,+IF(L$18='5.Variables'!$B$76,+'5.Variables'!$H79,+IF(L$18='5.Variables'!$B$90,+'5.Variables'!$H93,+IF(L$18='5.Variables'!$B$104,+'5.Variables'!$H107,0))))))</f>
        <v>19.899999999999999</v>
      </c>
      <c r="M37" s="697">
        <f>IF(M$18='5.Variables'!$B$16,+'5.Variables'!$H27,+IF(M$18='5.Variables'!$B$39,+'5.Variables'!$H51,+IF(M$18='5.Variables'!$B$62,+'5.Variables'!$H65,+IF(M$18='5.Variables'!$B$76,+'5.Variables'!$H79,+IF(M$18='5.Variables'!$B$90,+'5.Variables'!$H93,+IF(M$18='5.Variables'!$B$104,+'5.Variables'!$H107,0))))))</f>
        <v>30</v>
      </c>
      <c r="N37" s="697">
        <f>IF(N$18='5.Variables'!$B$16,+'5.Variables'!$H27,+IF(N$18='5.Variables'!$B$39,+'5.Variables'!$H51,+IF(N$18='5.Variables'!$B$62,+'5.Variables'!$H65,+IF(N$18='5.Variables'!$B$76,+'5.Variables'!$H79,+IF(N$18='5.Variables'!$B$90,+'5.Variables'!$H93,+IF(N$18='5.Variables'!$B$104,+'5.Variables'!$H107,0))))))</f>
        <v>138.9</v>
      </c>
      <c r="O37" s="697">
        <f>IF(O$18='5.Variables'!$B$16,+'5.Variables'!$H27,+IF(O$18='5.Variables'!$B$39,+'5.Variables'!$H51,+IF(O$18='5.Variables'!$B$62,+'5.Variables'!$H65,+IF(O$18='5.Variables'!$B$76,+'5.Variables'!$H79,+IF(O$18='5.Variables'!$B$90,+'5.Variables'!$H93,+IF(O$18='5.Variables'!$B$104,+'5.Variables'!$H107,0))))))</f>
        <v>0</v>
      </c>
      <c r="P37" s="697">
        <f>IF(P$18='5.Variables'!$B$16,+'5.Variables'!$H27,+IF(P$18='5.Variables'!$B$39,+'5.Variables'!$H51,+IF(P$18='5.Variables'!$B$62,+'5.Variables'!$H65,+IF(P$18='5.Variables'!$B$76,+'5.Variables'!$H79,+IF(P$18='5.Variables'!$B$90,+'5.Variables'!$H93,+IF(P$18='5.Variables'!$B$104,+'5.Variables'!$H107,0))))))</f>
        <v>336</v>
      </c>
      <c r="Q37" s="242"/>
      <c r="R37" s="260">
        <f t="shared" si="1"/>
        <v>18894579.86291603</v>
      </c>
      <c r="S37" s="262"/>
      <c r="T37" s="516"/>
      <c r="U37" s="542" t="s">
        <v>240</v>
      </c>
      <c r="V37" s="542">
        <v>379690.6454206928</v>
      </c>
      <c r="W37" s="542">
        <v>72377.53761177967</v>
      </c>
      <c r="X37" s="542">
        <v>5.245973515392115</v>
      </c>
      <c r="Y37" s="542">
        <v>7.3422846936786369E-7</v>
      </c>
      <c r="Z37" s="542">
        <v>236297.68944143894</v>
      </c>
      <c r="AA37" s="542">
        <v>523083.60139994667</v>
      </c>
      <c r="AB37" s="542">
        <v>236297.68944143894</v>
      </c>
      <c r="AC37" s="542">
        <v>523083.60139994667</v>
      </c>
      <c r="AD37" s="258"/>
      <c r="AE37" s="242"/>
      <c r="AF37" s="242"/>
      <c r="AG37" s="242"/>
      <c r="AH37" s="242"/>
      <c r="AI37" s="242"/>
      <c r="AJ37" s="242"/>
      <c r="AK37" s="242"/>
      <c r="AL37" s="242"/>
      <c r="AM37" s="242"/>
    </row>
    <row r="38" spans="1:39" ht="15" x14ac:dyDescent="0.25">
      <c r="A38" s="500">
        <f t="shared" si="2"/>
        <v>19</v>
      </c>
      <c r="B38" s="259" t="str">
        <f>CONCATENATE('3. Consumption by Rate Class'!B43,"-",'3. Consumption by Rate Class'!C43)</f>
        <v>2007-July</v>
      </c>
      <c r="C38" s="670">
        <v>23042716.399999999</v>
      </c>
      <c r="D38" s="826">
        <v>2175447</v>
      </c>
      <c r="E38" s="827">
        <v>1061128</v>
      </c>
      <c r="F38" s="826"/>
      <c r="G38" s="826"/>
      <c r="H38" s="677"/>
      <c r="I38" s="677"/>
      <c r="J38" s="550">
        <f t="shared" si="0"/>
        <v>19806141.399999999</v>
      </c>
      <c r="K38" s="697">
        <f>IF(K$18='5.Variables'!$B$16,+'5.Variables'!$I28,+IF(K$18='5.Variables'!$B$39,+'5.Variables'!$I51,+IF(K$18='5.Variables'!$B$62,+'5.Variables'!$I65,+IF(K$18='5.Variables'!$B$76,+'5.Variables'!$I79,+IF(K$18='5.Variables'!$B$90,+'5.Variables'!$I93,+IF(K$18='5.Variables'!$B$104,+'5.Variables'!$I107,0))))))</f>
        <v>22.4</v>
      </c>
      <c r="L38" s="697">
        <f>IF(L$18='5.Variables'!$B$16,+'5.Variables'!$I27,+IF(L$18='5.Variables'!$B$39,+'5.Variables'!$I51,+IF(L$18='5.Variables'!$B$62,+'5.Variables'!$I65,+IF(L$18='5.Variables'!$B$76,+'5.Variables'!$I79,+IF(L$18='5.Variables'!$B$90,+'5.Variables'!$I93,+IF(L$18='5.Variables'!$B$104,+'5.Variables'!$I107,0))))))</f>
        <v>45.3</v>
      </c>
      <c r="M38" s="697">
        <f>IF(M$18='5.Variables'!$B$16,+'5.Variables'!$I27,+IF(M$18='5.Variables'!$B$39,+'5.Variables'!$I51,+IF(M$18='5.Variables'!$B$62,+'5.Variables'!$I65,+IF(M$18='5.Variables'!$B$76,+'5.Variables'!$I79,+IF(M$18='5.Variables'!$B$90,+'5.Variables'!$I93,+IF(M$18='5.Variables'!$B$104,+'5.Variables'!$I107,0))))))</f>
        <v>31</v>
      </c>
      <c r="N38" s="697">
        <f>IF(N$18='5.Variables'!$B$16,+'5.Variables'!$I27,+IF(N$18='5.Variables'!$B$39,+'5.Variables'!$I51,+IF(N$18='5.Variables'!$B$62,+'5.Variables'!$I65,+IF(N$18='5.Variables'!$B$76,+'5.Variables'!$I79,+IF(N$18='5.Variables'!$B$90,+'5.Variables'!$I93,+IF(N$18='5.Variables'!$B$104,+'5.Variables'!$I107,0))))))</f>
        <v>139.16</v>
      </c>
      <c r="O38" s="697">
        <f>IF(O$18='5.Variables'!$B$16,+'5.Variables'!$I27,+IF(O$18='5.Variables'!$B$39,+'5.Variables'!$I51,+IF(O$18='5.Variables'!$B$62,+'5.Variables'!$I65,+IF(O$18='5.Variables'!$B$76,+'5.Variables'!$I79,+IF(O$18='5.Variables'!$B$90,+'5.Variables'!$I93,+IF(O$18='5.Variables'!$B$104,+'5.Variables'!$I107,0))))))</f>
        <v>0</v>
      </c>
      <c r="P38" s="697">
        <f>IF(P$18='5.Variables'!$B$16,+'5.Variables'!$I27,+IF(P$18='5.Variables'!$B$39,+'5.Variables'!$I51,+IF(P$18='5.Variables'!$B$62,+'5.Variables'!$I65,+IF(P$18='5.Variables'!$B$76,+'5.Variables'!$I79,+IF(P$18='5.Variables'!$B$90,+'5.Variables'!$I93,+IF(P$18='5.Variables'!$B$104,+'5.Variables'!$I107,0))))))</f>
        <v>336</v>
      </c>
      <c r="Q38" s="242"/>
      <c r="R38" s="260">
        <f t="shared" si="1"/>
        <v>20143056.100072004</v>
      </c>
      <c r="S38" s="262"/>
      <c r="T38" s="516"/>
      <c r="U38" s="542" t="s">
        <v>262</v>
      </c>
      <c r="V38" s="542">
        <v>29288.577805147012</v>
      </c>
      <c r="W38" s="542">
        <v>12989.58022095814</v>
      </c>
      <c r="X38" s="542">
        <v>2.2547747738522856</v>
      </c>
      <c r="Y38" s="542">
        <v>2.6074294680364513E-2</v>
      </c>
      <c r="Z38" s="542">
        <v>3553.8765943435756</v>
      </c>
      <c r="AA38" s="542">
        <v>55023.279015950451</v>
      </c>
      <c r="AB38" s="542">
        <v>3553.8765943435756</v>
      </c>
      <c r="AC38" s="542">
        <v>55023.279015950451</v>
      </c>
      <c r="AD38" s="258"/>
      <c r="AE38" s="242"/>
      <c r="AF38" s="242"/>
      <c r="AG38" s="242"/>
      <c r="AH38" s="242"/>
      <c r="AI38" s="242"/>
      <c r="AJ38" s="242"/>
      <c r="AK38" s="242"/>
      <c r="AL38" s="242"/>
      <c r="AM38" s="242"/>
    </row>
    <row r="39" spans="1:39" ht="15" x14ac:dyDescent="0.25">
      <c r="A39" s="500">
        <f t="shared" si="2"/>
        <v>20</v>
      </c>
      <c r="B39" s="259" t="str">
        <f>CONCATENATE('3. Consumption by Rate Class'!B44,"-",'3. Consumption by Rate Class'!C44)</f>
        <v>2007-August</v>
      </c>
      <c r="C39" s="670">
        <v>25156769.010000002</v>
      </c>
      <c r="D39" s="826">
        <v>2317085</v>
      </c>
      <c r="E39" s="827">
        <v>1337316</v>
      </c>
      <c r="F39" s="826"/>
      <c r="G39" s="826"/>
      <c r="H39" s="677"/>
      <c r="I39" s="677"/>
      <c r="J39" s="550">
        <f t="shared" si="0"/>
        <v>21502368.010000002</v>
      </c>
      <c r="K39" s="697">
        <f>IF(K$18='5.Variables'!$B$16,+'5.Variables'!$J28,+IF(K$18='5.Variables'!$B$39,+'5.Variables'!$J51,+IF(K$18='5.Variables'!$B$62,+'5.Variables'!$J65,+IF(K$18='5.Variables'!$B$76,+'5.Variables'!$J79,+IF(K$18='5.Variables'!$B$90,+'5.Variables'!$J93,+IF(K$18='5.Variables'!$B$104,+'5.Variables'!$J107,0))))))</f>
        <v>12.1</v>
      </c>
      <c r="L39" s="697">
        <f>IF(L$18='5.Variables'!$B$16,+'5.Variables'!$J27,+IF(L$18='5.Variables'!$B$39,+'5.Variables'!$J51,+IF(L$18='5.Variables'!$B$62,+'5.Variables'!$J65,+IF(L$18='5.Variables'!$B$76,+'5.Variables'!$J79,+IF(L$18='5.Variables'!$B$90,+'5.Variables'!$J93,+IF(L$18='5.Variables'!$B$104,+'5.Variables'!$J107,0))))))</f>
        <v>91.5</v>
      </c>
      <c r="M39" s="697">
        <f>IF(M$18='5.Variables'!$B$16,+'5.Variables'!$J27,+IF(M$18='5.Variables'!$B$39,+'5.Variables'!$J51,+IF(M$18='5.Variables'!$B$62,+'5.Variables'!$J65,+IF(M$18='5.Variables'!$B$76,+'5.Variables'!$J79,+IF(M$18='5.Variables'!$B$90,+'5.Variables'!$J93,+IF(M$18='5.Variables'!$B$104,+'5.Variables'!$J107,0))))))</f>
        <v>31</v>
      </c>
      <c r="N39" s="697">
        <f>IF(N$18='5.Variables'!$B$16,+'5.Variables'!$J27,+IF(N$18='5.Variables'!$B$39,+'5.Variables'!$J51,+IF(N$18='5.Variables'!$B$62,+'5.Variables'!$J65,+IF(N$18='5.Variables'!$B$76,+'5.Variables'!$J79,+IF(N$18='5.Variables'!$B$90,+'5.Variables'!$J93,+IF(N$18='5.Variables'!$B$104,+'5.Variables'!$J107,0))))))</f>
        <v>139.41999999999999</v>
      </c>
      <c r="O39" s="697">
        <f>IF(O$18='5.Variables'!$B$16,+'5.Variables'!$J27,+IF(O$18='5.Variables'!$B$39,+'5.Variables'!$J51,+IF(O$18='5.Variables'!$B$62,+'5.Variables'!$J65,+IF(O$18='5.Variables'!$B$76,+'5.Variables'!$J79,+IF(O$18='5.Variables'!$B$90,+'5.Variables'!$J93,+IF(O$18='5.Variables'!$B$104,+'5.Variables'!$J107,0))))))</f>
        <v>0</v>
      </c>
      <c r="P39" s="697">
        <f>IF(P$18='5.Variables'!$B$16,+'5.Variables'!$J27,+IF(P$18='5.Variables'!$B$39,+'5.Variables'!$J51,+IF(P$18='5.Variables'!$B$62,+'5.Variables'!$J65,+IF(P$18='5.Variables'!$B$76,+'5.Variables'!$J79,+IF(P$18='5.Variables'!$B$90,+'5.Variables'!$J93,+IF(P$18='5.Variables'!$B$104,+'5.Variables'!$J107,0))))))</f>
        <v>352</v>
      </c>
      <c r="Q39" s="242"/>
      <c r="R39" s="260">
        <f t="shared" si="1"/>
        <v>22044230.718023226</v>
      </c>
      <c r="S39" s="262"/>
      <c r="T39" s="516"/>
      <c r="U39" s="876" t="s">
        <v>361</v>
      </c>
      <c r="V39" s="542">
        <v>-666791.39084453194</v>
      </c>
      <c r="W39" s="542">
        <v>124829.37490071786</v>
      </c>
      <c r="X39" s="542">
        <v>-5.3416224456371717</v>
      </c>
      <c r="Y39" s="542">
        <v>4.8285338329649991E-7</v>
      </c>
      <c r="Z39" s="542">
        <v>-914100.89667584375</v>
      </c>
      <c r="AA39" s="542">
        <v>-419481.88501322013</v>
      </c>
      <c r="AB39" s="542">
        <v>-914100.89667584375</v>
      </c>
      <c r="AC39" s="542">
        <v>-419481.88501322013</v>
      </c>
      <c r="AD39" s="258"/>
      <c r="AE39" s="242"/>
      <c r="AF39" s="242"/>
      <c r="AG39" s="242"/>
      <c r="AH39" s="242"/>
      <c r="AI39" s="242"/>
      <c r="AJ39" s="242"/>
      <c r="AK39" s="242"/>
      <c r="AL39" s="242"/>
      <c r="AM39" s="242"/>
    </row>
    <row r="40" spans="1:39" ht="15.75" thickBot="1" x14ac:dyDescent="0.3">
      <c r="A40" s="500">
        <f t="shared" si="2"/>
        <v>21</v>
      </c>
      <c r="B40" s="259" t="str">
        <f>CONCATENATE('3. Consumption by Rate Class'!B45,"-",'3. Consumption by Rate Class'!C45)</f>
        <v>2007-September</v>
      </c>
      <c r="C40" s="670">
        <v>23115005.699999999</v>
      </c>
      <c r="D40" s="826">
        <v>2429810</v>
      </c>
      <c r="E40" s="827">
        <v>1389034</v>
      </c>
      <c r="F40" s="826"/>
      <c r="G40" s="826"/>
      <c r="H40" s="677"/>
      <c r="I40" s="677"/>
      <c r="J40" s="550">
        <f t="shared" si="0"/>
        <v>19296161.699999999</v>
      </c>
      <c r="K40" s="697">
        <f>IF(K$18='5.Variables'!$B$16,+'5.Variables'!$K28,+IF(K$18='5.Variables'!$B$39,+'5.Variables'!$K51,+IF(K$18='5.Variables'!$B$62,+'5.Variables'!$K65,+IF(K$18='5.Variables'!$B$76,+'5.Variables'!$K79,+IF(K$18='5.Variables'!$B$90,+'5.Variables'!$K93,+IF(K$18='5.Variables'!$B$104,+'5.Variables'!$K107,0))))))</f>
        <v>61.8</v>
      </c>
      <c r="L40" s="697">
        <f>IF(L$18='5.Variables'!$B$16,+'5.Variables'!$K27,+IF(L$18='5.Variables'!$B$39,+'5.Variables'!$K51,+IF(L$18='5.Variables'!$B$62,+'5.Variables'!$K65,+IF(L$18='5.Variables'!$B$76,+'5.Variables'!$K79,+IF(L$18='5.Variables'!$B$90,+'5.Variables'!$K93,+IF(L$18='5.Variables'!$B$104,+'5.Variables'!$K107,0))))))</f>
        <v>17.899999999999999</v>
      </c>
      <c r="M40" s="697">
        <f>IF(M$18='5.Variables'!$B$16,+'5.Variables'!$K27,+IF(M$18='5.Variables'!$B$39,+'5.Variables'!$K51,+IF(M$18='5.Variables'!$B$62,+'5.Variables'!$K65,+IF(M$18='5.Variables'!$B$76,+'5.Variables'!$K79,+IF(M$18='5.Variables'!$B$90,+'5.Variables'!$K93,+IF(M$18='5.Variables'!$B$104,+'5.Variables'!$K107,0))))))</f>
        <v>30</v>
      </c>
      <c r="N40" s="697">
        <f>IF(N$18='5.Variables'!$B$16,+'5.Variables'!$K27,+IF(N$18='5.Variables'!$B$39,+'5.Variables'!$K51,+IF(N$18='5.Variables'!$B$62,+'5.Variables'!$K65,+IF(N$18='5.Variables'!$B$76,+'5.Variables'!$K79,+IF(N$18='5.Variables'!$B$90,+'5.Variables'!$K93,+IF(N$18='5.Variables'!$B$104,+'5.Variables'!$K107,0))))))</f>
        <v>139.69</v>
      </c>
      <c r="O40" s="697">
        <f>IF(O$18='5.Variables'!$B$16,+'5.Variables'!$K27,+IF(O$18='5.Variables'!$B$39,+'5.Variables'!$K51,+IF(O$18='5.Variables'!$B$62,+'5.Variables'!$K65,+IF(O$18='5.Variables'!$B$76,+'5.Variables'!$K79,+IF(O$18='5.Variables'!$B$90,+'5.Variables'!$K93,+IF(O$18='5.Variables'!$B$104,+'5.Variables'!$K107,0))))))</f>
        <v>0</v>
      </c>
      <c r="P40" s="697">
        <f>IF(P$18='5.Variables'!$B$16,+'5.Variables'!$K27,+IF(P$18='5.Variables'!$B$39,+'5.Variables'!$K51,+IF(P$18='5.Variables'!$B$62,+'5.Variables'!$K65,+IF(P$18='5.Variables'!$B$76,+'5.Variables'!$K79,+IF(P$18='5.Variables'!$B$90,+'5.Variables'!$K93,+IF(P$18='5.Variables'!$B$104,+'5.Variables'!$K107,0))))))</f>
        <v>304</v>
      </c>
      <c r="Q40" s="242"/>
      <c r="R40" s="260">
        <f t="shared" si="1"/>
        <v>18701535.388841368</v>
      </c>
      <c r="S40" s="262"/>
      <c r="T40" s="516"/>
      <c r="U40" s="543" t="s">
        <v>263</v>
      </c>
      <c r="V40" s="543">
        <v>7607.1365114655027</v>
      </c>
      <c r="W40" s="543">
        <v>3416.9211046044488</v>
      </c>
      <c r="X40" s="543">
        <v>2.226313186223281</v>
      </c>
      <c r="Y40" s="543">
        <v>2.797663288489936E-2</v>
      </c>
      <c r="Z40" s="543">
        <v>837.59952935371621</v>
      </c>
      <c r="AA40" s="543">
        <v>14376.673493577289</v>
      </c>
      <c r="AB40" s="543">
        <v>837.59952935371621</v>
      </c>
      <c r="AC40" s="543">
        <v>14376.673493577289</v>
      </c>
      <c r="AD40" s="258"/>
      <c r="AE40" s="242"/>
      <c r="AF40" s="242"/>
      <c r="AG40" s="242"/>
      <c r="AH40" s="242"/>
      <c r="AI40" s="242"/>
      <c r="AJ40" s="242"/>
      <c r="AK40" s="242"/>
      <c r="AL40" s="242"/>
      <c r="AM40" s="242"/>
    </row>
    <row r="41" spans="1:39" x14ac:dyDescent="0.2">
      <c r="A41" s="500">
        <f t="shared" si="2"/>
        <v>22</v>
      </c>
      <c r="B41" s="259" t="str">
        <f>CONCATENATE('3. Consumption by Rate Class'!B46,"-",'3. Consumption by Rate Class'!C46)</f>
        <v>2007-October</v>
      </c>
      <c r="C41" s="670">
        <v>23500919.18</v>
      </c>
      <c r="D41" s="826">
        <v>2307735</v>
      </c>
      <c r="E41" s="827">
        <v>1502184</v>
      </c>
      <c r="F41" s="826"/>
      <c r="G41" s="826"/>
      <c r="H41" s="677"/>
      <c r="I41" s="677"/>
      <c r="J41" s="550">
        <f t="shared" si="0"/>
        <v>19691000.18</v>
      </c>
      <c r="K41" s="697">
        <f>IF(K$18='5.Variables'!$B$16,+'5.Variables'!$L28,+IF(K$18='5.Variables'!$B$39,+'5.Variables'!$L51,+IF(K$18='5.Variables'!$B$62,+'5.Variables'!$L65,+IF(K$18='5.Variables'!$B$76,+'5.Variables'!$L79,+IF(K$18='5.Variables'!$B$90,+'5.Variables'!$L93,+IF(K$18='5.Variables'!$B$104,+'5.Variables'!$L107,0))))))</f>
        <v>165.8</v>
      </c>
      <c r="L41" s="697">
        <f>IF(L$18='5.Variables'!$B$16,+'5.Variables'!$L27,+IF(L$18='5.Variables'!$B$39,+'5.Variables'!$L51,+IF(L$18='5.Variables'!$B$62,+'5.Variables'!$L65,+IF(L$18='5.Variables'!$B$76,+'5.Variables'!$L79,+IF(L$18='5.Variables'!$B$90,+'5.Variables'!$L93,+IF(L$18='5.Variables'!$B$104,+'5.Variables'!$L107,0))))))</f>
        <v>4.0999999999999996</v>
      </c>
      <c r="M41" s="697">
        <f>IF(M$18='5.Variables'!$B$16,+'5.Variables'!$L27,+IF(M$18='5.Variables'!$B$39,+'5.Variables'!$L51,+IF(M$18='5.Variables'!$B$62,+'5.Variables'!$L65,+IF(M$18='5.Variables'!$B$76,+'5.Variables'!$L79,+IF(M$18='5.Variables'!$B$90,+'5.Variables'!$L93,+IF(M$18='5.Variables'!$B$104,+'5.Variables'!$L107,0))))))</f>
        <v>31</v>
      </c>
      <c r="N41" s="697">
        <f>IF(N$18='5.Variables'!$B$16,+'5.Variables'!$L27,+IF(N$18='5.Variables'!$B$39,+'5.Variables'!$L51,+IF(N$18='5.Variables'!$B$62,+'5.Variables'!$L65,+IF(N$18='5.Variables'!$B$76,+'5.Variables'!$L79,+IF(N$18='5.Variables'!$B$90,+'5.Variables'!$L93,+IF(N$18='5.Variables'!$B$104,+'5.Variables'!$L107,0))))))</f>
        <v>139.94999999999999</v>
      </c>
      <c r="O41" s="697">
        <f>IF(O$18='5.Variables'!$B$16,+'5.Variables'!$L27,+IF(O$18='5.Variables'!$B$39,+'5.Variables'!$L51,+IF(O$18='5.Variables'!$B$62,+'5.Variables'!$L65,+IF(O$18='5.Variables'!$B$76,+'5.Variables'!$L79,+IF(O$18='5.Variables'!$B$90,+'5.Variables'!$L93,+IF(O$18='5.Variables'!$B$104,+'5.Variables'!$L107,0))))))</f>
        <v>0</v>
      </c>
      <c r="P41" s="697">
        <f>IF(P$18='5.Variables'!$B$16,+'5.Variables'!$L27,+IF(P$18='5.Variables'!$B$39,+'5.Variables'!$L51,+IF(P$18='5.Variables'!$B$62,+'5.Variables'!$L65,+IF(P$18='5.Variables'!$B$76,+'5.Variables'!$L79,+IF(P$18='5.Variables'!$B$90,+'5.Variables'!$L93,+IF(P$18='5.Variables'!$B$104,+'5.Variables'!$L107,0))))))</f>
        <v>352</v>
      </c>
      <c r="Q41" s="242"/>
      <c r="R41" s="260">
        <f t="shared" si="1"/>
        <v>19582298.377201457</v>
      </c>
      <c r="S41" s="262"/>
      <c r="T41" s="242"/>
      <c r="U41"/>
      <c r="V41"/>
      <c r="W41"/>
      <c r="X41"/>
      <c r="Y41"/>
      <c r="Z41"/>
      <c r="AA41"/>
      <c r="AB41"/>
      <c r="AC41"/>
      <c r="AD41" s="258"/>
      <c r="AE41" s="242"/>
      <c r="AF41" s="242"/>
      <c r="AG41" s="242"/>
      <c r="AH41" s="242"/>
      <c r="AI41" s="242"/>
      <c r="AJ41" s="242"/>
      <c r="AK41" s="242"/>
      <c r="AL41" s="242"/>
      <c r="AM41" s="242"/>
    </row>
    <row r="42" spans="1:39" x14ac:dyDescent="0.2">
      <c r="A42" s="500">
        <f t="shared" si="2"/>
        <v>23</v>
      </c>
      <c r="B42" s="259" t="str">
        <f>CONCATENATE('3. Consumption by Rate Class'!B47,"-",'3. Consumption by Rate Class'!C47)</f>
        <v>2007-November</v>
      </c>
      <c r="C42" s="670">
        <v>24801466.91</v>
      </c>
      <c r="D42" s="826">
        <v>2122510</v>
      </c>
      <c r="E42" s="827">
        <v>1766661</v>
      </c>
      <c r="F42" s="826"/>
      <c r="G42" s="826"/>
      <c r="H42" s="677"/>
      <c r="I42" s="677"/>
      <c r="J42" s="550">
        <f t="shared" si="0"/>
        <v>20912295.91</v>
      </c>
      <c r="K42" s="697">
        <f>IF(K$18='5.Variables'!$B$16,+'5.Variables'!$M28,+IF(K$18='5.Variables'!$B$39,+'5.Variables'!$M51,+IF(K$18='5.Variables'!$B$62,+'5.Variables'!$M65,+IF(K$18='5.Variables'!$B$76,+'5.Variables'!$M79,+IF(K$18='5.Variables'!$B$90,+'5.Variables'!$M93,+IF(K$18='5.Variables'!$B$104,+'5.Variables'!$M107,0))))))</f>
        <v>441.5</v>
      </c>
      <c r="L42" s="697">
        <f>IF(L$18='5.Variables'!$B$16,+'5.Variables'!$M27,+IF(L$18='5.Variables'!$B$39,+'5.Variables'!$M51,+IF(L$18='5.Variables'!$B$62,+'5.Variables'!$M65,+IF(L$18='5.Variables'!$B$76,+'5.Variables'!$M79,+IF(L$18='5.Variables'!$B$90,+'5.Variables'!$M93,+IF(L$18='5.Variables'!$B$104,+'5.Variables'!$M107,0))))))</f>
        <v>0</v>
      </c>
      <c r="M42" s="697">
        <f>IF(M$18='5.Variables'!$B$16,+'5.Variables'!$M27,+IF(M$18='5.Variables'!$B$39,+'5.Variables'!$M51,+IF(M$18='5.Variables'!$B$62,+'5.Variables'!$M65,+IF(M$18='5.Variables'!$B$76,+'5.Variables'!$M79,+IF(M$18='5.Variables'!$B$90,+'5.Variables'!$M93,+IF(M$18='5.Variables'!$B$104,+'5.Variables'!$M107,0))))))</f>
        <v>30</v>
      </c>
      <c r="N42" s="697">
        <f>IF(N$18='5.Variables'!$B$16,+'5.Variables'!$M27,+IF(N$18='5.Variables'!$B$39,+'5.Variables'!$M51,+IF(N$18='5.Variables'!$B$62,+'5.Variables'!$M65,+IF(N$18='5.Variables'!$B$76,+'5.Variables'!$M79,+IF(N$18='5.Variables'!$B$90,+'5.Variables'!$M93,+IF(N$18='5.Variables'!$B$104,+'5.Variables'!$M107,0))))))</f>
        <v>140.22</v>
      </c>
      <c r="O42" s="697">
        <f>IF(O$18='5.Variables'!$B$16,+'5.Variables'!$M27,+IF(O$18='5.Variables'!$B$39,+'5.Variables'!$M51,+IF(O$18='5.Variables'!$B$62,+'5.Variables'!$M65,+IF(O$18='5.Variables'!$B$76,+'5.Variables'!$M79,+IF(O$18='5.Variables'!$B$90,+'5.Variables'!$M93,+IF(O$18='5.Variables'!$B$104,+'5.Variables'!$M107,0))))))</f>
        <v>0</v>
      </c>
      <c r="P42" s="697">
        <f>IF(P$18='5.Variables'!$B$16,+'5.Variables'!$M27,+IF(P$18='5.Variables'!$B$39,+'5.Variables'!$M51,+IF(P$18='5.Variables'!$B$62,+'5.Variables'!$M65,+IF(P$18='5.Variables'!$B$76,+'5.Variables'!$M79,+IF(P$18='5.Variables'!$B$90,+'5.Variables'!$M93,+IF(P$18='5.Variables'!$B$104,+'5.Variables'!$M107,0))))))</f>
        <v>352</v>
      </c>
      <c r="Q42" s="242"/>
      <c r="R42" s="260">
        <f t="shared" si="1"/>
        <v>20843644.472924221</v>
      </c>
      <c r="S42" s="262"/>
      <c r="T42" s="242"/>
      <c r="U42"/>
      <c r="V42"/>
      <c r="W42"/>
      <c r="X42"/>
      <c r="Y42"/>
      <c r="Z42"/>
      <c r="AA42"/>
      <c r="AB42"/>
      <c r="AC42"/>
      <c r="AD42" s="258"/>
      <c r="AE42" s="242"/>
      <c r="AF42" s="242"/>
      <c r="AG42" s="242"/>
      <c r="AH42" s="242"/>
      <c r="AI42" s="242"/>
      <c r="AJ42" s="242"/>
      <c r="AK42" s="242"/>
      <c r="AL42" s="242"/>
      <c r="AM42" s="242"/>
    </row>
    <row r="43" spans="1:39" ht="13.5" customHeight="1" x14ac:dyDescent="0.2">
      <c r="A43" s="500">
        <f t="shared" si="2"/>
        <v>24</v>
      </c>
      <c r="B43" s="519" t="str">
        <f>CONCATENATE('3. Consumption by Rate Class'!B48,"-",'3. Consumption by Rate Class'!C48)</f>
        <v>2007-December</v>
      </c>
      <c r="C43" s="671">
        <v>25783133.859999999</v>
      </c>
      <c r="D43" s="828">
        <v>1839231</v>
      </c>
      <c r="E43" s="829">
        <v>1487833</v>
      </c>
      <c r="F43" s="828"/>
      <c r="G43" s="828"/>
      <c r="H43" s="679"/>
      <c r="I43" s="679"/>
      <c r="J43" s="550">
        <f t="shared" si="0"/>
        <v>22456069.859999999</v>
      </c>
      <c r="K43" s="697">
        <f>IF(K$18='5.Variables'!$B$16,+'5.Variables'!$N28,+IF(K$18='5.Variables'!$B$39,+'5.Variables'!$N51,+IF(K$18='5.Variables'!$B$62,+'5.Variables'!$N65,+IF(K$18='5.Variables'!$B$76,+'5.Variables'!$N79,+IF(K$18='5.Variables'!$B$90,+'5.Variables'!$N93,+IF(K$18='5.Variables'!$B$104,+'5.Variables'!$N107,0))))))</f>
        <v>648.29999999999995</v>
      </c>
      <c r="L43" s="697">
        <f>IF(L$18='5.Variables'!$B$16,+'5.Variables'!$N27,+IF(L$18='5.Variables'!$B$39,+'5.Variables'!$N51,+IF(L$18='5.Variables'!$B$62,+'5.Variables'!$N65,+IF(L$18='5.Variables'!$B$76,+'5.Variables'!$N79,+IF(L$18='5.Variables'!$B$90,+'5.Variables'!$N93,+IF(L$18='5.Variables'!$B$104,+'5.Variables'!$N107,0))))))</f>
        <v>0</v>
      </c>
      <c r="M43" s="697">
        <f>IF(M$18='5.Variables'!$B$16,+'5.Variables'!$N27,+IF(M$18='5.Variables'!$B$39,+'5.Variables'!$N51,+IF(M$18='5.Variables'!$B$62,+'5.Variables'!$N65,+IF(M$18='5.Variables'!$B$76,+'5.Variables'!$N79,+IF(M$18='5.Variables'!$B$90,+'5.Variables'!$N93,+IF(M$18='5.Variables'!$B$104,+'5.Variables'!$N107,0))))))</f>
        <v>31</v>
      </c>
      <c r="N43" s="697">
        <f>IF(N$18='5.Variables'!$B$16,+'5.Variables'!$N27,+IF(N$18='5.Variables'!$B$39,+'5.Variables'!$N51,+IF(N$18='5.Variables'!$B$62,+'5.Variables'!$N65,+IF(N$18='5.Variables'!$B$76,+'5.Variables'!$N79,+IF(N$18='5.Variables'!$B$90,+'5.Variables'!$N93,+IF(N$18='5.Variables'!$B$104,+'5.Variables'!$N107,0))))))</f>
        <v>140.47999999999999</v>
      </c>
      <c r="O43" s="697">
        <f>IF(O$18='5.Variables'!$B$16,+'5.Variables'!$N27,+IF(O$18='5.Variables'!$B$39,+'5.Variables'!$N51,+IF(O$18='5.Variables'!$B$62,+'5.Variables'!$N65,+IF(O$18='5.Variables'!$B$76,+'5.Variables'!$N79,+IF(O$18='5.Variables'!$B$90,+'5.Variables'!$N93,+IF(O$18='5.Variables'!$B$104,+'5.Variables'!$N107,0))))))</f>
        <v>0</v>
      </c>
      <c r="P43" s="697">
        <f>IF(P$18='5.Variables'!$B$16,+'5.Variables'!$N27,+IF(P$18='5.Variables'!$B$39,+'5.Variables'!$N51,+IF(P$18='5.Variables'!$B$62,+'5.Variables'!$N65,+IF(P$18='5.Variables'!$B$76,+'5.Variables'!$N79,+IF(P$18='5.Variables'!$B$90,+'5.Variables'!$N93,+IF(P$18='5.Variables'!$B$104,+'5.Variables'!$N107,0))))))</f>
        <v>304</v>
      </c>
      <c r="Q43" s="242"/>
      <c r="R43" s="260">
        <f t="shared" si="1"/>
        <v>22213215.092037264</v>
      </c>
      <c r="S43" s="262">
        <f>SUM(R32:R43)</f>
        <v>248683575.31460232</v>
      </c>
      <c r="T43" s="242"/>
      <c r="U43"/>
      <c r="V43"/>
      <c r="W43"/>
      <c r="X43"/>
      <c r="Y43"/>
      <c r="Z43"/>
      <c r="AA43"/>
      <c r="AB43"/>
      <c r="AC43"/>
      <c r="AD43" s="258"/>
      <c r="AE43" s="242"/>
      <c r="AF43" s="242"/>
      <c r="AG43" s="242"/>
      <c r="AH43" s="242"/>
      <c r="AI43" s="242"/>
      <c r="AJ43" s="242"/>
      <c r="AK43" s="242"/>
      <c r="AL43" s="242"/>
      <c r="AM43" s="242"/>
    </row>
    <row r="44" spans="1:39" x14ac:dyDescent="0.2">
      <c r="A44" s="500">
        <f t="shared" si="2"/>
        <v>25</v>
      </c>
      <c r="B44" s="259" t="str">
        <f>CONCATENATE('3. Consumption by Rate Class'!B49,"-",'3. Consumption by Rate Class'!C49)</f>
        <v>2008-January</v>
      </c>
      <c r="C44" s="670">
        <v>26907991</v>
      </c>
      <c r="D44" s="826">
        <v>2091843</v>
      </c>
      <c r="E44" s="827">
        <v>2226385</v>
      </c>
      <c r="F44" s="826"/>
      <c r="G44" s="826"/>
      <c r="H44" s="677"/>
      <c r="I44" s="677"/>
      <c r="J44" s="550">
        <f t="shared" si="0"/>
        <v>22589763</v>
      </c>
      <c r="K44" s="697">
        <f>IF(K$18='5.Variables'!$B$16,+'5.Variables'!$C29,+IF(K$18='5.Variables'!$B$39,+'5.Variables'!$C52,+IF(K$18='5.Variables'!$B$62,+'5.Variables'!$C66,+IF(K$18='5.Variables'!$B$76,+'5.Variables'!$C80,+IF(K$18='5.Variables'!$B$90,+'5.Variables'!$C94,+IF(K$18='5.Variables'!$B$104,+'5.Variables'!$C108,0))))))</f>
        <v>633.29999999999995</v>
      </c>
      <c r="L44" s="697">
        <f>IF(L$18='5.Variables'!$B$16,+'5.Variables'!$C28,+IF(L$18='5.Variables'!$B$39,+'5.Variables'!$C52,+IF(L$18='5.Variables'!$B$62,+'5.Variables'!$C66,+IF(L$18='5.Variables'!$B$76,+'5.Variables'!$C80,+IF(L$18='5.Variables'!$B$90,+'5.Variables'!$C94,+IF(L$18='5.Variables'!$B$104,+'5.Variables'!$C108,0))))))</f>
        <v>0</v>
      </c>
      <c r="M44" s="697">
        <f>IF(M$18='5.Variables'!$B$16,+'5.Variables'!$C28,+IF(M$18='5.Variables'!$B$39,+'5.Variables'!$C52,+IF(M$18='5.Variables'!$B$62,+'5.Variables'!$C66,+IF(M$18='5.Variables'!$B$76,+'5.Variables'!$C80,+IF(M$18='5.Variables'!$B$90,+'5.Variables'!$C94,+IF(M$18='5.Variables'!$B$104,+'5.Variables'!$C108,0))))))</f>
        <v>31</v>
      </c>
      <c r="N44" s="697">
        <f>IF(N$18='5.Variables'!$B$16,+'5.Variables'!$C28,+IF(N$18='5.Variables'!$B$39,+'5.Variables'!$C52,+IF(N$18='5.Variables'!$B$62,+'5.Variables'!$C66,+IF(N$18='5.Variables'!$B$76,+'5.Variables'!$C80,+IF(N$18='5.Variables'!$B$90,+'5.Variables'!$C94,+IF(N$18='5.Variables'!$B$104,+'5.Variables'!$C108,0))))))</f>
        <v>140.43</v>
      </c>
      <c r="O44" s="697">
        <f>IF(O$18='5.Variables'!$B$16,+'5.Variables'!$C28,+IF(O$18='5.Variables'!$B$39,+'5.Variables'!$C52,+IF(O$18='5.Variables'!$B$62,+'5.Variables'!$C66,+IF(O$18='5.Variables'!$B$76,+'5.Variables'!$C80,+IF(O$18='5.Variables'!$B$90,+'5.Variables'!$C94,+IF(O$18='5.Variables'!$B$104,+'5.Variables'!$C108,0))))))</f>
        <v>0</v>
      </c>
      <c r="P44" s="697">
        <f>IF(P$18='5.Variables'!$B$16,+'5.Variables'!$C28,+IF(P$18='5.Variables'!$B$39,+'5.Variables'!$C52,+IF(P$18='5.Variables'!$B$62,+'5.Variables'!$C66,+IF(P$18='5.Variables'!$B$76,+'5.Variables'!$C80,+IF(P$18='5.Variables'!$B$90,+'5.Variables'!$C94,+IF(P$18='5.Variables'!$B$104,+'5.Variables'!$C108,0))))))</f>
        <v>352</v>
      </c>
      <c r="Q44" s="242"/>
      <c r="R44" s="260">
        <f t="shared" si="1"/>
        <v>22479160.563665435</v>
      </c>
      <c r="S44" s="262"/>
      <c r="T44" s="242"/>
      <c r="U44" s="263" t="s">
        <v>164</v>
      </c>
      <c r="V44" s="256"/>
      <c r="W44" s="256"/>
      <c r="X44" s="256"/>
      <c r="Y44" s="256"/>
      <c r="Z44" s="256"/>
      <c r="AA44" s="256"/>
      <c r="AB44" s="256"/>
      <c r="AC44" s="256"/>
      <c r="AD44" s="258"/>
      <c r="AE44" s="242"/>
      <c r="AF44" s="242"/>
      <c r="AG44" s="242"/>
      <c r="AH44" s="242"/>
      <c r="AI44" s="242"/>
      <c r="AJ44" s="242"/>
      <c r="AK44" s="242"/>
      <c r="AL44" s="242"/>
      <c r="AM44" s="242"/>
    </row>
    <row r="45" spans="1:39" x14ac:dyDescent="0.2">
      <c r="A45" s="500">
        <f t="shared" si="2"/>
        <v>26</v>
      </c>
      <c r="B45" s="259" t="str">
        <f>CONCATENATE('3. Consumption by Rate Class'!B50,"-",'3. Consumption by Rate Class'!C50)</f>
        <v>2008-February</v>
      </c>
      <c r="C45" s="670">
        <v>25497644</v>
      </c>
      <c r="D45" s="826">
        <v>2051853</v>
      </c>
      <c r="E45" s="827">
        <v>1845598</v>
      </c>
      <c r="F45" s="826"/>
      <c r="G45" s="826"/>
      <c r="H45" s="677"/>
      <c r="I45" s="677"/>
      <c r="J45" s="550">
        <f t="shared" si="0"/>
        <v>21600193</v>
      </c>
      <c r="K45" s="697">
        <f>IF(K$18='5.Variables'!$B$16,+'5.Variables'!$D29,+IF(K$18='5.Variables'!$B$39,+'5.Variables'!$D52,+IF(K$18='5.Variables'!$B$62,+'5.Variables'!$D66,+IF(K$18='5.Variables'!$B$76,+'5.Variables'!$D80,+IF(K$18='5.Variables'!$B$90,+'5.Variables'!$D94,+IF(K$18='5.Variables'!$B$104,+'5.Variables'!$D108,0))))))</f>
        <v>660.6</v>
      </c>
      <c r="L45" s="697">
        <f>IF(L$18='5.Variables'!$B$16,+'5.Variables'!$D28,+IF(L$18='5.Variables'!$B$39,+'5.Variables'!$D52,+IF(L$18='5.Variables'!$B$62,+'5.Variables'!$D66,+IF(L$18='5.Variables'!$B$76,+'5.Variables'!$D80,+IF(L$18='5.Variables'!$B$90,+'5.Variables'!$D94,+IF(L$18='5.Variables'!$B$104,+'5.Variables'!$D108,0))))))</f>
        <v>0</v>
      </c>
      <c r="M45" s="697">
        <f>IF(M$18='5.Variables'!$B$16,+'5.Variables'!$D28,+IF(M$18='5.Variables'!$B$39,+'5.Variables'!$D52,+IF(M$18='5.Variables'!$B$62,+'5.Variables'!$D66,+IF(M$18='5.Variables'!$B$76,+'5.Variables'!$D80,+IF(M$18='5.Variables'!$B$90,+'5.Variables'!$D94,+IF(M$18='5.Variables'!$B$104,+'5.Variables'!$D108,0))))))</f>
        <v>29</v>
      </c>
      <c r="N45" s="697">
        <f>IF(N$18='5.Variables'!$B$16,+'5.Variables'!$D28,+IF(N$18='5.Variables'!$B$39,+'5.Variables'!$D52,+IF(N$18='5.Variables'!$B$62,+'5.Variables'!$D66,+IF(N$18='5.Variables'!$B$76,+'5.Variables'!$D80,+IF(N$18='5.Variables'!$B$90,+'5.Variables'!$D94,+IF(N$18='5.Variables'!$B$104,+'5.Variables'!$D108,0))))))</f>
        <v>140.37</v>
      </c>
      <c r="O45" s="697">
        <f>IF(O$18='5.Variables'!$B$16,+'5.Variables'!$D28,+IF(O$18='5.Variables'!$B$39,+'5.Variables'!$D52,+IF(O$18='5.Variables'!$B$62,+'5.Variables'!$D66,+IF(O$18='5.Variables'!$B$76,+'5.Variables'!$D80,+IF(O$18='5.Variables'!$B$90,+'5.Variables'!$D94,+IF(O$18='5.Variables'!$B$104,+'5.Variables'!$D108,0))))))</f>
        <v>0</v>
      </c>
      <c r="P45" s="697">
        <f>IF(P$18='5.Variables'!$B$16,+'5.Variables'!$D28,+IF(P$18='5.Variables'!$B$39,+'5.Variables'!$D52,+IF(P$18='5.Variables'!$B$62,+'5.Variables'!$D66,+IF(P$18='5.Variables'!$B$76,+'5.Variables'!$D80,+IF(P$18='5.Variables'!$B$90,+'5.Variables'!$D94,+IF(P$18='5.Variables'!$B$104,+'5.Variables'!$D108,0))))))</f>
        <v>320</v>
      </c>
      <c r="Q45" s="242"/>
      <c r="R45" s="260">
        <f t="shared" si="1"/>
        <v>21652467.016486935</v>
      </c>
      <c r="S45" s="262"/>
      <c r="T45" s="242"/>
      <c r="U45" s="778" t="s">
        <v>33</v>
      </c>
      <c r="V45" s="778" t="s">
        <v>289</v>
      </c>
      <c r="W45" s="778" t="s">
        <v>290</v>
      </c>
      <c r="X45" s="778" t="s">
        <v>291</v>
      </c>
      <c r="Y45" s="778" t="s">
        <v>290</v>
      </c>
      <c r="Z45" s="778" t="s">
        <v>292</v>
      </c>
      <c r="AA45" s="242"/>
      <c r="AB45" s="242"/>
      <c r="AC45" s="242"/>
      <c r="AD45" s="258"/>
      <c r="AE45" s="242"/>
      <c r="AF45" s="242"/>
      <c r="AG45" s="242"/>
      <c r="AH45" s="242"/>
      <c r="AI45" s="242"/>
      <c r="AJ45" s="242"/>
      <c r="AK45" s="242"/>
      <c r="AL45" s="242"/>
      <c r="AM45" s="242"/>
    </row>
    <row r="46" spans="1:39" x14ac:dyDescent="0.2">
      <c r="A46" s="500">
        <f t="shared" si="2"/>
        <v>27</v>
      </c>
      <c r="B46" s="259" t="str">
        <f>CONCATENATE('3. Consumption by Rate Class'!B51,"-",'3. Consumption by Rate Class'!C51)</f>
        <v>2008-March</v>
      </c>
      <c r="C46" s="670">
        <v>25682528</v>
      </c>
      <c r="D46" s="826">
        <v>2087020</v>
      </c>
      <c r="E46" s="827">
        <v>1747623</v>
      </c>
      <c r="F46" s="826"/>
      <c r="G46" s="826"/>
      <c r="H46" s="677"/>
      <c r="I46" s="677"/>
      <c r="J46" s="550">
        <f t="shared" si="0"/>
        <v>21847885</v>
      </c>
      <c r="K46" s="697">
        <f>IF(K$18='5.Variables'!$B$16,+'5.Variables'!$E29,+IF(K$18='5.Variables'!$B$39,+'5.Variables'!$E52,+IF(K$18='5.Variables'!$B$62,+'5.Variables'!$E66,+IF(K$18='5.Variables'!$B$76,+'5.Variables'!$E80,+IF(K$18='5.Variables'!$B$90,+'5.Variables'!$E94,+IF(K$18='5.Variables'!$B$104,+'5.Variables'!$E108,0))))))</f>
        <v>632.29999999999995</v>
      </c>
      <c r="L46" s="697">
        <f>IF(L$18='5.Variables'!$B$16,+'5.Variables'!$E28,+IF(L$18='5.Variables'!$B$39,+'5.Variables'!$E52,+IF(L$18='5.Variables'!$B$62,+'5.Variables'!$E66,+IF(L$18='5.Variables'!$B$76,+'5.Variables'!$E80,+IF(L$18='5.Variables'!$B$90,+'5.Variables'!$E94,+IF(L$18='5.Variables'!$B$104,+'5.Variables'!$E108,0))))))</f>
        <v>0</v>
      </c>
      <c r="M46" s="697">
        <f>IF(M$18='5.Variables'!$B$16,+'5.Variables'!$E28,+IF(M$18='5.Variables'!$B$39,+'5.Variables'!$E52,+IF(M$18='5.Variables'!$B$62,+'5.Variables'!$E66,+IF(M$18='5.Variables'!$B$76,+'5.Variables'!$E80,+IF(M$18='5.Variables'!$B$90,+'5.Variables'!$E94,+IF(M$18='5.Variables'!$B$104,+'5.Variables'!$E108,0))))))</f>
        <v>31</v>
      </c>
      <c r="N46" s="697">
        <f>IF(N$18='5.Variables'!$B$16,+'5.Variables'!$E28,+IF(N$18='5.Variables'!$B$39,+'5.Variables'!$E52,+IF(N$18='5.Variables'!$B$62,+'5.Variables'!$E66,+IF(N$18='5.Variables'!$B$76,+'5.Variables'!$E80,+IF(N$18='5.Variables'!$B$90,+'5.Variables'!$E94,+IF(N$18='5.Variables'!$B$104,+'5.Variables'!$E108,0))))))</f>
        <v>140.31</v>
      </c>
      <c r="O46" s="697">
        <f>IF(O$18='5.Variables'!$B$16,+'5.Variables'!$E28,+IF(O$18='5.Variables'!$B$39,+'5.Variables'!$E52,+IF(O$18='5.Variables'!$B$62,+'5.Variables'!$E66,+IF(O$18='5.Variables'!$B$76,+'5.Variables'!$E80,+IF(O$18='5.Variables'!$B$90,+'5.Variables'!$E94,+IF(O$18='5.Variables'!$B$104,+'5.Variables'!$E108,0))))))</f>
        <v>0</v>
      </c>
      <c r="P46" s="697">
        <f>IF(P$18='5.Variables'!$B$16,+'5.Variables'!$E28,+IF(P$18='5.Variables'!$B$39,+'5.Variables'!$E52,+IF(P$18='5.Variables'!$B$62,+'5.Variables'!$E66,+IF(P$18='5.Variables'!$B$76,+'5.Variables'!$E80,+IF(P$18='5.Variables'!$B$90,+'5.Variables'!$E94,+IF(P$18='5.Variables'!$B$104,+'5.Variables'!$E108,0))))))</f>
        <v>304</v>
      </c>
      <c r="Q46" s="242"/>
      <c r="R46" s="260">
        <f t="shared" si="1"/>
        <v>22103987.871643011</v>
      </c>
      <c r="S46" s="262"/>
      <c r="T46" s="242"/>
      <c r="U46" s="247">
        <f>'4. Customer Growth'!B17</f>
        <v>2006</v>
      </c>
      <c r="V46" s="264">
        <f>SUM(J20:J31)</f>
        <v>240687668</v>
      </c>
      <c r="W46" s="264"/>
      <c r="X46" s="264">
        <f>S31</f>
        <v>244958698.73945877</v>
      </c>
      <c r="Y46" s="264"/>
      <c r="Z46" s="265">
        <f t="shared" ref="Z46:Z55" si="3">(X46-V46)/V46</f>
        <v>1.7745116627490735E-2</v>
      </c>
      <c r="AA46" s="242"/>
      <c r="AB46" s="242"/>
      <c r="AC46" s="242"/>
      <c r="AD46" s="258"/>
      <c r="AE46" s="242"/>
      <c r="AF46" s="242"/>
      <c r="AG46" s="242"/>
      <c r="AH46" s="242"/>
      <c r="AI46" s="242"/>
      <c r="AJ46" s="242"/>
      <c r="AK46" s="242"/>
      <c r="AL46" s="242"/>
      <c r="AM46" s="242"/>
    </row>
    <row r="47" spans="1:39" x14ac:dyDescent="0.2">
      <c r="A47" s="500">
        <f t="shared" si="2"/>
        <v>28</v>
      </c>
      <c r="B47" s="259" t="str">
        <f>CONCATENATE('3. Consumption by Rate Class'!B52,"-",'3. Consumption by Rate Class'!C52)</f>
        <v>2008-April</v>
      </c>
      <c r="C47" s="670">
        <v>22564521</v>
      </c>
      <c r="D47" s="826">
        <v>2052242</v>
      </c>
      <c r="E47" s="827">
        <v>1880044</v>
      </c>
      <c r="F47" s="826"/>
      <c r="G47" s="826"/>
      <c r="H47" s="677"/>
      <c r="I47" s="677"/>
      <c r="J47" s="550">
        <f t="shared" si="0"/>
        <v>18632235</v>
      </c>
      <c r="K47" s="697">
        <f>IF(K$18='5.Variables'!$B$16,+'5.Variables'!$F29,+IF(K$18='5.Variables'!$B$39,+'5.Variables'!$F52,+IF(K$18='5.Variables'!$B$62,+'5.Variables'!$F66,+IF(K$18='5.Variables'!$B$76,+'5.Variables'!$F80,+IF(K$18='5.Variables'!$B$90,+'5.Variables'!$F94,+IF(K$18='5.Variables'!$B$104,+'5.Variables'!$F108,0))))))</f>
        <v>326.3</v>
      </c>
      <c r="L47" s="697">
        <f>IF(L$18='5.Variables'!$B$16,+'5.Variables'!$F28,+IF(L$18='5.Variables'!$B$39,+'5.Variables'!$F52,+IF(L$18='5.Variables'!$B$62,+'5.Variables'!$F66,+IF(L$18='5.Variables'!$B$76,+'5.Variables'!$F80,+IF(L$18='5.Variables'!$B$90,+'5.Variables'!$F94,+IF(L$18='5.Variables'!$B$104,+'5.Variables'!$F108,0))))))</f>
        <v>0</v>
      </c>
      <c r="M47" s="697">
        <f>IF(M$18='5.Variables'!$B$16,+'5.Variables'!$F28,+IF(M$18='5.Variables'!$B$39,+'5.Variables'!$F52,+IF(M$18='5.Variables'!$B$62,+'5.Variables'!$F66,+IF(M$18='5.Variables'!$B$76,+'5.Variables'!$F80,+IF(M$18='5.Variables'!$B$90,+'5.Variables'!$F94,+IF(M$18='5.Variables'!$B$104,+'5.Variables'!$F108,0))))))</f>
        <v>30</v>
      </c>
      <c r="N47" s="697">
        <f>IF(N$18='5.Variables'!$B$16,+'5.Variables'!$F28,+IF(N$18='5.Variables'!$B$39,+'5.Variables'!$F52,+IF(N$18='5.Variables'!$B$62,+'5.Variables'!$F66,+IF(N$18='5.Variables'!$B$76,+'5.Variables'!$F80,+IF(N$18='5.Variables'!$B$90,+'5.Variables'!$F94,+IF(N$18='5.Variables'!$B$104,+'5.Variables'!$F108,0))))))</f>
        <v>140.25</v>
      </c>
      <c r="O47" s="697">
        <f>IF(O$18='5.Variables'!$B$16,+'5.Variables'!$F28,+IF(O$18='5.Variables'!$B$39,+'5.Variables'!$F52,+IF(O$18='5.Variables'!$B$62,+'5.Variables'!$F66,+IF(O$18='5.Variables'!$B$76,+'5.Variables'!$F80,+IF(O$18='5.Variables'!$B$90,+'5.Variables'!$F94,+IF(O$18='5.Variables'!$B$104,+'5.Variables'!$F108,0))))))</f>
        <v>0</v>
      </c>
      <c r="P47" s="697">
        <f>IF(P$18='5.Variables'!$B$16,+'5.Variables'!$F28,+IF(P$18='5.Variables'!$B$39,+'5.Variables'!$F52,+IF(P$18='5.Variables'!$B$62,+'5.Variables'!$F66,+IF(P$18='5.Variables'!$B$76,+'5.Variables'!$F80,+IF(P$18='5.Variables'!$B$90,+'5.Variables'!$F94,+IF(P$18='5.Variables'!$B$104,+'5.Variables'!$F108,0))))))</f>
        <v>352</v>
      </c>
      <c r="Q47" s="242"/>
      <c r="R47" s="260">
        <f t="shared" si="1"/>
        <v>20093936.362653252</v>
      </c>
      <c r="S47" s="262"/>
      <c r="T47" s="242"/>
      <c r="U47" s="247">
        <f>'4. Customer Growth'!B18</f>
        <v>2007</v>
      </c>
      <c r="V47" s="264">
        <f>SUM(J32:J43)</f>
        <v>248683053.34999996</v>
      </c>
      <c r="W47" s="265">
        <f>(V47-V46)/V46</f>
        <v>3.321892399572364E-2</v>
      </c>
      <c r="X47" s="264">
        <f>S43</f>
        <v>248683575.31460232</v>
      </c>
      <c r="Y47" s="265">
        <f>(X47-X46)/X46</f>
        <v>1.5206141256920101E-2</v>
      </c>
      <c r="Z47" s="265">
        <f t="shared" si="3"/>
        <v>2.098915045958393E-6</v>
      </c>
      <c r="AA47" s="242"/>
      <c r="AB47" s="242"/>
      <c r="AC47" s="242"/>
      <c r="AD47" s="242"/>
      <c r="AE47" s="242"/>
      <c r="AF47" s="242"/>
      <c r="AG47" s="242"/>
      <c r="AH47" s="242"/>
      <c r="AI47" s="242"/>
      <c r="AJ47" s="242"/>
      <c r="AK47" s="242"/>
      <c r="AL47" s="242"/>
      <c r="AM47" s="242"/>
    </row>
    <row r="48" spans="1:39" x14ac:dyDescent="0.2">
      <c r="A48" s="500">
        <f t="shared" si="2"/>
        <v>29</v>
      </c>
      <c r="B48" s="259" t="str">
        <f>CONCATENATE('3. Consumption by Rate Class'!B53,"-",'3. Consumption by Rate Class'!C53)</f>
        <v>2008-May</v>
      </c>
      <c r="C48" s="670">
        <v>21827055</v>
      </c>
      <c r="D48" s="826">
        <v>2097715</v>
      </c>
      <c r="E48" s="827">
        <v>1598627</v>
      </c>
      <c r="F48" s="826"/>
      <c r="G48" s="826"/>
      <c r="H48" s="677"/>
      <c r="I48" s="677"/>
      <c r="J48" s="550">
        <f t="shared" si="0"/>
        <v>18130713</v>
      </c>
      <c r="K48" s="697">
        <f>IF(K$18='5.Variables'!$B$16,+'5.Variables'!$G29,+IF(K$18='5.Variables'!$B$39,+'5.Variables'!$G52,+IF(K$18='5.Variables'!$B$62,+'5.Variables'!$G66,+IF(K$18='5.Variables'!$B$76,+'5.Variables'!$G80,+IF(K$18='5.Variables'!$B$90,+'5.Variables'!$G94,+IF(K$18='5.Variables'!$B$104,+'5.Variables'!$G108,0))))))</f>
        <v>253.6</v>
      </c>
      <c r="L48" s="697">
        <f>IF(L$18='5.Variables'!$B$16,+'5.Variables'!$G28,+IF(L$18='5.Variables'!$B$39,+'5.Variables'!$G52,+IF(L$18='5.Variables'!$B$62,+'5.Variables'!$G66,+IF(L$18='5.Variables'!$B$76,+'5.Variables'!$G80,+IF(L$18='5.Variables'!$B$90,+'5.Variables'!$G94,+IF(L$18='5.Variables'!$B$104,+'5.Variables'!$G108,0))))))</f>
        <v>0</v>
      </c>
      <c r="M48" s="697">
        <f>IF(M$18='5.Variables'!$B$16,+'5.Variables'!$G28,+IF(M$18='5.Variables'!$B$39,+'5.Variables'!$G52,+IF(M$18='5.Variables'!$B$62,+'5.Variables'!$G66,+IF(M$18='5.Variables'!$B$76,+'5.Variables'!$G80,+IF(M$18='5.Variables'!$B$90,+'5.Variables'!$G94,+IF(M$18='5.Variables'!$B$104,+'5.Variables'!$G108,0))))))</f>
        <v>31</v>
      </c>
      <c r="N48" s="697">
        <f>IF(N$18='5.Variables'!$B$16,+'5.Variables'!$G28,+IF(N$18='5.Variables'!$B$39,+'5.Variables'!$G52,+IF(N$18='5.Variables'!$B$62,+'5.Variables'!$G66,+IF(N$18='5.Variables'!$B$76,+'5.Variables'!$G80,+IF(N$18='5.Variables'!$B$90,+'5.Variables'!$G94,+IF(N$18='5.Variables'!$B$104,+'5.Variables'!$G108,0))))))</f>
        <v>140.19</v>
      </c>
      <c r="O48" s="697">
        <f>IF(O$18='5.Variables'!$B$16,+'5.Variables'!$G28,+IF(O$18='5.Variables'!$B$39,+'5.Variables'!$G52,+IF(O$18='5.Variables'!$B$62,+'5.Variables'!$G66,+IF(O$18='5.Variables'!$B$76,+'5.Variables'!$G80,+IF(O$18='5.Variables'!$B$90,+'5.Variables'!$G94,+IF(O$18='5.Variables'!$B$104,+'5.Variables'!$G108,0))))))</f>
        <v>0</v>
      </c>
      <c r="P48" s="697">
        <f>IF(P$18='5.Variables'!$B$16,+'5.Variables'!$G28,+IF(P$18='5.Variables'!$B$39,+'5.Variables'!$G52,+IF(P$18='5.Variables'!$B$62,+'5.Variables'!$G66,+IF(P$18='5.Variables'!$B$76,+'5.Variables'!$G80,+IF(P$18='5.Variables'!$B$90,+'5.Variables'!$G94,+IF(P$18='5.Variables'!$B$104,+'5.Variables'!$G108,0))))))</f>
        <v>336</v>
      </c>
      <c r="Q48" s="242"/>
      <c r="R48" s="260">
        <f t="shared" si="1"/>
        <v>19876477.922374163</v>
      </c>
      <c r="S48" s="262"/>
      <c r="T48" s="242"/>
      <c r="U48" s="247">
        <f>'4. Customer Growth'!B19</f>
        <v>2008</v>
      </c>
      <c r="V48" s="264">
        <f>SUM(J44:J55)</f>
        <v>241507708</v>
      </c>
      <c r="W48" s="265">
        <f t="shared" ref="W48:Y55" si="4">(V48-V47)/V47</f>
        <v>-2.8853374821248008E-2</v>
      </c>
      <c r="X48" s="264">
        <f>S55</f>
        <v>247069840.93236792</v>
      </c>
      <c r="Y48" s="265">
        <f t="shared" si="4"/>
        <v>-6.4891072126211247E-3</v>
      </c>
      <c r="Z48" s="265">
        <f t="shared" si="3"/>
        <v>2.3030871264646844E-2</v>
      </c>
      <c r="AA48" s="242"/>
      <c r="AB48" s="242"/>
      <c r="AC48" s="242"/>
      <c r="AD48" s="242"/>
      <c r="AE48" s="242"/>
      <c r="AF48" s="242"/>
      <c r="AG48" s="242"/>
      <c r="AH48" s="242"/>
      <c r="AI48" s="242"/>
      <c r="AJ48" s="242"/>
      <c r="AK48" s="242"/>
      <c r="AL48" s="242"/>
      <c r="AM48" s="242"/>
    </row>
    <row r="49" spans="1:39" x14ac:dyDescent="0.2">
      <c r="A49" s="500">
        <f t="shared" si="2"/>
        <v>30</v>
      </c>
      <c r="B49" s="259" t="str">
        <f>CONCATENATE('3. Consumption by Rate Class'!B54,"-",'3. Consumption by Rate Class'!C54)</f>
        <v>2008-June</v>
      </c>
      <c r="C49" s="670">
        <v>22607091</v>
      </c>
      <c r="D49" s="826">
        <v>2071844</v>
      </c>
      <c r="E49" s="827">
        <v>1548458</v>
      </c>
      <c r="F49" s="826"/>
      <c r="G49" s="826"/>
      <c r="H49" s="677"/>
      <c r="I49" s="677"/>
      <c r="J49" s="550">
        <f t="shared" si="0"/>
        <v>18986789</v>
      </c>
      <c r="K49" s="697">
        <f>IF(K$18='5.Variables'!$B$16,+'5.Variables'!$H29,+IF(K$18='5.Variables'!$B$39,+'5.Variables'!$H52,+IF(K$18='5.Variables'!$B$62,+'5.Variables'!$H66,+IF(K$18='5.Variables'!$B$76,+'5.Variables'!$H80,+IF(K$18='5.Variables'!$B$90,+'5.Variables'!$H94,+IF(K$18='5.Variables'!$B$104,+'5.Variables'!$H108,0))))))</f>
        <v>71</v>
      </c>
      <c r="L49" s="697">
        <f>IF(L$18='5.Variables'!$B$16,+'5.Variables'!$H28,+IF(L$18='5.Variables'!$B$39,+'5.Variables'!$H52,+IF(L$18='5.Variables'!$B$62,+'5.Variables'!$H66,+IF(L$18='5.Variables'!$B$76,+'5.Variables'!$H80,+IF(L$18='5.Variables'!$B$90,+'5.Variables'!$H94,+IF(L$18='5.Variables'!$B$104,+'5.Variables'!$H108,0))))))</f>
        <v>2.6</v>
      </c>
      <c r="M49" s="697">
        <f>IF(M$18='5.Variables'!$B$16,+'5.Variables'!$H28,+IF(M$18='5.Variables'!$B$39,+'5.Variables'!$H52,+IF(M$18='5.Variables'!$B$62,+'5.Variables'!$H66,+IF(M$18='5.Variables'!$B$76,+'5.Variables'!$H80,+IF(M$18='5.Variables'!$B$90,+'5.Variables'!$H94,+IF(M$18='5.Variables'!$B$104,+'5.Variables'!$H108,0))))))</f>
        <v>30</v>
      </c>
      <c r="N49" s="697">
        <f>IF(N$18='5.Variables'!$B$16,+'5.Variables'!$H28,+IF(N$18='5.Variables'!$B$39,+'5.Variables'!$H52,+IF(N$18='5.Variables'!$B$62,+'5.Variables'!$H66,+IF(N$18='5.Variables'!$B$76,+'5.Variables'!$H80,+IF(N$18='5.Variables'!$B$90,+'5.Variables'!$H94,+IF(N$18='5.Variables'!$B$104,+'5.Variables'!$H108,0))))))</f>
        <v>140.13</v>
      </c>
      <c r="O49" s="697">
        <f>IF(O$18='5.Variables'!$B$16,+'5.Variables'!$H28,+IF(O$18='5.Variables'!$B$39,+'5.Variables'!$H52,+IF(O$18='5.Variables'!$B$62,+'5.Variables'!$H66,+IF(O$18='5.Variables'!$B$76,+'5.Variables'!$H80,+IF(O$18='5.Variables'!$B$90,+'5.Variables'!$H94,+IF(O$18='5.Variables'!$B$104,+'5.Variables'!$H108,0))))))</f>
        <v>0</v>
      </c>
      <c r="P49" s="697">
        <f>IF(P$18='5.Variables'!$B$16,+'5.Variables'!$H28,+IF(P$18='5.Variables'!$B$39,+'5.Variables'!$H52,+IF(P$18='5.Variables'!$B$62,+'5.Variables'!$H66,+IF(P$18='5.Variables'!$B$76,+'5.Variables'!$H80,+IF(P$18='5.Variables'!$B$90,+'5.Variables'!$H94,+IF(P$18='5.Variables'!$B$104,+'5.Variables'!$H108,0))))))</f>
        <v>336</v>
      </c>
      <c r="Q49" s="242"/>
      <c r="R49" s="260">
        <f t="shared" si="1"/>
        <v>18408788.794463981</v>
      </c>
      <c r="S49" s="262"/>
      <c r="T49" s="242"/>
      <c r="U49" s="247">
        <f>'4. Customer Growth'!B20</f>
        <v>2009</v>
      </c>
      <c r="V49" s="264">
        <f>SUM(J56:J67)</f>
        <v>236526800</v>
      </c>
      <c r="W49" s="265">
        <f t="shared" si="4"/>
        <v>-2.0624219579774242E-2</v>
      </c>
      <c r="X49" s="264">
        <f>S67</f>
        <v>245470671.7507762</v>
      </c>
      <c r="Y49" s="265">
        <f t="shared" si="4"/>
        <v>-6.4725390017532358E-3</v>
      </c>
      <c r="Z49" s="265">
        <f t="shared" si="3"/>
        <v>3.781335455760701E-2</v>
      </c>
      <c r="AA49" s="242"/>
      <c r="AB49" s="242"/>
      <c r="AC49" s="242"/>
      <c r="AD49" s="242"/>
      <c r="AE49" s="242"/>
      <c r="AF49" s="242"/>
      <c r="AG49" s="242"/>
      <c r="AH49" s="242"/>
      <c r="AI49" s="242"/>
      <c r="AJ49" s="242"/>
      <c r="AK49" s="242"/>
      <c r="AL49" s="242"/>
      <c r="AM49" s="242"/>
    </row>
    <row r="50" spans="1:39" x14ac:dyDescent="0.2">
      <c r="A50" s="500">
        <f t="shared" si="2"/>
        <v>31</v>
      </c>
      <c r="B50" s="259" t="str">
        <f>CONCATENATE('3. Consumption by Rate Class'!B55,"-",'3. Consumption by Rate Class'!C55)</f>
        <v>2008-July</v>
      </c>
      <c r="C50" s="670">
        <v>24337168</v>
      </c>
      <c r="D50" s="826">
        <v>2101677</v>
      </c>
      <c r="E50" s="827">
        <v>1712261</v>
      </c>
      <c r="F50" s="826"/>
      <c r="G50" s="826"/>
      <c r="H50" s="677"/>
      <c r="I50" s="677"/>
      <c r="J50" s="550">
        <f t="shared" si="0"/>
        <v>20523230</v>
      </c>
      <c r="K50" s="697">
        <f>IF(K$18='5.Variables'!$B$16,+'5.Variables'!$I29,+IF(K$18='5.Variables'!$B$39,+'5.Variables'!$I52,+IF(K$18='5.Variables'!$B$62,+'5.Variables'!$I66,+IF(K$18='5.Variables'!$B$76,+'5.Variables'!$I80,+IF(K$18='5.Variables'!$B$90,+'5.Variables'!$I94,+IF(K$18='5.Variables'!$B$104,+'5.Variables'!$I108,0))))))</f>
        <v>9.4</v>
      </c>
      <c r="L50" s="697">
        <f>IF(L$18='5.Variables'!$B$16,+'5.Variables'!$I28,+IF(L$18='5.Variables'!$B$39,+'5.Variables'!$I52,+IF(L$18='5.Variables'!$B$62,+'5.Variables'!$I66,+IF(L$18='5.Variables'!$B$76,+'5.Variables'!$I80,+IF(L$18='5.Variables'!$B$90,+'5.Variables'!$I94,+IF(L$18='5.Variables'!$B$104,+'5.Variables'!$I108,0))))))</f>
        <v>50.9</v>
      </c>
      <c r="M50" s="697">
        <f>IF(M$18='5.Variables'!$B$16,+'5.Variables'!$I28,+IF(M$18='5.Variables'!$B$39,+'5.Variables'!$I52,+IF(M$18='5.Variables'!$B$62,+'5.Variables'!$I66,+IF(M$18='5.Variables'!$B$76,+'5.Variables'!$I80,+IF(M$18='5.Variables'!$B$90,+'5.Variables'!$I94,+IF(M$18='5.Variables'!$B$104,+'5.Variables'!$I108,0))))))</f>
        <v>31</v>
      </c>
      <c r="N50" s="697">
        <f>IF(N$18='5.Variables'!$B$16,+'5.Variables'!$I28,+IF(N$18='5.Variables'!$B$39,+'5.Variables'!$I52,+IF(N$18='5.Variables'!$B$62,+'5.Variables'!$I66,+IF(N$18='5.Variables'!$B$76,+'5.Variables'!$I80,+IF(N$18='5.Variables'!$B$90,+'5.Variables'!$I94,+IF(N$18='5.Variables'!$B$104,+'5.Variables'!$I108,0))))))</f>
        <v>140.07</v>
      </c>
      <c r="O50" s="697">
        <f>IF(O$18='5.Variables'!$B$16,+'5.Variables'!$I28,+IF(O$18='5.Variables'!$B$39,+'5.Variables'!$I52,+IF(O$18='5.Variables'!$B$62,+'5.Variables'!$I66,+IF(O$18='5.Variables'!$B$76,+'5.Variables'!$I80,+IF(O$18='5.Variables'!$B$90,+'5.Variables'!$I94,+IF(O$18='5.Variables'!$B$104,+'5.Variables'!$I108,0))))))</f>
        <v>0</v>
      </c>
      <c r="P50" s="697">
        <f>IF(P$18='5.Variables'!$B$16,+'5.Variables'!$I28,+IF(P$18='5.Variables'!$B$39,+'5.Variables'!$I52,+IF(P$18='5.Variables'!$B$62,+'5.Variables'!$I66,+IF(P$18='5.Variables'!$B$76,+'5.Variables'!$I80,+IF(P$18='5.Variables'!$B$90,+'5.Variables'!$I94,+IF(P$18='5.Variables'!$B$104,+'5.Variables'!$I108,0))))))</f>
        <v>352</v>
      </c>
      <c r="Q50" s="242"/>
      <c r="R50" s="260">
        <f t="shared" si="1"/>
        <v>20429624.913804255</v>
      </c>
      <c r="S50" s="262"/>
      <c r="T50" s="242"/>
      <c r="U50" s="247">
        <f>'4. Customer Growth'!B21</f>
        <v>2010</v>
      </c>
      <c r="V50" s="264">
        <f>SUM(J68:J79)</f>
        <v>244543390.56</v>
      </c>
      <c r="W50" s="265">
        <f t="shared" si="4"/>
        <v>3.3892948114124924E-2</v>
      </c>
      <c r="X50" s="264">
        <f>S79</f>
        <v>247205392.77313605</v>
      </c>
      <c r="Y50" s="265">
        <f t="shared" si="4"/>
        <v>7.0669176483987139E-3</v>
      </c>
      <c r="Z50" s="265">
        <f t="shared" si="3"/>
        <v>1.088560278419347E-2</v>
      </c>
      <c r="AA50" s="242"/>
      <c r="AB50" s="242"/>
      <c r="AC50" s="242"/>
      <c r="AD50" s="242"/>
      <c r="AE50" s="242"/>
      <c r="AF50" s="242"/>
      <c r="AG50" s="242"/>
      <c r="AH50" s="242"/>
      <c r="AI50" s="242"/>
      <c r="AJ50" s="242"/>
      <c r="AK50" s="242"/>
      <c r="AL50" s="242"/>
      <c r="AM50" s="242"/>
    </row>
    <row r="51" spans="1:39" x14ac:dyDescent="0.2">
      <c r="A51" s="500">
        <f t="shared" si="2"/>
        <v>32</v>
      </c>
      <c r="B51" s="259" t="str">
        <f>CONCATENATE('3. Consumption by Rate Class'!B56,"-",'3. Consumption by Rate Class'!C56)</f>
        <v>2008-August</v>
      </c>
      <c r="C51" s="670">
        <v>22452560</v>
      </c>
      <c r="D51" s="826">
        <v>1789821</v>
      </c>
      <c r="E51" s="827">
        <v>1108712</v>
      </c>
      <c r="F51" s="826"/>
      <c r="G51" s="826"/>
      <c r="H51" s="677"/>
      <c r="I51" s="677"/>
      <c r="J51" s="550">
        <f t="shared" si="0"/>
        <v>19554027</v>
      </c>
      <c r="K51" s="697">
        <f>IF(K$18='5.Variables'!$B$16,+'5.Variables'!$J29,+IF(K$18='5.Variables'!$B$39,+'5.Variables'!$J52,+IF(K$18='5.Variables'!$B$62,+'5.Variables'!$J66,+IF(K$18='5.Variables'!$B$76,+'5.Variables'!$J80,+IF(K$18='5.Variables'!$B$90,+'5.Variables'!$J94,+IF(K$18='5.Variables'!$B$104,+'5.Variables'!$J108,0))))))</f>
        <v>15.2</v>
      </c>
      <c r="L51" s="697">
        <f>IF(L$18='5.Variables'!$B$16,+'5.Variables'!$J28,+IF(L$18='5.Variables'!$B$39,+'5.Variables'!$J52,+IF(L$18='5.Variables'!$B$62,+'5.Variables'!$J66,+IF(L$18='5.Variables'!$B$76,+'5.Variables'!$J80,+IF(L$18='5.Variables'!$B$90,+'5.Variables'!$J94,+IF(L$18='5.Variables'!$B$104,+'5.Variables'!$J108,0))))))</f>
        <v>40.4</v>
      </c>
      <c r="M51" s="697">
        <f>IF(M$18='5.Variables'!$B$16,+'5.Variables'!$J28,+IF(M$18='5.Variables'!$B$39,+'5.Variables'!$J52,+IF(M$18='5.Variables'!$B$62,+'5.Variables'!$J66,+IF(M$18='5.Variables'!$B$76,+'5.Variables'!$J80,+IF(M$18='5.Variables'!$B$90,+'5.Variables'!$J94,+IF(M$18='5.Variables'!$B$104,+'5.Variables'!$J108,0))))))</f>
        <v>31</v>
      </c>
      <c r="N51" s="697">
        <f>IF(N$18='5.Variables'!$B$16,+'5.Variables'!$J28,+IF(N$18='5.Variables'!$B$39,+'5.Variables'!$J52,+IF(N$18='5.Variables'!$B$62,+'5.Variables'!$J66,+IF(N$18='5.Variables'!$B$76,+'5.Variables'!$J80,+IF(N$18='5.Variables'!$B$90,+'5.Variables'!$J94,+IF(N$18='5.Variables'!$B$104,+'5.Variables'!$J108,0))))))</f>
        <v>140.02000000000001</v>
      </c>
      <c r="O51" s="697">
        <f>IF(O$18='5.Variables'!$B$16,+'5.Variables'!$J28,+IF(O$18='5.Variables'!$B$39,+'5.Variables'!$J52,+IF(O$18='5.Variables'!$B$62,+'5.Variables'!$J66,+IF(O$18='5.Variables'!$B$76,+'5.Variables'!$J80,+IF(O$18='5.Variables'!$B$90,+'5.Variables'!$J94,+IF(O$18='5.Variables'!$B$104,+'5.Variables'!$J108,0))))))</f>
        <v>0</v>
      </c>
      <c r="P51" s="697">
        <f>IF(P$18='5.Variables'!$B$16,+'5.Variables'!$J28,+IF(P$18='5.Variables'!$B$39,+'5.Variables'!$J52,+IF(P$18='5.Variables'!$B$62,+'5.Variables'!$J66,+IF(P$18='5.Variables'!$B$76,+'5.Variables'!$J80,+IF(P$18='5.Variables'!$B$90,+'5.Variables'!$J94,+IF(P$18='5.Variables'!$B$104,+'5.Variables'!$J108,0))))))</f>
        <v>320</v>
      </c>
      <c r="Q51" s="242"/>
      <c r="R51" s="260">
        <f t="shared" si="1"/>
        <v>19804577.721256938</v>
      </c>
      <c r="S51" s="262"/>
      <c r="T51" s="242"/>
      <c r="U51" s="247">
        <f>'4. Customer Growth'!B22</f>
        <v>2011</v>
      </c>
      <c r="V51" s="264">
        <f>SUM(J80:J91)</f>
        <v>248601682.74000001</v>
      </c>
      <c r="W51" s="265">
        <f t="shared" si="4"/>
        <v>1.6595386899259844E-2</v>
      </c>
      <c r="X51" s="264">
        <f>S91</f>
        <v>248673994.55355757</v>
      </c>
      <c r="Y51" s="265">
        <f t="shared" si="4"/>
        <v>5.9408161122491464E-3</v>
      </c>
      <c r="Z51" s="265">
        <f t="shared" si="3"/>
        <v>2.9087419184202587E-4</v>
      </c>
      <c r="AA51" s="242"/>
      <c r="AB51" s="242"/>
      <c r="AC51" s="242"/>
      <c r="AD51" s="242"/>
      <c r="AE51" s="242"/>
      <c r="AF51" s="242"/>
      <c r="AG51" s="242"/>
      <c r="AH51" s="242"/>
      <c r="AI51" s="242"/>
      <c r="AJ51" s="242"/>
      <c r="AK51" s="242"/>
      <c r="AL51" s="242"/>
      <c r="AM51" s="242"/>
    </row>
    <row r="52" spans="1:39" x14ac:dyDescent="0.2">
      <c r="A52" s="500">
        <f t="shared" si="2"/>
        <v>33</v>
      </c>
      <c r="B52" s="259" t="str">
        <f>CONCATENATE('3. Consumption by Rate Class'!B57,"-",'3. Consumption by Rate Class'!C57)</f>
        <v>2008-September</v>
      </c>
      <c r="C52" s="670">
        <v>22496229</v>
      </c>
      <c r="D52" s="826">
        <v>1759869</v>
      </c>
      <c r="E52" s="827">
        <v>1751959</v>
      </c>
      <c r="F52" s="826"/>
      <c r="G52" s="826"/>
      <c r="H52" s="677"/>
      <c r="I52" s="677"/>
      <c r="J52" s="550">
        <f t="shared" si="0"/>
        <v>18984401</v>
      </c>
      <c r="K52" s="697">
        <f>IF(K$18='5.Variables'!$B$16,+'5.Variables'!$K29,+IF(K$18='5.Variables'!$B$39,+'5.Variables'!$K52,+IF(K$18='5.Variables'!$B$62,+'5.Variables'!$K66,+IF(K$18='5.Variables'!$B$76,+'5.Variables'!$K80,+IF(K$18='5.Variables'!$B$90,+'5.Variables'!$K94,+IF(K$18='5.Variables'!$B$104,+'5.Variables'!$K108,0))))))</f>
        <v>73.5</v>
      </c>
      <c r="L52" s="697">
        <f>IF(L$18='5.Variables'!$B$16,+'5.Variables'!$K28,+IF(L$18='5.Variables'!$B$39,+'5.Variables'!$K52,+IF(L$18='5.Variables'!$B$62,+'5.Variables'!$K66,+IF(L$18='5.Variables'!$B$76,+'5.Variables'!$K80,+IF(L$18='5.Variables'!$B$90,+'5.Variables'!$K94,+IF(L$18='5.Variables'!$B$104,+'5.Variables'!$K108,0))))))</f>
        <v>16.2</v>
      </c>
      <c r="M52" s="697">
        <f>IF(M$18='5.Variables'!$B$16,+'5.Variables'!$K28,+IF(M$18='5.Variables'!$B$39,+'5.Variables'!$K52,+IF(M$18='5.Variables'!$B$62,+'5.Variables'!$K66,+IF(M$18='5.Variables'!$B$76,+'5.Variables'!$K80,+IF(M$18='5.Variables'!$B$90,+'5.Variables'!$K94,+IF(M$18='5.Variables'!$B$104,+'5.Variables'!$K108,0))))))</f>
        <v>30</v>
      </c>
      <c r="N52" s="697">
        <f>IF(N$18='5.Variables'!$B$16,+'5.Variables'!$K28,+IF(N$18='5.Variables'!$B$39,+'5.Variables'!$K52,+IF(N$18='5.Variables'!$B$62,+'5.Variables'!$K66,+IF(N$18='5.Variables'!$B$76,+'5.Variables'!$K80,+IF(N$18='5.Variables'!$B$90,+'5.Variables'!$K94,+IF(N$18='5.Variables'!$B$104,+'5.Variables'!$K108,0))))))</f>
        <v>139.96</v>
      </c>
      <c r="O52" s="697">
        <f>IF(O$18='5.Variables'!$B$16,+'5.Variables'!$K28,+IF(O$18='5.Variables'!$B$39,+'5.Variables'!$K52,+IF(O$18='5.Variables'!$B$62,+'5.Variables'!$K66,+IF(O$18='5.Variables'!$B$76,+'5.Variables'!$K80,+IF(O$18='5.Variables'!$B$90,+'5.Variables'!$K94,+IF(O$18='5.Variables'!$B$104,+'5.Variables'!$K108,0))))))</f>
        <v>0</v>
      </c>
      <c r="P52" s="697">
        <f>IF(P$18='5.Variables'!$B$16,+'5.Variables'!$K28,+IF(P$18='5.Variables'!$B$39,+'5.Variables'!$K52,+IF(P$18='5.Variables'!$B$62,+'5.Variables'!$K66,+IF(P$18='5.Variables'!$B$76,+'5.Variables'!$K80,+IF(P$18='5.Variables'!$B$90,+'5.Variables'!$K94,+IF(P$18='5.Variables'!$B$104,+'5.Variables'!$K108,0))))))</f>
        <v>336</v>
      </c>
      <c r="Q52" s="242"/>
      <c r="R52" s="260">
        <f t="shared" si="1"/>
        <v>18961435.960664462</v>
      </c>
      <c r="S52" s="262"/>
      <c r="T52" s="242"/>
      <c r="U52" s="247">
        <f>'4. Customer Growth'!B23</f>
        <v>2012</v>
      </c>
      <c r="V52" s="264">
        <f>SUM(J92:J103)</f>
        <v>250144401.56999999</v>
      </c>
      <c r="W52" s="265">
        <f t="shared" si="4"/>
        <v>6.2055848254793803E-3</v>
      </c>
      <c r="X52" s="264">
        <f>S103:S103</f>
        <v>250342774.98395351</v>
      </c>
      <c r="Y52" s="265">
        <f t="shared" si="4"/>
        <v>6.7107155028087243E-3</v>
      </c>
      <c r="Z52" s="265">
        <f t="shared" si="3"/>
        <v>7.93035593474997E-4</v>
      </c>
      <c r="AA52" s="242"/>
      <c r="AB52" s="242"/>
      <c r="AC52" s="242"/>
      <c r="AD52" s="242"/>
      <c r="AE52" s="242"/>
      <c r="AF52" s="242"/>
      <c r="AG52" s="242"/>
      <c r="AH52" s="242"/>
      <c r="AI52" s="242"/>
      <c r="AJ52" s="242"/>
      <c r="AK52" s="242"/>
      <c r="AL52" s="242"/>
      <c r="AM52" s="242"/>
    </row>
    <row r="53" spans="1:39" x14ac:dyDescent="0.2">
      <c r="A53" s="500">
        <f t="shared" si="2"/>
        <v>34</v>
      </c>
      <c r="B53" s="259" t="str">
        <f>CONCATENATE('3. Consumption by Rate Class'!B58,"-",'3. Consumption by Rate Class'!C58)</f>
        <v>2008-October</v>
      </c>
      <c r="C53" s="670">
        <v>21865207</v>
      </c>
      <c r="D53" s="826">
        <v>1165992</v>
      </c>
      <c r="E53" s="827">
        <v>1566094</v>
      </c>
      <c r="F53" s="826"/>
      <c r="G53" s="826"/>
      <c r="H53" s="677"/>
      <c r="I53" s="677"/>
      <c r="J53" s="550">
        <f t="shared" si="0"/>
        <v>19133121</v>
      </c>
      <c r="K53" s="697">
        <f>IF(K$18='5.Variables'!$B$16,+'5.Variables'!$L29,+IF(K$18='5.Variables'!$B$39,+'5.Variables'!$L52,+IF(K$18='5.Variables'!$B$62,+'5.Variables'!$L66,+IF(K$18='5.Variables'!$B$76,+'5.Variables'!$L80,+IF(K$18='5.Variables'!$B$90,+'5.Variables'!$L94,+IF(K$18='5.Variables'!$B$104,+'5.Variables'!$L108,0))))))</f>
        <v>288.10000000000002</v>
      </c>
      <c r="L53" s="697">
        <f>IF(L$18='5.Variables'!$B$16,+'5.Variables'!$L28,+IF(L$18='5.Variables'!$B$39,+'5.Variables'!$L52,+IF(L$18='5.Variables'!$B$62,+'5.Variables'!$L66,+IF(L$18='5.Variables'!$B$76,+'5.Variables'!$L80,+IF(L$18='5.Variables'!$B$90,+'5.Variables'!$L94,+IF(L$18='5.Variables'!$B$104,+'5.Variables'!$L108,0))))))</f>
        <v>0</v>
      </c>
      <c r="M53" s="697">
        <f>IF(M$18='5.Variables'!$B$16,+'5.Variables'!$L28,+IF(M$18='5.Variables'!$B$39,+'5.Variables'!$L52,+IF(M$18='5.Variables'!$B$62,+'5.Variables'!$L66,+IF(M$18='5.Variables'!$B$76,+'5.Variables'!$L80,+IF(M$18='5.Variables'!$B$90,+'5.Variables'!$L94,+IF(M$18='5.Variables'!$B$104,+'5.Variables'!$L108,0))))))</f>
        <v>31</v>
      </c>
      <c r="N53" s="697">
        <f>IF(N$18='5.Variables'!$B$16,+'5.Variables'!$L28,+IF(N$18='5.Variables'!$B$39,+'5.Variables'!$L52,+IF(N$18='5.Variables'!$B$62,+'5.Variables'!$L66,+IF(N$18='5.Variables'!$B$76,+'5.Variables'!$L80,+IF(N$18='5.Variables'!$B$90,+'5.Variables'!$L94,+IF(N$18='5.Variables'!$B$104,+'5.Variables'!$L108,0))))))</f>
        <v>139.9</v>
      </c>
      <c r="O53" s="697">
        <f>IF(O$18='5.Variables'!$B$16,+'5.Variables'!$L28,+IF(O$18='5.Variables'!$B$39,+'5.Variables'!$L52,+IF(O$18='5.Variables'!$B$62,+'5.Variables'!$L66,+IF(O$18='5.Variables'!$B$76,+'5.Variables'!$L80,+IF(O$18='5.Variables'!$B$90,+'5.Variables'!$L94,+IF(O$18='5.Variables'!$B$104,+'5.Variables'!$L108,0))))))</f>
        <v>0</v>
      </c>
      <c r="P53" s="697">
        <f>IF(P$18='5.Variables'!$B$16,+'5.Variables'!$L28,+IF(P$18='5.Variables'!$B$39,+'5.Variables'!$L52,+IF(P$18='5.Variables'!$B$62,+'5.Variables'!$L66,+IF(P$18='5.Variables'!$B$76,+'5.Variables'!$L80,+IF(P$18='5.Variables'!$B$90,+'5.Variables'!$L94,+IF(P$18='5.Variables'!$B$104,+'5.Variables'!$L108,0))))))</f>
        <v>352</v>
      </c>
      <c r="Q53" s="242"/>
      <c r="R53" s="260">
        <f t="shared" si="1"/>
        <v>20214483.51866753</v>
      </c>
      <c r="S53" s="262"/>
      <c r="T53" s="242"/>
      <c r="U53" s="247">
        <f>'4. Customer Growth'!B24</f>
        <v>2013</v>
      </c>
      <c r="V53" s="264">
        <f>SUM(J104:J115)</f>
        <v>246166626.33000001</v>
      </c>
      <c r="W53" s="265">
        <f t="shared" si="4"/>
        <v>-1.5901915913504247E-2</v>
      </c>
      <c r="X53" s="264">
        <f>S115</f>
        <v>249342246.0888707</v>
      </c>
      <c r="Y53" s="265">
        <f t="shared" si="4"/>
        <v>-3.9966357932516069E-3</v>
      </c>
      <c r="Z53" s="265">
        <f t="shared" si="3"/>
        <v>1.2900285494482898E-2</v>
      </c>
      <c r="AA53" s="242"/>
      <c r="AB53" s="242"/>
      <c r="AC53" s="242"/>
      <c r="AD53" s="242"/>
      <c r="AE53" s="242"/>
      <c r="AF53" s="242"/>
      <c r="AG53" s="242"/>
      <c r="AH53" s="242"/>
      <c r="AI53" s="242"/>
      <c r="AJ53" s="242"/>
      <c r="AK53" s="242"/>
      <c r="AL53" s="242"/>
      <c r="AM53" s="242"/>
    </row>
    <row r="54" spans="1:39" x14ac:dyDescent="0.2">
      <c r="A54" s="500">
        <f t="shared" si="2"/>
        <v>35</v>
      </c>
      <c r="B54" s="259" t="str">
        <f>CONCATENATE('3. Consumption by Rate Class'!B59,"-",'3. Consumption by Rate Class'!C59)</f>
        <v>2008-November</v>
      </c>
      <c r="C54" s="670">
        <v>22177406</v>
      </c>
      <c r="D54" s="826">
        <v>805206</v>
      </c>
      <c r="E54" s="827">
        <v>1670775</v>
      </c>
      <c r="F54" s="826"/>
      <c r="G54" s="826"/>
      <c r="H54" s="677"/>
      <c r="I54" s="677"/>
      <c r="J54" s="550">
        <f t="shared" si="0"/>
        <v>19701425</v>
      </c>
      <c r="K54" s="697">
        <f>IF(K$18='5.Variables'!$B$16,+'5.Variables'!$M29,+IF(K$18='5.Variables'!$B$39,+'5.Variables'!$M52,+IF(K$18='5.Variables'!$B$62,+'5.Variables'!$M66,+IF(K$18='5.Variables'!$B$76,+'5.Variables'!$M80,+IF(K$18='5.Variables'!$B$90,+'5.Variables'!$M94,+IF(K$18='5.Variables'!$B$104,+'5.Variables'!$M108,0))))))</f>
        <v>459</v>
      </c>
      <c r="L54" s="697">
        <f>IF(L$18='5.Variables'!$B$16,+'5.Variables'!$M28,+IF(L$18='5.Variables'!$B$39,+'5.Variables'!$M52,+IF(L$18='5.Variables'!$B$62,+'5.Variables'!$M66,+IF(L$18='5.Variables'!$B$76,+'5.Variables'!$M80,+IF(L$18='5.Variables'!$B$90,+'5.Variables'!$M94,+IF(L$18='5.Variables'!$B$104,+'5.Variables'!$M108,0))))))</f>
        <v>0</v>
      </c>
      <c r="M54" s="697">
        <f>IF(M$18='5.Variables'!$B$16,+'5.Variables'!$M28,+IF(M$18='5.Variables'!$B$39,+'5.Variables'!$M52,+IF(M$18='5.Variables'!$B$62,+'5.Variables'!$M66,+IF(M$18='5.Variables'!$B$76,+'5.Variables'!$M80,+IF(M$18='5.Variables'!$B$90,+'5.Variables'!$M94,+IF(M$18='5.Variables'!$B$104,+'5.Variables'!$M108,0))))))</f>
        <v>30</v>
      </c>
      <c r="N54" s="697">
        <f>IF(N$18='5.Variables'!$B$16,+'5.Variables'!$M28,+IF(N$18='5.Variables'!$B$39,+'5.Variables'!$M52,+IF(N$18='5.Variables'!$B$62,+'5.Variables'!$M66,+IF(N$18='5.Variables'!$B$76,+'5.Variables'!$M80,+IF(N$18='5.Variables'!$B$90,+'5.Variables'!$M94,+IF(N$18='5.Variables'!$B$104,+'5.Variables'!$M108,0))))))</f>
        <v>139.84</v>
      </c>
      <c r="O54" s="697">
        <f>IF(O$18='5.Variables'!$B$16,+'5.Variables'!$M28,+IF(O$18='5.Variables'!$B$39,+'5.Variables'!$M52,+IF(O$18='5.Variables'!$B$62,+'5.Variables'!$M66,+IF(O$18='5.Variables'!$B$76,+'5.Variables'!$M80,+IF(O$18='5.Variables'!$B$90,+'5.Variables'!$M94,+IF(O$18='5.Variables'!$B$104,+'5.Variables'!$M108,0))))))</f>
        <v>0</v>
      </c>
      <c r="P54" s="697">
        <f>IF(P$18='5.Variables'!$B$16,+'5.Variables'!$M28,+IF(P$18='5.Variables'!$B$39,+'5.Variables'!$M52,+IF(P$18='5.Variables'!$B$62,+'5.Variables'!$M66,+IF(P$18='5.Variables'!$B$76,+'5.Variables'!$M80,+IF(P$18='5.Variables'!$B$90,+'5.Variables'!$M94,+IF(P$18='5.Variables'!$B$104,+'5.Variables'!$M108,0))))))</f>
        <v>304</v>
      </c>
      <c r="Q54" s="242"/>
      <c r="R54" s="260">
        <f t="shared" si="1"/>
        <v>20581393.688178487</v>
      </c>
      <c r="S54" s="262"/>
      <c r="T54" s="242"/>
      <c r="U54" s="247">
        <f>'4. Customer Growth'!B25</f>
        <v>2014</v>
      </c>
      <c r="V54" s="264">
        <f>SUM(J116:J127)</f>
        <v>242535263.39000002</v>
      </c>
      <c r="W54" s="265">
        <f t="shared" si="4"/>
        <v>-1.4751646046170182E-2</v>
      </c>
      <c r="X54" s="264">
        <f>S127</f>
        <v>249658428.47991201</v>
      </c>
      <c r="Y54" s="265">
        <f t="shared" si="4"/>
        <v>1.2680658652951043E-3</v>
      </c>
      <c r="Z54" s="265">
        <f t="shared" si="3"/>
        <v>2.9369605847615859E-2</v>
      </c>
      <c r="AA54" s="242"/>
      <c r="AB54" s="242"/>
      <c r="AC54" s="242"/>
      <c r="AD54" s="242"/>
      <c r="AE54" s="242"/>
      <c r="AF54" s="242"/>
      <c r="AG54" s="242"/>
      <c r="AH54" s="242"/>
      <c r="AI54" s="242"/>
      <c r="AJ54" s="242"/>
      <c r="AK54" s="242"/>
      <c r="AL54" s="242"/>
      <c r="AM54" s="242"/>
    </row>
    <row r="55" spans="1:39" x14ac:dyDescent="0.2">
      <c r="A55" s="500">
        <f t="shared" si="2"/>
        <v>36</v>
      </c>
      <c r="B55" s="519" t="str">
        <f>CONCATENATE('3. Consumption by Rate Class'!B60,"-",'3. Consumption by Rate Class'!C60)</f>
        <v>2008-December</v>
      </c>
      <c r="C55" s="671">
        <v>23390423</v>
      </c>
      <c r="D55" s="828">
        <v>593847</v>
      </c>
      <c r="E55" s="829">
        <v>972650</v>
      </c>
      <c r="F55" s="828"/>
      <c r="G55" s="828"/>
      <c r="H55" s="679"/>
      <c r="I55" s="679"/>
      <c r="J55" s="550">
        <f t="shared" si="0"/>
        <v>21823926</v>
      </c>
      <c r="K55" s="697">
        <f>IF(K$18='5.Variables'!$B$16,+'5.Variables'!$N29,+IF(K$18='5.Variables'!$B$39,+'5.Variables'!$N52,+IF(K$18='5.Variables'!$B$62,+'5.Variables'!$N66,+IF(K$18='5.Variables'!$B$76,+'5.Variables'!$N80,+IF(K$18='5.Variables'!$B$90,+'5.Variables'!$N94,+IF(K$18='5.Variables'!$B$104,+'5.Variables'!$N108,0))))))</f>
        <v>652.5</v>
      </c>
      <c r="L55" s="697">
        <f>IF(L$18='5.Variables'!$B$16,+'5.Variables'!$N28,+IF(L$18='5.Variables'!$B$39,+'5.Variables'!$N52,+IF(L$18='5.Variables'!$B$62,+'5.Variables'!$N66,+IF(L$18='5.Variables'!$B$76,+'5.Variables'!$N80,+IF(L$18='5.Variables'!$B$90,+'5.Variables'!$N94,+IF(L$18='5.Variables'!$B$104,+'5.Variables'!$N108,0))))))</f>
        <v>0</v>
      </c>
      <c r="M55" s="697">
        <f>IF(M$18='5.Variables'!$B$16,+'5.Variables'!$N28,+IF(M$18='5.Variables'!$B$39,+'5.Variables'!$N52,+IF(M$18='5.Variables'!$B$62,+'5.Variables'!$N66,+IF(M$18='5.Variables'!$B$76,+'5.Variables'!$N80,+IF(M$18='5.Variables'!$B$90,+'5.Variables'!$N94,+IF(M$18='5.Variables'!$B$104,+'5.Variables'!$N108,0))))))</f>
        <v>31</v>
      </c>
      <c r="N55" s="697">
        <f>IF(N$18='5.Variables'!$B$16,+'5.Variables'!$N28,+IF(N$18='5.Variables'!$B$39,+'5.Variables'!$N52,+IF(N$18='5.Variables'!$B$62,+'5.Variables'!$N66,+IF(N$18='5.Variables'!$B$76,+'5.Variables'!$N80,+IF(N$18='5.Variables'!$B$90,+'5.Variables'!$N94,+IF(N$18='5.Variables'!$B$104,+'5.Variables'!$N108,0))))))</f>
        <v>139.78</v>
      </c>
      <c r="O55" s="697">
        <f>IF(O$18='5.Variables'!$B$16,+'5.Variables'!$N28,+IF(O$18='5.Variables'!$B$39,+'5.Variables'!$N52,+IF(O$18='5.Variables'!$B$62,+'5.Variables'!$N66,+IF(O$18='5.Variables'!$B$76,+'5.Variables'!$N80,+IF(O$18='5.Variables'!$B$90,+'5.Variables'!$N94,+IF(O$18='5.Variables'!$B$104,+'5.Variables'!$N108,0))))))</f>
        <v>0</v>
      </c>
      <c r="P55" s="697">
        <f>IF(P$18='5.Variables'!$B$16,+'5.Variables'!$N28,+IF(P$18='5.Variables'!$B$39,+'5.Variables'!$N52,+IF(P$18='5.Variables'!$B$62,+'5.Variables'!$N66,+IF(P$18='5.Variables'!$B$76,+'5.Variables'!$N80,+IF(P$18='5.Variables'!$B$90,+'5.Variables'!$N94,+IF(P$18='5.Variables'!$B$104,+'5.Variables'!$N108,0))))))</f>
        <v>336</v>
      </c>
      <c r="Q55" s="242"/>
      <c r="R55" s="260">
        <f t="shared" si="1"/>
        <v>22463506.598509498</v>
      </c>
      <c r="S55" s="262">
        <f>SUM(R44:R55)</f>
        <v>247069840.93236792</v>
      </c>
      <c r="T55" s="242"/>
      <c r="U55" s="247">
        <f>'4. Customer Growth'!B26</f>
        <v>2015</v>
      </c>
      <c r="V55" s="264">
        <f>SUM(J128:J139)</f>
        <v>239401282.51999998</v>
      </c>
      <c r="W55" s="265">
        <f t="shared" si="4"/>
        <v>-1.292175342337972E-2</v>
      </c>
      <c r="X55" s="264">
        <f>S139</f>
        <v>247399736.29403827</v>
      </c>
      <c r="Y55" s="265">
        <f t="shared" si="4"/>
        <v>-9.0471297108861096E-3</v>
      </c>
      <c r="Z55" s="265">
        <f t="shared" si="3"/>
        <v>3.3410237780869372E-2</v>
      </c>
      <c r="AA55" s="242"/>
      <c r="AB55" s="242"/>
      <c r="AC55" s="242"/>
      <c r="AD55" s="242"/>
      <c r="AE55" s="242"/>
      <c r="AF55" s="242"/>
      <c r="AG55" s="242"/>
      <c r="AH55" s="242"/>
      <c r="AI55" s="242"/>
      <c r="AJ55" s="242"/>
      <c r="AK55" s="242"/>
      <c r="AL55" s="242"/>
      <c r="AM55" s="242"/>
    </row>
    <row r="56" spans="1:39" x14ac:dyDescent="0.2">
      <c r="A56" s="500">
        <f t="shared" si="2"/>
        <v>37</v>
      </c>
      <c r="B56" s="259" t="str">
        <f>CONCATENATE('3. Consumption by Rate Class'!B61,"-",'3. Consumption by Rate Class'!C61)</f>
        <v>2009-January</v>
      </c>
      <c r="C56" s="670">
        <v>25602870</v>
      </c>
      <c r="D56" s="826">
        <v>483317</v>
      </c>
      <c r="E56" s="827">
        <v>1578844</v>
      </c>
      <c r="F56" s="826"/>
      <c r="G56" s="826"/>
      <c r="H56" s="677"/>
      <c r="I56" s="677"/>
      <c r="J56" s="550">
        <f t="shared" si="0"/>
        <v>23540709</v>
      </c>
      <c r="K56" s="697">
        <f>IF(K$18='5.Variables'!$B$16,+'5.Variables'!$C30,+IF(K$18='5.Variables'!$B$39,+'5.Variables'!$C53,+IF(K$18='5.Variables'!$B$62,+'5.Variables'!$C67,+IF(K$18='5.Variables'!$B$76,+'5.Variables'!$C81,+IF(K$18='5.Variables'!$B$90,+'5.Variables'!$C95,+IF(K$18='5.Variables'!$B$104,+'5.Variables'!$C109,0))))))</f>
        <v>823.9</v>
      </c>
      <c r="L56" s="697">
        <f>IF(L$18='5.Variables'!$B$16,+'5.Variables'!$C29,+IF(L$18='5.Variables'!$B$39,+'5.Variables'!$C53,+IF(L$18='5.Variables'!$B$62,+'5.Variables'!$C67,+IF(L$18='5.Variables'!$B$76,+'5.Variables'!$C81,+IF(L$18='5.Variables'!$B$90,+'5.Variables'!$C95,+IF(L$18='5.Variables'!$B$104,+'5.Variables'!$C109,0))))))</f>
        <v>0</v>
      </c>
      <c r="M56" s="697">
        <f>IF(M$18='5.Variables'!$B$16,+'5.Variables'!$C29,+IF(M$18='5.Variables'!$B$39,+'5.Variables'!$C53,+IF(M$18='5.Variables'!$B$62,+'5.Variables'!$C67,+IF(M$18='5.Variables'!$B$76,+'5.Variables'!$C81,+IF(M$18='5.Variables'!$B$90,+'5.Variables'!$C95,+IF(M$18='5.Variables'!$B$104,+'5.Variables'!$C109,0))))))</f>
        <v>31</v>
      </c>
      <c r="N56" s="697">
        <f>IF(N$18='5.Variables'!$B$16,+'5.Variables'!$C29,+IF(N$18='5.Variables'!$B$39,+'5.Variables'!$C53,+IF(N$18='5.Variables'!$B$62,+'5.Variables'!$C67,+IF(N$18='5.Variables'!$B$76,+'5.Variables'!$C81,+IF(N$18='5.Variables'!$B$90,+'5.Variables'!$C95,+IF(N$18='5.Variables'!$B$104,+'5.Variables'!$C109,0))))))</f>
        <v>139.38</v>
      </c>
      <c r="O56" s="697">
        <f>IF(O$18='5.Variables'!$B$16,+'5.Variables'!$C29,+IF(O$18='5.Variables'!$B$39,+'5.Variables'!$C53,+IF(O$18='5.Variables'!$B$62,+'5.Variables'!$C67,+IF(O$18='5.Variables'!$B$76,+'5.Variables'!$C81,+IF(O$18='5.Variables'!$B$90,+'5.Variables'!$C95,+IF(O$18='5.Variables'!$B$104,+'5.Variables'!$C109,0))))))</f>
        <v>0</v>
      </c>
      <c r="P56" s="697">
        <f>IF(P$18='5.Variables'!$B$16,+'5.Variables'!$C29,+IF(P$18='5.Variables'!$B$39,+'5.Variables'!$C53,+IF(P$18='5.Variables'!$B$62,+'5.Variables'!$C67,+IF(P$18='5.Variables'!$B$76,+'5.Variables'!$C81,+IF(P$18='5.Variables'!$B$90,+'5.Variables'!$C95,+IF(P$18='5.Variables'!$B$104,+'5.Variables'!$C109,0))))))</f>
        <v>336</v>
      </c>
      <c r="Q56" s="242"/>
      <c r="R56" s="260">
        <f t="shared" si="1"/>
        <v>23568549.604605474</v>
      </c>
      <c r="S56" s="262"/>
      <c r="T56" s="242"/>
      <c r="U56" s="703"/>
      <c r="V56" s="704"/>
      <c r="W56" s="705"/>
      <c r="X56" s="704"/>
      <c r="Y56" s="705"/>
      <c r="Z56" s="705"/>
      <c r="AA56" s="242"/>
      <c r="AB56" s="242"/>
      <c r="AC56" s="242"/>
      <c r="AD56" s="242"/>
      <c r="AE56" s="242"/>
      <c r="AF56" s="242"/>
      <c r="AG56" s="242"/>
      <c r="AH56" s="242"/>
      <c r="AI56" s="242"/>
      <c r="AJ56" s="242"/>
      <c r="AK56" s="242"/>
      <c r="AL56" s="242"/>
      <c r="AM56" s="242"/>
    </row>
    <row r="57" spans="1:39" x14ac:dyDescent="0.2">
      <c r="A57" s="500">
        <f t="shared" si="2"/>
        <v>38</v>
      </c>
      <c r="B57" s="259" t="str">
        <f>CONCATENATE('3. Consumption by Rate Class'!B62,"-",'3. Consumption by Rate Class'!C62)</f>
        <v>2009-February</v>
      </c>
      <c r="C57" s="670">
        <v>22117612</v>
      </c>
      <c r="D57" s="826">
        <v>367134</v>
      </c>
      <c r="E57" s="827">
        <v>1729600</v>
      </c>
      <c r="F57" s="826"/>
      <c r="G57" s="826"/>
      <c r="H57" s="677"/>
      <c r="I57" s="677"/>
      <c r="J57" s="550">
        <f t="shared" si="0"/>
        <v>20020878</v>
      </c>
      <c r="K57" s="697">
        <f>IF(K$18='5.Variables'!$B$16,+'5.Variables'!$D30,+IF(K$18='5.Variables'!$B$39,+'5.Variables'!$D53,+IF(K$18='5.Variables'!$B$62,+'5.Variables'!$D67,+IF(K$18='5.Variables'!$B$76,+'5.Variables'!$D81,+IF(K$18='5.Variables'!$B$90,+'5.Variables'!$D95,+IF(K$18='5.Variables'!$B$104,+'5.Variables'!$D109,0))))))</f>
        <v>608.5</v>
      </c>
      <c r="L57" s="697">
        <f>IF(L$18='5.Variables'!$B$16,+'5.Variables'!$D29,+IF(L$18='5.Variables'!$B$39,+'5.Variables'!$D53,+IF(L$18='5.Variables'!$B$62,+'5.Variables'!$D67,+IF(L$18='5.Variables'!$B$76,+'5.Variables'!$D81,+IF(L$18='5.Variables'!$B$90,+'5.Variables'!$D95,+IF(L$18='5.Variables'!$B$104,+'5.Variables'!$D109,0))))))</f>
        <v>0</v>
      </c>
      <c r="M57" s="697">
        <f>IF(M$18='5.Variables'!$B$16,+'5.Variables'!$D29,+IF(M$18='5.Variables'!$B$39,+'5.Variables'!$D53,+IF(M$18='5.Variables'!$B$62,+'5.Variables'!$D67,+IF(M$18='5.Variables'!$B$76,+'5.Variables'!$D81,+IF(M$18='5.Variables'!$B$90,+'5.Variables'!$D95,+IF(M$18='5.Variables'!$B$104,+'5.Variables'!$D109,0))))))</f>
        <v>28</v>
      </c>
      <c r="N57" s="697">
        <f>IF(N$18='5.Variables'!$B$16,+'5.Variables'!$D29,+IF(N$18='5.Variables'!$B$39,+'5.Variables'!$D53,+IF(N$18='5.Variables'!$B$62,+'5.Variables'!$D67,+IF(N$18='5.Variables'!$B$76,+'5.Variables'!$D81,+IF(N$18='5.Variables'!$B$90,+'5.Variables'!$D95,+IF(N$18='5.Variables'!$B$104,+'5.Variables'!$D109,0))))))</f>
        <v>138.97999999999999</v>
      </c>
      <c r="O57" s="697">
        <f>IF(O$18='5.Variables'!$B$16,+'5.Variables'!$D29,+IF(O$18='5.Variables'!$B$39,+'5.Variables'!$D53,+IF(O$18='5.Variables'!$B$62,+'5.Variables'!$D67,+IF(O$18='5.Variables'!$B$76,+'5.Variables'!$D81,+IF(O$18='5.Variables'!$B$90,+'5.Variables'!$D95,+IF(O$18='5.Variables'!$B$104,+'5.Variables'!$D109,0))))))</f>
        <v>0</v>
      </c>
      <c r="P57" s="697">
        <f>IF(P$18='5.Variables'!$B$16,+'5.Variables'!$D29,+IF(P$18='5.Variables'!$B$39,+'5.Variables'!$D53,+IF(P$18='5.Variables'!$B$62,+'5.Variables'!$D67,+IF(P$18='5.Variables'!$B$76,+'5.Variables'!$D81,+IF(P$18='5.Variables'!$B$90,+'5.Variables'!$D95,+IF(P$18='5.Variables'!$B$104,+'5.Variables'!$D109,0))))))</f>
        <v>304</v>
      </c>
      <c r="Q57" s="242"/>
      <c r="R57" s="260">
        <f t="shared" si="1"/>
        <v>20770892.985676114</v>
      </c>
      <c r="S57" s="262"/>
      <c r="T57" s="242"/>
      <c r="U57" s="242"/>
      <c r="V57" s="266"/>
      <c r="W57" s="266"/>
      <c r="X57" s="267"/>
      <c r="Y57" s="242"/>
      <c r="Z57" s="242"/>
      <c r="AA57" s="242"/>
      <c r="AB57" s="242"/>
      <c r="AC57" s="242"/>
      <c r="AD57" s="242"/>
      <c r="AE57" s="242"/>
      <c r="AF57" s="242"/>
      <c r="AG57" s="242"/>
      <c r="AH57" s="242"/>
      <c r="AI57" s="242"/>
      <c r="AJ57" s="242"/>
      <c r="AK57" s="242"/>
      <c r="AL57" s="242"/>
      <c r="AM57" s="242"/>
    </row>
    <row r="58" spans="1:39" x14ac:dyDescent="0.2">
      <c r="A58" s="500">
        <f t="shared" si="2"/>
        <v>39</v>
      </c>
      <c r="B58" s="259" t="str">
        <f>CONCATENATE('3. Consumption by Rate Class'!B63,"-",'3. Consumption by Rate Class'!C63)</f>
        <v>2009-March</v>
      </c>
      <c r="C58" s="670">
        <v>22665029</v>
      </c>
      <c r="D58" s="826">
        <v>250099</v>
      </c>
      <c r="E58" s="827">
        <v>1501644</v>
      </c>
      <c r="F58" s="826"/>
      <c r="G58" s="826"/>
      <c r="H58" s="677"/>
      <c r="I58" s="677"/>
      <c r="J58" s="550">
        <f t="shared" si="0"/>
        <v>20913286</v>
      </c>
      <c r="K58" s="697">
        <f>IF(K$18='5.Variables'!$B$16,+'5.Variables'!$E30,+IF(K$18='5.Variables'!$B$39,+'5.Variables'!$E53,+IF(K$18='5.Variables'!$B$62,+'5.Variables'!$E67,+IF(K$18='5.Variables'!$B$76,+'5.Variables'!$E81,+IF(K$18='5.Variables'!$B$90,+'5.Variables'!$E95,+IF(K$18='5.Variables'!$B$104,+'5.Variables'!$E109,0))))))</f>
        <v>568.1</v>
      </c>
      <c r="L58" s="697">
        <f>IF(L$18='5.Variables'!$B$16,+'5.Variables'!$E29,+IF(L$18='5.Variables'!$B$39,+'5.Variables'!$E53,+IF(L$18='5.Variables'!$B$62,+'5.Variables'!$E67,+IF(L$18='5.Variables'!$B$76,+'5.Variables'!$E81,+IF(L$18='5.Variables'!$B$90,+'5.Variables'!$E95,+IF(L$18='5.Variables'!$B$104,+'5.Variables'!$E109,0))))))</f>
        <v>0</v>
      </c>
      <c r="M58" s="697">
        <f>IF(M$18='5.Variables'!$B$16,+'5.Variables'!$E29,+IF(M$18='5.Variables'!$B$39,+'5.Variables'!$E53,+IF(M$18='5.Variables'!$B$62,+'5.Variables'!$E67,+IF(M$18='5.Variables'!$B$76,+'5.Variables'!$E81,+IF(M$18='5.Variables'!$B$90,+'5.Variables'!$E95,+IF(M$18='5.Variables'!$B$104,+'5.Variables'!$E109,0))))))</f>
        <v>31</v>
      </c>
      <c r="N58" s="697">
        <f>IF(N$18='5.Variables'!$B$16,+'5.Variables'!$E29,+IF(N$18='5.Variables'!$B$39,+'5.Variables'!$E53,+IF(N$18='5.Variables'!$B$62,+'5.Variables'!$E67,+IF(N$18='5.Variables'!$B$76,+'5.Variables'!$E81,+IF(N$18='5.Variables'!$B$90,+'5.Variables'!$E95,+IF(N$18='5.Variables'!$B$104,+'5.Variables'!$E109,0))))))</f>
        <v>138.58000000000001</v>
      </c>
      <c r="O58" s="697">
        <f>IF(O$18='5.Variables'!$B$16,+'5.Variables'!$E29,+IF(O$18='5.Variables'!$B$39,+'5.Variables'!$E53,+IF(O$18='5.Variables'!$B$62,+'5.Variables'!$E67,+IF(O$18='5.Variables'!$B$76,+'5.Variables'!$E81,+IF(O$18='5.Variables'!$B$90,+'5.Variables'!$E95,+IF(O$18='5.Variables'!$B$104,+'5.Variables'!$E109,0))))))</f>
        <v>0</v>
      </c>
      <c r="P58" s="697">
        <f>IF(P$18='5.Variables'!$B$16,+'5.Variables'!$E29,+IF(P$18='5.Variables'!$B$39,+'5.Variables'!$E53,+IF(P$18='5.Variables'!$B$62,+'5.Variables'!$E67,+IF(P$18='5.Variables'!$B$76,+'5.Variables'!$E81,+IF(P$18='5.Variables'!$B$90,+'5.Variables'!$E95,+IF(P$18='5.Variables'!$B$104,+'5.Variables'!$E109,0))))))</f>
        <v>352</v>
      </c>
      <c r="Q58" s="242"/>
      <c r="R58" s="260">
        <f t="shared" si="1"/>
        <v>22000165.433893852</v>
      </c>
      <c r="S58" s="262"/>
      <c r="T58" s="242"/>
      <c r="U58" s="246" t="s">
        <v>33</v>
      </c>
      <c r="V58" s="246" t="s">
        <v>43</v>
      </c>
      <c r="W58" s="246" t="s">
        <v>31</v>
      </c>
      <c r="X58" s="246" t="s">
        <v>30</v>
      </c>
      <c r="Y58" s="242"/>
      <c r="Z58" s="242"/>
      <c r="AA58" s="242"/>
      <c r="AB58" s="242"/>
      <c r="AC58" s="242"/>
      <c r="AD58" s="242"/>
      <c r="AE58" s="242"/>
      <c r="AF58" s="242"/>
      <c r="AG58" s="242"/>
      <c r="AH58" s="242"/>
      <c r="AI58" s="242"/>
      <c r="AJ58" s="242"/>
      <c r="AK58" s="242"/>
      <c r="AL58" s="242"/>
      <c r="AM58" s="242"/>
    </row>
    <row r="59" spans="1:39" x14ac:dyDescent="0.2">
      <c r="A59" s="500">
        <f t="shared" si="2"/>
        <v>40</v>
      </c>
      <c r="B59" s="259" t="str">
        <f>CONCATENATE('3. Consumption by Rate Class'!B64,"-",'3. Consumption by Rate Class'!C64)</f>
        <v>2009-April</v>
      </c>
      <c r="C59" s="670">
        <v>20109223</v>
      </c>
      <c r="D59" s="826"/>
      <c r="E59" s="827">
        <v>1650019</v>
      </c>
      <c r="F59" s="826"/>
      <c r="G59" s="826"/>
      <c r="H59" s="677"/>
      <c r="I59" s="677"/>
      <c r="J59" s="550">
        <f t="shared" si="0"/>
        <v>18459204</v>
      </c>
      <c r="K59" s="697">
        <f>IF(K$18='5.Variables'!$B$16,+'5.Variables'!$F30,+IF(K$18='5.Variables'!$B$39,+'5.Variables'!$F53,+IF(K$18='5.Variables'!$B$62,+'5.Variables'!$F67,+IF(K$18='5.Variables'!$B$76,+'5.Variables'!$F81,+IF(K$18='5.Variables'!$B$90,+'5.Variables'!$F95,+IF(K$18='5.Variables'!$B$104,+'5.Variables'!$F109,0))))))</f>
        <v>345.4</v>
      </c>
      <c r="L59" s="697">
        <f>IF(L$18='5.Variables'!$B$16,+'5.Variables'!$F29,+IF(L$18='5.Variables'!$B$39,+'5.Variables'!$F53,+IF(L$18='5.Variables'!$B$62,+'5.Variables'!$F67,+IF(L$18='5.Variables'!$B$76,+'5.Variables'!$F81,+IF(L$18='5.Variables'!$B$90,+'5.Variables'!$F95,+IF(L$18='5.Variables'!$B$104,+'5.Variables'!$F109,0))))))</f>
        <v>0</v>
      </c>
      <c r="M59" s="697">
        <f>IF(M$18='5.Variables'!$B$16,+'5.Variables'!$F29,+IF(M$18='5.Variables'!$B$39,+'5.Variables'!$F53,+IF(M$18='5.Variables'!$B$62,+'5.Variables'!$F67,+IF(M$18='5.Variables'!$B$76,+'5.Variables'!$F81,+IF(M$18='5.Variables'!$B$90,+'5.Variables'!$F95,+IF(M$18='5.Variables'!$B$104,+'5.Variables'!$F109,0))))))</f>
        <v>30</v>
      </c>
      <c r="N59" s="697">
        <f>IF(N$18='5.Variables'!$B$16,+'5.Variables'!$F29,+IF(N$18='5.Variables'!$B$39,+'5.Variables'!$F53,+IF(N$18='5.Variables'!$B$62,+'5.Variables'!$F67,+IF(N$18='5.Variables'!$B$76,+'5.Variables'!$F81,+IF(N$18='5.Variables'!$B$90,+'5.Variables'!$F95,+IF(N$18='5.Variables'!$B$104,+'5.Variables'!$F109,0))))))</f>
        <v>138.18</v>
      </c>
      <c r="O59" s="697">
        <f>IF(O$18='5.Variables'!$B$16,+'5.Variables'!$F29,+IF(O$18='5.Variables'!$B$39,+'5.Variables'!$F53,+IF(O$18='5.Variables'!$B$62,+'5.Variables'!$F67,+IF(O$18='5.Variables'!$B$76,+'5.Variables'!$F81,+IF(O$18='5.Variables'!$B$90,+'5.Variables'!$F95,+IF(O$18='5.Variables'!$B$104,+'5.Variables'!$F109,0))))))</f>
        <v>0</v>
      </c>
      <c r="P59" s="697">
        <f>IF(P$18='5.Variables'!$B$16,+'5.Variables'!$F29,+IF(P$18='5.Variables'!$B$39,+'5.Variables'!$F53,+IF(P$18='5.Variables'!$B$62,+'5.Variables'!$F67,+IF(P$18='5.Variables'!$B$76,+'5.Variables'!$F81,+IF(P$18='5.Variables'!$B$90,+'5.Variables'!$F95,+IF(P$18='5.Variables'!$B$104,+'5.Variables'!$F109,0))))))</f>
        <v>320</v>
      </c>
      <c r="Q59" s="242"/>
      <c r="R59" s="260">
        <f t="shared" si="1"/>
        <v>19914326.881817009</v>
      </c>
      <c r="S59" s="262"/>
      <c r="T59" s="242"/>
      <c r="U59" s="247">
        <f>'4. Customer Growth'!B17</f>
        <v>2006</v>
      </c>
      <c r="V59" s="264">
        <f>V46</f>
        <v>240687668</v>
      </c>
      <c r="W59" s="264">
        <f t="shared" ref="W59:W68" si="5">X46</f>
        <v>244958698.73945877</v>
      </c>
      <c r="X59" s="265">
        <f>IF(ABS(V59-W59)=0,0,ABS(V59-W59)/V59)</f>
        <v>1.7745116627490735E-2</v>
      </c>
      <c r="Y59" s="242"/>
      <c r="Z59" s="242"/>
      <c r="AA59" s="242"/>
      <c r="AB59" s="242"/>
      <c r="AC59" s="242"/>
      <c r="AD59" s="242"/>
      <c r="AE59" s="242"/>
      <c r="AF59" s="242"/>
      <c r="AG59" s="242"/>
      <c r="AH59" s="242"/>
      <c r="AI59" s="242"/>
      <c r="AJ59" s="242"/>
      <c r="AK59" s="242"/>
      <c r="AL59" s="242"/>
      <c r="AM59" s="242"/>
    </row>
    <row r="60" spans="1:39" x14ac:dyDescent="0.2">
      <c r="A60" s="500">
        <f t="shared" si="2"/>
        <v>41</v>
      </c>
      <c r="B60" s="259" t="str">
        <f>CONCATENATE('3. Consumption by Rate Class'!B65,"-",'3. Consumption by Rate Class'!C65)</f>
        <v>2009-May</v>
      </c>
      <c r="C60" s="670">
        <v>19485273</v>
      </c>
      <c r="D60" s="826"/>
      <c r="E60" s="827">
        <v>1911296</v>
      </c>
      <c r="F60" s="826"/>
      <c r="G60" s="826"/>
      <c r="H60" s="677"/>
      <c r="I60" s="677"/>
      <c r="J60" s="550">
        <f t="shared" si="0"/>
        <v>17573977</v>
      </c>
      <c r="K60" s="697">
        <f>IF(K$18='5.Variables'!$B$16,+'5.Variables'!$G30,+IF(K$18='5.Variables'!$B$39,+'5.Variables'!$G53,+IF(K$18='5.Variables'!$B$62,+'5.Variables'!$G67,+IF(K$18='5.Variables'!$B$76,+'5.Variables'!$G81,+IF(K$18='5.Variables'!$B$90,+'5.Variables'!$G95,+IF(K$18='5.Variables'!$B$104,+'5.Variables'!$G109,0))))))</f>
        <v>231.1</v>
      </c>
      <c r="L60" s="697">
        <f>IF(L$18='5.Variables'!$B$16,+'5.Variables'!$G29,+IF(L$18='5.Variables'!$B$39,+'5.Variables'!$G53,+IF(L$18='5.Variables'!$B$62,+'5.Variables'!$G67,+IF(L$18='5.Variables'!$B$76,+'5.Variables'!$G81,+IF(L$18='5.Variables'!$B$90,+'5.Variables'!$G95,+IF(L$18='5.Variables'!$B$104,+'5.Variables'!$G109,0))))))</f>
        <v>0</v>
      </c>
      <c r="M60" s="697">
        <f>IF(M$18='5.Variables'!$B$16,+'5.Variables'!$G29,+IF(M$18='5.Variables'!$B$39,+'5.Variables'!$G53,+IF(M$18='5.Variables'!$B$62,+'5.Variables'!$G67,+IF(M$18='5.Variables'!$B$76,+'5.Variables'!$G81,+IF(M$18='5.Variables'!$B$90,+'5.Variables'!$G95,+IF(M$18='5.Variables'!$B$104,+'5.Variables'!$G109,0))))))</f>
        <v>31</v>
      </c>
      <c r="N60" s="697">
        <f>IF(N$18='5.Variables'!$B$16,+'5.Variables'!$G29,+IF(N$18='5.Variables'!$B$39,+'5.Variables'!$G53,+IF(N$18='5.Variables'!$B$62,+'5.Variables'!$G67,+IF(N$18='5.Variables'!$B$76,+'5.Variables'!$G81,+IF(N$18='5.Variables'!$B$90,+'5.Variables'!$G95,+IF(N$18='5.Variables'!$B$104,+'5.Variables'!$G109,0))))))</f>
        <v>137.78</v>
      </c>
      <c r="O60" s="697">
        <f>IF(O$18='5.Variables'!$B$16,+'5.Variables'!$G29,+IF(O$18='5.Variables'!$B$39,+'5.Variables'!$G53,+IF(O$18='5.Variables'!$B$62,+'5.Variables'!$G67,+IF(O$18='5.Variables'!$B$76,+'5.Variables'!$G81,+IF(O$18='5.Variables'!$B$90,+'5.Variables'!$G95,+IF(O$18='5.Variables'!$B$104,+'5.Variables'!$G109,0))))))</f>
        <v>0</v>
      </c>
      <c r="P60" s="697">
        <f>IF(P$18='5.Variables'!$B$16,+'5.Variables'!$G29,+IF(P$18='5.Variables'!$B$39,+'5.Variables'!$G53,+IF(P$18='5.Variables'!$B$62,+'5.Variables'!$G67,+IF(P$18='5.Variables'!$B$76,+'5.Variables'!$G81,+IF(P$18='5.Variables'!$B$90,+'5.Variables'!$G95,+IF(P$18='5.Variables'!$B$104,+'5.Variables'!$G109,0))))))</f>
        <v>320</v>
      </c>
      <c r="Q60" s="242"/>
      <c r="R60" s="260">
        <f t="shared" si="1"/>
        <v>19537579.287632436</v>
      </c>
      <c r="S60" s="262"/>
      <c r="T60" s="242"/>
      <c r="U60" s="247">
        <f>'4. Customer Growth'!B18</f>
        <v>2007</v>
      </c>
      <c r="V60" s="264">
        <f>V47</f>
        <v>248683053.34999996</v>
      </c>
      <c r="W60" s="264">
        <f t="shared" si="5"/>
        <v>248683575.31460232</v>
      </c>
      <c r="X60" s="265">
        <f t="shared" ref="X60:X68" si="6">IF(ABS(V60-W60)=0,0,ABS(V60-W60)/V60)</f>
        <v>2.098915045958393E-6</v>
      </c>
      <c r="Y60" s="268"/>
      <c r="Z60" s="242"/>
      <c r="AA60" s="242"/>
      <c r="AB60" s="242"/>
      <c r="AC60" s="242"/>
      <c r="AD60" s="242"/>
      <c r="AE60" s="242"/>
      <c r="AF60" s="242"/>
      <c r="AG60" s="242"/>
      <c r="AH60" s="242"/>
      <c r="AI60" s="242"/>
      <c r="AJ60" s="242"/>
      <c r="AK60" s="242"/>
      <c r="AL60" s="242"/>
      <c r="AM60" s="242"/>
    </row>
    <row r="61" spans="1:39" x14ac:dyDescent="0.2">
      <c r="A61" s="500">
        <f t="shared" si="2"/>
        <v>42</v>
      </c>
      <c r="B61" s="259" t="str">
        <f>CONCATENATE('3. Consumption by Rate Class'!B66,"-",'3. Consumption by Rate Class'!C66)</f>
        <v>2009-June</v>
      </c>
      <c r="C61" s="670">
        <v>20406593</v>
      </c>
      <c r="D61" s="826"/>
      <c r="E61" s="827">
        <v>1979470</v>
      </c>
      <c r="F61" s="826"/>
      <c r="G61" s="826"/>
      <c r="H61" s="677"/>
      <c r="I61" s="677"/>
      <c r="J61" s="550">
        <f t="shared" si="0"/>
        <v>18427123</v>
      </c>
      <c r="K61" s="697">
        <f>IF(K$18='5.Variables'!$B$16,+'5.Variables'!$H30,+IF(K$18='5.Variables'!$B$39,+'5.Variables'!$H53,+IF(K$18='5.Variables'!$B$62,+'5.Variables'!$H67,+IF(K$18='5.Variables'!$B$76,+'5.Variables'!$H81,+IF(K$18='5.Variables'!$B$90,+'5.Variables'!$H95,+IF(K$18='5.Variables'!$B$104,+'5.Variables'!$H109,0))))))</f>
        <v>86.1</v>
      </c>
      <c r="L61" s="697">
        <f>IF(L$18='5.Variables'!$B$16,+'5.Variables'!$H29,+IF(L$18='5.Variables'!$B$39,+'5.Variables'!$H53,+IF(L$18='5.Variables'!$B$62,+'5.Variables'!$H67,+IF(L$18='5.Variables'!$B$76,+'5.Variables'!$H81,+IF(L$18='5.Variables'!$B$90,+'5.Variables'!$H95,+IF(L$18='5.Variables'!$B$104,+'5.Variables'!$H109,0))))))</f>
        <v>12.1</v>
      </c>
      <c r="M61" s="697">
        <f>IF(M$18='5.Variables'!$B$16,+'5.Variables'!$H29,+IF(M$18='5.Variables'!$B$39,+'5.Variables'!$H53,+IF(M$18='5.Variables'!$B$62,+'5.Variables'!$H67,+IF(M$18='5.Variables'!$B$76,+'5.Variables'!$H81,+IF(M$18='5.Variables'!$B$90,+'5.Variables'!$H95,+IF(M$18='5.Variables'!$B$104,+'5.Variables'!$H109,0))))))</f>
        <v>30</v>
      </c>
      <c r="N61" s="697">
        <f>IF(N$18='5.Variables'!$B$16,+'5.Variables'!$H29,+IF(N$18='5.Variables'!$B$39,+'5.Variables'!$H53,+IF(N$18='5.Variables'!$B$62,+'5.Variables'!$H67,+IF(N$18='5.Variables'!$B$76,+'5.Variables'!$H81,+IF(N$18='5.Variables'!$B$90,+'5.Variables'!$H95,+IF(N$18='5.Variables'!$B$104,+'5.Variables'!$H109,0))))))</f>
        <v>137.38</v>
      </c>
      <c r="O61" s="697">
        <f>IF(O$18='5.Variables'!$B$16,+'5.Variables'!$H29,+IF(O$18='5.Variables'!$B$39,+'5.Variables'!$H53,+IF(O$18='5.Variables'!$B$62,+'5.Variables'!$H67,+IF(O$18='5.Variables'!$B$76,+'5.Variables'!$H81,+IF(O$18='5.Variables'!$B$90,+'5.Variables'!$H95,+IF(O$18='5.Variables'!$B$104,+'5.Variables'!$H109,0))))))</f>
        <v>0</v>
      </c>
      <c r="P61" s="697">
        <f>IF(P$18='5.Variables'!$B$16,+'5.Variables'!$H29,+IF(P$18='5.Variables'!$B$39,+'5.Variables'!$H53,+IF(P$18='5.Variables'!$B$62,+'5.Variables'!$H67,+IF(P$18='5.Variables'!$B$76,+'5.Variables'!$H81,+IF(P$18='5.Variables'!$B$90,+'5.Variables'!$H95,+IF(P$18='5.Variables'!$B$104,+'5.Variables'!$H109,0))))))</f>
        <v>352</v>
      </c>
      <c r="Q61" s="242"/>
      <c r="R61" s="260">
        <f t="shared" si="1"/>
        <v>18926483.722606875</v>
      </c>
      <c r="S61" s="262"/>
      <c r="T61" s="242"/>
      <c r="U61" s="247">
        <f>'4. Customer Growth'!B19</f>
        <v>2008</v>
      </c>
      <c r="V61" s="264">
        <f t="shared" ref="V61:V68" si="7">V48</f>
        <v>241507708</v>
      </c>
      <c r="W61" s="264">
        <f t="shared" si="5"/>
        <v>247069840.93236792</v>
      </c>
      <c r="X61" s="265">
        <f t="shared" si="6"/>
        <v>2.3030871264646844E-2</v>
      </c>
      <c r="Y61" s="268"/>
      <c r="Z61" s="242"/>
      <c r="AA61" s="242"/>
      <c r="AB61" s="242"/>
      <c r="AC61" s="242"/>
      <c r="AD61" s="242"/>
      <c r="AE61" s="242"/>
      <c r="AF61" s="242"/>
      <c r="AG61" s="242"/>
      <c r="AH61" s="242"/>
      <c r="AI61" s="242"/>
      <c r="AJ61" s="242"/>
      <c r="AK61" s="242"/>
      <c r="AL61" s="242"/>
      <c r="AM61" s="242"/>
    </row>
    <row r="62" spans="1:39" x14ac:dyDescent="0.2">
      <c r="A62" s="500">
        <f t="shared" si="2"/>
        <v>43</v>
      </c>
      <c r="B62" s="259" t="str">
        <f>CONCATENATE('3. Consumption by Rate Class'!B67,"-",'3. Consumption by Rate Class'!C67)</f>
        <v>2009-July</v>
      </c>
      <c r="C62" s="670">
        <v>20738546</v>
      </c>
      <c r="D62" s="826"/>
      <c r="E62" s="827">
        <v>1750420</v>
      </c>
      <c r="F62" s="826"/>
      <c r="G62" s="826"/>
      <c r="H62" s="677"/>
      <c r="I62" s="677"/>
      <c r="J62" s="550">
        <f t="shared" si="0"/>
        <v>18988126</v>
      </c>
      <c r="K62" s="697">
        <f>IF(K$18='5.Variables'!$B$16,+'5.Variables'!$I30,+IF(K$18='5.Variables'!$B$39,+'5.Variables'!$I53,+IF(K$18='5.Variables'!$B$62,+'5.Variables'!$I67,+IF(K$18='5.Variables'!$B$76,+'5.Variables'!$I81,+IF(K$18='5.Variables'!$B$90,+'5.Variables'!$I95,+IF(K$18='5.Variables'!$B$104,+'5.Variables'!$I109,0))))))</f>
        <v>41.5</v>
      </c>
      <c r="L62" s="697">
        <f>IF(L$18='5.Variables'!$B$16,+'5.Variables'!$I29,+IF(L$18='5.Variables'!$B$39,+'5.Variables'!$I53,+IF(L$18='5.Variables'!$B$62,+'5.Variables'!$I67,+IF(L$18='5.Variables'!$B$76,+'5.Variables'!$I81,+IF(L$18='5.Variables'!$B$90,+'5.Variables'!$I95,+IF(L$18='5.Variables'!$B$104,+'5.Variables'!$I109,0))))))</f>
        <v>18.2</v>
      </c>
      <c r="M62" s="697">
        <f>IF(M$18='5.Variables'!$B$16,+'5.Variables'!$I29,+IF(M$18='5.Variables'!$B$39,+'5.Variables'!$I53,+IF(M$18='5.Variables'!$B$62,+'5.Variables'!$I67,+IF(M$18='5.Variables'!$B$76,+'5.Variables'!$I81,+IF(M$18='5.Variables'!$B$90,+'5.Variables'!$I95,+IF(M$18='5.Variables'!$B$104,+'5.Variables'!$I109,0))))))</f>
        <v>31</v>
      </c>
      <c r="N62" s="697">
        <f>IF(N$18='5.Variables'!$B$16,+'5.Variables'!$I29,+IF(N$18='5.Variables'!$B$39,+'5.Variables'!$I53,+IF(N$18='5.Variables'!$B$62,+'5.Variables'!$I67,+IF(N$18='5.Variables'!$B$76,+'5.Variables'!$I81,+IF(N$18='5.Variables'!$B$90,+'5.Variables'!$I95,+IF(N$18='5.Variables'!$B$104,+'5.Variables'!$I109,0))))))</f>
        <v>136.99</v>
      </c>
      <c r="O62" s="697">
        <f>IF(O$18='5.Variables'!$B$16,+'5.Variables'!$I29,+IF(O$18='5.Variables'!$B$39,+'5.Variables'!$I53,+IF(O$18='5.Variables'!$B$62,+'5.Variables'!$I67,+IF(O$18='5.Variables'!$B$76,+'5.Variables'!$I81,+IF(O$18='5.Variables'!$B$90,+'5.Variables'!$I95,+IF(O$18='5.Variables'!$B$104,+'5.Variables'!$I109,0))))))</f>
        <v>0</v>
      </c>
      <c r="P62" s="697">
        <f>IF(P$18='5.Variables'!$B$16,+'5.Variables'!$I29,+IF(P$18='5.Variables'!$B$39,+'5.Variables'!$I53,+IF(P$18='5.Variables'!$B$62,+'5.Variables'!$I67,+IF(P$18='5.Variables'!$B$76,+'5.Variables'!$I81,+IF(P$18='5.Variables'!$B$90,+'5.Variables'!$I95,+IF(P$18='5.Variables'!$B$104,+'5.Variables'!$I109,0))))))</f>
        <v>352</v>
      </c>
      <c r="Q62" s="242"/>
      <c r="R62" s="260">
        <f t="shared" si="1"/>
        <v>19246965.838247955</v>
      </c>
      <c r="S62" s="262"/>
      <c r="T62" s="242"/>
      <c r="U62" s="247">
        <f>'4. Customer Growth'!B20</f>
        <v>2009</v>
      </c>
      <c r="V62" s="264">
        <f t="shared" si="7"/>
        <v>236526800</v>
      </c>
      <c r="W62" s="264">
        <f t="shared" si="5"/>
        <v>245470671.7507762</v>
      </c>
      <c r="X62" s="265">
        <f t="shared" si="6"/>
        <v>3.781335455760701E-2</v>
      </c>
      <c r="Y62" s="268"/>
      <c r="Z62" s="242"/>
      <c r="AA62" s="242"/>
      <c r="AB62" s="242"/>
      <c r="AC62" s="242"/>
      <c r="AD62" s="242"/>
      <c r="AE62" s="242"/>
      <c r="AF62" s="242"/>
      <c r="AG62" s="242"/>
      <c r="AH62" s="242"/>
      <c r="AI62" s="242"/>
      <c r="AJ62" s="242"/>
      <c r="AK62" s="242"/>
      <c r="AL62" s="242"/>
      <c r="AM62" s="242"/>
    </row>
    <row r="63" spans="1:39" x14ac:dyDescent="0.2">
      <c r="A63" s="500">
        <f t="shared" si="2"/>
        <v>44</v>
      </c>
      <c r="B63" s="259" t="str">
        <f>CONCATENATE('3. Consumption by Rate Class'!B68,"-",'3. Consumption by Rate Class'!C68)</f>
        <v>2009-August</v>
      </c>
      <c r="C63" s="670">
        <v>22020601</v>
      </c>
      <c r="D63" s="826"/>
      <c r="E63" s="827">
        <v>1632661</v>
      </c>
      <c r="F63" s="826"/>
      <c r="G63" s="826"/>
      <c r="H63" s="677"/>
      <c r="I63" s="677"/>
      <c r="J63" s="550">
        <f t="shared" si="0"/>
        <v>20387940</v>
      </c>
      <c r="K63" s="697">
        <f>IF(K$18='5.Variables'!$B$16,+'5.Variables'!$J30,+IF(K$18='5.Variables'!$B$39,+'5.Variables'!$J53,+IF(K$18='5.Variables'!$B$62,+'5.Variables'!$J67,+IF(K$18='5.Variables'!$B$76,+'5.Variables'!$J81,+IF(K$18='5.Variables'!$B$90,+'5.Variables'!$J95,+IF(K$18='5.Variables'!$B$104,+'5.Variables'!$J109,0))))))</f>
        <v>15.7</v>
      </c>
      <c r="L63" s="697">
        <f>IF(L$18='5.Variables'!$B$16,+'5.Variables'!$J29,+IF(L$18='5.Variables'!$B$39,+'5.Variables'!$J53,+IF(L$18='5.Variables'!$B$62,+'5.Variables'!$J67,+IF(L$18='5.Variables'!$B$76,+'5.Variables'!$J81,+IF(L$18='5.Variables'!$B$90,+'5.Variables'!$J95,+IF(L$18='5.Variables'!$B$104,+'5.Variables'!$J109,0))))))</f>
        <v>58.6</v>
      </c>
      <c r="M63" s="697">
        <f>IF(M$18='5.Variables'!$B$16,+'5.Variables'!$J29,+IF(M$18='5.Variables'!$B$39,+'5.Variables'!$J53,+IF(M$18='5.Variables'!$B$62,+'5.Variables'!$J67,+IF(M$18='5.Variables'!$B$76,+'5.Variables'!$J81,+IF(M$18='5.Variables'!$B$90,+'5.Variables'!$J95,+IF(M$18='5.Variables'!$B$104,+'5.Variables'!$J109,0))))))</f>
        <v>31</v>
      </c>
      <c r="N63" s="697">
        <f>IF(N$18='5.Variables'!$B$16,+'5.Variables'!$J29,+IF(N$18='5.Variables'!$B$39,+'5.Variables'!$J53,+IF(N$18='5.Variables'!$B$62,+'5.Variables'!$J67,+IF(N$18='5.Variables'!$B$76,+'5.Variables'!$J81,+IF(N$18='5.Variables'!$B$90,+'5.Variables'!$J95,+IF(N$18='5.Variables'!$B$104,+'5.Variables'!$J109,0))))))</f>
        <v>136.59</v>
      </c>
      <c r="O63" s="697">
        <f>IF(O$18='5.Variables'!$B$16,+'5.Variables'!$J29,+IF(O$18='5.Variables'!$B$39,+'5.Variables'!$J53,+IF(O$18='5.Variables'!$B$62,+'5.Variables'!$J67,+IF(O$18='5.Variables'!$B$76,+'5.Variables'!$J81,+IF(O$18='5.Variables'!$B$90,+'5.Variables'!$J95,+IF(O$18='5.Variables'!$B$104,+'5.Variables'!$J109,0))))))</f>
        <v>0</v>
      </c>
      <c r="P63" s="697">
        <f>IF(P$18='5.Variables'!$B$16,+'5.Variables'!$J29,+IF(P$18='5.Variables'!$B$39,+'5.Variables'!$J53,+IF(P$18='5.Variables'!$B$62,+'5.Variables'!$J67,+IF(P$18='5.Variables'!$B$76,+'5.Variables'!$J81,+IF(P$18='5.Variables'!$B$90,+'5.Variables'!$J95,+IF(P$18='5.Variables'!$B$104,+'5.Variables'!$J109,0))))))</f>
        <v>320</v>
      </c>
      <c r="Q63" s="242"/>
      <c r="R63" s="260">
        <f t="shared" si="1"/>
        <v>20431812.534851134</v>
      </c>
      <c r="S63" s="262"/>
      <c r="T63" s="242"/>
      <c r="U63" s="247">
        <f>'4. Customer Growth'!B21</f>
        <v>2010</v>
      </c>
      <c r="V63" s="264">
        <f t="shared" si="7"/>
        <v>244543390.56</v>
      </c>
      <c r="W63" s="264">
        <f t="shared" si="5"/>
        <v>247205392.77313605</v>
      </c>
      <c r="X63" s="265">
        <f t="shared" si="6"/>
        <v>1.088560278419347E-2</v>
      </c>
      <c r="Y63" s="268"/>
      <c r="Z63" s="242"/>
      <c r="AA63" s="242"/>
      <c r="AB63" s="242"/>
      <c r="AC63" s="242"/>
      <c r="AD63" s="242"/>
      <c r="AE63" s="242"/>
      <c r="AF63" s="242"/>
      <c r="AG63" s="242"/>
      <c r="AH63" s="242"/>
      <c r="AI63" s="242"/>
      <c r="AJ63" s="242"/>
      <c r="AK63" s="242"/>
      <c r="AL63" s="242"/>
      <c r="AM63" s="242"/>
    </row>
    <row r="64" spans="1:39" x14ac:dyDescent="0.2">
      <c r="A64" s="500">
        <f t="shared" si="2"/>
        <v>45</v>
      </c>
      <c r="B64" s="259" t="str">
        <f>CONCATENATE('3. Consumption by Rate Class'!B69,"-",'3. Consumption by Rate Class'!C69)</f>
        <v>2009-September</v>
      </c>
      <c r="C64" s="670">
        <v>19999575</v>
      </c>
      <c r="D64" s="826"/>
      <c r="E64" s="827">
        <v>1592813</v>
      </c>
      <c r="F64" s="826"/>
      <c r="G64" s="826"/>
      <c r="H64" s="677"/>
      <c r="I64" s="677"/>
      <c r="J64" s="550">
        <f t="shared" si="0"/>
        <v>18406762</v>
      </c>
      <c r="K64" s="697">
        <f>IF(K$18='5.Variables'!$B$16,+'5.Variables'!$K30,+IF(K$18='5.Variables'!$B$39,+'5.Variables'!$K53,+IF(K$18='5.Variables'!$B$62,+'5.Variables'!$K67,+IF(K$18='5.Variables'!$B$76,+'5.Variables'!$K81,+IF(K$18='5.Variables'!$B$90,+'5.Variables'!$K95,+IF(K$18='5.Variables'!$B$104,+'5.Variables'!$K109,0))))))</f>
        <v>70.099999999999994</v>
      </c>
      <c r="L64" s="697">
        <f>IF(L$18='5.Variables'!$B$16,+'5.Variables'!$K29,+IF(L$18='5.Variables'!$B$39,+'5.Variables'!$K53,+IF(L$18='5.Variables'!$B$62,+'5.Variables'!$K67,+IF(L$18='5.Variables'!$B$76,+'5.Variables'!$K81,+IF(L$18='5.Variables'!$B$90,+'5.Variables'!$K95,+IF(L$18='5.Variables'!$B$104,+'5.Variables'!$K109,0))))))</f>
        <v>11.6</v>
      </c>
      <c r="M64" s="697">
        <f>IF(M$18='5.Variables'!$B$16,+'5.Variables'!$K29,+IF(M$18='5.Variables'!$B$39,+'5.Variables'!$K53,+IF(M$18='5.Variables'!$B$62,+'5.Variables'!$K67,+IF(M$18='5.Variables'!$B$76,+'5.Variables'!$K81,+IF(M$18='5.Variables'!$B$90,+'5.Variables'!$K95,+IF(M$18='5.Variables'!$B$104,+'5.Variables'!$K109,0))))))</f>
        <v>30</v>
      </c>
      <c r="N64" s="697">
        <f>IF(N$18='5.Variables'!$B$16,+'5.Variables'!$K29,+IF(N$18='5.Variables'!$B$39,+'5.Variables'!$K53,+IF(N$18='5.Variables'!$B$62,+'5.Variables'!$K67,+IF(N$18='5.Variables'!$B$76,+'5.Variables'!$K81,+IF(N$18='5.Variables'!$B$90,+'5.Variables'!$K95,+IF(N$18='5.Variables'!$B$104,+'5.Variables'!$K109,0))))))</f>
        <v>136.19999999999999</v>
      </c>
      <c r="O64" s="697">
        <f>IF(O$18='5.Variables'!$B$16,+'5.Variables'!$K29,+IF(O$18='5.Variables'!$B$39,+'5.Variables'!$K53,+IF(O$18='5.Variables'!$B$62,+'5.Variables'!$K67,+IF(O$18='5.Variables'!$B$76,+'5.Variables'!$K81,+IF(O$18='5.Variables'!$B$90,+'5.Variables'!$K95,+IF(O$18='5.Variables'!$B$104,+'5.Variables'!$K109,0))))))</f>
        <v>0</v>
      </c>
      <c r="P64" s="697">
        <f>IF(P$18='5.Variables'!$B$16,+'5.Variables'!$K29,+IF(P$18='5.Variables'!$B$39,+'5.Variables'!$K53,+IF(P$18='5.Variables'!$B$62,+'5.Variables'!$K67,+IF(P$18='5.Variables'!$B$76,+'5.Variables'!$K81,+IF(P$18='5.Variables'!$B$90,+'5.Variables'!$K95,+IF(P$18='5.Variables'!$B$104,+'5.Variables'!$K109,0))))))</f>
        <v>336</v>
      </c>
      <c r="Q64" s="242"/>
      <c r="R64" s="260">
        <f t="shared" si="1"/>
        <v>18646058.742347125</v>
      </c>
      <c r="S64" s="262"/>
      <c r="T64" s="242"/>
      <c r="U64" s="247">
        <f>'4. Customer Growth'!B22</f>
        <v>2011</v>
      </c>
      <c r="V64" s="264">
        <f t="shared" si="7"/>
        <v>248601682.74000001</v>
      </c>
      <c r="W64" s="264">
        <f t="shared" si="5"/>
        <v>248673994.55355757</v>
      </c>
      <c r="X64" s="265">
        <f t="shared" si="6"/>
        <v>2.9087419184202587E-4</v>
      </c>
      <c r="Y64" s="268"/>
      <c r="Z64" s="242"/>
      <c r="AA64" s="242"/>
      <c r="AB64" s="242"/>
      <c r="AC64" s="242"/>
      <c r="AD64" s="242"/>
      <c r="AE64" s="242"/>
      <c r="AF64" s="242"/>
      <c r="AG64" s="242"/>
      <c r="AH64" s="242"/>
      <c r="AI64" s="242"/>
      <c r="AJ64" s="242"/>
      <c r="AK64" s="242"/>
      <c r="AL64" s="242"/>
      <c r="AM64" s="242"/>
    </row>
    <row r="65" spans="1:39" x14ac:dyDescent="0.2">
      <c r="A65" s="500">
        <f t="shared" si="2"/>
        <v>46</v>
      </c>
      <c r="B65" s="259" t="str">
        <f>CONCATENATE('3. Consumption by Rate Class'!B70,"-",'3. Consumption by Rate Class'!C70)</f>
        <v>2009-October</v>
      </c>
      <c r="C65" s="670">
        <v>20858420</v>
      </c>
      <c r="D65" s="826"/>
      <c r="E65" s="827">
        <v>1681377</v>
      </c>
      <c r="F65" s="826"/>
      <c r="G65" s="826"/>
      <c r="H65" s="676"/>
      <c r="I65" s="677"/>
      <c r="J65" s="550">
        <f t="shared" si="0"/>
        <v>19177043</v>
      </c>
      <c r="K65" s="697">
        <f>IF(K$18='5.Variables'!$B$16,+'5.Variables'!$L30,+IF(K$18='5.Variables'!$B$39,+'5.Variables'!$L53,+IF(K$18='5.Variables'!$B$62,+'5.Variables'!$L67,+IF(K$18='5.Variables'!$B$76,+'5.Variables'!$L81,+IF(K$18='5.Variables'!$B$90,+'5.Variables'!$L95,+IF(K$18='5.Variables'!$B$104,+'5.Variables'!$L109,0))))))</f>
        <v>313.3</v>
      </c>
      <c r="L65" s="697">
        <f>IF(L$18='5.Variables'!$B$16,+'5.Variables'!$L29,+IF(L$18='5.Variables'!$B$39,+'5.Variables'!$L53,+IF(L$18='5.Variables'!$B$62,+'5.Variables'!$L67,+IF(L$18='5.Variables'!$B$76,+'5.Variables'!$L81,+IF(L$18='5.Variables'!$B$90,+'5.Variables'!$L95,+IF(L$18='5.Variables'!$B$104,+'5.Variables'!$L109,0))))))</f>
        <v>0</v>
      </c>
      <c r="M65" s="697">
        <f>IF(M$18='5.Variables'!$B$16,+'5.Variables'!$L29,+IF(M$18='5.Variables'!$B$39,+'5.Variables'!$L53,+IF(M$18='5.Variables'!$B$62,+'5.Variables'!$L67,+IF(M$18='5.Variables'!$B$76,+'5.Variables'!$L81,+IF(M$18='5.Variables'!$B$90,+'5.Variables'!$L95,+IF(M$18='5.Variables'!$B$104,+'5.Variables'!$L109,0))))))</f>
        <v>31</v>
      </c>
      <c r="N65" s="697">
        <f>IF(N$18='5.Variables'!$B$16,+'5.Variables'!$L29,+IF(N$18='5.Variables'!$B$39,+'5.Variables'!$L53,+IF(N$18='5.Variables'!$B$62,+'5.Variables'!$L67,+IF(N$18='5.Variables'!$B$76,+'5.Variables'!$L81,+IF(N$18='5.Variables'!$B$90,+'5.Variables'!$L95,+IF(N$18='5.Variables'!$B$104,+'5.Variables'!$L109,0))))))</f>
        <v>135.81</v>
      </c>
      <c r="O65" s="697">
        <f>IF(O$18='5.Variables'!$B$16,+'5.Variables'!$L29,+IF(O$18='5.Variables'!$B$39,+'5.Variables'!$L53,+IF(O$18='5.Variables'!$B$62,+'5.Variables'!$L67,+IF(O$18='5.Variables'!$B$76,+'5.Variables'!$L81,+IF(O$18='5.Variables'!$B$90,+'5.Variables'!$L95,+IF(O$18='5.Variables'!$B$104,+'5.Variables'!$L109,0))))))</f>
        <v>0</v>
      </c>
      <c r="P65" s="697">
        <f>IF(P$18='5.Variables'!$B$16,+'5.Variables'!$L29,+IF(P$18='5.Variables'!$B$39,+'5.Variables'!$L53,+IF(P$18='5.Variables'!$B$62,+'5.Variables'!$L67,+IF(P$18='5.Variables'!$B$76,+'5.Variables'!$L81,+IF(P$18='5.Variables'!$B$90,+'5.Variables'!$L95,+IF(P$18='5.Variables'!$B$104,+'5.Variables'!$L109,0))))))</f>
        <v>336</v>
      </c>
      <c r="Q65" s="242"/>
      <c r="R65" s="260">
        <f t="shared" si="1"/>
        <v>20137169.90667465</v>
      </c>
      <c r="S65" s="262"/>
      <c r="T65" s="242"/>
      <c r="U65" s="247">
        <f>'4. Customer Growth'!B23</f>
        <v>2012</v>
      </c>
      <c r="V65" s="264">
        <f t="shared" si="7"/>
        <v>250144401.56999999</v>
      </c>
      <c r="W65" s="264">
        <f t="shared" si="5"/>
        <v>250342774.98395351</v>
      </c>
      <c r="X65" s="265">
        <f t="shared" si="6"/>
        <v>7.93035593474997E-4</v>
      </c>
      <c r="Y65" s="268"/>
      <c r="Z65" s="242"/>
      <c r="AA65" s="242"/>
      <c r="AB65" s="242"/>
      <c r="AC65" s="242"/>
      <c r="AD65" s="242"/>
      <c r="AE65" s="242"/>
      <c r="AF65" s="242"/>
      <c r="AG65" s="242"/>
      <c r="AH65" s="242"/>
      <c r="AI65" s="242"/>
      <c r="AJ65" s="242"/>
      <c r="AK65" s="242"/>
      <c r="AL65" s="242"/>
      <c r="AM65" s="242"/>
    </row>
    <row r="66" spans="1:39" x14ac:dyDescent="0.2">
      <c r="A66" s="500">
        <f t="shared" si="2"/>
        <v>47</v>
      </c>
      <c r="B66" s="259" t="str">
        <f>CONCATENATE('3. Consumption by Rate Class'!B71,"-",'3. Consumption by Rate Class'!C71)</f>
        <v>2009-November</v>
      </c>
      <c r="C66" s="670">
        <v>20896295</v>
      </c>
      <c r="D66" s="826"/>
      <c r="E66" s="827">
        <v>1877472</v>
      </c>
      <c r="F66" s="826"/>
      <c r="G66" s="826"/>
      <c r="H66" s="676"/>
      <c r="I66" s="677"/>
      <c r="J66" s="550">
        <f t="shared" si="0"/>
        <v>19018823</v>
      </c>
      <c r="K66" s="697">
        <f>IF(K$18='5.Variables'!$B$16,+'5.Variables'!$M30,+IF(K$18='5.Variables'!$B$39,+'5.Variables'!$M53,+IF(K$18='5.Variables'!$B$62,+'5.Variables'!$M67,+IF(K$18='5.Variables'!$B$76,+'5.Variables'!$M81,+IF(K$18='5.Variables'!$B$90,+'5.Variables'!$M95,+IF(K$18='5.Variables'!$B$104,+'5.Variables'!$M109,0))))))</f>
        <v>361</v>
      </c>
      <c r="L66" s="697">
        <f>IF(L$18='5.Variables'!$B$16,+'5.Variables'!$M29,+IF(L$18='5.Variables'!$B$39,+'5.Variables'!$M53,+IF(L$18='5.Variables'!$B$62,+'5.Variables'!$M67,+IF(L$18='5.Variables'!$B$76,+'5.Variables'!$M81,+IF(L$18='5.Variables'!$B$90,+'5.Variables'!$M95,+IF(L$18='5.Variables'!$B$104,+'5.Variables'!$M109,0))))))</f>
        <v>0</v>
      </c>
      <c r="M66" s="697">
        <f>IF(M$18='5.Variables'!$B$16,+'5.Variables'!$M29,+IF(M$18='5.Variables'!$B$39,+'5.Variables'!$M53,+IF(M$18='5.Variables'!$B$62,+'5.Variables'!$M67,+IF(M$18='5.Variables'!$B$76,+'5.Variables'!$M81,+IF(M$18='5.Variables'!$B$90,+'5.Variables'!$M95,+IF(M$18='5.Variables'!$B$104,+'5.Variables'!$M109,0))))))</f>
        <v>30</v>
      </c>
      <c r="N66" s="697">
        <f>IF(N$18='5.Variables'!$B$16,+'5.Variables'!$M29,+IF(N$18='5.Variables'!$B$39,+'5.Variables'!$M53,+IF(N$18='5.Variables'!$B$62,+'5.Variables'!$M67,+IF(N$18='5.Variables'!$B$76,+'5.Variables'!$M81,+IF(N$18='5.Variables'!$B$90,+'5.Variables'!$M95,+IF(N$18='5.Variables'!$B$104,+'5.Variables'!$M109,0))))))</f>
        <v>135.41999999999999</v>
      </c>
      <c r="O66" s="697">
        <f>IF(O$18='5.Variables'!$B$16,+'5.Variables'!$M29,+IF(O$18='5.Variables'!$B$39,+'5.Variables'!$M53,+IF(O$18='5.Variables'!$B$62,+'5.Variables'!$M67,+IF(O$18='5.Variables'!$B$76,+'5.Variables'!$M81,+IF(O$18='5.Variables'!$B$90,+'5.Variables'!$M95,+IF(O$18='5.Variables'!$B$104,+'5.Variables'!$M109,0))))))</f>
        <v>0</v>
      </c>
      <c r="P66" s="697">
        <f>IF(P$18='5.Variables'!$B$16,+'5.Variables'!$M29,+IF(P$18='5.Variables'!$B$39,+'5.Variables'!$M53,+IF(P$18='5.Variables'!$B$62,+'5.Variables'!$M67,+IF(P$18='5.Variables'!$B$76,+'5.Variables'!$M81,+IF(P$18='5.Variables'!$B$90,+'5.Variables'!$M95,+IF(P$18='5.Variables'!$B$104,+'5.Variables'!$M109,0))))))</f>
        <v>320</v>
      </c>
      <c r="Q66" s="242"/>
      <c r="R66" s="260">
        <f t="shared" si="1"/>
        <v>19935132.365187999</v>
      </c>
      <c r="S66" s="262"/>
      <c r="T66" s="242"/>
      <c r="U66" s="247">
        <f>'4. Customer Growth'!B24</f>
        <v>2013</v>
      </c>
      <c r="V66" s="264">
        <f t="shared" si="7"/>
        <v>246166626.33000001</v>
      </c>
      <c r="W66" s="264">
        <f t="shared" si="5"/>
        <v>249342246.0888707</v>
      </c>
      <c r="X66" s="265">
        <f t="shared" si="6"/>
        <v>1.2900285494482898E-2</v>
      </c>
      <c r="Y66" s="268"/>
      <c r="Z66" s="242"/>
      <c r="AA66" s="242"/>
      <c r="AB66" s="242"/>
      <c r="AC66" s="242"/>
      <c r="AD66" s="242"/>
      <c r="AE66" s="242"/>
      <c r="AF66" s="242"/>
      <c r="AG66" s="242"/>
      <c r="AH66" s="242"/>
      <c r="AI66" s="242"/>
      <c r="AJ66" s="242"/>
      <c r="AK66" s="242"/>
      <c r="AL66" s="242"/>
      <c r="AM66" s="242"/>
    </row>
    <row r="67" spans="1:39" x14ac:dyDescent="0.2">
      <c r="A67" s="500">
        <f t="shared" si="2"/>
        <v>48</v>
      </c>
      <c r="B67" s="519" t="str">
        <f>CONCATENATE('3. Consumption by Rate Class'!B72,"-",'3. Consumption by Rate Class'!C72)</f>
        <v>2009-December</v>
      </c>
      <c r="C67" s="671">
        <v>23140679</v>
      </c>
      <c r="D67" s="828"/>
      <c r="E67" s="829">
        <v>1527750</v>
      </c>
      <c r="F67" s="828"/>
      <c r="G67" s="828"/>
      <c r="H67" s="678"/>
      <c r="I67" s="679"/>
      <c r="J67" s="550">
        <f t="shared" si="0"/>
        <v>21612929</v>
      </c>
      <c r="K67" s="697">
        <f>IF(K$18='5.Variables'!$B$16,+'5.Variables'!$N30,+IF(K$18='5.Variables'!$B$39,+'5.Variables'!$N53,+IF(K$18='5.Variables'!$B$62,+'5.Variables'!$N67,+IF(K$18='5.Variables'!$B$76,+'5.Variables'!$N81,+IF(K$18='5.Variables'!$B$90,+'5.Variables'!$N95,+IF(K$18='5.Variables'!$B$104,+'5.Variables'!$N109,0))))))</f>
        <v>638.6</v>
      </c>
      <c r="L67" s="697">
        <f>IF(L$18='5.Variables'!$B$16,+'5.Variables'!$N29,+IF(L$18='5.Variables'!$B$39,+'5.Variables'!$N53,+IF(L$18='5.Variables'!$B$62,+'5.Variables'!$N67,+IF(L$18='5.Variables'!$B$76,+'5.Variables'!$N81,+IF(L$18='5.Variables'!$B$90,+'5.Variables'!$N95,+IF(L$18='5.Variables'!$B$104,+'5.Variables'!$N109,0))))))</f>
        <v>0</v>
      </c>
      <c r="M67" s="697">
        <f>IF(M$18='5.Variables'!$B$16,+'5.Variables'!$N29,+IF(M$18='5.Variables'!$B$39,+'5.Variables'!$N53,+IF(M$18='5.Variables'!$B$62,+'5.Variables'!$N67,+IF(M$18='5.Variables'!$B$76,+'5.Variables'!$N81,+IF(M$18='5.Variables'!$B$90,+'5.Variables'!$N95,+IF(M$18='5.Variables'!$B$104,+'5.Variables'!$N109,0))))))</f>
        <v>31</v>
      </c>
      <c r="N67" s="697">
        <f>IF(N$18='5.Variables'!$B$16,+'5.Variables'!$N29,+IF(N$18='5.Variables'!$B$39,+'5.Variables'!$N53,+IF(N$18='5.Variables'!$B$62,+'5.Variables'!$N67,+IF(N$18='5.Variables'!$B$76,+'5.Variables'!$N81,+IF(N$18='5.Variables'!$B$90,+'5.Variables'!$N95,+IF(N$18='5.Variables'!$B$104,+'5.Variables'!$N109,0))))))</f>
        <v>135.03</v>
      </c>
      <c r="O67" s="697">
        <f>IF(O$18='5.Variables'!$B$16,+'5.Variables'!$N29,+IF(O$18='5.Variables'!$B$39,+'5.Variables'!$N53,+IF(O$18='5.Variables'!$B$62,+'5.Variables'!$N67,+IF(O$18='5.Variables'!$B$76,+'5.Variables'!$N81,+IF(O$18='5.Variables'!$B$90,+'5.Variables'!$N95,+IF(O$18='5.Variables'!$B$104,+'5.Variables'!$N109,0))))))</f>
        <v>0</v>
      </c>
      <c r="P67" s="697">
        <f>IF(P$18='5.Variables'!$B$16,+'5.Variables'!$N29,+IF(P$18='5.Variables'!$B$39,+'5.Variables'!$N53,+IF(P$18='5.Variables'!$B$62,+'5.Variables'!$N67,+IF(P$18='5.Variables'!$B$76,+'5.Variables'!$N81,+IF(P$18='5.Variables'!$B$90,+'5.Variables'!$N95,+IF(P$18='5.Variables'!$B$104,+'5.Variables'!$N109,0))))))</f>
        <v>352</v>
      </c>
      <c r="Q67" s="242"/>
      <c r="R67" s="260">
        <f t="shared" si="1"/>
        <v>22355534.447235588</v>
      </c>
      <c r="S67" s="262">
        <f>SUM(R56:R67)</f>
        <v>245470671.7507762</v>
      </c>
      <c r="T67" s="242"/>
      <c r="U67" s="247">
        <f>'4. Customer Growth'!B25</f>
        <v>2014</v>
      </c>
      <c r="V67" s="264">
        <f t="shared" si="7"/>
        <v>242535263.39000002</v>
      </c>
      <c r="W67" s="264">
        <f t="shared" si="5"/>
        <v>249658428.47991201</v>
      </c>
      <c r="X67" s="265">
        <f t="shared" si="6"/>
        <v>2.9369605847615859E-2</v>
      </c>
      <c r="Y67" s="268"/>
      <c r="Z67" s="242"/>
      <c r="AA67" s="242"/>
      <c r="AB67" s="242"/>
      <c r="AC67" s="242"/>
      <c r="AD67" s="242"/>
      <c r="AE67" s="242"/>
      <c r="AF67" s="242"/>
      <c r="AG67" s="242"/>
      <c r="AH67" s="242"/>
      <c r="AI67" s="242"/>
      <c r="AJ67" s="242"/>
      <c r="AK67" s="242"/>
      <c r="AL67" s="242"/>
      <c r="AM67" s="242"/>
    </row>
    <row r="68" spans="1:39" x14ac:dyDescent="0.2">
      <c r="A68" s="500">
        <f t="shared" si="2"/>
        <v>49</v>
      </c>
      <c r="B68" s="259" t="str">
        <f>CONCATENATE('3. Consumption by Rate Class'!B73,"-",'3. Consumption by Rate Class'!C73)</f>
        <v>2010-January</v>
      </c>
      <c r="C68" s="670">
        <v>25102489.190000001</v>
      </c>
      <c r="D68" s="826"/>
      <c r="E68" s="827">
        <v>1573886</v>
      </c>
      <c r="F68" s="826"/>
      <c r="G68" s="826"/>
      <c r="H68" s="676"/>
      <c r="I68" s="677"/>
      <c r="J68" s="550">
        <f t="shared" si="0"/>
        <v>23528603.190000001</v>
      </c>
      <c r="K68" s="697">
        <f>IF(K$18='5.Variables'!$B$16,+'5.Variables'!$C31,+IF(K$18='5.Variables'!$B$39,+'5.Variables'!$C54,+IF(K$18='5.Variables'!$B$62,+'5.Variables'!$C68,+IF(K$18='5.Variables'!$B$76,+'5.Variables'!$C82,+IF(K$18='5.Variables'!$B$90,+'5.Variables'!$C96,+IF(K$18='5.Variables'!$B$104,+'5.Variables'!$C110,0))))))</f>
        <v>718</v>
      </c>
      <c r="L68" s="697">
        <f>IF(L$18='5.Variables'!$B$16,+'5.Variables'!$C30,+IF(L$18='5.Variables'!$B$39,+'5.Variables'!$C54,+IF(L$18='5.Variables'!$B$62,+'5.Variables'!$C68,+IF(L$18='5.Variables'!$B$76,+'5.Variables'!$C82,+IF(L$18='5.Variables'!$B$90,+'5.Variables'!$C96,+IF(L$18='5.Variables'!$B$104,+'5.Variables'!$C110,0))))))</f>
        <v>0</v>
      </c>
      <c r="M68" s="697">
        <f>IF(M$18='5.Variables'!$B$16,+'5.Variables'!$C30,+IF(M$18='5.Variables'!$B$39,+'5.Variables'!$C54,+IF(M$18='5.Variables'!$B$62,+'5.Variables'!$C68,+IF(M$18='5.Variables'!$B$76,+'5.Variables'!$C82,+IF(M$18='5.Variables'!$B$90,+'5.Variables'!$C96,+IF(M$18='5.Variables'!$B$104,+'5.Variables'!$C110,0))))))</f>
        <v>31</v>
      </c>
      <c r="N68" s="697">
        <f>IF(N$18='5.Variables'!$B$16,+'5.Variables'!$C30,+IF(N$18='5.Variables'!$B$39,+'5.Variables'!$C54,+IF(N$18='5.Variables'!$B$62,+'5.Variables'!$C68,+IF(N$18='5.Variables'!$B$76,+'5.Variables'!$C82,+IF(N$18='5.Variables'!$B$90,+'5.Variables'!$C96,+IF(N$18='5.Variables'!$B$104,+'5.Variables'!$C110,0))))))</f>
        <v>135.33000000000001</v>
      </c>
      <c r="O68" s="697">
        <f>IF(O$18='5.Variables'!$B$16,+'5.Variables'!$C30,+IF(O$18='5.Variables'!$B$39,+'5.Variables'!$C54,+IF(O$18='5.Variables'!$B$62,+'5.Variables'!$C68,+IF(O$18='5.Variables'!$B$76,+'5.Variables'!$C82,+IF(O$18='5.Variables'!$B$90,+'5.Variables'!$C96,+IF(O$18='5.Variables'!$B$104,+'5.Variables'!$C110,0))))))</f>
        <v>0</v>
      </c>
      <c r="P68" s="697">
        <f>IF(P$18='5.Variables'!$B$16,+'5.Variables'!$C30,+IF(P$18='5.Variables'!$B$39,+'5.Variables'!$C54,+IF(P$18='5.Variables'!$B$62,+'5.Variables'!$C68,+IF(P$18='5.Variables'!$B$76,+'5.Variables'!$C82,+IF(P$18='5.Variables'!$B$90,+'5.Variables'!$C96,+IF(P$18='5.Variables'!$B$104,+'5.Variables'!$C110,0))))))</f>
        <v>320</v>
      </c>
      <c r="Q68" s="242"/>
      <c r="R68" s="260">
        <f t="shared" si="1"/>
        <v>22638224.156965848</v>
      </c>
      <c r="S68" s="262"/>
      <c r="T68" s="242"/>
      <c r="U68" s="247">
        <f>'4. Customer Growth'!B26</f>
        <v>2015</v>
      </c>
      <c r="V68" s="264">
        <f t="shared" si="7"/>
        <v>239401282.51999998</v>
      </c>
      <c r="W68" s="264">
        <f t="shared" si="5"/>
        <v>247399736.29403827</v>
      </c>
      <c r="X68" s="265">
        <f t="shared" si="6"/>
        <v>3.3410237780869372E-2</v>
      </c>
      <c r="Y68" s="268"/>
      <c r="Z68" s="242"/>
      <c r="AA68" s="242"/>
      <c r="AB68" s="242"/>
      <c r="AC68" s="242"/>
      <c r="AD68" s="242"/>
      <c r="AE68" s="242"/>
      <c r="AF68" s="242"/>
      <c r="AG68" s="242"/>
      <c r="AH68" s="242"/>
      <c r="AI68" s="242"/>
      <c r="AJ68" s="242"/>
      <c r="AK68" s="242"/>
      <c r="AL68" s="242"/>
      <c r="AM68" s="242"/>
    </row>
    <row r="69" spans="1:39" x14ac:dyDescent="0.2">
      <c r="A69" s="500">
        <f t="shared" si="2"/>
        <v>50</v>
      </c>
      <c r="B69" s="259" t="str">
        <f>CONCATENATE('3. Consumption by Rate Class'!B74,"-",'3. Consumption by Rate Class'!C74)</f>
        <v>2010-February</v>
      </c>
      <c r="C69" s="670">
        <v>22657765.329999998</v>
      </c>
      <c r="D69" s="826"/>
      <c r="E69" s="827">
        <v>1761873</v>
      </c>
      <c r="F69" s="826"/>
      <c r="G69" s="826"/>
      <c r="H69" s="676"/>
      <c r="I69" s="677"/>
      <c r="J69" s="550">
        <f t="shared" si="0"/>
        <v>20895892.329999998</v>
      </c>
      <c r="K69" s="697">
        <f>IF(K$18='5.Variables'!$B$16,+'5.Variables'!$D31,+IF(K$18='5.Variables'!$B$39,+'5.Variables'!$D54,+IF(K$18='5.Variables'!$B$62,+'5.Variables'!$D68,+IF(K$18='5.Variables'!$B$76,+'5.Variables'!$D82,+IF(K$18='5.Variables'!$B$90,+'5.Variables'!$D96,+IF(K$18='5.Variables'!$B$104,+'5.Variables'!$D110,0))))))</f>
        <v>597.20000000000005</v>
      </c>
      <c r="L69" s="697">
        <f>IF(L$18='5.Variables'!$B$16,+'5.Variables'!$D30,+IF(L$18='5.Variables'!$B$39,+'5.Variables'!$D54,+IF(L$18='5.Variables'!$B$62,+'5.Variables'!$D68,+IF(L$18='5.Variables'!$B$76,+'5.Variables'!$D82,+IF(L$18='5.Variables'!$B$90,+'5.Variables'!$D96,+IF(L$18='5.Variables'!$B$104,+'5.Variables'!$D110,0))))))</f>
        <v>0</v>
      </c>
      <c r="M69" s="697">
        <f>IF(M$18='5.Variables'!$B$16,+'5.Variables'!$D30,+IF(M$18='5.Variables'!$B$39,+'5.Variables'!$D54,+IF(M$18='5.Variables'!$B$62,+'5.Variables'!$D68,+IF(M$18='5.Variables'!$B$76,+'5.Variables'!$D82,+IF(M$18='5.Variables'!$B$90,+'5.Variables'!$D96,+IF(M$18='5.Variables'!$B$104,+'5.Variables'!$D110,0))))))</f>
        <v>28</v>
      </c>
      <c r="N69" s="697">
        <f>IF(N$18='5.Variables'!$B$16,+'5.Variables'!$D30,+IF(N$18='5.Variables'!$B$39,+'5.Variables'!$D54,+IF(N$18='5.Variables'!$B$62,+'5.Variables'!$D68,+IF(N$18='5.Variables'!$B$76,+'5.Variables'!$D82,+IF(N$18='5.Variables'!$B$90,+'5.Variables'!$D96,+IF(N$18='5.Variables'!$B$104,+'5.Variables'!$D110,0))))))</f>
        <v>135.63</v>
      </c>
      <c r="O69" s="697">
        <f>IF(O$18='5.Variables'!$B$16,+'5.Variables'!$D30,+IF(O$18='5.Variables'!$B$39,+'5.Variables'!$D54,+IF(O$18='5.Variables'!$B$62,+'5.Variables'!$D68,+IF(O$18='5.Variables'!$B$76,+'5.Variables'!$D82,+IF(O$18='5.Variables'!$B$90,+'5.Variables'!$D96,+IF(O$18='5.Variables'!$B$104,+'5.Variables'!$D110,0))))))</f>
        <v>0</v>
      </c>
      <c r="P69" s="697">
        <f>IF(P$18='5.Variables'!$B$16,+'5.Variables'!$D30,+IF(P$18='5.Variables'!$B$39,+'5.Variables'!$D54,+IF(P$18='5.Variables'!$B$62,+'5.Variables'!$D68,+IF(P$18='5.Variables'!$B$76,+'5.Variables'!$D82,+IF(P$18='5.Variables'!$B$90,+'5.Variables'!$D96,+IF(P$18='5.Variables'!$B$104,+'5.Variables'!$D110,0))))))</f>
        <v>304</v>
      </c>
      <c r="Q69" s="242"/>
      <c r="R69" s="260">
        <f t="shared" si="1"/>
        <v>20599150.98549816</v>
      </c>
      <c r="S69" s="262"/>
      <c r="T69" s="242"/>
      <c r="U69" s="269" t="s">
        <v>46</v>
      </c>
      <c r="V69" s="269"/>
      <c r="W69" s="269"/>
      <c r="X69" s="270">
        <f>AVERAGE(X59:X68)</f>
        <v>1.6624108305726918E-2</v>
      </c>
      <c r="Y69" s="242"/>
      <c r="Z69" s="242"/>
      <c r="AA69" s="242"/>
      <c r="AB69" s="242"/>
      <c r="AC69" s="242"/>
      <c r="AD69" s="242"/>
      <c r="AE69" s="242"/>
      <c r="AF69" s="242"/>
      <c r="AG69" s="242"/>
      <c r="AH69" s="242"/>
      <c r="AI69" s="242"/>
      <c r="AJ69" s="242"/>
      <c r="AK69" s="242"/>
      <c r="AL69" s="242"/>
      <c r="AM69" s="242"/>
    </row>
    <row r="70" spans="1:39" x14ac:dyDescent="0.2">
      <c r="A70" s="500">
        <f t="shared" si="2"/>
        <v>51</v>
      </c>
      <c r="B70" s="259" t="str">
        <f>CONCATENATE('3. Consumption by Rate Class'!B75,"-",'3. Consumption by Rate Class'!C75)</f>
        <v>2010-March</v>
      </c>
      <c r="C70" s="670">
        <v>22985700.899999999</v>
      </c>
      <c r="D70" s="826"/>
      <c r="E70" s="827">
        <v>2174724</v>
      </c>
      <c r="F70" s="826"/>
      <c r="G70" s="826"/>
      <c r="H70" s="676"/>
      <c r="I70" s="677"/>
      <c r="J70" s="550">
        <f t="shared" si="0"/>
        <v>20810976.899999999</v>
      </c>
      <c r="K70" s="697">
        <f>IF(K$18='5.Variables'!$B$16,+'5.Variables'!$E31,+IF(K$18='5.Variables'!$B$39,+'5.Variables'!$E54,+IF(K$18='5.Variables'!$B$62,+'5.Variables'!$E68,+IF(K$18='5.Variables'!$B$76,+'5.Variables'!$E82,+IF(K$18='5.Variables'!$B$90,+'5.Variables'!$E96,+IF(K$18='5.Variables'!$B$104,+'5.Variables'!$E110,0))))))</f>
        <v>450.7</v>
      </c>
      <c r="L70" s="697">
        <f>IF(L$18='5.Variables'!$B$16,+'5.Variables'!$E30,+IF(L$18='5.Variables'!$B$39,+'5.Variables'!$E54,+IF(L$18='5.Variables'!$B$62,+'5.Variables'!$E68,+IF(L$18='5.Variables'!$B$76,+'5.Variables'!$E82,+IF(L$18='5.Variables'!$B$90,+'5.Variables'!$E96,+IF(L$18='5.Variables'!$B$104,+'5.Variables'!$E110,0))))))</f>
        <v>0</v>
      </c>
      <c r="M70" s="697">
        <f>IF(M$18='5.Variables'!$B$16,+'5.Variables'!$E30,+IF(M$18='5.Variables'!$B$39,+'5.Variables'!$E54,+IF(M$18='5.Variables'!$B$62,+'5.Variables'!$E68,+IF(M$18='5.Variables'!$B$76,+'5.Variables'!$E82,+IF(M$18='5.Variables'!$B$90,+'5.Variables'!$E96,+IF(M$18='5.Variables'!$B$104,+'5.Variables'!$E110,0))))))</f>
        <v>31</v>
      </c>
      <c r="N70" s="697">
        <f>IF(N$18='5.Variables'!$B$16,+'5.Variables'!$E30,+IF(N$18='5.Variables'!$B$39,+'5.Variables'!$E54,+IF(N$18='5.Variables'!$B$62,+'5.Variables'!$E68,+IF(N$18='5.Variables'!$B$76,+'5.Variables'!$E82,+IF(N$18='5.Variables'!$B$90,+'5.Variables'!$E96,+IF(N$18='5.Variables'!$B$104,+'5.Variables'!$E110,0))))))</f>
        <v>135.93</v>
      </c>
      <c r="O70" s="697">
        <f>IF(O$18='5.Variables'!$B$16,+'5.Variables'!$E30,+IF(O$18='5.Variables'!$B$39,+'5.Variables'!$E54,+IF(O$18='5.Variables'!$B$62,+'5.Variables'!$E68,+IF(O$18='5.Variables'!$B$76,+'5.Variables'!$E82,+IF(O$18='5.Variables'!$B$90,+'5.Variables'!$E96,+IF(O$18='5.Variables'!$B$104,+'5.Variables'!$E110,0))))))</f>
        <v>0</v>
      </c>
      <c r="P70" s="697">
        <f>IF(P$18='5.Variables'!$B$16,+'5.Variables'!$E30,+IF(P$18='5.Variables'!$B$39,+'5.Variables'!$E54,+IF(P$18='5.Variables'!$B$62,+'5.Variables'!$E68,+IF(P$18='5.Variables'!$B$76,+'5.Variables'!$E82,+IF(P$18='5.Variables'!$B$90,+'5.Variables'!$E96,+IF(P$18='5.Variables'!$B$104,+'5.Variables'!$E110,0))))))</f>
        <v>368</v>
      </c>
      <c r="Q70" s="242"/>
      <c r="R70" s="260">
        <f t="shared" si="1"/>
        <v>21279343.996990524</v>
      </c>
      <c r="S70" s="262"/>
      <c r="T70" s="242"/>
      <c r="U70" s="269" t="s">
        <v>62</v>
      </c>
      <c r="V70" s="242"/>
      <c r="W70" s="242"/>
      <c r="X70" s="270">
        <f>MEDIAN(X59:X68)</f>
        <v>1.5322701060986817E-2</v>
      </c>
      <c r="Y70" s="242"/>
      <c r="Z70" s="242"/>
      <c r="AA70" s="242"/>
      <c r="AB70" s="242"/>
      <c r="AC70" s="242"/>
      <c r="AD70" s="242"/>
      <c r="AE70" s="242"/>
      <c r="AF70" s="242"/>
      <c r="AG70" s="242"/>
      <c r="AH70" s="242"/>
      <c r="AI70" s="242"/>
      <c r="AJ70" s="242"/>
      <c r="AK70" s="242"/>
      <c r="AL70" s="242"/>
      <c r="AM70" s="242"/>
    </row>
    <row r="71" spans="1:39" x14ac:dyDescent="0.2">
      <c r="A71" s="500">
        <f t="shared" si="2"/>
        <v>52</v>
      </c>
      <c r="B71" s="259" t="str">
        <f>CONCATENATE('3. Consumption by Rate Class'!B76,"-",'3. Consumption by Rate Class'!C76)</f>
        <v>2010-April</v>
      </c>
      <c r="C71" s="670">
        <v>20452235.890000001</v>
      </c>
      <c r="D71" s="826"/>
      <c r="E71" s="827">
        <v>2287274</v>
      </c>
      <c r="F71" s="826"/>
      <c r="G71" s="826"/>
      <c r="H71" s="676"/>
      <c r="I71" s="677"/>
      <c r="J71" s="550">
        <f t="shared" si="0"/>
        <v>18164961.890000001</v>
      </c>
      <c r="K71" s="697">
        <f>IF(K$18='5.Variables'!$B$16,+'5.Variables'!$F31,+IF(K$18='5.Variables'!$B$39,+'5.Variables'!$F54,+IF(K$18='5.Variables'!$B$62,+'5.Variables'!$F68,+IF(K$18='5.Variables'!$B$76,+'5.Variables'!$F82,+IF(K$18='5.Variables'!$B$90,+'5.Variables'!$F96,+IF(K$18='5.Variables'!$B$104,+'5.Variables'!$F110,0))))))</f>
        <v>262.7</v>
      </c>
      <c r="L71" s="697">
        <f>IF(L$18='5.Variables'!$B$16,+'5.Variables'!$F30,+IF(L$18='5.Variables'!$B$39,+'5.Variables'!$F54,+IF(L$18='5.Variables'!$B$62,+'5.Variables'!$F68,+IF(L$18='5.Variables'!$B$76,+'5.Variables'!$F82,+IF(L$18='5.Variables'!$B$90,+'5.Variables'!$F96,+IF(L$18='5.Variables'!$B$104,+'5.Variables'!$F110,0))))))</f>
        <v>0</v>
      </c>
      <c r="M71" s="697">
        <f>IF(M$18='5.Variables'!$B$16,+'5.Variables'!$F30,+IF(M$18='5.Variables'!$B$39,+'5.Variables'!$F54,+IF(M$18='5.Variables'!$B$62,+'5.Variables'!$F68,+IF(M$18='5.Variables'!$B$76,+'5.Variables'!$F82,+IF(M$18='5.Variables'!$B$90,+'5.Variables'!$F96,+IF(M$18='5.Variables'!$B$104,+'5.Variables'!$F110,0))))))</f>
        <v>30</v>
      </c>
      <c r="N71" s="697">
        <f>IF(N$18='5.Variables'!$B$16,+'5.Variables'!$F30,+IF(N$18='5.Variables'!$B$39,+'5.Variables'!$F54,+IF(N$18='5.Variables'!$B$62,+'5.Variables'!$F68,+IF(N$18='5.Variables'!$B$76,+'5.Variables'!$F82,+IF(N$18='5.Variables'!$B$90,+'5.Variables'!$F96,+IF(N$18='5.Variables'!$B$104,+'5.Variables'!$F110,0))))))</f>
        <v>136.22999999999999</v>
      </c>
      <c r="O71" s="697">
        <f>IF(O$18='5.Variables'!$B$16,+'5.Variables'!$F30,+IF(O$18='5.Variables'!$B$39,+'5.Variables'!$F54,+IF(O$18='5.Variables'!$B$62,+'5.Variables'!$F68,+IF(O$18='5.Variables'!$B$76,+'5.Variables'!$F82,+IF(O$18='5.Variables'!$B$90,+'5.Variables'!$F96,+IF(O$18='5.Variables'!$B$104,+'5.Variables'!$F110,0))))))</f>
        <v>0</v>
      </c>
      <c r="P71" s="697">
        <f>IF(P$18='5.Variables'!$B$16,+'5.Variables'!$F30,+IF(P$18='5.Variables'!$B$39,+'5.Variables'!$F54,+IF(P$18='5.Variables'!$B$62,+'5.Variables'!$F68,+IF(P$18='5.Variables'!$B$76,+'5.Variables'!$F82,+IF(P$18='5.Variables'!$B$90,+'5.Variables'!$F96,+IF(P$18='5.Variables'!$B$104,+'5.Variables'!$F110,0))))))</f>
        <v>320</v>
      </c>
      <c r="Q71" s="242"/>
      <c r="R71" s="260">
        <f t="shared" si="1"/>
        <v>19318381.466894336</v>
      </c>
      <c r="S71" s="262"/>
      <c r="T71" s="242"/>
      <c r="U71" s="242"/>
      <c r="V71" s="242"/>
      <c r="W71" s="242"/>
      <c r="X71" s="242"/>
      <c r="Y71" s="242"/>
      <c r="Z71" s="242"/>
      <c r="AA71" s="242"/>
      <c r="AB71" s="242"/>
      <c r="AC71" s="242"/>
      <c r="AD71" s="242"/>
      <c r="AE71" s="242"/>
      <c r="AF71" s="242"/>
      <c r="AG71" s="242"/>
      <c r="AH71" s="242"/>
      <c r="AI71" s="242"/>
      <c r="AJ71" s="242"/>
      <c r="AK71" s="242"/>
      <c r="AL71" s="242"/>
      <c r="AM71" s="242"/>
    </row>
    <row r="72" spans="1:39" x14ac:dyDescent="0.2">
      <c r="A72" s="500">
        <f t="shared" si="2"/>
        <v>53</v>
      </c>
      <c r="B72" s="259" t="str">
        <f>CONCATENATE('3. Consumption by Rate Class'!B77,"-",'3. Consumption by Rate Class'!C77)</f>
        <v>2010-May</v>
      </c>
      <c r="C72" s="670">
        <v>21307340.739999998</v>
      </c>
      <c r="D72" s="826"/>
      <c r="E72" s="827">
        <v>2305460</v>
      </c>
      <c r="F72" s="826"/>
      <c r="G72" s="826"/>
      <c r="H72" s="676"/>
      <c r="I72" s="677"/>
      <c r="J72" s="550">
        <f t="shared" si="0"/>
        <v>19001880.739999998</v>
      </c>
      <c r="K72" s="697">
        <f>IF(K$18='5.Variables'!$B$16,+'5.Variables'!$G31,+IF(K$18='5.Variables'!$B$39,+'5.Variables'!$G54,+IF(K$18='5.Variables'!$B$62,+'5.Variables'!$G68,+IF(K$18='5.Variables'!$B$76,+'5.Variables'!$G82,+IF(K$18='5.Variables'!$B$90,+'5.Variables'!$G96,+IF(K$18='5.Variables'!$B$104,+'5.Variables'!$G110,0))))))</f>
        <v>160.4</v>
      </c>
      <c r="L72" s="697">
        <f>IF(L$18='5.Variables'!$B$16,+'5.Variables'!$G30,+IF(L$18='5.Variables'!$B$39,+'5.Variables'!$G54,+IF(L$18='5.Variables'!$B$62,+'5.Variables'!$G68,+IF(L$18='5.Variables'!$B$76,+'5.Variables'!$G82,+IF(L$18='5.Variables'!$B$90,+'5.Variables'!$G96,+IF(L$18='5.Variables'!$B$104,+'5.Variables'!$G110,0))))))</f>
        <v>9.1</v>
      </c>
      <c r="M72" s="697">
        <f>IF(M$18='5.Variables'!$B$16,+'5.Variables'!$G30,+IF(M$18='5.Variables'!$B$39,+'5.Variables'!$G54,+IF(M$18='5.Variables'!$B$62,+'5.Variables'!$G68,+IF(M$18='5.Variables'!$B$76,+'5.Variables'!$G82,+IF(M$18='5.Variables'!$B$90,+'5.Variables'!$G96,+IF(M$18='5.Variables'!$B$104,+'5.Variables'!$G110,0))))))</f>
        <v>31</v>
      </c>
      <c r="N72" s="697">
        <f>IF(N$18='5.Variables'!$B$16,+'5.Variables'!$G30,+IF(N$18='5.Variables'!$B$39,+'5.Variables'!$G54,+IF(N$18='5.Variables'!$B$62,+'5.Variables'!$G68,+IF(N$18='5.Variables'!$B$76,+'5.Variables'!$G82,+IF(N$18='5.Variables'!$B$90,+'5.Variables'!$G96,+IF(N$18='5.Variables'!$B$104,+'5.Variables'!$G110,0))))))</f>
        <v>136.54</v>
      </c>
      <c r="O72" s="697">
        <f>IF(O$18='5.Variables'!$B$16,+'5.Variables'!$G30,+IF(O$18='5.Variables'!$B$39,+'5.Variables'!$G54,+IF(O$18='5.Variables'!$B$62,+'5.Variables'!$G68,+IF(O$18='5.Variables'!$B$76,+'5.Variables'!$G82,+IF(O$18='5.Variables'!$B$90,+'5.Variables'!$G96,+IF(O$18='5.Variables'!$B$104,+'5.Variables'!$G110,0))))))</f>
        <v>0</v>
      </c>
      <c r="P72" s="697">
        <f>IF(P$18='5.Variables'!$B$16,+'5.Variables'!$G30,+IF(P$18='5.Variables'!$B$39,+'5.Variables'!$G54,+IF(P$18='5.Variables'!$B$62,+'5.Variables'!$G68,+IF(P$18='5.Variables'!$B$76,+'5.Variables'!$G82,+IF(P$18='5.Variables'!$B$90,+'5.Variables'!$G96,+IF(P$18='5.Variables'!$B$104,+'5.Variables'!$G110,0))))))</f>
        <v>320</v>
      </c>
      <c r="Q72" s="242"/>
      <c r="R72" s="260">
        <f t="shared" si="1"/>
        <v>19402833.324776012</v>
      </c>
      <c r="S72" s="262"/>
      <c r="T72" s="242"/>
      <c r="U72" s="242" t="s">
        <v>123</v>
      </c>
      <c r="V72" s="242"/>
      <c r="W72" s="242"/>
      <c r="X72" s="242"/>
      <c r="Y72" s="242"/>
      <c r="Z72" s="242"/>
      <c r="AA72" s="242"/>
      <c r="AB72" s="242"/>
      <c r="AC72" s="242"/>
      <c r="AD72" s="242"/>
      <c r="AE72" s="242"/>
      <c r="AF72" s="242"/>
      <c r="AG72" s="242"/>
      <c r="AH72" s="242"/>
      <c r="AI72" s="242"/>
      <c r="AJ72" s="242"/>
      <c r="AK72" s="242"/>
      <c r="AL72" s="242"/>
      <c r="AM72" s="242"/>
    </row>
    <row r="73" spans="1:39" x14ac:dyDescent="0.2">
      <c r="A73" s="500">
        <f t="shared" si="2"/>
        <v>54</v>
      </c>
      <c r="B73" s="259" t="str">
        <f>CONCATENATE('3. Consumption by Rate Class'!B78,"-",'3. Consumption by Rate Class'!C78)</f>
        <v>2010-June</v>
      </c>
      <c r="C73" s="670">
        <v>21585694.350000001</v>
      </c>
      <c r="D73" s="826"/>
      <c r="E73" s="827">
        <v>2043340</v>
      </c>
      <c r="F73" s="826"/>
      <c r="G73" s="826"/>
      <c r="H73" s="676"/>
      <c r="I73" s="677"/>
      <c r="J73" s="550">
        <f t="shared" si="0"/>
        <v>19542354.350000001</v>
      </c>
      <c r="K73" s="697">
        <f>IF(K$18='5.Variables'!$B$16,+'5.Variables'!$H31,+IF(K$18='5.Variables'!$B$39,+'5.Variables'!$H54,+IF(K$18='5.Variables'!$B$62,+'5.Variables'!$H68,+IF(K$18='5.Variables'!$B$76,+'5.Variables'!$H82,+IF(K$18='5.Variables'!$B$90,+'5.Variables'!$H96,+IF(K$18='5.Variables'!$B$104,+'5.Variables'!$H110,0))))))</f>
        <v>37.9</v>
      </c>
      <c r="L73" s="697">
        <f>IF(L$18='5.Variables'!$B$16,+'5.Variables'!$H30,+IF(L$18='5.Variables'!$B$39,+'5.Variables'!$H54,+IF(L$18='5.Variables'!$B$62,+'5.Variables'!$H68,+IF(L$18='5.Variables'!$B$76,+'5.Variables'!$H82,+IF(L$18='5.Variables'!$B$90,+'5.Variables'!$H96,+IF(L$18='5.Variables'!$B$104,+'5.Variables'!$H110,0))))))</f>
        <v>15.7</v>
      </c>
      <c r="M73" s="697">
        <f>IF(M$18='5.Variables'!$B$16,+'5.Variables'!$H30,+IF(M$18='5.Variables'!$B$39,+'5.Variables'!$H54,+IF(M$18='5.Variables'!$B$62,+'5.Variables'!$H68,+IF(M$18='5.Variables'!$B$76,+'5.Variables'!$H82,+IF(M$18='5.Variables'!$B$90,+'5.Variables'!$H96,+IF(M$18='5.Variables'!$B$104,+'5.Variables'!$H110,0))))))</f>
        <v>30</v>
      </c>
      <c r="N73" s="697">
        <f>IF(N$18='5.Variables'!$B$16,+'5.Variables'!$H30,+IF(N$18='5.Variables'!$B$39,+'5.Variables'!$H54,+IF(N$18='5.Variables'!$B$62,+'5.Variables'!$H68,+IF(N$18='5.Variables'!$B$76,+'5.Variables'!$H82,+IF(N$18='5.Variables'!$B$90,+'5.Variables'!$H96,+IF(N$18='5.Variables'!$B$104,+'5.Variables'!$H110,0))))))</f>
        <v>136.84</v>
      </c>
      <c r="O73" s="697">
        <f>IF(O$18='5.Variables'!$B$16,+'5.Variables'!$H30,+IF(O$18='5.Variables'!$B$39,+'5.Variables'!$H54,+IF(O$18='5.Variables'!$B$62,+'5.Variables'!$H68,+IF(O$18='5.Variables'!$B$76,+'5.Variables'!$H82,+IF(O$18='5.Variables'!$B$90,+'5.Variables'!$H96,+IF(O$18='5.Variables'!$B$104,+'5.Variables'!$H110,0))))))</f>
        <v>0</v>
      </c>
      <c r="P73" s="697">
        <f>IF(P$18='5.Variables'!$B$16,+'5.Variables'!$H30,+IF(P$18='5.Variables'!$B$39,+'5.Variables'!$H54,+IF(P$18='5.Variables'!$B$62,+'5.Variables'!$H68,+IF(P$18='5.Variables'!$B$76,+'5.Variables'!$H82,+IF(P$18='5.Variables'!$B$90,+'5.Variables'!$H96,+IF(P$18='5.Variables'!$B$104,+'5.Variables'!$H110,0))))))</f>
        <v>352</v>
      </c>
      <c r="Q73" s="242"/>
      <c r="R73" s="260">
        <f t="shared" si="1"/>
        <v>18739915.509174585</v>
      </c>
      <c r="S73" s="262"/>
      <c r="T73" s="242"/>
      <c r="U73" s="242" t="s">
        <v>166</v>
      </c>
      <c r="V73" s="242"/>
      <c r="W73" s="242"/>
      <c r="X73" s="242"/>
      <c r="Y73" s="242"/>
      <c r="Z73" s="242"/>
      <c r="AA73" s="242"/>
      <c r="AB73" s="242"/>
      <c r="AC73" s="242"/>
      <c r="AD73" s="242"/>
      <c r="AE73" s="242"/>
      <c r="AF73" s="242"/>
      <c r="AG73" s="242"/>
      <c r="AH73" s="242"/>
      <c r="AI73" s="242"/>
      <c r="AJ73" s="242"/>
      <c r="AK73" s="242"/>
      <c r="AL73" s="242"/>
      <c r="AM73" s="242"/>
    </row>
    <row r="74" spans="1:39" x14ac:dyDescent="0.2">
      <c r="A74" s="500">
        <f t="shared" si="2"/>
        <v>55</v>
      </c>
      <c r="B74" s="259" t="str">
        <f>CONCATENATE('3. Consumption by Rate Class'!B79,"-",'3. Consumption by Rate Class'!C79)</f>
        <v>2010-July</v>
      </c>
      <c r="C74" s="670">
        <v>22982462.710000001</v>
      </c>
      <c r="D74" s="826"/>
      <c r="E74" s="827">
        <v>1512885</v>
      </c>
      <c r="F74" s="826"/>
      <c r="G74" s="826"/>
      <c r="H74" s="676"/>
      <c r="I74" s="677"/>
      <c r="J74" s="550">
        <f t="shared" si="0"/>
        <v>21469577.710000001</v>
      </c>
      <c r="K74" s="697">
        <f>IF(K$18='5.Variables'!$B$16,+'5.Variables'!$I31,+IF(K$18='5.Variables'!$B$39,+'5.Variables'!$I54,+IF(K$18='5.Variables'!$B$62,+'5.Variables'!$I68,+IF(K$18='5.Variables'!$B$76,+'5.Variables'!$I82,+IF(K$18='5.Variables'!$B$90,+'5.Variables'!$I96,+IF(K$18='5.Variables'!$B$104,+'5.Variables'!$I110,0))))))</f>
        <v>5.0999999999999996</v>
      </c>
      <c r="L74" s="697">
        <f>IF(L$18='5.Variables'!$B$16,+'5.Variables'!$I30,+IF(L$18='5.Variables'!$B$39,+'5.Variables'!$I54,+IF(L$18='5.Variables'!$B$62,+'5.Variables'!$I68,+IF(L$18='5.Variables'!$B$76,+'5.Variables'!$I82,+IF(L$18='5.Variables'!$B$90,+'5.Variables'!$I96,+IF(L$18='5.Variables'!$B$104,+'5.Variables'!$I110,0))))))</f>
        <v>90.2</v>
      </c>
      <c r="M74" s="697">
        <f>IF(M$18='5.Variables'!$B$16,+'5.Variables'!$I30,+IF(M$18='5.Variables'!$B$39,+'5.Variables'!$I54,+IF(M$18='5.Variables'!$B$62,+'5.Variables'!$I68,+IF(M$18='5.Variables'!$B$76,+'5.Variables'!$I82,+IF(M$18='5.Variables'!$B$90,+'5.Variables'!$I96,+IF(M$18='5.Variables'!$B$104,+'5.Variables'!$I110,0))))))</f>
        <v>31</v>
      </c>
      <c r="N74" s="697">
        <f>IF(N$18='5.Variables'!$B$16,+'5.Variables'!$I30,+IF(N$18='5.Variables'!$B$39,+'5.Variables'!$I54,+IF(N$18='5.Variables'!$B$62,+'5.Variables'!$I68,+IF(N$18='5.Variables'!$B$76,+'5.Variables'!$I82,+IF(N$18='5.Variables'!$B$90,+'5.Variables'!$I96,+IF(N$18='5.Variables'!$B$104,+'5.Variables'!$I110,0))))))</f>
        <v>137.13999999999999</v>
      </c>
      <c r="O74" s="697">
        <f>IF(O$18='5.Variables'!$B$16,+'5.Variables'!$I30,+IF(O$18='5.Variables'!$B$39,+'5.Variables'!$I54,+IF(O$18='5.Variables'!$B$62,+'5.Variables'!$I68,+IF(O$18='5.Variables'!$B$76,+'5.Variables'!$I82,+IF(O$18='5.Variables'!$B$90,+'5.Variables'!$I96,+IF(O$18='5.Variables'!$B$104,+'5.Variables'!$I110,0))))))</f>
        <v>0</v>
      </c>
      <c r="P74" s="697">
        <f>IF(P$18='5.Variables'!$B$16,+'5.Variables'!$I30,+IF(P$18='5.Variables'!$B$39,+'5.Variables'!$I54,+IF(P$18='5.Variables'!$B$62,+'5.Variables'!$I68,+IF(P$18='5.Variables'!$B$76,+'5.Variables'!$I82,+IF(P$18='5.Variables'!$B$90,+'5.Variables'!$I96,+IF(P$18='5.Variables'!$B$104,+'5.Variables'!$I110,0))))))</f>
        <v>336</v>
      </c>
      <c r="Q74" s="242"/>
      <c r="R74" s="260">
        <f t="shared" si="1"/>
        <v>21758384.514038805</v>
      </c>
      <c r="S74" s="262"/>
      <c r="T74" s="242"/>
      <c r="U74" s="242"/>
      <c r="V74" s="242"/>
      <c r="W74" s="242"/>
      <c r="X74" s="242"/>
      <c r="Y74" s="242"/>
      <c r="Z74" s="242"/>
      <c r="AA74" s="242"/>
      <c r="AB74" s="242"/>
      <c r="AC74" s="242"/>
      <c r="AD74" s="242"/>
      <c r="AE74" s="242"/>
      <c r="AF74" s="242"/>
      <c r="AG74" s="242"/>
      <c r="AH74" s="242"/>
      <c r="AI74" s="242"/>
      <c r="AJ74" s="242"/>
      <c r="AK74" s="242"/>
      <c r="AL74" s="242"/>
      <c r="AM74" s="242"/>
    </row>
    <row r="75" spans="1:39" x14ac:dyDescent="0.2">
      <c r="A75" s="500">
        <f t="shared" si="2"/>
        <v>56</v>
      </c>
      <c r="B75" s="259" t="str">
        <f>CONCATENATE('3. Consumption by Rate Class'!B80,"-",'3. Consumption by Rate Class'!C80)</f>
        <v>2010-August</v>
      </c>
      <c r="C75" s="670">
        <v>22592531.850000001</v>
      </c>
      <c r="D75" s="826"/>
      <c r="E75" s="827">
        <v>1317398</v>
      </c>
      <c r="F75" s="826"/>
      <c r="G75" s="826"/>
      <c r="H75" s="676"/>
      <c r="I75" s="677"/>
      <c r="J75" s="550">
        <f t="shared" si="0"/>
        <v>21275133.850000001</v>
      </c>
      <c r="K75" s="697">
        <f>IF(K$18='5.Variables'!$B$16,+'5.Variables'!$J31,+IF(K$18='5.Variables'!$B$39,+'5.Variables'!$J54,+IF(K$18='5.Variables'!$B$62,+'5.Variables'!$J68,+IF(K$18='5.Variables'!$B$76,+'5.Variables'!$J82,+IF(K$18='5.Variables'!$B$90,+'5.Variables'!$J96,+IF(K$18='5.Variables'!$B$104,+'5.Variables'!$J110,0))))))</f>
        <v>6</v>
      </c>
      <c r="L75" s="697">
        <f>IF(L$18='5.Variables'!$B$16,+'5.Variables'!$J30,+IF(L$18='5.Variables'!$B$39,+'5.Variables'!$J54,+IF(L$18='5.Variables'!$B$62,+'5.Variables'!$J68,+IF(L$18='5.Variables'!$B$76,+'5.Variables'!$J82,+IF(L$18='5.Variables'!$B$90,+'5.Variables'!$J96,+IF(L$18='5.Variables'!$B$104,+'5.Variables'!$J110,0))))))</f>
        <v>80.7</v>
      </c>
      <c r="M75" s="697">
        <f>IF(M$18='5.Variables'!$B$16,+'5.Variables'!$J30,+IF(M$18='5.Variables'!$B$39,+'5.Variables'!$J54,+IF(M$18='5.Variables'!$B$62,+'5.Variables'!$J68,+IF(M$18='5.Variables'!$B$76,+'5.Variables'!$J82,+IF(M$18='5.Variables'!$B$90,+'5.Variables'!$J96,+IF(M$18='5.Variables'!$B$104,+'5.Variables'!$J110,0))))))</f>
        <v>31</v>
      </c>
      <c r="N75" s="697">
        <f>IF(N$18='5.Variables'!$B$16,+'5.Variables'!$J30,+IF(N$18='5.Variables'!$B$39,+'5.Variables'!$J54,+IF(N$18='5.Variables'!$B$62,+'5.Variables'!$J68,+IF(N$18='5.Variables'!$B$76,+'5.Variables'!$J82,+IF(N$18='5.Variables'!$B$90,+'5.Variables'!$J96,+IF(N$18='5.Variables'!$B$104,+'5.Variables'!$J110,0))))))</f>
        <v>137.44999999999999</v>
      </c>
      <c r="O75" s="697">
        <f>IF(O$18='5.Variables'!$B$16,+'5.Variables'!$J30,+IF(O$18='5.Variables'!$B$39,+'5.Variables'!$J54,+IF(O$18='5.Variables'!$B$62,+'5.Variables'!$J68,+IF(O$18='5.Variables'!$B$76,+'5.Variables'!$J82,+IF(O$18='5.Variables'!$B$90,+'5.Variables'!$J96,+IF(O$18='5.Variables'!$B$104,+'5.Variables'!$J110,0))))))</f>
        <v>0</v>
      </c>
      <c r="P75" s="697">
        <f>IF(P$18='5.Variables'!$B$16,+'5.Variables'!$J30,+IF(P$18='5.Variables'!$B$39,+'5.Variables'!$J54,+IF(P$18='5.Variables'!$B$62,+'5.Variables'!$J68,+IF(P$18='5.Variables'!$B$76,+'5.Variables'!$J82,+IF(P$18='5.Variables'!$B$90,+'5.Variables'!$J96,+IF(P$18='5.Variables'!$B$104,+'5.Variables'!$J110,0))))))</f>
        <v>336</v>
      </c>
      <c r="Q75" s="242"/>
      <c r="R75" s="260">
        <f t="shared" si="1"/>
        <v>21395187.80240218</v>
      </c>
      <c r="S75" s="262"/>
      <c r="T75" s="242"/>
      <c r="U75" s="530" t="s">
        <v>33</v>
      </c>
      <c r="V75" s="530" t="s">
        <v>241</v>
      </c>
      <c r="W75" s="531" t="s">
        <v>45</v>
      </c>
      <c r="X75" s="242"/>
      <c r="Y75" s="242"/>
      <c r="Z75" s="242"/>
      <c r="AA75" s="242"/>
      <c r="AB75" s="242"/>
      <c r="AC75" s="242"/>
      <c r="AD75" s="242"/>
      <c r="AE75" s="242"/>
      <c r="AF75" s="242"/>
      <c r="AG75" s="242"/>
      <c r="AH75" s="242"/>
      <c r="AI75" s="242"/>
      <c r="AJ75" s="242"/>
      <c r="AK75" s="242"/>
      <c r="AL75" s="242"/>
      <c r="AM75" s="242"/>
    </row>
    <row r="76" spans="1:39" x14ac:dyDescent="0.2">
      <c r="A76" s="500">
        <f t="shared" si="2"/>
        <v>57</v>
      </c>
      <c r="B76" s="259" t="str">
        <f>CONCATENATE('3. Consumption by Rate Class'!B81,"-",'3. Consumption by Rate Class'!C81)</f>
        <v>2010-September</v>
      </c>
      <c r="C76" s="670">
        <v>19831509.289999999</v>
      </c>
      <c r="D76" s="826"/>
      <c r="E76" s="827">
        <v>1603035</v>
      </c>
      <c r="F76" s="826"/>
      <c r="G76" s="826"/>
      <c r="H76" s="677"/>
      <c r="I76" s="677"/>
      <c r="J76" s="550">
        <f t="shared" si="0"/>
        <v>18228474.289999999</v>
      </c>
      <c r="K76" s="697">
        <f>IF(K$18='5.Variables'!$B$16,+'5.Variables'!$K31,+IF(K$18='5.Variables'!$B$39,+'5.Variables'!$K54,+IF(K$18='5.Variables'!$B$62,+'5.Variables'!$K68,+IF(K$18='5.Variables'!$B$76,+'5.Variables'!$K82,+IF(K$18='5.Variables'!$B$90,+'5.Variables'!$K96,+IF(K$18='5.Variables'!$B$104,+'5.Variables'!$K110,0))))))</f>
        <v>99.9</v>
      </c>
      <c r="L76" s="697">
        <f>IF(L$18='5.Variables'!$B$16,+'5.Variables'!$K30,+IF(L$18='5.Variables'!$B$39,+'5.Variables'!$K54,+IF(L$18='5.Variables'!$B$62,+'5.Variables'!$K68,+IF(L$18='5.Variables'!$B$76,+'5.Variables'!$K82,+IF(L$18='5.Variables'!$B$90,+'5.Variables'!$K96,+IF(L$18='5.Variables'!$B$104,+'5.Variables'!$K110,0))))))</f>
        <v>14.4</v>
      </c>
      <c r="M76" s="697">
        <f>IF(M$18='5.Variables'!$B$16,+'5.Variables'!$K30,+IF(M$18='5.Variables'!$B$39,+'5.Variables'!$K54,+IF(M$18='5.Variables'!$B$62,+'5.Variables'!$K68,+IF(M$18='5.Variables'!$B$76,+'5.Variables'!$K82,+IF(M$18='5.Variables'!$B$90,+'5.Variables'!$K96,+IF(M$18='5.Variables'!$B$104,+'5.Variables'!$K110,0))))))</f>
        <v>30</v>
      </c>
      <c r="N76" s="697">
        <f>IF(N$18='5.Variables'!$B$16,+'5.Variables'!$K30,+IF(N$18='5.Variables'!$B$39,+'5.Variables'!$K54,+IF(N$18='5.Variables'!$B$62,+'5.Variables'!$K68,+IF(N$18='5.Variables'!$B$76,+'5.Variables'!$K82,+IF(N$18='5.Variables'!$B$90,+'5.Variables'!$K96,+IF(N$18='5.Variables'!$B$104,+'5.Variables'!$K110,0))))))</f>
        <v>137.75</v>
      </c>
      <c r="O76" s="697">
        <f>IF(O$18='5.Variables'!$B$16,+'5.Variables'!$K30,+IF(O$18='5.Variables'!$B$39,+'5.Variables'!$K54,+IF(O$18='5.Variables'!$B$62,+'5.Variables'!$K68,+IF(O$18='5.Variables'!$B$76,+'5.Variables'!$K82,+IF(O$18='5.Variables'!$B$90,+'5.Variables'!$K96,+IF(O$18='5.Variables'!$B$104,+'5.Variables'!$K110,0))))))</f>
        <v>0</v>
      </c>
      <c r="P76" s="697">
        <f>IF(P$18='5.Variables'!$B$16,+'5.Variables'!$K30,+IF(P$18='5.Variables'!$B$39,+'5.Variables'!$K54,+IF(P$18='5.Variables'!$B$62,+'5.Variables'!$K68,+IF(P$18='5.Variables'!$B$76,+'5.Variables'!$K82,+IF(P$18='5.Variables'!$B$90,+'5.Variables'!$K96,+IF(P$18='5.Variables'!$B$104,+'5.Variables'!$K110,0))))))</f>
        <v>336</v>
      </c>
      <c r="Q76" s="242"/>
      <c r="R76" s="260">
        <f t="shared" si="1"/>
        <v>18997070.0677354</v>
      </c>
      <c r="S76" s="262"/>
      <c r="T76" s="242"/>
      <c r="U76" s="529">
        <v>2015</v>
      </c>
      <c r="V76" s="527">
        <f>S151</f>
        <v>249817975.81562376</v>
      </c>
      <c r="W76" s="528">
        <f>(V76-V68)/V68</f>
        <v>4.3511434800912359E-2</v>
      </c>
      <c r="X76" s="242"/>
      <c r="Y76" s="242"/>
      <c r="Z76" s="242"/>
      <c r="AA76" s="242"/>
      <c r="AB76" s="242"/>
      <c r="AC76" s="242"/>
      <c r="AD76" s="242"/>
      <c r="AE76" s="242"/>
      <c r="AF76" s="242"/>
      <c r="AG76" s="242"/>
      <c r="AH76" s="242"/>
      <c r="AI76" s="242"/>
      <c r="AJ76" s="242"/>
      <c r="AK76" s="242"/>
      <c r="AL76" s="242"/>
      <c r="AM76" s="242"/>
    </row>
    <row r="77" spans="1:39" x14ac:dyDescent="0.2">
      <c r="A77" s="500">
        <f t="shared" si="2"/>
        <v>58</v>
      </c>
      <c r="B77" s="259" t="str">
        <f>CONCATENATE('3. Consumption by Rate Class'!B82,"-",'3. Consumption by Rate Class'!C82)</f>
        <v>2010-October</v>
      </c>
      <c r="C77" s="670">
        <v>19683208.989999998</v>
      </c>
      <c r="D77" s="826"/>
      <c r="E77" s="827">
        <v>1004145</v>
      </c>
      <c r="F77" s="826"/>
      <c r="G77" s="826"/>
      <c r="H77" s="677"/>
      <c r="I77" s="677"/>
      <c r="J77" s="550">
        <f t="shared" si="0"/>
        <v>18679063.989999998</v>
      </c>
      <c r="K77" s="697">
        <f>IF(K$18='5.Variables'!$B$16,+'5.Variables'!$L31,+IF(K$18='5.Variables'!$B$39,+'5.Variables'!$L54,+IF(K$18='5.Variables'!$B$62,+'5.Variables'!$L68,+IF(K$18='5.Variables'!$B$76,+'5.Variables'!$L82,+IF(K$18='5.Variables'!$B$90,+'5.Variables'!$L96,+IF(K$18='5.Variables'!$B$104,+'5.Variables'!$L110,0))))))</f>
        <v>265.5</v>
      </c>
      <c r="L77" s="697">
        <f>IF(L$18='5.Variables'!$B$16,+'5.Variables'!$L30,+IF(L$18='5.Variables'!$B$39,+'5.Variables'!$L54,+IF(L$18='5.Variables'!$B$62,+'5.Variables'!$L68,+IF(L$18='5.Variables'!$B$76,+'5.Variables'!$L82,+IF(L$18='5.Variables'!$B$90,+'5.Variables'!$L96,+IF(L$18='5.Variables'!$B$104,+'5.Variables'!$L110,0))))))</f>
        <v>0</v>
      </c>
      <c r="M77" s="697">
        <f>IF(M$18='5.Variables'!$B$16,+'5.Variables'!$L30,+IF(M$18='5.Variables'!$B$39,+'5.Variables'!$L54,+IF(M$18='5.Variables'!$B$62,+'5.Variables'!$L68,+IF(M$18='5.Variables'!$B$76,+'5.Variables'!$L82,+IF(M$18='5.Variables'!$B$90,+'5.Variables'!$L96,+IF(M$18='5.Variables'!$B$104,+'5.Variables'!$L110,0))))))</f>
        <v>31</v>
      </c>
      <c r="N77" s="697">
        <f>IF(N$18='5.Variables'!$B$16,+'5.Variables'!$L30,+IF(N$18='5.Variables'!$B$39,+'5.Variables'!$L54,+IF(N$18='5.Variables'!$B$62,+'5.Variables'!$L68,+IF(N$18='5.Variables'!$B$76,+'5.Variables'!$L82,+IF(N$18='5.Variables'!$B$90,+'5.Variables'!$L96,+IF(N$18='5.Variables'!$B$104,+'5.Variables'!$L110,0))))))</f>
        <v>138.06</v>
      </c>
      <c r="O77" s="697">
        <f>IF(O$18='5.Variables'!$B$16,+'5.Variables'!$L30,+IF(O$18='5.Variables'!$B$39,+'5.Variables'!$L54,+IF(O$18='5.Variables'!$B$62,+'5.Variables'!$L68,+IF(O$18='5.Variables'!$B$76,+'5.Variables'!$L82,+IF(O$18='5.Variables'!$B$90,+'5.Variables'!$L96,+IF(O$18='5.Variables'!$B$104,+'5.Variables'!$L110,0))))))</f>
        <v>0</v>
      </c>
      <c r="P77" s="697">
        <f>IF(P$18='5.Variables'!$B$16,+'5.Variables'!$L30,+IF(P$18='5.Variables'!$B$39,+'5.Variables'!$L54,+IF(P$18='5.Variables'!$B$62,+'5.Variables'!$L68,+IF(P$18='5.Variables'!$B$76,+'5.Variables'!$L82,+IF(P$18='5.Variables'!$B$90,+'5.Variables'!$L96,+IF(P$18='5.Variables'!$B$104,+'5.Variables'!$L110,0))))))</f>
        <v>320</v>
      </c>
      <c r="Q77" s="242"/>
      <c r="R77" s="260">
        <f t="shared" si="1"/>
        <v>19769913.63807774</v>
      </c>
      <c r="S77" s="262"/>
      <c r="T77" s="242"/>
      <c r="U77" s="529">
        <v>2016</v>
      </c>
      <c r="V77" s="527">
        <f>S163</f>
        <v>250282670.81650454</v>
      </c>
      <c r="W77" s="528">
        <f>(V77-V76)/V76</f>
        <v>1.8601343612828823E-3</v>
      </c>
      <c r="X77" s="242"/>
      <c r="Y77" s="242"/>
      <c r="Z77" s="242"/>
      <c r="AA77" s="242"/>
      <c r="AB77" s="242"/>
      <c r="AC77" s="242"/>
      <c r="AD77" s="242"/>
      <c r="AE77" s="242"/>
      <c r="AF77" s="242"/>
      <c r="AG77" s="242"/>
      <c r="AH77" s="242"/>
      <c r="AI77" s="242"/>
      <c r="AJ77" s="242"/>
      <c r="AK77" s="242"/>
      <c r="AL77" s="242"/>
      <c r="AM77" s="242"/>
    </row>
    <row r="78" spans="1:39" x14ac:dyDescent="0.2">
      <c r="A78" s="500">
        <f t="shared" si="2"/>
        <v>59</v>
      </c>
      <c r="B78" s="259" t="str">
        <f>CONCATENATE('3. Consumption by Rate Class'!B83,"-",'3. Consumption by Rate Class'!C83)</f>
        <v>2010-November</v>
      </c>
      <c r="C78" s="670">
        <v>21151312.399999999</v>
      </c>
      <c r="D78" s="826"/>
      <c r="E78" s="827">
        <v>1054100</v>
      </c>
      <c r="F78" s="826"/>
      <c r="G78" s="826"/>
      <c r="H78" s="677"/>
      <c r="I78" s="677"/>
      <c r="J78" s="550">
        <f t="shared" si="0"/>
        <v>20097212.399999999</v>
      </c>
      <c r="K78" s="697">
        <f>IF(K$18='5.Variables'!$B$16,+'5.Variables'!$M31,+IF(K$18='5.Variables'!$B$39,+'5.Variables'!$M54,+IF(K$18='5.Variables'!$B$62,+'5.Variables'!$M68,+IF(K$18='5.Variables'!$B$76,+'5.Variables'!$M82,+IF(K$18='5.Variables'!$B$90,+'5.Variables'!$M96,+IF(K$18='5.Variables'!$B$104,+'5.Variables'!$M110,0))))))</f>
        <v>412.1</v>
      </c>
      <c r="L78" s="697">
        <f>IF(L$18='5.Variables'!$B$16,+'5.Variables'!$M30,+IF(L$18='5.Variables'!$B$39,+'5.Variables'!$M54,+IF(L$18='5.Variables'!$B$62,+'5.Variables'!$M68,+IF(L$18='5.Variables'!$B$76,+'5.Variables'!$M82,+IF(L$18='5.Variables'!$B$90,+'5.Variables'!$M96,+IF(L$18='5.Variables'!$B$104,+'5.Variables'!$M110,0))))))</f>
        <v>0</v>
      </c>
      <c r="M78" s="697">
        <f>IF(M$18='5.Variables'!$B$16,+'5.Variables'!$M30,+IF(M$18='5.Variables'!$B$39,+'5.Variables'!$M54,+IF(M$18='5.Variables'!$B$62,+'5.Variables'!$M68,+IF(M$18='5.Variables'!$B$76,+'5.Variables'!$M82,+IF(M$18='5.Variables'!$B$90,+'5.Variables'!$M96,+IF(M$18='5.Variables'!$B$104,+'5.Variables'!$M110,0))))))</f>
        <v>30</v>
      </c>
      <c r="N78" s="697">
        <f>IF(N$18='5.Variables'!$B$16,+'5.Variables'!$M30,+IF(N$18='5.Variables'!$B$39,+'5.Variables'!$M54,+IF(N$18='5.Variables'!$B$62,+'5.Variables'!$M68,+IF(N$18='5.Variables'!$B$76,+'5.Variables'!$M82,+IF(N$18='5.Variables'!$B$90,+'5.Variables'!$M96,+IF(N$18='5.Variables'!$B$104,+'5.Variables'!$M110,0))))))</f>
        <v>138.37</v>
      </c>
      <c r="O78" s="697">
        <f>IF(O$18='5.Variables'!$B$16,+'5.Variables'!$M30,+IF(O$18='5.Variables'!$B$39,+'5.Variables'!$M54,+IF(O$18='5.Variables'!$B$62,+'5.Variables'!$M68,+IF(O$18='5.Variables'!$B$76,+'5.Variables'!$M82,+IF(O$18='5.Variables'!$B$90,+'5.Variables'!$M96,+IF(O$18='5.Variables'!$B$104,+'5.Variables'!$M110,0))))))</f>
        <v>0</v>
      </c>
      <c r="P78" s="697">
        <f>IF(P$18='5.Variables'!$B$16,+'5.Variables'!$M30,+IF(P$18='5.Variables'!$B$39,+'5.Variables'!$M54,+IF(P$18='5.Variables'!$B$62,+'5.Variables'!$M68,+IF(P$18='5.Variables'!$B$76,+'5.Variables'!$M82,+IF(P$18='5.Variables'!$B$90,+'5.Variables'!$M96,+IF(P$18='5.Variables'!$B$104,+'5.Variables'!$M110,0))))))</f>
        <v>336</v>
      </c>
      <c r="Q78" s="242"/>
      <c r="R78" s="260">
        <f t="shared" si="1"/>
        <v>20476190.421818692</v>
      </c>
      <c r="S78" s="262"/>
      <c r="T78" s="242"/>
      <c r="U78" s="242"/>
      <c r="V78" s="242"/>
      <c r="W78" s="242"/>
      <c r="X78" s="242"/>
      <c r="Y78" s="242"/>
      <c r="Z78" s="242"/>
      <c r="AA78" s="242"/>
      <c r="AB78" s="242"/>
      <c r="AC78" s="242"/>
      <c r="AD78" s="242"/>
      <c r="AE78" s="242"/>
      <c r="AF78" s="242"/>
      <c r="AG78" s="242"/>
      <c r="AH78" s="242"/>
      <c r="AI78" s="242"/>
      <c r="AJ78" s="242"/>
      <c r="AK78" s="242"/>
      <c r="AL78" s="242"/>
      <c r="AM78" s="242"/>
    </row>
    <row r="79" spans="1:39" x14ac:dyDescent="0.2">
      <c r="A79" s="500">
        <f t="shared" si="2"/>
        <v>60</v>
      </c>
      <c r="B79" s="519" t="str">
        <f>CONCATENATE('3. Consumption by Rate Class'!B84,"-",'3. Consumption by Rate Class'!C84)</f>
        <v>2010-December</v>
      </c>
      <c r="C79" s="671">
        <v>23903358.920000002</v>
      </c>
      <c r="D79" s="828"/>
      <c r="E79" s="829">
        <v>1054100</v>
      </c>
      <c r="F79" s="828"/>
      <c r="G79" s="828"/>
      <c r="H79" s="679"/>
      <c r="I79" s="679"/>
      <c r="J79" s="550">
        <f t="shared" si="0"/>
        <v>22849258.920000002</v>
      </c>
      <c r="K79" s="697">
        <f>IF(K$18='5.Variables'!$B$16,+'5.Variables'!$N31,+IF(K$18='5.Variables'!$B$39,+'5.Variables'!$N54,+IF(K$18='5.Variables'!$B$62,+'5.Variables'!$N68,+IF(K$18='5.Variables'!$B$76,+'5.Variables'!$N82,+IF(K$18='5.Variables'!$B$90,+'5.Variables'!$N96,+IF(K$18='5.Variables'!$B$104,+'5.Variables'!$N110,0))))))</f>
        <v>676.5</v>
      </c>
      <c r="L79" s="697">
        <f>IF(L$18='5.Variables'!$B$16,+'5.Variables'!$N30,+IF(L$18='5.Variables'!$B$39,+'5.Variables'!$N54,+IF(L$18='5.Variables'!$B$62,+'5.Variables'!$N68,+IF(L$18='5.Variables'!$B$76,+'5.Variables'!$N82,+IF(L$18='5.Variables'!$B$90,+'5.Variables'!$N96,+IF(L$18='5.Variables'!$B$104,+'5.Variables'!$N110,0))))))</f>
        <v>0</v>
      </c>
      <c r="M79" s="697">
        <f>IF(M$18='5.Variables'!$B$16,+'5.Variables'!$N30,+IF(M$18='5.Variables'!$B$39,+'5.Variables'!$N54,+IF(M$18='5.Variables'!$B$62,+'5.Variables'!$N68,+IF(M$18='5.Variables'!$B$76,+'5.Variables'!$N82,+IF(M$18='5.Variables'!$B$90,+'5.Variables'!$N96,+IF(M$18='5.Variables'!$B$104,+'5.Variables'!$N110,0))))))</f>
        <v>31</v>
      </c>
      <c r="N79" s="697">
        <f>IF(N$18='5.Variables'!$B$16,+'5.Variables'!$N30,+IF(N$18='5.Variables'!$B$39,+'5.Variables'!$N54,+IF(N$18='5.Variables'!$B$62,+'5.Variables'!$N68,+IF(N$18='5.Variables'!$B$76,+'5.Variables'!$N82,+IF(N$18='5.Variables'!$B$90,+'5.Variables'!$N96,+IF(N$18='5.Variables'!$B$104,+'5.Variables'!$N110,0))))))</f>
        <v>138.66999999999999</v>
      </c>
      <c r="O79" s="697">
        <f>IF(O$18='5.Variables'!$B$16,+'5.Variables'!$N30,+IF(O$18='5.Variables'!$B$39,+'5.Variables'!$N54,+IF(O$18='5.Variables'!$B$62,+'5.Variables'!$N68,+IF(O$18='5.Variables'!$B$76,+'5.Variables'!$N82,+IF(O$18='5.Variables'!$B$90,+'5.Variables'!$N96,+IF(O$18='5.Variables'!$B$104,+'5.Variables'!$N110,0))))))</f>
        <v>0</v>
      </c>
      <c r="P79" s="697">
        <f>IF(P$18='5.Variables'!$B$16,+'5.Variables'!$N30,+IF(P$18='5.Variables'!$B$39,+'5.Variables'!$N54,+IF(P$18='5.Variables'!$B$62,+'5.Variables'!$N68,+IF(P$18='5.Variables'!$B$76,+'5.Variables'!$N82,+IF(P$18='5.Variables'!$B$90,+'5.Variables'!$N96,+IF(P$18='5.Variables'!$B$104,+'5.Variables'!$N110,0))))))</f>
        <v>368</v>
      </c>
      <c r="Q79" s="242"/>
      <c r="R79" s="260">
        <f t="shared" si="1"/>
        <v>22830796.888763748</v>
      </c>
      <c r="S79" s="262">
        <f>SUM(R68:R79)</f>
        <v>247205392.77313605</v>
      </c>
      <c r="T79" s="242"/>
      <c r="U79" s="271"/>
      <c r="V79" s="242"/>
      <c r="W79" s="242"/>
      <c r="X79" s="242"/>
      <c r="Y79" s="242"/>
      <c r="Z79" s="242"/>
      <c r="AA79" s="242"/>
      <c r="AB79" s="242"/>
      <c r="AC79" s="242"/>
      <c r="AD79" s="242"/>
      <c r="AE79" s="242"/>
      <c r="AF79" s="242"/>
      <c r="AG79" s="242"/>
      <c r="AH79" s="242"/>
      <c r="AI79" s="242"/>
      <c r="AJ79" s="242"/>
      <c r="AK79" s="242"/>
      <c r="AL79" s="242"/>
      <c r="AM79" s="242"/>
    </row>
    <row r="80" spans="1:39" x14ac:dyDescent="0.2">
      <c r="A80" s="500">
        <f t="shared" si="2"/>
        <v>61</v>
      </c>
      <c r="B80" s="259" t="str">
        <f>CONCATENATE('3. Consumption by Rate Class'!B85,"-",'3. Consumption by Rate Class'!C85)</f>
        <v>2011-January</v>
      </c>
      <c r="C80" s="670">
        <v>25280038</v>
      </c>
      <c r="D80" s="826"/>
      <c r="E80" s="827">
        <v>1527291</v>
      </c>
      <c r="F80" s="826"/>
      <c r="G80" s="826">
        <f>'A - CDM Adjustment'!E19</f>
        <v>20317.307692307691</v>
      </c>
      <c r="H80" s="677"/>
      <c r="I80" s="677"/>
      <c r="J80" s="550">
        <f>C80-D80-E80+F80+G80</f>
        <v>23773064.307692308</v>
      </c>
      <c r="K80" s="697">
        <f>IF(K$18='5.Variables'!$B$16,+'5.Variables'!$C32,+IF(K$18='5.Variables'!$B$39,+'5.Variables'!$C55,+IF(K$18='5.Variables'!$B$62,+'5.Variables'!$C69,+IF(K$18='5.Variables'!$B$76,+'5.Variables'!$C83,+IF(K$18='5.Variables'!$B$90,+'5.Variables'!$C97,+IF(K$18='5.Variables'!$B$104,+'5.Variables'!$C111,0))))))</f>
        <v>789.5</v>
      </c>
      <c r="L80" s="697">
        <f>IF(L$18='5.Variables'!$B$16,+'5.Variables'!$C31,+IF(L$18='5.Variables'!$B$39,+'5.Variables'!$C55,+IF(L$18='5.Variables'!$B$62,+'5.Variables'!$C69,+IF(L$18='5.Variables'!$B$76,+'5.Variables'!$C83,+IF(L$18='5.Variables'!$B$90,+'5.Variables'!$C97,+IF(L$18='5.Variables'!$B$104,+'5.Variables'!$C111,0))))))</f>
        <v>0</v>
      </c>
      <c r="M80" s="697">
        <f>IF(M$18='5.Variables'!$B$16,+'5.Variables'!$C31,+IF(M$18='5.Variables'!$B$39,+'5.Variables'!$C55,+IF(M$18='5.Variables'!$B$62,+'5.Variables'!$C69,+IF(M$18='5.Variables'!$B$76,+'5.Variables'!$C83,+IF(M$18='5.Variables'!$B$90,+'5.Variables'!$C97,+IF(M$18='5.Variables'!$B$104,+'5.Variables'!$C111,0))))))</f>
        <v>31</v>
      </c>
      <c r="N80" s="697">
        <f>IF(N$18='5.Variables'!$B$16,+'5.Variables'!$C31,+IF(N$18='5.Variables'!$B$39,+'5.Variables'!$C55,+IF(N$18='5.Variables'!$B$62,+'5.Variables'!$C69,+IF(N$18='5.Variables'!$B$76,+'5.Variables'!$C83,+IF(N$18='5.Variables'!$B$90,+'5.Variables'!$C97,+IF(N$18='5.Variables'!$B$104,+'5.Variables'!$C111,0))))))</f>
        <v>139</v>
      </c>
      <c r="O80" s="697">
        <f>IF(O$18='5.Variables'!$B$16,+'5.Variables'!$C31,+IF(O$18='5.Variables'!$B$39,+'5.Variables'!$C55,+IF(O$18='5.Variables'!$B$62,+'5.Variables'!$C69,+IF(O$18='5.Variables'!$B$76,+'5.Variables'!$C83,+IF(O$18='5.Variables'!$B$90,+'5.Variables'!$C97,+IF(O$18='5.Variables'!$B$104,+'5.Variables'!$C111,0))))))</f>
        <v>0</v>
      </c>
      <c r="P80" s="697">
        <f>IF(P$18='5.Variables'!$B$16,+'5.Variables'!$C31,+IF(P$18='5.Variables'!$B$39,+'5.Variables'!$C55,+IF(P$18='5.Variables'!$B$62,+'5.Variables'!$C69,+IF(P$18='5.Variables'!$B$76,+'5.Variables'!$C83,+IF(P$18='5.Variables'!$B$90,+'5.Variables'!$C97,+IF(P$18='5.Variables'!$B$104,+'5.Variables'!$C111,0))))))</f>
        <v>352</v>
      </c>
      <c r="Q80" s="242"/>
      <c r="R80" s="260">
        <f t="shared" si="1"/>
        <v>23455000.580563106</v>
      </c>
      <c r="S80" s="262"/>
      <c r="T80" s="242"/>
      <c r="U80" s="271"/>
      <c r="V80" s="242"/>
      <c r="W80" s="242"/>
      <c r="X80" s="242"/>
      <c r="Y80" s="242"/>
      <c r="Z80" s="242"/>
      <c r="AA80" s="242"/>
      <c r="AB80" s="242"/>
      <c r="AC80" s="242"/>
      <c r="AD80" s="242"/>
      <c r="AE80" s="242"/>
      <c r="AF80" s="242"/>
      <c r="AG80" s="242"/>
      <c r="AH80" s="242"/>
      <c r="AI80" s="242"/>
      <c r="AJ80" s="242"/>
      <c r="AK80" s="242"/>
      <c r="AL80" s="242"/>
      <c r="AM80" s="242"/>
    </row>
    <row r="81" spans="1:39" x14ac:dyDescent="0.2">
      <c r="A81" s="500">
        <f t="shared" si="2"/>
        <v>62</v>
      </c>
      <c r="B81" s="259" t="str">
        <f>CONCATENATE('3. Consumption by Rate Class'!B86,"-",'3. Consumption by Rate Class'!C86)</f>
        <v>2011-February</v>
      </c>
      <c r="C81" s="670">
        <v>22933219</v>
      </c>
      <c r="D81" s="826"/>
      <c r="E81" s="827">
        <v>1529094.15</v>
      </c>
      <c r="F81" s="826"/>
      <c r="G81" s="826">
        <f>'A - CDM Adjustment'!E20</f>
        <v>40634.615384615383</v>
      </c>
      <c r="H81" s="677"/>
      <c r="I81" s="677"/>
      <c r="J81" s="550">
        <f t="shared" si="0"/>
        <v>21444759.465384617</v>
      </c>
      <c r="K81" s="697">
        <f>IF(K$18='5.Variables'!$B$16,+'5.Variables'!$D32,+IF(K$18='5.Variables'!$B$39,+'5.Variables'!$D55,+IF(K$18='5.Variables'!$B$62,+'5.Variables'!$D69,+IF(K$18='5.Variables'!$B$76,+'5.Variables'!$D83,+IF(K$18='5.Variables'!$B$90,+'5.Variables'!$D97,+IF(K$18='5.Variables'!$B$104,+'5.Variables'!$D111,0))))))</f>
        <v>648.9</v>
      </c>
      <c r="L81" s="697">
        <f>IF(L$18='5.Variables'!$B$16,+'5.Variables'!$D31,+IF(L$18='5.Variables'!$B$39,+'5.Variables'!$D55,+IF(L$18='5.Variables'!$B$62,+'5.Variables'!$D69,+IF(L$18='5.Variables'!$B$76,+'5.Variables'!$D83,+IF(L$18='5.Variables'!$B$90,+'5.Variables'!$D97,+IF(L$18='5.Variables'!$B$104,+'5.Variables'!$D111,0))))))</f>
        <v>0</v>
      </c>
      <c r="M81" s="697">
        <f>IF(M$18='5.Variables'!$B$16,+'5.Variables'!$D31,+IF(M$18='5.Variables'!$B$39,+'5.Variables'!$D55,+IF(M$18='5.Variables'!$B$62,+'5.Variables'!$D69,+IF(M$18='5.Variables'!$B$76,+'5.Variables'!$D83,+IF(M$18='5.Variables'!$B$90,+'5.Variables'!$D97,+IF(M$18='5.Variables'!$B$104,+'5.Variables'!$D111,0))))))</f>
        <v>28</v>
      </c>
      <c r="N81" s="697">
        <f>IF(N$18='5.Variables'!$B$16,+'5.Variables'!$D31,+IF(N$18='5.Variables'!$B$39,+'5.Variables'!$D55,+IF(N$18='5.Variables'!$B$62,+'5.Variables'!$D69,+IF(N$18='5.Variables'!$B$76,+'5.Variables'!$D83,+IF(N$18='5.Variables'!$B$90,+'5.Variables'!$D97,+IF(N$18='5.Variables'!$B$104,+'5.Variables'!$D111,0))))))</f>
        <v>139.30000000000001</v>
      </c>
      <c r="O81" s="697">
        <f>IF(O$18='5.Variables'!$B$16,+'5.Variables'!$D31,+IF(O$18='5.Variables'!$B$39,+'5.Variables'!$D55,+IF(O$18='5.Variables'!$B$62,+'5.Variables'!$D69,+IF(O$18='5.Variables'!$B$76,+'5.Variables'!$D83,+IF(O$18='5.Variables'!$B$90,+'5.Variables'!$D97,+IF(O$18='5.Variables'!$B$104,+'5.Variables'!$D111,0))))))</f>
        <v>0</v>
      </c>
      <c r="P81" s="697">
        <f>IF(P$18='5.Variables'!$B$16,+'5.Variables'!$D31,+IF(P$18='5.Variables'!$B$39,+'5.Variables'!$D55,+IF(P$18='5.Variables'!$B$62,+'5.Variables'!$D69,+IF(P$18='5.Variables'!$B$76,+'5.Variables'!$D83,+IF(P$18='5.Variables'!$B$90,+'5.Variables'!$D97,+IF(P$18='5.Variables'!$B$104,+'5.Variables'!$D111,0))))))</f>
        <v>320</v>
      </c>
      <c r="Q81" s="242"/>
      <c r="R81" s="260">
        <f t="shared" si="1"/>
        <v>21165206.124229841</v>
      </c>
      <c r="S81" s="262"/>
      <c r="T81" s="242"/>
      <c r="U81" s="271"/>
      <c r="V81" s="242"/>
      <c r="W81" s="242"/>
      <c r="X81" s="242"/>
      <c r="Y81" s="242"/>
      <c r="Z81" s="242"/>
      <c r="AA81" s="242"/>
      <c r="AB81" s="242"/>
      <c r="AC81" s="242"/>
      <c r="AD81" s="242"/>
      <c r="AE81" s="242"/>
      <c r="AF81" s="242"/>
      <c r="AG81" s="242"/>
      <c r="AH81" s="242"/>
      <c r="AI81" s="242"/>
      <c r="AJ81" s="242"/>
      <c r="AK81" s="242"/>
      <c r="AL81" s="242"/>
      <c r="AM81" s="242"/>
    </row>
    <row r="82" spans="1:39" x14ac:dyDescent="0.2">
      <c r="A82" s="500">
        <f t="shared" si="2"/>
        <v>63</v>
      </c>
      <c r="B82" s="259" t="str">
        <f>CONCATENATE('3. Consumption by Rate Class'!B87,"-",'3. Consumption by Rate Class'!C87)</f>
        <v>2011-March</v>
      </c>
      <c r="C82" s="670">
        <v>24373637</v>
      </c>
      <c r="D82" s="826"/>
      <c r="E82" s="827">
        <v>2165761.9</v>
      </c>
      <c r="F82" s="826"/>
      <c r="G82" s="826">
        <f>'A - CDM Adjustment'!E21</f>
        <v>60951.923076923071</v>
      </c>
      <c r="H82" s="677"/>
      <c r="I82" s="677"/>
      <c r="J82" s="550">
        <f t="shared" si="0"/>
        <v>22268827.023076925</v>
      </c>
      <c r="K82" s="697">
        <f>IF(K$18='5.Variables'!$B$16,+'5.Variables'!$E32,+IF(K$18='5.Variables'!$B$39,+'5.Variables'!$E55,+IF(K$18='5.Variables'!$B$62,+'5.Variables'!$E69,+IF(K$18='5.Variables'!$B$76,+'5.Variables'!$E83,+IF(K$18='5.Variables'!$B$90,+'5.Variables'!$E97,+IF(K$18='5.Variables'!$B$104,+'5.Variables'!$E111,0))))))</f>
        <v>574.5</v>
      </c>
      <c r="L82" s="697">
        <f>IF(L$18='5.Variables'!$B$16,+'5.Variables'!$E31,+IF(L$18='5.Variables'!$B$39,+'5.Variables'!$E55,+IF(L$18='5.Variables'!$B$62,+'5.Variables'!$E69,+IF(L$18='5.Variables'!$B$76,+'5.Variables'!$E83,+IF(L$18='5.Variables'!$B$90,+'5.Variables'!$E97,+IF(L$18='5.Variables'!$B$104,+'5.Variables'!$E111,0))))))</f>
        <v>0</v>
      </c>
      <c r="M82" s="697">
        <f>IF(M$18='5.Variables'!$B$16,+'5.Variables'!$E31,+IF(M$18='5.Variables'!$B$39,+'5.Variables'!$E55,+IF(M$18='5.Variables'!$B$62,+'5.Variables'!$E69,+IF(M$18='5.Variables'!$B$76,+'5.Variables'!$E83,+IF(M$18='5.Variables'!$B$90,+'5.Variables'!$E97,+IF(M$18='5.Variables'!$B$104,+'5.Variables'!$E111,0))))))</f>
        <v>31</v>
      </c>
      <c r="N82" s="697">
        <f>IF(N$18='5.Variables'!$B$16,+'5.Variables'!$E31,+IF(N$18='5.Variables'!$B$39,+'5.Variables'!$E55,+IF(N$18='5.Variables'!$B$62,+'5.Variables'!$E69,+IF(N$18='5.Variables'!$B$76,+'5.Variables'!$E83,+IF(N$18='5.Variables'!$B$90,+'5.Variables'!$E97,+IF(N$18='5.Variables'!$B$104,+'5.Variables'!$E111,0))))))</f>
        <v>139.6</v>
      </c>
      <c r="O82" s="697">
        <f>IF(O$18='5.Variables'!$B$16,+'5.Variables'!$E31,+IF(O$18='5.Variables'!$B$39,+'5.Variables'!$E55,+IF(O$18='5.Variables'!$B$62,+'5.Variables'!$E69,+IF(O$18='5.Variables'!$B$76,+'5.Variables'!$E83,+IF(O$18='5.Variables'!$B$90,+'5.Variables'!$E97,+IF(O$18='5.Variables'!$B$104,+'5.Variables'!$E111,0))))))</f>
        <v>0</v>
      </c>
      <c r="P82" s="697">
        <f>IF(P$18='5.Variables'!$B$16,+'5.Variables'!$E31,+IF(P$18='5.Variables'!$B$39,+'5.Variables'!$E55,+IF(P$18='5.Variables'!$B$62,+'5.Variables'!$E69,+IF(P$18='5.Variables'!$B$76,+'5.Variables'!$E83,+IF(P$18='5.Variables'!$B$90,+'5.Variables'!$E97,+IF(P$18='5.Variables'!$B$104,+'5.Variables'!$E111,0))))))</f>
        <v>352</v>
      </c>
      <c r="Q82" s="242"/>
      <c r="R82" s="260">
        <f t="shared" si="1"/>
        <v>22071739.048122052</v>
      </c>
      <c r="S82" s="262"/>
      <c r="T82" s="242"/>
      <c r="U82" s="271"/>
      <c r="V82" s="242"/>
      <c r="W82" s="242"/>
      <c r="X82" s="242"/>
      <c r="Y82" s="242"/>
      <c r="Z82" s="242"/>
      <c r="AA82" s="242"/>
      <c r="AB82" s="242"/>
      <c r="AC82" s="242"/>
      <c r="AD82" s="242"/>
      <c r="AE82" s="242"/>
      <c r="AF82" s="242"/>
      <c r="AG82" s="242"/>
      <c r="AH82" s="242"/>
      <c r="AI82" s="242"/>
      <c r="AJ82" s="242"/>
      <c r="AK82" s="242"/>
      <c r="AL82" s="242"/>
      <c r="AM82" s="242"/>
    </row>
    <row r="83" spans="1:39" x14ac:dyDescent="0.2">
      <c r="A83" s="500">
        <f t="shared" si="2"/>
        <v>64</v>
      </c>
      <c r="B83" s="259" t="str">
        <f>CONCATENATE('3. Consumption by Rate Class'!B88,"-",'3. Consumption by Rate Class'!C88)</f>
        <v>2011-April</v>
      </c>
      <c r="C83" s="670">
        <v>21210410</v>
      </c>
      <c r="D83" s="826"/>
      <c r="E83" s="827">
        <v>1885923.27</v>
      </c>
      <c r="F83" s="826"/>
      <c r="G83" s="826">
        <f>'A - CDM Adjustment'!E22</f>
        <v>81269.230769230751</v>
      </c>
      <c r="H83" s="677"/>
      <c r="I83" s="677"/>
      <c r="J83" s="550">
        <f t="shared" si="0"/>
        <v>19405755.960769232</v>
      </c>
      <c r="K83" s="697">
        <f>IF(K$18='5.Variables'!$B$16,+'5.Variables'!$F32,+IF(K$18='5.Variables'!$B$39,+'5.Variables'!$F55,+IF(K$18='5.Variables'!$B$62,+'5.Variables'!$F69,+IF(K$18='5.Variables'!$B$76,+'5.Variables'!$F83,+IF(K$18='5.Variables'!$B$90,+'5.Variables'!$F97,+IF(K$18='5.Variables'!$B$104,+'5.Variables'!$F111,0))))))</f>
        <v>372.4</v>
      </c>
      <c r="L83" s="697">
        <f>IF(L$18='5.Variables'!$B$16,+'5.Variables'!$F31,+IF(L$18='5.Variables'!$B$39,+'5.Variables'!$F55,+IF(L$18='5.Variables'!$B$62,+'5.Variables'!$F69,+IF(L$18='5.Variables'!$B$76,+'5.Variables'!$F83,+IF(L$18='5.Variables'!$B$90,+'5.Variables'!$F97,+IF(L$18='5.Variables'!$B$104,+'5.Variables'!$F111,0))))))</f>
        <v>0</v>
      </c>
      <c r="M83" s="697">
        <f>IF(M$18='5.Variables'!$B$16,+'5.Variables'!$F31,+IF(M$18='5.Variables'!$B$39,+'5.Variables'!$F55,+IF(M$18='5.Variables'!$B$62,+'5.Variables'!$F69,+IF(M$18='5.Variables'!$B$76,+'5.Variables'!$F83,+IF(M$18='5.Variables'!$B$90,+'5.Variables'!$F97,+IF(M$18='5.Variables'!$B$104,+'5.Variables'!$F111,0))))))</f>
        <v>30</v>
      </c>
      <c r="N83" s="697">
        <f>IF(N$18='5.Variables'!$B$16,+'5.Variables'!$F31,+IF(N$18='5.Variables'!$B$39,+'5.Variables'!$F55,+IF(N$18='5.Variables'!$B$62,+'5.Variables'!$F69,+IF(N$18='5.Variables'!$B$76,+'5.Variables'!$F83,+IF(N$18='5.Variables'!$B$90,+'5.Variables'!$F97,+IF(N$18='5.Variables'!$B$104,+'5.Variables'!$F111,0))))))</f>
        <v>139.9</v>
      </c>
      <c r="O83" s="697">
        <f>IF(O$18='5.Variables'!$B$16,+'5.Variables'!$F31,+IF(O$18='5.Variables'!$B$39,+'5.Variables'!$F55,+IF(O$18='5.Variables'!$B$62,+'5.Variables'!$F69,+IF(O$18='5.Variables'!$B$76,+'5.Variables'!$F83,+IF(O$18='5.Variables'!$B$90,+'5.Variables'!$F97,+IF(O$18='5.Variables'!$B$104,+'5.Variables'!$F111,0))))))</f>
        <v>0</v>
      </c>
      <c r="P83" s="697">
        <f>IF(P$18='5.Variables'!$B$16,+'5.Variables'!$F31,+IF(P$18='5.Variables'!$B$39,+'5.Variables'!$F55,+IF(P$18='5.Variables'!$B$62,+'5.Variables'!$F69,+IF(P$18='5.Variables'!$B$76,+'5.Variables'!$F83,+IF(P$18='5.Variables'!$B$90,+'5.Variables'!$F97,+IF(P$18='5.Variables'!$B$104,+'5.Variables'!$F111,0))))))</f>
        <v>320</v>
      </c>
      <c r="Q83" s="242"/>
      <c r="R83" s="260">
        <f t="shared" si="1"/>
        <v>20140622.009299312</v>
      </c>
      <c r="S83" s="262"/>
      <c r="T83" s="242"/>
      <c r="U83" s="242"/>
      <c r="V83" s="242"/>
      <c r="W83" s="242"/>
      <c r="X83" s="242"/>
      <c r="Y83" s="242"/>
      <c r="Z83" s="242"/>
      <c r="AA83" s="242"/>
      <c r="AB83" s="242"/>
      <c r="AC83" s="242"/>
      <c r="AD83" s="242"/>
      <c r="AE83" s="242"/>
      <c r="AF83" s="242"/>
      <c r="AG83" s="242"/>
      <c r="AH83" s="242"/>
      <c r="AI83" s="242"/>
      <c r="AJ83" s="242"/>
      <c r="AK83" s="242"/>
      <c r="AL83" s="242"/>
      <c r="AM83" s="242"/>
    </row>
    <row r="84" spans="1:39" x14ac:dyDescent="0.2">
      <c r="A84" s="500">
        <f t="shared" si="2"/>
        <v>65</v>
      </c>
      <c r="B84" s="259" t="str">
        <f>CONCATENATE('3. Consumption by Rate Class'!B89,"-",'3. Consumption by Rate Class'!C89)</f>
        <v>2011-May</v>
      </c>
      <c r="C84" s="670">
        <v>20370130</v>
      </c>
      <c r="D84" s="826"/>
      <c r="E84" s="827">
        <v>1668094.5</v>
      </c>
      <c r="F84" s="826"/>
      <c r="G84" s="826">
        <f>'A - CDM Adjustment'!E23</f>
        <v>101586.53846153844</v>
      </c>
      <c r="H84" s="677"/>
      <c r="I84" s="677"/>
      <c r="J84" s="550">
        <f t="shared" ref="J84:J139" si="8">C84-D84-E84+F84+G84</f>
        <v>18803622.03846154</v>
      </c>
      <c r="K84" s="697">
        <f>IF(K$18='5.Variables'!$B$16,+'5.Variables'!$G32,+IF(K$18='5.Variables'!$B$39,+'5.Variables'!$G55,+IF(K$18='5.Variables'!$B$62,+'5.Variables'!$G69,+IF(K$18='5.Variables'!$B$76,+'5.Variables'!$G83,+IF(K$18='5.Variables'!$B$90,+'5.Variables'!$G97,+IF(K$18='5.Variables'!$B$104,+'5.Variables'!$G111,0))))))</f>
        <v>177.6</v>
      </c>
      <c r="L84" s="697">
        <f>IF(L$18='5.Variables'!$B$16,+'5.Variables'!$G31,+IF(L$18='5.Variables'!$B$39,+'5.Variables'!$G55,+IF(L$18='5.Variables'!$B$62,+'5.Variables'!$G69,+IF(L$18='5.Variables'!$B$76,+'5.Variables'!$G83,+IF(L$18='5.Variables'!$B$90,+'5.Variables'!$G97,+IF(L$18='5.Variables'!$B$104,+'5.Variables'!$G111,0))))))</f>
        <v>0.1</v>
      </c>
      <c r="M84" s="697">
        <f>IF(M$18='5.Variables'!$B$16,+'5.Variables'!$G31,+IF(M$18='5.Variables'!$B$39,+'5.Variables'!$G55,+IF(M$18='5.Variables'!$B$62,+'5.Variables'!$G69,+IF(M$18='5.Variables'!$B$76,+'5.Variables'!$G83,+IF(M$18='5.Variables'!$B$90,+'5.Variables'!$G97,+IF(M$18='5.Variables'!$B$104,+'5.Variables'!$G111,0))))))</f>
        <v>31</v>
      </c>
      <c r="N84" s="697">
        <f>IF(N$18='5.Variables'!$B$16,+'5.Variables'!$G31,+IF(N$18='5.Variables'!$B$39,+'5.Variables'!$G55,+IF(N$18='5.Variables'!$B$62,+'5.Variables'!$G69,+IF(N$18='5.Variables'!$B$76,+'5.Variables'!$G83,+IF(N$18='5.Variables'!$B$90,+'5.Variables'!$G97,+IF(N$18='5.Variables'!$B$104,+'5.Variables'!$G111,0))))))</f>
        <v>140.19999999999999</v>
      </c>
      <c r="O84" s="697">
        <f>IF(O$18='5.Variables'!$B$16,+'5.Variables'!$G31,+IF(O$18='5.Variables'!$B$39,+'5.Variables'!$G55,+IF(O$18='5.Variables'!$B$62,+'5.Variables'!$G69,+IF(O$18='5.Variables'!$B$76,+'5.Variables'!$G83,+IF(O$18='5.Variables'!$B$90,+'5.Variables'!$G97,+IF(O$18='5.Variables'!$B$104,+'5.Variables'!$G111,0))))))</f>
        <v>0</v>
      </c>
      <c r="P84" s="697">
        <f>IF(P$18='5.Variables'!$B$16,+'5.Variables'!$G31,+IF(P$18='5.Variables'!$B$39,+'5.Variables'!$G55,+IF(P$18='5.Variables'!$B$62,+'5.Variables'!$G69,+IF(P$18='5.Variables'!$B$76,+'5.Variables'!$G83,+IF(P$18='5.Variables'!$B$90,+'5.Variables'!$G97,+IF(P$18='5.Variables'!$B$104,+'5.Variables'!$G111,0))))))</f>
        <v>352</v>
      </c>
      <c r="Q84" s="242"/>
      <c r="R84" s="260">
        <f t="shared" si="1"/>
        <v>19507286.644460391</v>
      </c>
      <c r="S84" s="262"/>
      <c r="T84" s="242"/>
      <c r="U84" s="242"/>
      <c r="V84" s="242"/>
      <c r="W84" s="242"/>
      <c r="X84" s="242"/>
      <c r="Y84" s="242"/>
      <c r="Z84" s="242"/>
      <c r="AA84" s="242"/>
      <c r="AB84" s="242"/>
      <c r="AC84" s="242"/>
      <c r="AD84" s="242"/>
      <c r="AE84" s="242"/>
      <c r="AF84" s="242"/>
      <c r="AG84" s="242"/>
      <c r="AH84" s="242"/>
      <c r="AI84" s="242"/>
      <c r="AJ84" s="242"/>
      <c r="AK84" s="242"/>
      <c r="AL84" s="242"/>
      <c r="AM84" s="242"/>
    </row>
    <row r="85" spans="1:39" x14ac:dyDescent="0.2">
      <c r="A85" s="500">
        <f t="shared" si="2"/>
        <v>66</v>
      </c>
      <c r="B85" s="259" t="str">
        <f>CONCATENATE('3. Consumption by Rate Class'!B90,"-",'3. Consumption by Rate Class'!C90)</f>
        <v>2011-June</v>
      </c>
      <c r="C85" s="670">
        <v>20125692</v>
      </c>
      <c r="D85" s="826"/>
      <c r="E85" s="827">
        <v>1194523.31</v>
      </c>
      <c r="F85" s="826"/>
      <c r="G85" s="826">
        <f>'A - CDM Adjustment'!E24</f>
        <v>121903.84615384611</v>
      </c>
      <c r="H85" s="677"/>
      <c r="I85" s="677"/>
      <c r="J85" s="550">
        <f t="shared" si="8"/>
        <v>19053072.536153849</v>
      </c>
      <c r="K85" s="697">
        <f>IF(K$18='5.Variables'!$B$16,+'5.Variables'!$H32,+IF(K$18='5.Variables'!$B$39,+'5.Variables'!$H55,+IF(K$18='5.Variables'!$B$62,+'5.Variables'!$H69,+IF(K$18='5.Variables'!$B$76,+'5.Variables'!$H83,+IF(K$18='5.Variables'!$B$90,+'5.Variables'!$H97,+IF(K$18='5.Variables'!$B$104,+'5.Variables'!$H111,0))))))</f>
        <v>64</v>
      </c>
      <c r="L85" s="697">
        <f>IF(L$18='5.Variables'!$B$16,+'5.Variables'!$H31,+IF(L$18='5.Variables'!$B$39,+'5.Variables'!$H55,+IF(L$18='5.Variables'!$B$62,+'5.Variables'!$H69,+IF(L$18='5.Variables'!$B$76,+'5.Variables'!$H83,+IF(L$18='5.Variables'!$B$90,+'5.Variables'!$H97,+IF(L$18='5.Variables'!$B$104,+'5.Variables'!$H111,0))))))</f>
        <v>14.7</v>
      </c>
      <c r="M85" s="697">
        <f>IF(M$18='5.Variables'!$B$16,+'5.Variables'!$H31,+IF(M$18='5.Variables'!$B$39,+'5.Variables'!$H55,+IF(M$18='5.Variables'!$B$62,+'5.Variables'!$H69,+IF(M$18='5.Variables'!$B$76,+'5.Variables'!$H83,+IF(M$18='5.Variables'!$B$90,+'5.Variables'!$H97,+IF(M$18='5.Variables'!$B$104,+'5.Variables'!$H111,0))))))</f>
        <v>30</v>
      </c>
      <c r="N85" s="697">
        <f>IF(N$18='5.Variables'!$B$16,+'5.Variables'!$H31,+IF(N$18='5.Variables'!$B$39,+'5.Variables'!$H55,+IF(N$18='5.Variables'!$B$62,+'5.Variables'!$H69,+IF(N$18='5.Variables'!$B$76,+'5.Variables'!$H83,+IF(N$18='5.Variables'!$B$90,+'5.Variables'!$H97,+IF(N$18='5.Variables'!$B$104,+'5.Variables'!$H111,0))))))</f>
        <v>140.5</v>
      </c>
      <c r="O85" s="697">
        <f>IF(O$18='5.Variables'!$B$16,+'5.Variables'!$H31,+IF(O$18='5.Variables'!$B$39,+'5.Variables'!$H55,+IF(O$18='5.Variables'!$B$62,+'5.Variables'!$H69,+IF(O$18='5.Variables'!$B$76,+'5.Variables'!$H83,+IF(O$18='5.Variables'!$B$90,+'5.Variables'!$H97,+IF(O$18='5.Variables'!$B$104,+'5.Variables'!$H111,0))))))</f>
        <v>0</v>
      </c>
      <c r="P85" s="697">
        <f>IF(P$18='5.Variables'!$B$16,+'5.Variables'!$H31,+IF(P$18='5.Variables'!$B$39,+'5.Variables'!$H55,+IF(P$18='5.Variables'!$B$62,+'5.Variables'!$H69,+IF(P$18='5.Variables'!$B$76,+'5.Variables'!$H83,+IF(P$18='5.Variables'!$B$90,+'5.Variables'!$H97,+IF(P$18='5.Variables'!$B$104,+'5.Variables'!$H111,0))))))</f>
        <v>336</v>
      </c>
      <c r="Q85" s="242"/>
      <c r="R85" s="260">
        <f t="shared" ref="R85:R148" si="9">$V$34+(K85*$V$35)+(L85*$V$36)+(M85*$V$37)+(N85*$V$38)+(O85*$V$39)+(P85*$V$40)</f>
        <v>18855648.11009581</v>
      </c>
      <c r="S85" s="262"/>
      <c r="T85" s="242"/>
      <c r="U85" s="242"/>
      <c r="V85" s="242"/>
      <c r="W85" s="242"/>
      <c r="X85" s="242"/>
      <c r="Y85" s="242"/>
      <c r="Z85" s="242"/>
      <c r="AA85" s="242"/>
      <c r="AB85" s="242"/>
      <c r="AC85" s="242"/>
      <c r="AD85" s="242"/>
      <c r="AE85" s="242"/>
      <c r="AF85" s="242"/>
      <c r="AG85" s="242"/>
      <c r="AH85" s="242"/>
      <c r="AI85" s="242"/>
      <c r="AJ85" s="242"/>
      <c r="AK85" s="242"/>
      <c r="AL85" s="242"/>
      <c r="AM85" s="242"/>
    </row>
    <row r="86" spans="1:39" x14ac:dyDescent="0.2">
      <c r="A86" s="500">
        <f t="shared" ref="A86:A149" si="10">+A85+1</f>
        <v>67</v>
      </c>
      <c r="B86" s="259" t="str">
        <f>CONCATENATE('3. Consumption by Rate Class'!B91,"-",'3. Consumption by Rate Class'!C91)</f>
        <v>2011-July</v>
      </c>
      <c r="C86" s="670">
        <v>22481329</v>
      </c>
      <c r="D86" s="826"/>
      <c r="E86" s="827">
        <v>966871.17</v>
      </c>
      <c r="F86" s="826"/>
      <c r="G86" s="826">
        <f>'A - CDM Adjustment'!E25</f>
        <v>142221.15384615379</v>
      </c>
      <c r="H86" s="677"/>
      <c r="I86" s="677"/>
      <c r="J86" s="550">
        <f t="shared" si="8"/>
        <v>21656678.98384615</v>
      </c>
      <c r="K86" s="697">
        <f>IF(K$18='5.Variables'!$B$16,+'5.Variables'!$I32,+IF(K$18='5.Variables'!$B$39,+'5.Variables'!$I55,+IF(K$18='5.Variables'!$B$62,+'5.Variables'!$I69,+IF(K$18='5.Variables'!$B$76,+'5.Variables'!$I83,+IF(K$18='5.Variables'!$B$90,+'5.Variables'!$I97,+IF(K$18='5.Variables'!$B$104,+'5.Variables'!$I111,0))))))</f>
        <v>8.4</v>
      </c>
      <c r="L86" s="697">
        <f>IF(L$18='5.Variables'!$B$16,+'5.Variables'!$I31,+IF(L$18='5.Variables'!$B$39,+'5.Variables'!$I55,+IF(L$18='5.Variables'!$B$62,+'5.Variables'!$I69,+IF(L$18='5.Variables'!$B$76,+'5.Variables'!$I83,+IF(L$18='5.Variables'!$B$90,+'5.Variables'!$I97,+IF(L$18='5.Variables'!$B$104,+'5.Variables'!$I111,0))))))</f>
        <v>91.3</v>
      </c>
      <c r="M86" s="697">
        <f>IF(M$18='5.Variables'!$B$16,+'5.Variables'!$I31,+IF(M$18='5.Variables'!$B$39,+'5.Variables'!$I55,+IF(M$18='5.Variables'!$B$62,+'5.Variables'!$I69,+IF(M$18='5.Variables'!$B$76,+'5.Variables'!$I83,+IF(M$18='5.Variables'!$B$90,+'5.Variables'!$I97,+IF(M$18='5.Variables'!$B$104,+'5.Variables'!$I111,0))))))</f>
        <v>31</v>
      </c>
      <c r="N86" s="697">
        <f>IF(N$18='5.Variables'!$B$16,+'5.Variables'!$I31,+IF(N$18='5.Variables'!$B$39,+'5.Variables'!$I55,+IF(N$18='5.Variables'!$B$62,+'5.Variables'!$I69,+IF(N$18='5.Variables'!$B$76,+'5.Variables'!$I83,+IF(N$18='5.Variables'!$B$90,+'5.Variables'!$I97,+IF(N$18='5.Variables'!$B$104,+'5.Variables'!$I111,0))))))</f>
        <v>140.80000000000001</v>
      </c>
      <c r="O86" s="697">
        <f>IF(O$18='5.Variables'!$B$16,+'5.Variables'!$I31,+IF(O$18='5.Variables'!$B$39,+'5.Variables'!$I55,+IF(O$18='5.Variables'!$B$62,+'5.Variables'!$I69,+IF(O$18='5.Variables'!$B$76,+'5.Variables'!$I83,+IF(O$18='5.Variables'!$B$90,+'5.Variables'!$I97,+IF(O$18='5.Variables'!$B$104,+'5.Variables'!$I111,0))))))</f>
        <v>0</v>
      </c>
      <c r="P86" s="697">
        <f>IF(P$18='5.Variables'!$B$16,+'5.Variables'!$I31,+IF(P$18='5.Variables'!$B$39,+'5.Variables'!$I55,+IF(P$18='5.Variables'!$B$62,+'5.Variables'!$I69,+IF(P$18='5.Variables'!$B$76,+'5.Variables'!$I83,+IF(P$18='5.Variables'!$B$90,+'5.Variables'!$I97,+IF(P$18='5.Variables'!$B$104,+'5.Variables'!$I111,0))))))</f>
        <v>336</v>
      </c>
      <c r="Q86" s="242"/>
      <c r="R86" s="260">
        <f t="shared" si="9"/>
        <v>21930866.538870133</v>
      </c>
      <c r="S86" s="262"/>
      <c r="T86" s="242"/>
      <c r="U86" s="242"/>
      <c r="V86" s="242"/>
      <c r="W86" s="242"/>
      <c r="X86" s="242"/>
      <c r="Y86" s="242"/>
      <c r="Z86" s="242"/>
      <c r="AA86" s="242"/>
      <c r="AB86" s="242"/>
      <c r="AC86" s="242"/>
      <c r="AD86" s="242"/>
      <c r="AE86" s="242"/>
      <c r="AF86" s="242"/>
      <c r="AG86" s="242"/>
      <c r="AH86" s="242"/>
      <c r="AI86" s="242"/>
      <c r="AJ86" s="242"/>
      <c r="AK86" s="242"/>
      <c r="AL86" s="242"/>
      <c r="AM86" s="242"/>
    </row>
    <row r="87" spans="1:39" x14ac:dyDescent="0.2">
      <c r="A87" s="500">
        <f t="shared" si="10"/>
        <v>68</v>
      </c>
      <c r="B87" s="259" t="str">
        <f>CONCATENATE('3. Consumption by Rate Class'!B92,"-",'3. Consumption by Rate Class'!C92)</f>
        <v>2011-August</v>
      </c>
      <c r="C87" s="670">
        <v>22073076</v>
      </c>
      <c r="D87" s="826"/>
      <c r="E87" s="827">
        <v>1049799.55</v>
      </c>
      <c r="F87" s="826"/>
      <c r="G87" s="826">
        <f>'A - CDM Adjustment'!E26</f>
        <v>162538.46153846147</v>
      </c>
      <c r="H87" s="677"/>
      <c r="I87" s="677"/>
      <c r="J87" s="550">
        <f t="shared" si="8"/>
        <v>21185814.911538459</v>
      </c>
      <c r="K87" s="697">
        <f>IF(K$18='5.Variables'!$B$16,+'5.Variables'!$J32,+IF(K$18='5.Variables'!$B$39,+'5.Variables'!$J55,+IF(K$18='5.Variables'!$B$62,+'5.Variables'!$J69,+IF(K$18='5.Variables'!$B$76,+'5.Variables'!$J83,+IF(K$18='5.Variables'!$B$90,+'5.Variables'!$J97,+IF(K$18='5.Variables'!$B$104,+'5.Variables'!$J111,0))))))</f>
        <v>9.1</v>
      </c>
      <c r="L87" s="697">
        <f>IF(L$18='5.Variables'!$B$16,+'5.Variables'!$J31,+IF(L$18='5.Variables'!$B$39,+'5.Variables'!$J55,+IF(L$18='5.Variables'!$B$62,+'5.Variables'!$J69,+IF(L$18='5.Variables'!$B$76,+'5.Variables'!$J83,+IF(L$18='5.Variables'!$B$90,+'5.Variables'!$J97,+IF(L$18='5.Variables'!$B$104,+'5.Variables'!$J111,0))))))</f>
        <v>57.5</v>
      </c>
      <c r="M87" s="697">
        <f>IF(M$18='5.Variables'!$B$16,+'5.Variables'!$J31,+IF(M$18='5.Variables'!$B$39,+'5.Variables'!$J55,+IF(M$18='5.Variables'!$B$62,+'5.Variables'!$J69,+IF(M$18='5.Variables'!$B$76,+'5.Variables'!$J83,+IF(M$18='5.Variables'!$B$90,+'5.Variables'!$J97,+IF(M$18='5.Variables'!$B$104,+'5.Variables'!$J111,0))))))</f>
        <v>31</v>
      </c>
      <c r="N87" s="697">
        <f>IF(N$18='5.Variables'!$B$16,+'5.Variables'!$J31,+IF(N$18='5.Variables'!$B$39,+'5.Variables'!$J55,+IF(N$18='5.Variables'!$B$62,+'5.Variables'!$J69,+IF(N$18='5.Variables'!$B$76,+'5.Variables'!$J83,+IF(N$18='5.Variables'!$B$90,+'5.Variables'!$J97,+IF(N$18='5.Variables'!$B$104,+'5.Variables'!$J111,0))))))</f>
        <v>141.1</v>
      </c>
      <c r="O87" s="697">
        <f>IF(O$18='5.Variables'!$B$16,+'5.Variables'!$J31,+IF(O$18='5.Variables'!$B$39,+'5.Variables'!$J55,+IF(O$18='5.Variables'!$B$62,+'5.Variables'!$J69,+IF(O$18='5.Variables'!$B$76,+'5.Variables'!$J83,+IF(O$18='5.Variables'!$B$90,+'5.Variables'!$J97,+IF(O$18='5.Variables'!$B$104,+'5.Variables'!$J111,0))))))</f>
        <v>0</v>
      </c>
      <c r="P87" s="697">
        <f>IF(P$18='5.Variables'!$B$16,+'5.Variables'!$J31,+IF(P$18='5.Variables'!$B$39,+'5.Variables'!$J55,+IF(P$18='5.Variables'!$B$62,+'5.Variables'!$J69,+IF(P$18='5.Variables'!$B$76,+'5.Variables'!$J83,+IF(P$18='5.Variables'!$B$90,+'5.Variables'!$J97,+IF(P$18='5.Variables'!$B$104,+'5.Variables'!$J111,0))))))</f>
        <v>352</v>
      </c>
      <c r="Q87" s="242"/>
      <c r="R87" s="260">
        <f t="shared" si="9"/>
        <v>20720545.375607733</v>
      </c>
      <c r="S87" s="262"/>
      <c r="T87" s="242"/>
      <c r="U87" s="242"/>
      <c r="V87" s="242"/>
      <c r="W87" s="242"/>
      <c r="X87" s="242"/>
      <c r="Y87" s="242"/>
      <c r="Z87" s="242"/>
      <c r="AA87" s="242"/>
      <c r="AB87" s="242"/>
      <c r="AC87" s="242"/>
      <c r="AD87" s="242"/>
      <c r="AE87" s="242"/>
      <c r="AF87" s="242"/>
      <c r="AG87" s="242"/>
      <c r="AH87" s="242"/>
      <c r="AI87" s="242"/>
      <c r="AJ87" s="242"/>
      <c r="AK87" s="242"/>
      <c r="AL87" s="242"/>
      <c r="AM87" s="242"/>
    </row>
    <row r="88" spans="1:39" x14ac:dyDescent="0.2">
      <c r="A88" s="500">
        <f t="shared" si="10"/>
        <v>69</v>
      </c>
      <c r="B88" s="259" t="str">
        <f>CONCATENATE('3. Consumption by Rate Class'!B93,"-",'3. Consumption by Rate Class'!C93)</f>
        <v>2011-September</v>
      </c>
      <c r="C88" s="670">
        <v>20224886</v>
      </c>
      <c r="D88" s="826"/>
      <c r="E88" s="827">
        <v>929057.4</v>
      </c>
      <c r="F88" s="826"/>
      <c r="G88" s="826">
        <f>'A - CDM Adjustment'!E27</f>
        <v>182855.76923076916</v>
      </c>
      <c r="H88" s="677"/>
      <c r="I88" s="677"/>
      <c r="J88" s="550">
        <f t="shared" si="8"/>
        <v>19478684.36923077</v>
      </c>
      <c r="K88" s="697">
        <f>IF(K$18='5.Variables'!$B$16,+'5.Variables'!$K32,+IF(K$18='5.Variables'!$B$39,+'5.Variables'!$K55,+IF(K$18='5.Variables'!$B$62,+'5.Variables'!$K69,+IF(K$18='5.Variables'!$B$76,+'5.Variables'!$K83,+IF(K$18='5.Variables'!$B$90,+'5.Variables'!$K97,+IF(K$18='5.Variables'!$B$104,+'5.Variables'!$K111,0))))))</f>
        <v>59.7</v>
      </c>
      <c r="L88" s="697">
        <f>IF(L$18='5.Variables'!$B$16,+'5.Variables'!$K31,+IF(L$18='5.Variables'!$B$39,+'5.Variables'!$K55,+IF(L$18='5.Variables'!$B$62,+'5.Variables'!$K69,+IF(L$18='5.Variables'!$B$76,+'5.Variables'!$K83,+IF(L$18='5.Variables'!$B$90,+'5.Variables'!$K97,+IF(L$18='5.Variables'!$B$104,+'5.Variables'!$K111,0))))))</f>
        <v>21.4</v>
      </c>
      <c r="M88" s="697">
        <f>IF(M$18='5.Variables'!$B$16,+'5.Variables'!$K31,+IF(M$18='5.Variables'!$B$39,+'5.Variables'!$K55,+IF(M$18='5.Variables'!$B$62,+'5.Variables'!$K69,+IF(M$18='5.Variables'!$B$76,+'5.Variables'!$K83,+IF(M$18='5.Variables'!$B$90,+'5.Variables'!$K97,+IF(M$18='5.Variables'!$B$104,+'5.Variables'!$K111,0))))))</f>
        <v>30</v>
      </c>
      <c r="N88" s="697">
        <f>IF(N$18='5.Variables'!$B$16,+'5.Variables'!$K31,+IF(N$18='5.Variables'!$B$39,+'5.Variables'!$K55,+IF(N$18='5.Variables'!$B$62,+'5.Variables'!$K69,+IF(N$18='5.Variables'!$B$76,+'5.Variables'!$K83,+IF(N$18='5.Variables'!$B$90,+'5.Variables'!$K97,+IF(N$18='5.Variables'!$B$104,+'5.Variables'!$K111,0))))))</f>
        <v>141.4</v>
      </c>
      <c r="O88" s="697">
        <f>IF(O$18='5.Variables'!$B$16,+'5.Variables'!$K31,+IF(O$18='5.Variables'!$B$39,+'5.Variables'!$K55,+IF(O$18='5.Variables'!$B$62,+'5.Variables'!$K69,+IF(O$18='5.Variables'!$B$76,+'5.Variables'!$K83,+IF(O$18='5.Variables'!$B$90,+'5.Variables'!$K97,+IF(O$18='5.Variables'!$B$104,+'5.Variables'!$K111,0))))))</f>
        <v>0</v>
      </c>
      <c r="P88" s="697">
        <f>IF(P$18='5.Variables'!$B$16,+'5.Variables'!$K31,+IF(P$18='5.Variables'!$B$39,+'5.Variables'!$K55,+IF(P$18='5.Variables'!$B$62,+'5.Variables'!$K69,+IF(P$18='5.Variables'!$B$76,+'5.Variables'!$K83,+IF(P$18='5.Variables'!$B$90,+'5.Variables'!$K97,+IF(P$18='5.Variables'!$B$104,+'5.Variables'!$K111,0))))))</f>
        <v>304</v>
      </c>
      <c r="Q88" s="242"/>
      <c r="R88" s="260">
        <f t="shared" si="9"/>
        <v>18877251.070295647</v>
      </c>
      <c r="S88" s="262"/>
      <c r="T88" s="242"/>
      <c r="U88" s="242"/>
      <c r="V88" s="242"/>
      <c r="W88" s="242"/>
      <c r="X88" s="242"/>
      <c r="Y88" s="242"/>
      <c r="Z88" s="242"/>
      <c r="AA88" s="242"/>
      <c r="AB88" s="242"/>
      <c r="AC88" s="242"/>
      <c r="AD88" s="242"/>
      <c r="AE88" s="242"/>
      <c r="AF88" s="242"/>
      <c r="AG88" s="242"/>
      <c r="AH88" s="242"/>
      <c r="AI88" s="242"/>
      <c r="AJ88" s="242"/>
      <c r="AK88" s="242"/>
      <c r="AL88" s="242"/>
      <c r="AM88" s="242"/>
    </row>
    <row r="89" spans="1:39" x14ac:dyDescent="0.2">
      <c r="A89" s="500">
        <f t="shared" si="10"/>
        <v>70</v>
      </c>
      <c r="B89" s="259" t="str">
        <f>CONCATENATE('3. Consumption by Rate Class'!B94,"-",'3. Consumption by Rate Class'!C94)</f>
        <v>2011-October</v>
      </c>
      <c r="C89" s="670">
        <v>20124841</v>
      </c>
      <c r="D89" s="826"/>
      <c r="E89" s="827">
        <v>817723.09</v>
      </c>
      <c r="F89" s="826"/>
      <c r="G89" s="826">
        <f>'A - CDM Adjustment'!E28</f>
        <v>203173.07692307682</v>
      </c>
      <c r="H89" s="677"/>
      <c r="I89" s="677"/>
      <c r="J89" s="550">
        <f t="shared" si="8"/>
        <v>19510290.986923076</v>
      </c>
      <c r="K89" s="697">
        <f>IF(K$18='5.Variables'!$B$16,+'5.Variables'!$L32,+IF(K$18='5.Variables'!$B$39,+'5.Variables'!$L55,+IF(K$18='5.Variables'!$B$62,+'5.Variables'!$L69,+IF(K$18='5.Variables'!$B$76,+'5.Variables'!$L83,+IF(K$18='5.Variables'!$B$90,+'5.Variables'!$L97,+IF(K$18='5.Variables'!$B$104,+'5.Variables'!$L111,0))))))</f>
        <v>244.3</v>
      </c>
      <c r="L89" s="697">
        <f>IF(L$18='5.Variables'!$B$16,+'5.Variables'!$L31,+IF(L$18='5.Variables'!$B$39,+'5.Variables'!$L55,+IF(L$18='5.Variables'!$B$62,+'5.Variables'!$L69,+IF(L$18='5.Variables'!$B$76,+'5.Variables'!$L83,+IF(L$18='5.Variables'!$B$90,+'5.Variables'!$L97,+IF(L$18='5.Variables'!$B$104,+'5.Variables'!$L111,0))))))</f>
        <v>0</v>
      </c>
      <c r="M89" s="697">
        <f>IF(M$18='5.Variables'!$B$16,+'5.Variables'!$L31,+IF(M$18='5.Variables'!$B$39,+'5.Variables'!$L55,+IF(M$18='5.Variables'!$B$62,+'5.Variables'!$L69,+IF(M$18='5.Variables'!$B$76,+'5.Variables'!$L83,+IF(M$18='5.Variables'!$B$90,+'5.Variables'!$L97,+IF(M$18='5.Variables'!$B$104,+'5.Variables'!$L111,0))))))</f>
        <v>31</v>
      </c>
      <c r="N89" s="697">
        <f>IF(N$18='5.Variables'!$B$16,+'5.Variables'!$L31,+IF(N$18='5.Variables'!$B$39,+'5.Variables'!$L55,+IF(N$18='5.Variables'!$B$62,+'5.Variables'!$L69,+IF(N$18='5.Variables'!$B$76,+'5.Variables'!$L83,+IF(N$18='5.Variables'!$B$90,+'5.Variables'!$L97,+IF(N$18='5.Variables'!$B$104,+'5.Variables'!$L111,0))))))</f>
        <v>141.69999999999999</v>
      </c>
      <c r="O89" s="697">
        <f>IF(O$18='5.Variables'!$B$16,+'5.Variables'!$L31,+IF(O$18='5.Variables'!$B$39,+'5.Variables'!$L55,+IF(O$18='5.Variables'!$B$62,+'5.Variables'!$L69,+IF(O$18='5.Variables'!$B$76,+'5.Variables'!$L83,+IF(O$18='5.Variables'!$B$90,+'5.Variables'!$L97,+IF(O$18='5.Variables'!$B$104,+'5.Variables'!$L111,0))))))</f>
        <v>0</v>
      </c>
      <c r="P89" s="697">
        <f>IF(P$18='5.Variables'!$B$16,+'5.Variables'!$L31,+IF(P$18='5.Variables'!$B$39,+'5.Variables'!$L55,+IF(P$18='5.Variables'!$B$62,+'5.Variables'!$L69,+IF(P$18='5.Variables'!$B$76,+'5.Variables'!$L83,+IF(P$18='5.Variables'!$B$90,+'5.Variables'!$L97,+IF(P$18='5.Variables'!$B$104,+'5.Variables'!$L111,0))))))</f>
        <v>352</v>
      </c>
      <c r="Q89" s="242"/>
      <c r="R89" s="260">
        <f t="shared" si="9"/>
        <v>19981823.614783596</v>
      </c>
      <c r="S89" s="262"/>
      <c r="T89" s="242"/>
      <c r="U89" s="242"/>
      <c r="V89" s="242"/>
      <c r="W89" s="242"/>
      <c r="X89" s="242"/>
      <c r="Y89" s="242"/>
      <c r="Z89" s="242"/>
      <c r="AA89" s="242"/>
      <c r="AB89" s="242"/>
      <c r="AC89" s="242"/>
      <c r="AD89" s="242"/>
      <c r="AE89" s="242"/>
      <c r="AF89" s="242"/>
      <c r="AG89" s="242"/>
      <c r="AH89" s="242"/>
      <c r="AI89" s="242"/>
      <c r="AJ89" s="242"/>
      <c r="AK89" s="242"/>
      <c r="AL89" s="242"/>
      <c r="AM89" s="242"/>
    </row>
    <row r="90" spans="1:39" x14ac:dyDescent="0.2">
      <c r="A90" s="500">
        <f t="shared" si="10"/>
        <v>71</v>
      </c>
      <c r="B90" s="259" t="str">
        <f>CONCATENATE('3. Consumption by Rate Class'!B95,"-",'3. Consumption by Rate Class'!C95)</f>
        <v>2011-November</v>
      </c>
      <c r="C90" s="670">
        <v>20676388</v>
      </c>
      <c r="D90" s="826"/>
      <c r="E90" s="827">
        <v>738926.16</v>
      </c>
      <c r="F90" s="826"/>
      <c r="G90" s="826">
        <f>'A - CDM Adjustment'!E29</f>
        <v>223490.38461538454</v>
      </c>
      <c r="H90" s="677"/>
      <c r="I90" s="677"/>
      <c r="J90" s="550">
        <f t="shared" si="8"/>
        <v>20160952.224615384</v>
      </c>
      <c r="K90" s="697">
        <f>IF(K$18='5.Variables'!$B$16,+'5.Variables'!$M32,+IF(K$18='5.Variables'!$B$39,+'5.Variables'!$M55,+IF(K$18='5.Variables'!$B$62,+'5.Variables'!$M69,+IF(K$18='5.Variables'!$B$76,+'5.Variables'!$M83,+IF(K$18='5.Variables'!$B$90,+'5.Variables'!$M97,+IF(K$18='5.Variables'!$B$104,+'5.Variables'!$M111,0))))))</f>
        <v>360.3</v>
      </c>
      <c r="L90" s="697">
        <f>IF(L$18='5.Variables'!$B$16,+'5.Variables'!$M31,+IF(L$18='5.Variables'!$B$39,+'5.Variables'!$M55,+IF(L$18='5.Variables'!$B$62,+'5.Variables'!$M69,+IF(L$18='5.Variables'!$B$76,+'5.Variables'!$M83,+IF(L$18='5.Variables'!$B$90,+'5.Variables'!$M97,+IF(L$18='5.Variables'!$B$104,+'5.Variables'!$M111,0))))))</f>
        <v>0</v>
      </c>
      <c r="M90" s="697">
        <f>IF(M$18='5.Variables'!$B$16,+'5.Variables'!$M31,+IF(M$18='5.Variables'!$B$39,+'5.Variables'!$M55,+IF(M$18='5.Variables'!$B$62,+'5.Variables'!$M69,+IF(M$18='5.Variables'!$B$76,+'5.Variables'!$M83,+IF(M$18='5.Variables'!$B$90,+'5.Variables'!$M97,+IF(M$18='5.Variables'!$B$104,+'5.Variables'!$M111,0))))))</f>
        <v>30</v>
      </c>
      <c r="N90" s="697">
        <f>IF(N$18='5.Variables'!$B$16,+'5.Variables'!$M31,+IF(N$18='5.Variables'!$B$39,+'5.Variables'!$M55,+IF(N$18='5.Variables'!$B$62,+'5.Variables'!$M69,+IF(N$18='5.Variables'!$B$76,+'5.Variables'!$M83,+IF(N$18='5.Variables'!$B$90,+'5.Variables'!$M97,+IF(N$18='5.Variables'!$B$104,+'5.Variables'!$M111,0))))))</f>
        <v>142</v>
      </c>
      <c r="O90" s="697">
        <f>IF(O$18='5.Variables'!$B$16,+'5.Variables'!$M31,+IF(O$18='5.Variables'!$B$39,+'5.Variables'!$M55,+IF(O$18='5.Variables'!$B$62,+'5.Variables'!$M69,+IF(O$18='5.Variables'!$B$76,+'5.Variables'!$M83,+IF(O$18='5.Variables'!$B$90,+'5.Variables'!$M97,+IF(O$18='5.Variables'!$B$104,+'5.Variables'!$M111,0))))))</f>
        <v>0</v>
      </c>
      <c r="P90" s="697">
        <f>IF(P$18='5.Variables'!$B$16,+'5.Variables'!$M31,+IF(P$18='5.Variables'!$B$39,+'5.Variables'!$M55,+IF(P$18='5.Variables'!$B$62,+'5.Variables'!$M69,+IF(P$18='5.Variables'!$B$76,+'5.Variables'!$M83,+IF(P$18='5.Variables'!$B$90,+'5.Variables'!$M97,+IF(P$18='5.Variables'!$B$104,+'5.Variables'!$M111,0))))))</f>
        <v>352</v>
      </c>
      <c r="Q90" s="242"/>
      <c r="R90" s="260">
        <f t="shared" si="9"/>
        <v>20366718.718417939</v>
      </c>
      <c r="S90" s="262"/>
      <c r="T90" s="242"/>
      <c r="U90" s="242"/>
      <c r="V90" s="242"/>
      <c r="W90" s="242"/>
      <c r="X90" s="242"/>
      <c r="Y90" s="242"/>
      <c r="Z90" s="242"/>
      <c r="AA90" s="242"/>
      <c r="AB90" s="242"/>
      <c r="AC90" s="242"/>
      <c r="AD90" s="242"/>
      <c r="AE90" s="242"/>
      <c r="AF90" s="242"/>
      <c r="AG90" s="242"/>
      <c r="AH90" s="242"/>
      <c r="AI90" s="242"/>
      <c r="AJ90" s="242"/>
      <c r="AK90" s="242"/>
      <c r="AL90" s="242"/>
      <c r="AM90" s="242"/>
    </row>
    <row r="91" spans="1:39" x14ac:dyDescent="0.2">
      <c r="A91" s="500">
        <f t="shared" si="10"/>
        <v>72</v>
      </c>
      <c r="B91" s="519" t="str">
        <f>CONCATENATE('3. Consumption by Rate Class'!B96,"-",'3. Consumption by Rate Class'!C96)</f>
        <v>2011-December</v>
      </c>
      <c r="C91" s="671">
        <v>22475131</v>
      </c>
      <c r="D91" s="828"/>
      <c r="E91" s="829">
        <v>858778.76</v>
      </c>
      <c r="F91" s="828"/>
      <c r="G91" s="828">
        <f>'A - CDM Adjustment'!E30</f>
        <v>243807.69230769222</v>
      </c>
      <c r="H91" s="679"/>
      <c r="I91" s="679"/>
      <c r="J91" s="550">
        <f t="shared" si="8"/>
        <v>21860159.93230769</v>
      </c>
      <c r="K91" s="697">
        <f>IF(K$18='5.Variables'!$B$16,+'5.Variables'!$N32,+IF(K$18='5.Variables'!$B$39,+'5.Variables'!$N55,+IF(K$18='5.Variables'!$B$62,+'5.Variables'!$N69,+IF(K$18='5.Variables'!$B$76,+'5.Variables'!$N83,+IF(K$18='5.Variables'!$B$90,+'5.Variables'!$N97,+IF(K$18='5.Variables'!$B$104,+'5.Variables'!$N111,0))))))</f>
        <v>546.20000000000005</v>
      </c>
      <c r="L91" s="697">
        <f>IF(L$18='5.Variables'!$B$16,+'5.Variables'!$N31,+IF(L$18='5.Variables'!$B$39,+'5.Variables'!$N55,+IF(L$18='5.Variables'!$B$62,+'5.Variables'!$N69,+IF(L$18='5.Variables'!$B$76,+'5.Variables'!$N83,+IF(L$18='5.Variables'!$B$90,+'5.Variables'!$N97,+IF(L$18='5.Variables'!$B$104,+'5.Variables'!$N111,0))))))</f>
        <v>0</v>
      </c>
      <c r="M91" s="697">
        <f>IF(M$18='5.Variables'!$B$16,+'5.Variables'!$N31,+IF(M$18='5.Variables'!$B$39,+'5.Variables'!$N55,+IF(M$18='5.Variables'!$B$62,+'5.Variables'!$N69,+IF(M$18='5.Variables'!$B$76,+'5.Variables'!$N83,+IF(M$18='5.Variables'!$B$90,+'5.Variables'!$N97,+IF(M$18='5.Variables'!$B$104,+'5.Variables'!$N111,0))))))</f>
        <v>31</v>
      </c>
      <c r="N91" s="697">
        <f>IF(N$18='5.Variables'!$B$16,+'5.Variables'!$N31,+IF(N$18='5.Variables'!$B$39,+'5.Variables'!$N55,+IF(N$18='5.Variables'!$B$62,+'5.Variables'!$N69,+IF(N$18='5.Variables'!$B$76,+'5.Variables'!$N83,+IF(N$18='5.Variables'!$B$90,+'5.Variables'!$N97,+IF(N$18='5.Variables'!$B$104,+'5.Variables'!$N111,0))))))</f>
        <v>142.30000000000001</v>
      </c>
      <c r="O91" s="697">
        <f>IF(O$18='5.Variables'!$B$16,+'5.Variables'!$N31,+IF(O$18='5.Variables'!$B$39,+'5.Variables'!$N55,+IF(O$18='5.Variables'!$B$62,+'5.Variables'!$N69,+IF(O$18='5.Variables'!$B$76,+'5.Variables'!$N83,+IF(O$18='5.Variables'!$B$90,+'5.Variables'!$N97,+IF(O$18='5.Variables'!$B$104,+'5.Variables'!$N111,0))))))</f>
        <v>0</v>
      </c>
      <c r="P91" s="697">
        <f>IF(P$18='5.Variables'!$B$16,+'5.Variables'!$N31,+IF(P$18='5.Variables'!$B$39,+'5.Variables'!$N55,+IF(P$18='5.Variables'!$B$62,+'5.Variables'!$N69,+IF(P$18='5.Variables'!$B$76,+'5.Variables'!$N83,+IF(P$18='5.Variables'!$B$90,+'5.Variables'!$N97,+IF(P$18='5.Variables'!$B$104,+'5.Variables'!$N111,0))))))</f>
        <v>304</v>
      </c>
      <c r="Q91" s="242"/>
      <c r="R91" s="260">
        <f t="shared" si="9"/>
        <v>21601286.718812056</v>
      </c>
      <c r="S91" s="262">
        <f>SUM(R80:R91)</f>
        <v>248673994.55355757</v>
      </c>
      <c r="T91" s="242"/>
      <c r="U91" s="242"/>
      <c r="V91" s="242"/>
      <c r="W91" s="242"/>
      <c r="X91" s="242"/>
      <c r="Y91" s="242"/>
      <c r="Z91" s="242"/>
      <c r="AA91" s="242"/>
      <c r="AB91" s="242"/>
      <c r="AC91" s="242"/>
      <c r="AD91" s="242"/>
      <c r="AE91" s="242"/>
      <c r="AF91" s="242"/>
      <c r="AG91" s="242"/>
      <c r="AH91" s="242"/>
      <c r="AI91" s="242"/>
      <c r="AJ91" s="242"/>
      <c r="AK91" s="242"/>
      <c r="AL91" s="242"/>
      <c r="AM91" s="242"/>
    </row>
    <row r="92" spans="1:39" x14ac:dyDescent="0.2">
      <c r="A92" s="500">
        <f t="shared" si="10"/>
        <v>73</v>
      </c>
      <c r="B92" s="259" t="str">
        <f>CONCATENATE('3. Consumption by Rate Class'!B97,"-",'3. Consumption by Rate Class'!C97)</f>
        <v>2012-January</v>
      </c>
      <c r="C92" s="670">
        <v>24661415</v>
      </c>
      <c r="D92" s="826"/>
      <c r="E92" s="827">
        <v>1463576.41</v>
      </c>
      <c r="F92" s="826"/>
      <c r="G92" s="826">
        <f>'A - CDM Adjustment'!E32</f>
        <v>28444.230769230766</v>
      </c>
      <c r="H92" s="677"/>
      <c r="I92" s="677"/>
      <c r="J92" s="550">
        <f t="shared" si="8"/>
        <v>23226282.820769232</v>
      </c>
      <c r="K92" s="697">
        <f>IF(K$18='5.Variables'!$B$16,+'5.Variables'!$C33,+IF(K$18='5.Variables'!$B$39,+'5.Variables'!$C56,+IF(K$18='5.Variables'!$B$62,+'5.Variables'!$C70,+IF(K$18='5.Variables'!$B$76,+'5.Variables'!$C84,+IF(K$18='5.Variables'!$B$90,+'5.Variables'!$C98,+IF(K$18='5.Variables'!$B$104,+'5.Variables'!$C112,0))))))</f>
        <v>633</v>
      </c>
      <c r="L92" s="697">
        <f>IF(L$18='5.Variables'!$B$16,+'5.Variables'!$C32,+IF(L$18='5.Variables'!$B$39,+'5.Variables'!$C56,+IF(L$18='5.Variables'!$B$62,+'5.Variables'!$C70,+IF(L$18='5.Variables'!$B$76,+'5.Variables'!$C84,+IF(L$18='5.Variables'!$B$90,+'5.Variables'!$C98,+IF(L$18='5.Variables'!$B$104,+'5.Variables'!$C112,0))))))</f>
        <v>0</v>
      </c>
      <c r="M92" s="697">
        <f>IF(M$18='5.Variables'!$B$16,+'5.Variables'!$C32,+IF(M$18='5.Variables'!$B$39,+'5.Variables'!$C56,+IF(M$18='5.Variables'!$B$62,+'5.Variables'!$C70,+IF(M$18='5.Variables'!$B$76,+'5.Variables'!$C84,+IF(M$18='5.Variables'!$B$90,+'5.Variables'!$C98,+IF(M$18='5.Variables'!$B$104,+'5.Variables'!$C112,0))))))</f>
        <v>31</v>
      </c>
      <c r="N92" s="697">
        <f>IF(N$18='5.Variables'!$B$16,+'5.Variables'!$C32,+IF(N$18='5.Variables'!$B$39,+'5.Variables'!$C56,+IF(N$18='5.Variables'!$B$62,+'5.Variables'!$C70,+IF(N$18='5.Variables'!$B$76,+'5.Variables'!$C84,+IF(N$18='5.Variables'!$B$90,+'5.Variables'!$C98,+IF(N$18='5.Variables'!$B$104,+'5.Variables'!$C112,0))))))</f>
        <v>142.6</v>
      </c>
      <c r="O92" s="697">
        <f>IF(O$18='5.Variables'!$B$16,+'5.Variables'!$C32,+IF(O$18='5.Variables'!$B$39,+'5.Variables'!$C56,+IF(O$18='5.Variables'!$B$62,+'5.Variables'!$C70,+IF(O$18='5.Variables'!$B$76,+'5.Variables'!$C84,+IF(O$18='5.Variables'!$B$90,+'5.Variables'!$C98,+IF(O$18='5.Variables'!$B$104,+'5.Variables'!$C112,0))))))</f>
        <v>0</v>
      </c>
      <c r="P92" s="697">
        <f>IF(P$18='5.Variables'!$B$16,+'5.Variables'!$C32,+IF(P$18='5.Variables'!$B$39,+'5.Variables'!$C56,+IF(P$18='5.Variables'!$B$62,+'5.Variables'!$C70,+IF(P$18='5.Variables'!$B$76,+'5.Variables'!$C84,+IF(P$18='5.Variables'!$B$90,+'5.Variables'!$C98,+IF(P$18='5.Variables'!$B$104,+'5.Variables'!$C112,0))))))</f>
        <v>352</v>
      </c>
      <c r="Q92" s="242"/>
      <c r="R92" s="260">
        <f t="shared" si="9"/>
        <v>22540762.124461967</v>
      </c>
      <c r="S92" s="262"/>
      <c r="T92" s="242"/>
      <c r="U92" s="242"/>
      <c r="V92" s="242"/>
      <c r="W92" s="242"/>
      <c r="X92" s="242"/>
      <c r="Y92" s="242"/>
      <c r="Z92" s="242"/>
      <c r="AA92" s="242"/>
      <c r="AB92" s="242"/>
      <c r="AC92" s="242"/>
      <c r="AD92" s="242"/>
      <c r="AE92" s="242"/>
      <c r="AF92" s="242"/>
      <c r="AG92" s="242"/>
      <c r="AH92" s="242"/>
      <c r="AI92" s="242"/>
      <c r="AJ92" s="242"/>
      <c r="AK92" s="242"/>
      <c r="AL92" s="242"/>
      <c r="AM92" s="242"/>
    </row>
    <row r="93" spans="1:39" x14ac:dyDescent="0.2">
      <c r="A93" s="500">
        <f t="shared" si="10"/>
        <v>74</v>
      </c>
      <c r="B93" s="259" t="str">
        <f>CONCATENATE('3. Consumption by Rate Class'!B98,"-",'3. Consumption by Rate Class'!C98)</f>
        <v>2012-February</v>
      </c>
      <c r="C93" s="670">
        <v>22891233</v>
      </c>
      <c r="D93" s="826"/>
      <c r="E93" s="827">
        <v>1703758.76</v>
      </c>
      <c r="F93" s="826"/>
      <c r="G93" s="826">
        <f>'A - CDM Adjustment'!E33</f>
        <v>56888.461538461532</v>
      </c>
      <c r="H93" s="677"/>
      <c r="I93" s="677"/>
      <c r="J93" s="550">
        <f t="shared" si="8"/>
        <v>21244362.701538458</v>
      </c>
      <c r="K93" s="697">
        <f>IF(K$18='5.Variables'!$B$16,+'5.Variables'!$D33+IF(K$18='5.Variables'!$B$39,+'5.Variables'!$D56,+IF(K$18='5.Variables'!$B$62,+'5.Variables'!$D70,+IF(K$18='5.Variables'!$B$76,+'5.Variables'!$D84,+IF(K$18='5.Variables'!$B$90,+'5.Variables'!$D98,+IF(K$18='5.Variables'!$B$104,+'5.Variables'!$D112,0))))))</f>
        <v>539.6</v>
      </c>
      <c r="L93" s="697">
        <f>IF(L$18='5.Variables'!$B$16,+'5.Variables'!$D32,+IF(L$18='5.Variables'!$B$39,+'5.Variables'!$D56,+IF(L$18='5.Variables'!$B$62,+'5.Variables'!$D70,+IF(L$18='5.Variables'!$B$76,+'5.Variables'!$D84,+IF(L$18='5.Variables'!$B$90,+'5.Variables'!$D98,+IF(L$18='5.Variables'!$B$104,+'5.Variables'!$D112,0))))))</f>
        <v>0</v>
      </c>
      <c r="M93" s="697">
        <f>IF(M$18='5.Variables'!$B$16,+'5.Variables'!$D32,+IF(M$18='5.Variables'!$B$39,+'5.Variables'!$D56,+IF(M$18='5.Variables'!$B$62,+'5.Variables'!$D70,+IF(M$18='5.Variables'!$B$76,+'5.Variables'!$D84,+IF(M$18='5.Variables'!$B$90,+'5.Variables'!$D98,+IF(M$18='5.Variables'!$B$104,+'5.Variables'!$D112,0))))))</f>
        <v>29</v>
      </c>
      <c r="N93" s="697">
        <f>IF(N$18='5.Variables'!$B$16,+'5.Variables'!$D32,+IF(N$18='5.Variables'!$B$39,+'5.Variables'!$D56,+IF(N$18='5.Variables'!$B$62,+'5.Variables'!$D70,+IF(N$18='5.Variables'!$B$76,+'5.Variables'!$D84,+IF(N$18='5.Variables'!$B$90,+'5.Variables'!$D98,+IF(N$18='5.Variables'!$B$104,+'5.Variables'!$D112,0))))))</f>
        <v>142.9</v>
      </c>
      <c r="O93" s="697">
        <f>IF(O$18='5.Variables'!$B$16,+'5.Variables'!$D32,+IF(O$18='5.Variables'!$B$39,+'5.Variables'!$D56,+IF(O$18='5.Variables'!$B$62,+'5.Variables'!$D70,+IF(O$18='5.Variables'!$B$76,+'5.Variables'!$D84,+IF(O$18='5.Variables'!$B$90,+'5.Variables'!$D98,+IF(O$18='5.Variables'!$B$104,+'5.Variables'!$D112,0))))))</f>
        <v>0</v>
      </c>
      <c r="P93" s="697">
        <f>IF(P$18='5.Variables'!$B$16,+'5.Variables'!$D32,+IF(P$18='5.Variables'!$B$39,+'5.Variables'!$D56,+IF(P$18='5.Variables'!$B$62,+'5.Variables'!$D70,+IF(P$18='5.Variables'!$B$76,+'5.Variables'!$D84,+IF(P$18='5.Variables'!$B$90,+'5.Variables'!$D98,+IF(P$18='5.Variables'!$B$104,+'5.Variables'!$D112,0))))))</f>
        <v>320</v>
      </c>
      <c r="Q93" s="242"/>
      <c r="R93" s="260">
        <f t="shared" si="9"/>
        <v>20938190.39194316</v>
      </c>
      <c r="S93" s="262"/>
      <c r="T93" s="242"/>
      <c r="U93" s="242"/>
      <c r="V93" s="242"/>
      <c r="W93" s="242"/>
      <c r="X93" s="242"/>
      <c r="Y93" s="242"/>
      <c r="Z93" s="242"/>
      <c r="AA93" s="242"/>
      <c r="AB93" s="242"/>
      <c r="AC93" s="242"/>
      <c r="AD93" s="242"/>
      <c r="AE93" s="242"/>
      <c r="AF93" s="242"/>
      <c r="AG93" s="242"/>
      <c r="AH93" s="242"/>
      <c r="AI93" s="242"/>
      <c r="AJ93" s="242"/>
      <c r="AK93" s="242"/>
      <c r="AL93" s="242"/>
      <c r="AM93" s="242"/>
    </row>
    <row r="94" spans="1:39" x14ac:dyDescent="0.2">
      <c r="A94" s="500">
        <f t="shared" si="10"/>
        <v>75</v>
      </c>
      <c r="B94" s="259" t="str">
        <f>CONCATENATE('3. Consumption by Rate Class'!B99,"-",'3. Consumption by Rate Class'!C99)</f>
        <v>2012-March</v>
      </c>
      <c r="C94" s="670">
        <v>22613348</v>
      </c>
      <c r="D94" s="826"/>
      <c r="E94" s="827">
        <v>1845227.44</v>
      </c>
      <c r="F94" s="826"/>
      <c r="G94" s="826">
        <f>'A - CDM Adjustment'!E34</f>
        <v>85332.692307692283</v>
      </c>
      <c r="H94" s="677"/>
      <c r="I94" s="677"/>
      <c r="J94" s="550">
        <f t="shared" si="8"/>
        <v>20853453.252307691</v>
      </c>
      <c r="K94" s="697">
        <f>IF(K$18='5.Variables'!$B$16,+'5.Variables'!$E33,+IF(K$18='5.Variables'!$B$39,+'5.Variables'!$E56,+IF(K$18='5.Variables'!$B$62,+'5.Variables'!$E70,+IF(K$18='5.Variables'!$B$76,+'5.Variables'!$E84,+IF(K$18='5.Variables'!$B$90,+'5.Variables'!$E98,+IF(K$18='5.Variables'!$B$104,+'5.Variables'!$E112,0))))))</f>
        <v>425.1</v>
      </c>
      <c r="L94" s="697">
        <f>IF(L$18='5.Variables'!$B$16,+'5.Variables'!$E32,+IF(L$18='5.Variables'!$B$39,+'5.Variables'!$E56,+IF(L$18='5.Variables'!$B$62,+'5.Variables'!$E70,+IF(L$18='5.Variables'!$B$76,+'5.Variables'!$E84,+IF(L$18='5.Variables'!$B$90,+'5.Variables'!$E98,+IF(L$18='5.Variables'!$B$104,+'5.Variables'!$E112,0))))))</f>
        <v>0</v>
      </c>
      <c r="M94" s="697">
        <f>IF(M$18='5.Variables'!$B$16,+'5.Variables'!$E32,+IF(M$18='5.Variables'!$B$39,+'5.Variables'!$E56,+IF(M$18='5.Variables'!$B$62,+'5.Variables'!$E70,+IF(M$18='5.Variables'!$B$76,+'5.Variables'!$E84,+IF(M$18='5.Variables'!$B$90,+'5.Variables'!$E98,+IF(M$18='5.Variables'!$B$104,+'5.Variables'!$E112,0))))))</f>
        <v>31</v>
      </c>
      <c r="N94" s="697">
        <f>IF(N$18='5.Variables'!$B$16,+'5.Variables'!$E32,+IF(N$18='5.Variables'!$B$39,+'5.Variables'!$E56,+IF(N$18='5.Variables'!$B$62,+'5.Variables'!$E70,+IF(N$18='5.Variables'!$B$76,+'5.Variables'!$E84,+IF(N$18='5.Variables'!$B$90,+'5.Variables'!$E98,+IF(N$18='5.Variables'!$B$104,+'5.Variables'!$E112,0))))))</f>
        <v>143.19999999999999</v>
      </c>
      <c r="O94" s="697">
        <f>IF(O$18='5.Variables'!$B$16,+'5.Variables'!$E32,+IF(O$18='5.Variables'!$B$39,+'5.Variables'!$E56,+IF(O$18='5.Variables'!$B$62,+'5.Variables'!$E70,+IF(O$18='5.Variables'!$B$76,+'5.Variables'!$E84,+IF(O$18='5.Variables'!$B$90,+'5.Variables'!$E98,+IF(O$18='5.Variables'!$B$104,+'5.Variables'!$E112,0))))))</f>
        <v>0</v>
      </c>
      <c r="P94" s="697">
        <f>IF(P$18='5.Variables'!$B$16,+'5.Variables'!$E32,+IF(P$18='5.Variables'!$B$39,+'5.Variables'!$E56,+IF(P$18='5.Variables'!$B$62,+'5.Variables'!$E70,+IF(P$18='5.Variables'!$B$76,+'5.Variables'!$E84,+IF(P$18='5.Variables'!$B$90,+'5.Variables'!$E98,+IF(P$18='5.Variables'!$B$104,+'5.Variables'!$E112,0))))))</f>
        <v>304</v>
      </c>
      <c r="Q94" s="242"/>
      <c r="R94" s="260">
        <f t="shared" si="9"/>
        <v>20838618.161432341</v>
      </c>
      <c r="S94" s="262"/>
      <c r="T94" s="242"/>
      <c r="U94" s="242"/>
      <c r="V94" s="242"/>
      <c r="W94" s="242"/>
      <c r="X94" s="242"/>
      <c r="Y94" s="242"/>
      <c r="Z94" s="242"/>
      <c r="AA94" s="242"/>
      <c r="AB94" s="242"/>
      <c r="AC94" s="242"/>
      <c r="AD94" s="242"/>
      <c r="AE94" s="242"/>
      <c r="AF94" s="242"/>
      <c r="AG94" s="242"/>
      <c r="AH94" s="242"/>
      <c r="AI94" s="242"/>
      <c r="AJ94" s="242"/>
      <c r="AK94" s="242"/>
      <c r="AL94" s="242"/>
      <c r="AM94" s="242"/>
    </row>
    <row r="95" spans="1:39" x14ac:dyDescent="0.2">
      <c r="A95" s="500">
        <f t="shared" si="10"/>
        <v>76</v>
      </c>
      <c r="B95" s="259" t="str">
        <f>CONCATENATE('3. Consumption by Rate Class'!B100,"-",'3. Consumption by Rate Class'!C100)</f>
        <v>2012-April</v>
      </c>
      <c r="C95" s="670">
        <v>20387692</v>
      </c>
      <c r="D95" s="826"/>
      <c r="E95" s="827">
        <v>1627383.9</v>
      </c>
      <c r="F95" s="826"/>
      <c r="G95" s="826">
        <f>'A - CDM Adjustment'!E35</f>
        <v>113776.92307692303</v>
      </c>
      <c r="H95" s="677"/>
      <c r="I95" s="677"/>
      <c r="J95" s="550">
        <f t="shared" si="8"/>
        <v>18874085.023076925</v>
      </c>
      <c r="K95" s="697">
        <f>IF(K$18='5.Variables'!$B$16,+'5.Variables'!$F33,+IF(K$18='5.Variables'!$B$39,+'5.Variables'!$F56,+IF(K$18='5.Variables'!$B$62,+'5.Variables'!$F70,+IF(K$18='5.Variables'!$B$76,+'5.Variables'!$F84,+IF(K$18='5.Variables'!$B$90,+'5.Variables'!$F98,+IF(K$18='5.Variables'!$B$104,+'5.Variables'!$F112,0))))))</f>
        <v>355.6</v>
      </c>
      <c r="L95" s="697">
        <f>IF(L$18='5.Variables'!$B$16,+'5.Variables'!$F32,+IF(L$18='5.Variables'!$B$39,+'5.Variables'!$F56,+IF(L$18='5.Variables'!$B$62,+'5.Variables'!$F70,+IF(L$18='5.Variables'!$B$76,+'5.Variables'!$F84,+IF(L$18='5.Variables'!$B$90,+'5.Variables'!$F98,+IF(L$18='5.Variables'!$B$104,+'5.Variables'!$F112,0))))))</f>
        <v>0</v>
      </c>
      <c r="M95" s="697">
        <f>IF(M$18='5.Variables'!$B$16,+'5.Variables'!$F32,+IF(M$18='5.Variables'!$B$39,+'5.Variables'!$F56,+IF(M$18='5.Variables'!$B$62,+'5.Variables'!$F70,+IF(M$18='5.Variables'!$B$76,+'5.Variables'!$F84,+IF(M$18='5.Variables'!$B$90,+'5.Variables'!$F98,+IF(M$18='5.Variables'!$B$104,+'5.Variables'!$F112,0))))))</f>
        <v>30</v>
      </c>
      <c r="N95" s="697">
        <f>IF(N$18='5.Variables'!$B$16,+'5.Variables'!$F32,+IF(N$18='5.Variables'!$B$39,+'5.Variables'!$F56,+IF(N$18='5.Variables'!$B$62,+'5.Variables'!$F70,+IF(N$18='5.Variables'!$B$76,+'5.Variables'!$F84,+IF(N$18='5.Variables'!$B$90,+'5.Variables'!$F98,+IF(N$18='5.Variables'!$B$104,+'5.Variables'!$F112,0))))))</f>
        <v>143.5</v>
      </c>
      <c r="O95" s="697">
        <f>IF(O$18='5.Variables'!$B$16,+'5.Variables'!$F32,+IF(O$18='5.Variables'!$B$39,+'5.Variables'!$F56,+IF(O$18='5.Variables'!$B$62,+'5.Variables'!$F70,+IF(O$18='5.Variables'!$B$76,+'5.Variables'!$F84,+IF(O$18='5.Variables'!$B$90,+'5.Variables'!$F98,+IF(O$18='5.Variables'!$B$104,+'5.Variables'!$F112,0))))))</f>
        <v>0</v>
      </c>
      <c r="P95" s="697">
        <f>IF(P$18='5.Variables'!$B$16,+'5.Variables'!$F32,+IF(P$18='5.Variables'!$B$39,+'5.Variables'!$F56,+IF(P$18='5.Variables'!$B$62,+'5.Variables'!$F70,+IF(P$18='5.Variables'!$B$76,+'5.Variables'!$F84,+IF(P$18='5.Variables'!$B$90,+'5.Variables'!$F98,+IF(P$18='5.Variables'!$B$104,+'5.Variables'!$F112,0))))))</f>
        <v>352</v>
      </c>
      <c r="Q95" s="242"/>
      <c r="R95" s="260">
        <f t="shared" si="9"/>
        <v>20380028.687488992</v>
      </c>
      <c r="S95" s="262"/>
      <c r="T95" s="242"/>
      <c r="U95" s="242"/>
      <c r="V95" s="242"/>
      <c r="W95" s="242"/>
      <c r="X95" s="242"/>
      <c r="Y95" s="242"/>
      <c r="Z95" s="242"/>
      <c r="AA95" s="242"/>
      <c r="AB95" s="242"/>
      <c r="AC95" s="242"/>
      <c r="AD95" s="242"/>
      <c r="AE95" s="242"/>
      <c r="AF95" s="242"/>
      <c r="AG95" s="242"/>
      <c r="AH95" s="242"/>
      <c r="AI95" s="242"/>
      <c r="AJ95" s="242"/>
      <c r="AK95" s="242"/>
      <c r="AL95" s="242"/>
      <c r="AM95" s="242"/>
    </row>
    <row r="96" spans="1:39" x14ac:dyDescent="0.2">
      <c r="A96" s="500">
        <f t="shared" si="10"/>
        <v>77</v>
      </c>
      <c r="B96" s="259" t="str">
        <f>CONCATENATE('3. Consumption by Rate Class'!B101,"-",'3. Consumption by Rate Class'!C101)</f>
        <v>2012-May</v>
      </c>
      <c r="C96" s="670">
        <v>20532741</v>
      </c>
      <c r="D96" s="826"/>
      <c r="E96" s="827">
        <v>1520891.52</v>
      </c>
      <c r="F96" s="826"/>
      <c r="G96" s="826">
        <f>'A - CDM Adjustment'!E36</f>
        <v>142221.15384615379</v>
      </c>
      <c r="H96" s="677"/>
      <c r="I96" s="677"/>
      <c r="J96" s="550">
        <f t="shared" si="8"/>
        <v>19154070.633846153</v>
      </c>
      <c r="K96" s="697">
        <f>IF(K$18='5.Variables'!$B$16,+'5.Variables'!$G33,+IF(K$18='5.Variables'!$B$39,+'5.Variables'!$G56,+IF(K$18='5.Variables'!$B$62,+'5.Variables'!$G70,+IF(K$18='5.Variables'!$B$76,+'5.Variables'!$G84,+IF(K$18='5.Variables'!$B$90,+'5.Variables'!$G98,+IF(K$18='5.Variables'!$B$104,+'5.Variables'!$G112,0))))))</f>
        <v>136</v>
      </c>
      <c r="L96" s="697">
        <f>IF(L$18='5.Variables'!$B$16,+'5.Variables'!$G32,+IF(L$18='5.Variables'!$B$39,+'5.Variables'!$G56,+IF(L$18='5.Variables'!$B$62,+'5.Variables'!$G70,+IF(L$18='5.Variables'!$B$76,+'5.Variables'!$G84,+IF(L$18='5.Variables'!$B$90,+'5.Variables'!$G98,+IF(L$18='5.Variables'!$B$104,+'5.Variables'!$G112,0))))))</f>
        <v>5.6</v>
      </c>
      <c r="M96" s="697">
        <f>IF(M$18='5.Variables'!$B$16,+'5.Variables'!$G32,+IF(M$18='5.Variables'!$B$39,+'5.Variables'!$G56,+IF(M$18='5.Variables'!$B$62,+'5.Variables'!$G70,+IF(M$18='5.Variables'!$B$76,+'5.Variables'!$G84,+IF(M$18='5.Variables'!$B$90,+'5.Variables'!$G98,+IF(M$18='5.Variables'!$B$104,+'5.Variables'!$G112,0))))))</f>
        <v>31</v>
      </c>
      <c r="N96" s="697">
        <f>IF(N$18='5.Variables'!$B$16,+'5.Variables'!$G32,+IF(N$18='5.Variables'!$B$39,+'5.Variables'!$G56,+IF(N$18='5.Variables'!$B$62,+'5.Variables'!$G70,+IF(N$18='5.Variables'!$B$76,+'5.Variables'!$G84,+IF(N$18='5.Variables'!$B$90,+'5.Variables'!$G98,+IF(N$18='5.Variables'!$B$104,+'5.Variables'!$G112,0))))))</f>
        <v>143.80000000000001</v>
      </c>
      <c r="O96" s="697">
        <f>IF(O$18='5.Variables'!$B$16,+'5.Variables'!$G32,+IF(O$18='5.Variables'!$B$39,+'5.Variables'!$G56,+IF(O$18='5.Variables'!$B$62,+'5.Variables'!$G70,+IF(O$18='5.Variables'!$B$76,+'5.Variables'!$G84,+IF(O$18='5.Variables'!$B$90,+'5.Variables'!$G98,+IF(O$18='5.Variables'!$B$104,+'5.Variables'!$G112,0))))))</f>
        <v>0</v>
      </c>
      <c r="P96" s="697">
        <f>IF(P$18='5.Variables'!$B$16,+'5.Variables'!$G32,+IF(P$18='5.Variables'!$B$39,+'5.Variables'!$G56,+IF(P$18='5.Variables'!$B$62,+'5.Variables'!$G70,+IF(P$18='5.Variables'!$B$76,+'5.Variables'!$G84,+IF(P$18='5.Variables'!$B$90,+'5.Variables'!$G98,+IF(P$18='5.Variables'!$B$104,+'5.Variables'!$G112,0))))))</f>
        <v>336</v>
      </c>
      <c r="Q96" s="242"/>
      <c r="R96" s="260">
        <f t="shared" si="9"/>
        <v>19438889.351827629</v>
      </c>
      <c r="S96" s="262"/>
      <c r="T96" s="242"/>
      <c r="U96" s="242"/>
      <c r="V96" s="242"/>
      <c r="W96" s="242"/>
      <c r="X96" s="242"/>
      <c r="Y96" s="242"/>
      <c r="Z96" s="242"/>
      <c r="AA96" s="242"/>
      <c r="AB96" s="242"/>
      <c r="AC96" s="242"/>
      <c r="AD96" s="242"/>
      <c r="AE96" s="242"/>
      <c r="AF96" s="242"/>
      <c r="AG96" s="242"/>
      <c r="AH96" s="242"/>
      <c r="AI96" s="242"/>
      <c r="AJ96" s="242"/>
      <c r="AK96" s="242"/>
      <c r="AL96" s="242"/>
      <c r="AM96" s="242"/>
    </row>
    <row r="97" spans="1:39" x14ac:dyDescent="0.2">
      <c r="A97" s="500">
        <f t="shared" si="10"/>
        <v>78</v>
      </c>
      <c r="B97" s="259" t="str">
        <f>CONCATENATE('3. Consumption by Rate Class'!B102,"-",'3. Consumption by Rate Class'!C102)</f>
        <v>2012-June</v>
      </c>
      <c r="C97" s="670">
        <v>21256195</v>
      </c>
      <c r="D97" s="826"/>
      <c r="E97" s="827">
        <v>1345782.12</v>
      </c>
      <c r="F97" s="826"/>
      <c r="G97" s="826">
        <f>'A - CDM Adjustment'!E37</f>
        <v>170665.38461538454</v>
      </c>
      <c r="H97" s="677"/>
      <c r="I97" s="677"/>
      <c r="J97" s="550">
        <f t="shared" si="8"/>
        <v>20081078.264615383</v>
      </c>
      <c r="K97" s="697">
        <f>IF(K$18='5.Variables'!$B$16,+'5.Variables'!$H33,+IF(K$18='5.Variables'!$B$39,+'5.Variables'!$H56,+IF(K$18='5.Variables'!$B$62,+'5.Variables'!$H70,+IF(K$18='5.Variables'!$B$76,+'5.Variables'!$H84,+IF(K$18='5.Variables'!$B$90,+'5.Variables'!$H98,+IF(K$18='5.Variables'!$B$104,+'5.Variables'!$H112,0))))))</f>
        <v>36.6</v>
      </c>
      <c r="L97" s="697">
        <f>IF(L$18='5.Variables'!$B$16,+'5.Variables'!$H32,+IF(L$18='5.Variables'!$B$39,+'5.Variables'!$H56,+IF(L$18='5.Variables'!$B$62,+'5.Variables'!$H70,+IF(L$18='5.Variables'!$B$76,+'5.Variables'!$H84,+IF(L$18='5.Variables'!$B$90,+'5.Variables'!$H98,+IF(L$18='5.Variables'!$B$104,+'5.Variables'!$H112,0))))))</f>
        <v>39.299999999999997</v>
      </c>
      <c r="M97" s="697">
        <f>IF(M$18='5.Variables'!$B$16,+'5.Variables'!$H32,+IF(M$18='5.Variables'!$B$39,+'5.Variables'!$H56,+IF(M$18='5.Variables'!$B$62,+'5.Variables'!$H70,+IF(M$18='5.Variables'!$B$76,+'5.Variables'!$H84,+IF(M$18='5.Variables'!$B$90,+'5.Variables'!$H98,+IF(M$18='5.Variables'!$B$104,+'5.Variables'!$H112,0))))))</f>
        <v>30</v>
      </c>
      <c r="N97" s="697">
        <f>IF(N$18='5.Variables'!$B$16,+'5.Variables'!$H32,+IF(N$18='5.Variables'!$B$39,+'5.Variables'!$H56,+IF(N$18='5.Variables'!$B$62,+'5.Variables'!$H70,+IF(N$18='5.Variables'!$B$76,+'5.Variables'!$H84,+IF(N$18='5.Variables'!$B$90,+'5.Variables'!$H98,+IF(N$18='5.Variables'!$B$104,+'5.Variables'!$H112,0))))))</f>
        <v>144.11000000000001</v>
      </c>
      <c r="O97" s="697">
        <f>IF(O$18='5.Variables'!$B$16,+'5.Variables'!$H32,+IF(O$18='5.Variables'!$B$39,+'5.Variables'!$H56,+IF(O$18='5.Variables'!$B$62,+'5.Variables'!$H70,+IF(O$18='5.Variables'!$B$76,+'5.Variables'!$H84,+IF(O$18='5.Variables'!$B$90,+'5.Variables'!$H98,+IF(O$18='5.Variables'!$B$104,+'5.Variables'!$H112,0))))))</f>
        <v>0</v>
      </c>
      <c r="P97" s="697">
        <f>IF(P$18='5.Variables'!$B$16,+'5.Variables'!$H32,+IF(P$18='5.Variables'!$B$39,+'5.Variables'!$H56,+IF(P$18='5.Variables'!$B$62,+'5.Variables'!$H70,+IF(P$18='5.Variables'!$B$76,+'5.Variables'!$H84,+IF(P$18='5.Variables'!$B$90,+'5.Variables'!$H98,+IF(P$18='5.Variables'!$B$104,+'5.Variables'!$H112,0))))))</f>
        <v>336</v>
      </c>
      <c r="Q97" s="242"/>
      <c r="R97" s="260">
        <f t="shared" si="9"/>
        <v>19762038.813524146</v>
      </c>
      <c r="S97" s="262"/>
      <c r="T97" s="242"/>
      <c r="U97" s="242"/>
      <c r="V97" s="242"/>
      <c r="W97" s="242"/>
      <c r="X97" s="242"/>
      <c r="Y97" s="242"/>
      <c r="Z97" s="242"/>
      <c r="AA97" s="242"/>
      <c r="AB97" s="242"/>
      <c r="AC97" s="242"/>
      <c r="AD97" s="242"/>
      <c r="AE97" s="242"/>
      <c r="AF97" s="242"/>
      <c r="AG97" s="242"/>
      <c r="AH97" s="242"/>
      <c r="AI97" s="242"/>
      <c r="AJ97" s="242"/>
      <c r="AK97" s="242"/>
      <c r="AL97" s="242"/>
      <c r="AM97" s="242"/>
    </row>
    <row r="98" spans="1:39" x14ac:dyDescent="0.2">
      <c r="A98" s="500">
        <f t="shared" si="10"/>
        <v>79</v>
      </c>
      <c r="B98" s="259" t="str">
        <f>CONCATENATE('3. Consumption by Rate Class'!B103,"-",'3. Consumption by Rate Class'!C103)</f>
        <v>2012-July</v>
      </c>
      <c r="C98" s="670">
        <v>23878303</v>
      </c>
      <c r="D98" s="826"/>
      <c r="E98" s="827">
        <v>1406539.73</v>
      </c>
      <c r="F98" s="826"/>
      <c r="G98" s="826">
        <f>'A - CDM Adjustment'!E38</f>
        <v>199109.61538461532</v>
      </c>
      <c r="H98" s="677"/>
      <c r="I98" s="677"/>
      <c r="J98" s="550">
        <f t="shared" si="8"/>
        <v>22670872.885384616</v>
      </c>
      <c r="K98" s="697">
        <f>IF(K$18='5.Variables'!$B$16,+'5.Variables'!$I33,+IF(K$18='5.Variables'!$B$39,+'5.Variables'!$I56,+IF(K$18='5.Variables'!$B$62,+'5.Variables'!$I70,+IF(K$18='5.Variables'!$B$76,+'5.Variables'!$I84,+IF(K$18='5.Variables'!$B$90,+'5.Variables'!$I98,+IF(K$18='5.Variables'!$B$104,+'5.Variables'!$I112,0))))))</f>
        <v>0</v>
      </c>
      <c r="L98" s="697">
        <f>IF(L$18='5.Variables'!$B$16,+'5.Variables'!$I32,+IF(L$18='5.Variables'!$B$39,+'5.Variables'!$I56,+IF(L$18='5.Variables'!$B$62,+'5.Variables'!$I70,+IF(L$18='5.Variables'!$B$76,+'5.Variables'!$I84,+IF(L$18='5.Variables'!$B$90,+'5.Variables'!$I98,+IF(L$18='5.Variables'!$B$104,+'5.Variables'!$I112,0))))))</f>
        <v>120.3</v>
      </c>
      <c r="M98" s="697">
        <f>IF(M$18='5.Variables'!$B$16,+'5.Variables'!$I32,+IF(M$18='5.Variables'!$B$39,+'5.Variables'!$I56,+IF(M$18='5.Variables'!$B$62,+'5.Variables'!$I70,+IF(M$18='5.Variables'!$B$76,+'5.Variables'!$I84,+IF(M$18='5.Variables'!$B$90,+'5.Variables'!$I98,+IF(M$18='5.Variables'!$B$104,+'5.Variables'!$I112,0))))))</f>
        <v>31</v>
      </c>
      <c r="N98" s="697">
        <f>IF(N$18='5.Variables'!$B$16,+'5.Variables'!$I32,+IF(N$18='5.Variables'!$B$39,+'5.Variables'!$I56,+IF(N$18='5.Variables'!$B$62,+'5.Variables'!$I70,+IF(N$18='5.Variables'!$B$76,+'5.Variables'!$I84,+IF(N$18='5.Variables'!$B$90,+'5.Variables'!$I98,+IF(N$18='5.Variables'!$B$104,+'5.Variables'!$I112,0))))))</f>
        <v>144.4</v>
      </c>
      <c r="O98" s="697">
        <f>IF(O$18='5.Variables'!$B$16,+'5.Variables'!$I32,+IF(O$18='5.Variables'!$B$39,+'5.Variables'!$I56,+IF(O$18='5.Variables'!$B$62,+'5.Variables'!$I70,+IF(O$18='5.Variables'!$B$76,+'5.Variables'!$I84,+IF(O$18='5.Variables'!$B$90,+'5.Variables'!$I98,+IF(O$18='5.Variables'!$B$104,+'5.Variables'!$I112,0))))))</f>
        <v>0</v>
      </c>
      <c r="P98" s="697">
        <f>IF(P$18='5.Variables'!$B$16,+'5.Variables'!$I32,+IF(P$18='5.Variables'!$B$39,+'5.Variables'!$I56,+IF(P$18='5.Variables'!$B$62,+'5.Variables'!$I70,+IF(P$18='5.Variables'!$B$76,+'5.Variables'!$I84,+IF(P$18='5.Variables'!$B$90,+'5.Variables'!$I98,+IF(P$18='5.Variables'!$B$104,+'5.Variables'!$I112,0))))))</f>
        <v>352</v>
      </c>
      <c r="Q98" s="242"/>
      <c r="R98" s="260">
        <f t="shared" si="9"/>
        <v>23257611.819747504</v>
      </c>
      <c r="S98" s="262"/>
      <c r="T98" s="242"/>
      <c r="U98" s="242"/>
      <c r="V98" s="242"/>
      <c r="W98" s="242"/>
      <c r="X98" s="242"/>
      <c r="Y98" s="242"/>
      <c r="Z98" s="242"/>
      <c r="AA98" s="242"/>
      <c r="AB98" s="242"/>
      <c r="AC98" s="242"/>
      <c r="AD98" s="242"/>
      <c r="AE98" s="242"/>
      <c r="AF98" s="242"/>
      <c r="AG98" s="242"/>
      <c r="AH98" s="242"/>
      <c r="AI98" s="242"/>
      <c r="AJ98" s="242"/>
      <c r="AK98" s="242"/>
      <c r="AL98" s="242"/>
      <c r="AM98" s="242"/>
    </row>
    <row r="99" spans="1:39" x14ac:dyDescent="0.2">
      <c r="A99" s="500">
        <f t="shared" si="10"/>
        <v>80</v>
      </c>
      <c r="B99" s="259" t="str">
        <f>CONCATENATE('3. Consumption by Rate Class'!B104,"-",'3. Consumption by Rate Class'!C104)</f>
        <v>2012-August</v>
      </c>
      <c r="C99" s="670">
        <v>22916905</v>
      </c>
      <c r="D99" s="826"/>
      <c r="E99" s="827">
        <v>1094443.8799999999</v>
      </c>
      <c r="F99" s="826"/>
      <c r="G99" s="826">
        <f>'A - CDM Adjustment'!E39</f>
        <v>227553.84615384607</v>
      </c>
      <c r="H99" s="677"/>
      <c r="I99" s="677"/>
      <c r="J99" s="550">
        <f t="shared" si="8"/>
        <v>22050014.966153849</v>
      </c>
      <c r="K99" s="697">
        <f>IF(K$18='5.Variables'!$B$16,+'5.Variables'!$J33,+IF(K$18='5.Variables'!$B$39,+'5.Variables'!$J56,+IF(K$18='5.Variables'!$B$62,+'5.Variables'!$J70,+IF(K$18='5.Variables'!$B$76,+'5.Variables'!$J84,+IF(K$18='5.Variables'!$B$90,+'5.Variables'!$J98,+IF(K$18='5.Variables'!$B$104,+'5.Variables'!$J112,0))))))</f>
        <v>7.3</v>
      </c>
      <c r="L99" s="697">
        <f>IF(L$18='5.Variables'!$B$16,+'5.Variables'!$J32,+IF(L$18='5.Variables'!$B$39,+'5.Variables'!$J56,+IF(L$18='5.Variables'!$B$62,+'5.Variables'!$J70,+IF(L$18='5.Variables'!$B$76,+'5.Variables'!$J84,+IF(L$18='5.Variables'!$B$90,+'5.Variables'!$J98,+IF(L$18='5.Variables'!$B$104,+'5.Variables'!$J112,0))))))</f>
        <v>74.2</v>
      </c>
      <c r="M99" s="697">
        <f>IF(M$18='5.Variables'!$B$16,+'5.Variables'!$J32,+IF(M$18='5.Variables'!$B$39,+'5.Variables'!$J56,+IF(M$18='5.Variables'!$B$62,+'5.Variables'!$J70,+IF(M$18='5.Variables'!$B$76,+'5.Variables'!$J84,+IF(M$18='5.Variables'!$B$90,+'5.Variables'!$J98,+IF(M$18='5.Variables'!$B$104,+'5.Variables'!$J112,0))))))</f>
        <v>31</v>
      </c>
      <c r="N99" s="697">
        <f>IF(N$18='5.Variables'!$B$16,+'5.Variables'!$J32,+IF(N$18='5.Variables'!$B$39,+'5.Variables'!$J56,+IF(N$18='5.Variables'!$B$62,+'5.Variables'!$J70,+IF(N$18='5.Variables'!$B$76,+'5.Variables'!$J84,+IF(N$18='5.Variables'!$B$90,+'5.Variables'!$J98,+IF(N$18='5.Variables'!$B$104,+'5.Variables'!$J112,0))))))</f>
        <v>144.69999999999999</v>
      </c>
      <c r="O99" s="697">
        <f>IF(O$18='5.Variables'!$B$16,+'5.Variables'!$J32,+IF(O$18='5.Variables'!$B$39,+'5.Variables'!$J56,+IF(O$18='5.Variables'!$B$62,+'5.Variables'!$J70,+IF(O$18='5.Variables'!$B$76,+'5.Variables'!$J84,+IF(O$18='5.Variables'!$B$90,+'5.Variables'!$J98,+IF(O$18='5.Variables'!$B$104,+'5.Variables'!$J112,0))))))</f>
        <v>0</v>
      </c>
      <c r="P99" s="697">
        <f>IF(P$18='5.Variables'!$B$16,+'5.Variables'!$J32,+IF(P$18='5.Variables'!$B$39,+'5.Variables'!$J56,+IF(P$18='5.Variables'!$B$62,+'5.Variables'!$J70,+IF(P$18='5.Variables'!$B$76,+'5.Variables'!$J84,+IF(P$18='5.Variables'!$B$90,+'5.Variables'!$J98,+IF(P$18='5.Variables'!$B$104,+'5.Variables'!$J112,0))))))</f>
        <v>320</v>
      </c>
      <c r="Q99" s="242"/>
      <c r="R99" s="260">
        <f t="shared" si="9"/>
        <v>21235558.513197102</v>
      </c>
      <c r="S99" s="262"/>
      <c r="T99" s="242"/>
      <c r="U99" s="242"/>
      <c r="V99" s="242"/>
      <c r="W99" s="242"/>
      <c r="X99" s="242"/>
      <c r="Y99" s="242"/>
      <c r="Z99" s="242"/>
      <c r="AA99" s="242"/>
      <c r="AB99" s="242"/>
      <c r="AC99" s="242"/>
      <c r="AD99" s="242"/>
      <c r="AE99" s="242"/>
      <c r="AF99" s="242"/>
      <c r="AG99" s="242"/>
      <c r="AH99" s="242"/>
      <c r="AI99" s="242"/>
      <c r="AJ99" s="242"/>
      <c r="AK99" s="242"/>
      <c r="AL99" s="242"/>
      <c r="AM99" s="242"/>
    </row>
    <row r="100" spans="1:39" x14ac:dyDescent="0.2">
      <c r="A100" s="500">
        <f t="shared" si="10"/>
        <v>81</v>
      </c>
      <c r="B100" s="259" t="str">
        <f>CONCATENATE('3. Consumption by Rate Class'!B105,"-",'3. Consumption by Rate Class'!C105)</f>
        <v>2012-September</v>
      </c>
      <c r="C100" s="670">
        <v>20363041</v>
      </c>
      <c r="D100" s="826"/>
      <c r="E100" s="827">
        <v>1033023.28</v>
      </c>
      <c r="F100" s="826"/>
      <c r="G100" s="826">
        <f>'A - CDM Adjustment'!E40</f>
        <v>255998.07692307682</v>
      </c>
      <c r="H100" s="677"/>
      <c r="I100" s="677"/>
      <c r="J100" s="550">
        <f t="shared" si="8"/>
        <v>19586015.796923075</v>
      </c>
      <c r="K100" s="697">
        <f>IF(K$18='5.Variables'!$B$16,+'5.Variables'!$K33,+IF(K$18='5.Variables'!$B$39,+'5.Variables'!$K56,+IF(K$18='5.Variables'!$B$62,+'5.Variables'!$K70,+IF(K$18='5.Variables'!$B$76,+'5.Variables'!$K84,+IF(K$18='5.Variables'!$B$90,+'5.Variables'!$K98,+IF(K$18='5.Variables'!$B$104,+'5.Variables'!$K112,0))))))</f>
        <v>87.5</v>
      </c>
      <c r="L100" s="697">
        <f>IF(L$18='5.Variables'!$B$16,+'5.Variables'!$K32,+IF(L$18='5.Variables'!$B$39,+'5.Variables'!$K56,+IF(L$18='5.Variables'!$B$62,+'5.Variables'!$K70,+IF(L$18='5.Variables'!$B$76,+'5.Variables'!$K84,+IF(L$18='5.Variables'!$B$90,+'5.Variables'!$K98,+IF(L$18='5.Variables'!$B$104,+'5.Variables'!$K112,0))))))</f>
        <v>18.2</v>
      </c>
      <c r="M100" s="697">
        <f>IF(M$18='5.Variables'!$B$16,+'5.Variables'!$K32,+IF(M$18='5.Variables'!$B$39,+'5.Variables'!$K56,+IF(M$18='5.Variables'!$B$62,+'5.Variables'!$K70,+IF(M$18='5.Variables'!$B$76,+'5.Variables'!$K84,+IF(M$18='5.Variables'!$B$90,+'5.Variables'!$K98,+IF(M$18='5.Variables'!$B$104,+'5.Variables'!$K112,0))))))</f>
        <v>30</v>
      </c>
      <c r="N100" s="697">
        <f>IF(N$18='5.Variables'!$B$16,+'5.Variables'!$K32,+IF(N$18='5.Variables'!$B$39,+'5.Variables'!$K56,+IF(N$18='5.Variables'!$B$62,+'5.Variables'!$K70,+IF(N$18='5.Variables'!$B$76,+'5.Variables'!$K84,+IF(N$18='5.Variables'!$B$90,+'5.Variables'!$K98,+IF(N$18='5.Variables'!$B$104,+'5.Variables'!$K112,0))))))</f>
        <v>145</v>
      </c>
      <c r="O100" s="697">
        <f>IF(O$18='5.Variables'!$B$16,+'5.Variables'!$K32,+IF(O$18='5.Variables'!$B$39,+'5.Variables'!$K56,+IF(O$18='5.Variables'!$B$62,+'5.Variables'!$K70,+IF(O$18='5.Variables'!$B$76,+'5.Variables'!$K84,+IF(O$18='5.Variables'!$B$90,+'5.Variables'!$K98,+IF(O$18='5.Variables'!$B$104,+'5.Variables'!$K112,0))))))</f>
        <v>0</v>
      </c>
      <c r="P100" s="697">
        <f>IF(P$18='5.Variables'!$B$16,+'5.Variables'!$K32,+IF(P$18='5.Variables'!$B$39,+'5.Variables'!$K56,+IF(P$18='5.Variables'!$B$62,+'5.Variables'!$K70,+IF(P$18='5.Variables'!$B$76,+'5.Variables'!$K84,+IF(P$18='5.Variables'!$B$90,+'5.Variables'!$K98,+IF(P$18='5.Variables'!$B$104,+'5.Variables'!$K112,0))))))</f>
        <v>336</v>
      </c>
      <c r="Q100" s="242"/>
      <c r="R100" s="260">
        <f t="shared" si="9"/>
        <v>19279875.983094253</v>
      </c>
      <c r="S100" s="262"/>
      <c r="T100" s="242"/>
      <c r="U100" s="242"/>
      <c r="V100" s="242"/>
      <c r="W100" s="242"/>
      <c r="X100" s="242"/>
      <c r="Y100" s="242"/>
      <c r="Z100" s="242"/>
      <c r="AA100" s="242"/>
      <c r="AB100" s="242"/>
      <c r="AC100" s="242"/>
      <c r="AD100" s="242"/>
      <c r="AE100" s="242"/>
      <c r="AF100" s="242"/>
      <c r="AG100" s="242"/>
      <c r="AH100" s="242"/>
      <c r="AI100" s="242"/>
      <c r="AJ100" s="242"/>
      <c r="AK100" s="242"/>
      <c r="AL100" s="242"/>
      <c r="AM100" s="242"/>
    </row>
    <row r="101" spans="1:39" x14ac:dyDescent="0.2">
      <c r="A101" s="500">
        <f t="shared" si="10"/>
        <v>82</v>
      </c>
      <c r="B101" s="259" t="str">
        <f>CONCATENATE('3. Consumption by Rate Class'!B106,"-",'3. Consumption by Rate Class'!C106)</f>
        <v>2012-October</v>
      </c>
      <c r="C101" s="670">
        <v>20987563</v>
      </c>
      <c r="D101" s="826"/>
      <c r="E101" s="827">
        <v>1174248.94</v>
      </c>
      <c r="F101" s="826"/>
      <c r="G101" s="826">
        <f>'A - CDM Adjustment'!E41</f>
        <v>284442.30769230757</v>
      </c>
      <c r="H101" s="677"/>
      <c r="I101" s="677"/>
      <c r="J101" s="550">
        <f t="shared" si="8"/>
        <v>20097756.367692307</v>
      </c>
      <c r="K101" s="697">
        <f>IF(K$18='5.Variables'!$B$16,+'5.Variables'!$L33,+IF(K$18='5.Variables'!$B$39,+'5.Variables'!$L56,+IF(K$18='5.Variables'!$B$62,+'5.Variables'!$L70,+IF(K$18='5.Variables'!$B$76,+'5.Variables'!$L84,+IF(K$18='5.Variables'!$B$90,+'5.Variables'!$L98,+IF(K$18='5.Variables'!$B$104,+'5.Variables'!$L112,0))))))</f>
        <v>245.1</v>
      </c>
      <c r="L101" s="697">
        <f>IF(L$18='5.Variables'!$B$16,+'5.Variables'!$L32,+IF(L$18='5.Variables'!$B$39,+'5.Variables'!$L56,+IF(L$18='5.Variables'!$B$62,+'5.Variables'!$L70,+IF(L$18='5.Variables'!$B$76,+'5.Variables'!$L84,+IF(L$18='5.Variables'!$B$90,+'5.Variables'!$L98,+IF(L$18='5.Variables'!$B$104,+'5.Variables'!$L112,0))))))</f>
        <v>0</v>
      </c>
      <c r="M101" s="697">
        <f>IF(M$18='5.Variables'!$B$16,+'5.Variables'!$L32,+IF(M$18='5.Variables'!$B$39,+'5.Variables'!$L56,+IF(M$18='5.Variables'!$B$62,+'5.Variables'!$L70,+IF(M$18='5.Variables'!$B$76,+'5.Variables'!$L84,+IF(M$18='5.Variables'!$B$90,+'5.Variables'!$L98,+IF(M$18='5.Variables'!$B$104,+'5.Variables'!$L112,0))))))</f>
        <v>31</v>
      </c>
      <c r="N101" s="697">
        <f>IF(N$18='5.Variables'!$B$16,+'5.Variables'!$L32,+IF(N$18='5.Variables'!$B$39,+'5.Variables'!$L56,+IF(N$18='5.Variables'!$B$62,+'5.Variables'!$L70,+IF(N$18='5.Variables'!$B$76,+'5.Variables'!$L84,+IF(N$18='5.Variables'!$B$90,+'5.Variables'!$L98,+IF(N$18='5.Variables'!$B$104,+'5.Variables'!$L112,0))))))</f>
        <v>145.4</v>
      </c>
      <c r="O101" s="697">
        <f>IF(O$18='5.Variables'!$B$16,+'5.Variables'!$L32,+IF(O$18='5.Variables'!$B$39,+'5.Variables'!$L56,+IF(O$18='5.Variables'!$B$62,+'5.Variables'!$L70,+IF(O$18='5.Variables'!$B$76,+'5.Variables'!$L84,+IF(O$18='5.Variables'!$B$90,+'5.Variables'!$L98,+IF(O$18='5.Variables'!$B$104,+'5.Variables'!$L112,0))))))</f>
        <v>0</v>
      </c>
      <c r="P101" s="697">
        <f>IF(P$18='5.Variables'!$B$16,+'5.Variables'!$L32,+IF(P$18='5.Variables'!$B$39,+'5.Variables'!$L56,+IF(P$18='5.Variables'!$B$62,+'5.Variables'!$L70,+IF(P$18='5.Variables'!$B$76,+'5.Variables'!$L84,+IF(P$18='5.Variables'!$B$90,+'5.Variables'!$L98,+IF(P$18='5.Variables'!$B$104,+'5.Variables'!$L112,0))))))</f>
        <v>352</v>
      </c>
      <c r="Q101" s="242"/>
      <c r="R101" s="260">
        <f t="shared" si="9"/>
        <v>20095403.76077101</v>
      </c>
      <c r="S101" s="262"/>
      <c r="T101" s="242"/>
      <c r="U101" s="242"/>
      <c r="V101" s="242"/>
      <c r="W101" s="242"/>
      <c r="X101" s="242"/>
      <c r="Y101" s="242"/>
      <c r="Z101" s="242"/>
      <c r="AA101" s="242"/>
      <c r="AB101" s="242"/>
      <c r="AC101" s="242"/>
      <c r="AD101" s="242"/>
      <c r="AE101" s="242"/>
      <c r="AF101" s="242"/>
      <c r="AG101" s="242"/>
      <c r="AH101" s="242"/>
      <c r="AI101" s="242"/>
      <c r="AJ101" s="242"/>
      <c r="AK101" s="242"/>
      <c r="AL101" s="242"/>
      <c r="AM101" s="242"/>
    </row>
    <row r="102" spans="1:39" x14ac:dyDescent="0.2">
      <c r="A102" s="500">
        <f t="shared" si="10"/>
        <v>83</v>
      </c>
      <c r="B102" s="259" t="str">
        <f>CONCATENATE('3. Consumption by Rate Class'!B107,"-",'3. Consumption by Rate Class'!C107)</f>
        <v>2012-November</v>
      </c>
      <c r="C102" s="670">
        <v>21546676</v>
      </c>
      <c r="D102" s="826"/>
      <c r="E102" s="827">
        <v>957581.32</v>
      </c>
      <c r="F102" s="826">
        <v>1608.67</v>
      </c>
      <c r="G102" s="826">
        <f>'A - CDM Adjustment'!E42</f>
        <v>312886.53846153838</v>
      </c>
      <c r="H102" s="677"/>
      <c r="I102" s="677"/>
      <c r="J102" s="550">
        <f t="shared" si="8"/>
        <v>20903589.888461541</v>
      </c>
      <c r="K102" s="697">
        <f>IF(K$18='5.Variables'!$B$16,+'5.Variables'!$M33,+IF(K$18='5.Variables'!$B$39,+'5.Variables'!$M56,+IF(K$18='5.Variables'!$B$62,+'5.Variables'!$M70,+IF(K$18='5.Variables'!$B$76,+'5.Variables'!$M84,+IF(K$18='5.Variables'!$B$90,+'5.Variables'!$M98,+IF(K$18='5.Variables'!$B$104,+'5.Variables'!$M112,0))))))</f>
        <v>449.4</v>
      </c>
      <c r="L102" s="697">
        <f>IF(L$18='5.Variables'!$B$16,+'5.Variables'!$M32,+IF(L$18='5.Variables'!$B$39,+'5.Variables'!$M56,+IF(L$18='5.Variables'!$B$62,+'5.Variables'!$M70,+IF(L$18='5.Variables'!$B$76,+'5.Variables'!$M84,+IF(L$18='5.Variables'!$B$90,+'5.Variables'!$M98,+IF(L$18='5.Variables'!$B$104,+'5.Variables'!$M112,0))))))</f>
        <v>0</v>
      </c>
      <c r="M102" s="697">
        <f>IF(M$18='5.Variables'!$B$16,+'5.Variables'!$M32,+IF(M$18='5.Variables'!$B$39,+'5.Variables'!$M56,+IF(M$18='5.Variables'!$B$62,+'5.Variables'!$M70,+IF(M$18='5.Variables'!$B$76,+'5.Variables'!$M84,+IF(M$18='5.Variables'!$B$90,+'5.Variables'!$M98,+IF(M$18='5.Variables'!$B$104,+'5.Variables'!$M112,0))))))</f>
        <v>30</v>
      </c>
      <c r="N102" s="697">
        <f>IF(N$18='5.Variables'!$B$16,+'5.Variables'!$M32,+IF(N$18='5.Variables'!$B$39,+'5.Variables'!$M56,+IF(N$18='5.Variables'!$B$62,+'5.Variables'!$M70,+IF(N$18='5.Variables'!$B$76,+'5.Variables'!$M84,+IF(N$18='5.Variables'!$B$90,+'5.Variables'!$M98,+IF(N$18='5.Variables'!$B$104,+'5.Variables'!$M112,0))))))</f>
        <v>145.69999999999999</v>
      </c>
      <c r="O102" s="697">
        <f>IF(O$18='5.Variables'!$B$16,+'5.Variables'!$M32,+IF(O$18='5.Variables'!$B$39,+'5.Variables'!$M56,+IF(O$18='5.Variables'!$B$62,+'5.Variables'!$M70,+IF(O$18='5.Variables'!$B$76,+'5.Variables'!$M84,+IF(O$18='5.Variables'!$B$90,+'5.Variables'!$M98,+IF(O$18='5.Variables'!$B$104,+'5.Variables'!$M112,0))))))</f>
        <v>0</v>
      </c>
      <c r="P102" s="697">
        <f>IF(P$18='5.Variables'!$B$16,+'5.Variables'!$M32,+IF(P$18='5.Variables'!$B$39,+'5.Variables'!$M56,+IF(P$18='5.Variables'!$B$62,+'5.Variables'!$M70,+IF(P$18='5.Variables'!$B$76,+'5.Variables'!$M84,+IF(P$18='5.Variables'!$B$90,+'5.Variables'!$M98,+IF(P$18='5.Variables'!$B$104,+'5.Variables'!$M112,0))))))</f>
        <v>304</v>
      </c>
      <c r="Q102" s="242"/>
      <c r="R102" s="260">
        <f t="shared" si="9"/>
        <v>20690475.856816221</v>
      </c>
      <c r="S102" s="262"/>
      <c r="T102" s="242"/>
      <c r="U102" s="242"/>
      <c r="V102" s="242"/>
      <c r="W102" s="242"/>
      <c r="X102" s="242"/>
      <c r="Y102" s="242"/>
      <c r="Z102" s="242"/>
      <c r="AA102" s="242"/>
      <c r="AB102" s="242"/>
      <c r="AC102" s="242"/>
      <c r="AD102" s="242"/>
      <c r="AE102" s="242"/>
      <c r="AF102" s="242"/>
      <c r="AG102" s="242"/>
      <c r="AH102" s="242"/>
      <c r="AI102" s="242"/>
      <c r="AJ102" s="242"/>
      <c r="AK102" s="242"/>
      <c r="AL102" s="242"/>
      <c r="AM102" s="242"/>
    </row>
    <row r="103" spans="1:39" x14ac:dyDescent="0.2">
      <c r="A103" s="500">
        <f t="shared" si="10"/>
        <v>84</v>
      </c>
      <c r="B103" s="519" t="str">
        <f>CONCATENATE('3. Consumption by Rate Class'!B108,"-",'3. Consumption by Rate Class'!C108)</f>
        <v>2012-December</v>
      </c>
      <c r="C103" s="671">
        <v>21986713</v>
      </c>
      <c r="D103" s="828"/>
      <c r="E103" s="829">
        <v>925881.6</v>
      </c>
      <c r="F103" s="828">
        <v>656.8</v>
      </c>
      <c r="G103" s="828">
        <f>'A - CDM Adjustment'!E43</f>
        <v>341330.76923076907</v>
      </c>
      <c r="H103" s="679"/>
      <c r="I103" s="679"/>
      <c r="J103" s="550">
        <f t="shared" si="8"/>
        <v>21402818.969230767</v>
      </c>
      <c r="K103" s="697">
        <f>IF(K$18='5.Variables'!$B$16,+'5.Variables'!$N33,+IF(K$18='5.Variables'!$B$39,+'5.Variables'!$N56,+IF(K$18='5.Variables'!$B$62,+'5.Variables'!$N70,+IF(K$18='5.Variables'!$B$76,+'5.Variables'!$N84,+IF(K$18='5.Variables'!$B$90,+'5.Variables'!$N98,+IF(K$18='5.Variables'!$B$104,+'5.Variables'!$N112,0))))))</f>
        <v>535.79999999999995</v>
      </c>
      <c r="L103" s="697">
        <f>IF(L$18='5.Variables'!$B$16,+'5.Variables'!$N32,+IF(L$18='5.Variables'!$B$39,+'5.Variables'!$N56,+IF(L$18='5.Variables'!$B$62,+'5.Variables'!$N70,+IF(L$18='5.Variables'!$B$76,+'5.Variables'!$N84,+IF(L$18='5.Variables'!$B$90,+'5.Variables'!$N98,+IF(L$18='5.Variables'!$B$104,+'5.Variables'!$N112,0))))))</f>
        <v>0</v>
      </c>
      <c r="M103" s="697">
        <f>IF(M$18='5.Variables'!$B$16,+'5.Variables'!$N32,+IF(M$18='5.Variables'!$B$39,+'5.Variables'!$N56,+IF(M$18='5.Variables'!$B$62,+'5.Variables'!$N70,+IF(M$18='5.Variables'!$B$76,+'5.Variables'!$N84,+IF(M$18='5.Variables'!$B$90,+'5.Variables'!$N98,+IF(M$18='5.Variables'!$B$104,+'5.Variables'!$N112,0))))))</f>
        <v>31</v>
      </c>
      <c r="N103" s="697">
        <f>IF(N$18='5.Variables'!$B$16,+'5.Variables'!$N32,+IF(N$18='5.Variables'!$B$39,+'5.Variables'!$N56,+IF(N$18='5.Variables'!$B$62,+'5.Variables'!$N70,+IF(N$18='5.Variables'!$B$76,+'5.Variables'!$N84,+IF(N$18='5.Variables'!$B$90,+'5.Variables'!$N98,+IF(N$18='5.Variables'!$B$104,+'5.Variables'!$N112,0))))))</f>
        <v>146</v>
      </c>
      <c r="O103" s="697">
        <f>IF(O$18='5.Variables'!$B$16,+'5.Variables'!$N32,+IF(O$18='5.Variables'!$B$39,+'5.Variables'!$N56,+IF(O$18='5.Variables'!$B$62,+'5.Variables'!$N70,+IF(O$18='5.Variables'!$B$76,+'5.Variables'!$N84,+IF(O$18='5.Variables'!$B$90,+'5.Variables'!$N98,+IF(O$18='5.Variables'!$B$104,+'5.Variables'!$N112,0))))))</f>
        <v>0</v>
      </c>
      <c r="P103" s="697">
        <f>IF(P$18='5.Variables'!$B$16,+'5.Variables'!$N32,+IF(P$18='5.Variables'!$B$39,+'5.Variables'!$N56,+IF(P$18='5.Variables'!$B$62,+'5.Variables'!$N70,+IF(P$18='5.Variables'!$B$76,+'5.Variables'!$N84,+IF(P$18='5.Variables'!$B$90,+'5.Variables'!$N98,+IF(P$18='5.Variables'!$B$104,+'5.Variables'!$N112,0))))))</f>
        <v>336</v>
      </c>
      <c r="Q103" s="242"/>
      <c r="R103" s="260">
        <f t="shared" si="9"/>
        <v>21885321.519649196</v>
      </c>
      <c r="S103" s="262">
        <f>SUM(R92:R103)</f>
        <v>250342774.98395351</v>
      </c>
      <c r="T103" s="242"/>
      <c r="U103" s="242"/>
      <c r="V103" s="242"/>
      <c r="W103" s="242"/>
      <c r="X103" s="242"/>
      <c r="Y103" s="242"/>
      <c r="Z103" s="242"/>
      <c r="AA103" s="242"/>
      <c r="AB103" s="242"/>
      <c r="AC103" s="242"/>
      <c r="AD103" s="242"/>
      <c r="AE103" s="242"/>
      <c r="AF103" s="242"/>
      <c r="AG103" s="242"/>
      <c r="AH103" s="242"/>
      <c r="AI103" s="242"/>
      <c r="AJ103" s="242"/>
      <c r="AK103" s="242"/>
      <c r="AL103" s="242"/>
      <c r="AM103" s="242"/>
    </row>
    <row r="104" spans="1:39" x14ac:dyDescent="0.2">
      <c r="A104" s="500">
        <f t="shared" si="10"/>
        <v>85</v>
      </c>
      <c r="B104" s="259" t="str">
        <f>CONCATENATE('3. Consumption by Rate Class'!B109,"-",'3. Consumption by Rate Class'!C109)</f>
        <v>2013-January</v>
      </c>
      <c r="C104" s="670">
        <v>24525821</v>
      </c>
      <c r="D104" s="826"/>
      <c r="E104" s="827">
        <v>1227898.56</v>
      </c>
      <c r="F104" s="826">
        <v>856.37</v>
      </c>
      <c r="G104" s="826">
        <f>'A - CDM Adjustment'!E45</f>
        <v>41718.205128205125</v>
      </c>
      <c r="H104" s="677"/>
      <c r="I104" s="677"/>
      <c r="J104" s="550">
        <f t="shared" si="8"/>
        <v>23340497.015128206</v>
      </c>
      <c r="K104" s="697">
        <f>IF(K$18='5.Variables'!$B$16,+'5.Variables'!$C34,+IF(K$18='5.Variables'!$B$39,+'5.Variables'!$C57,+IF(K$18='5.Variables'!$B$62,+'5.Variables'!$C71,+IF(K$18='5.Variables'!$B$76,+'5.Variables'!$C85,+IF(K$18='5.Variables'!$B$90,+'5.Variables'!$C99,+IF(K$18='5.Variables'!$B$104,+'5.Variables'!$C113,0))))))</f>
        <v>649.6</v>
      </c>
      <c r="L104" s="697">
        <f>IF(L$18='5.Variables'!$B$16,+'5.Variables'!$C33,+IF(L$18='5.Variables'!$B$39,+'5.Variables'!$C57,+IF(L$18='5.Variables'!$B$62,+'5.Variables'!$C71,+IF(L$18='5.Variables'!$B$76,+'5.Variables'!$C85,+IF(L$18='5.Variables'!$B$90,+'5.Variables'!$C99,+IF(L$18='5.Variables'!$B$104,+'5.Variables'!$C113,0))))))</f>
        <v>0</v>
      </c>
      <c r="M104" s="697">
        <f>IF(M$18='5.Variables'!$B$16,+'5.Variables'!$C33,+IF(M$18='5.Variables'!$B$39,+'5.Variables'!$C57,+IF(M$18='5.Variables'!$B$62,+'5.Variables'!$C71,+IF(M$18='5.Variables'!$B$76,+'5.Variables'!$C85,+IF(M$18='5.Variables'!$B$90,+'5.Variables'!$C99,+IF(M$18='5.Variables'!$B$104,+'5.Variables'!$C113,0))))))</f>
        <v>31</v>
      </c>
      <c r="N104" s="697">
        <f>IF(N$18='5.Variables'!$B$16,+'5.Variables'!$C33,+IF(N$18='5.Variables'!$B$39,+'5.Variables'!$C57,+IF(N$18='5.Variables'!$B$62,+'5.Variables'!$C71,+IF(N$18='5.Variables'!$B$76,+'5.Variables'!$C85,+IF(N$18='5.Variables'!$B$90,+'5.Variables'!$C99,+IF(N$18='5.Variables'!$B$104,+'5.Variables'!$C113,0))))))</f>
        <v>145</v>
      </c>
      <c r="O104" s="697">
        <f>IF(O$18='5.Variables'!$B$16,+'5.Variables'!$C33,+IF(O$18='5.Variables'!$B$39,+'5.Variables'!$C57,+IF(O$18='5.Variables'!$B$62,+'5.Variables'!$C71,+IF(O$18='5.Variables'!$B$76,+'5.Variables'!$C85,+IF(O$18='5.Variables'!$B$90,+'5.Variables'!$C99,+IF(O$18='5.Variables'!$B$104,+'5.Variables'!$C113,0))))))</f>
        <v>0</v>
      </c>
      <c r="P104" s="697">
        <f>IF(P$18='5.Variables'!$B$16,+'5.Variables'!$C33,+IF(P$18='5.Variables'!$B$39,+'5.Variables'!$C57,+IF(P$18='5.Variables'!$B$62,+'5.Variables'!$C71,+IF(P$18='5.Variables'!$B$76,+'5.Variables'!$C85,+IF(P$18='5.Variables'!$B$90,+'5.Variables'!$C99,+IF(P$18='5.Variables'!$B$104,+'5.Variables'!$C113,0))))))</f>
        <v>352</v>
      </c>
      <c r="Q104" s="242"/>
      <c r="R104" s="260">
        <f t="shared" si="9"/>
        <v>22719212.179442976</v>
      </c>
      <c r="S104" s="262"/>
      <c r="T104" s="242"/>
      <c r="U104" s="242"/>
      <c r="V104" s="242"/>
      <c r="W104" s="242"/>
      <c r="X104" s="242"/>
      <c r="Y104" s="242"/>
      <c r="Z104" s="242"/>
      <c r="AA104" s="242"/>
      <c r="AB104" s="242"/>
      <c r="AC104" s="242"/>
      <c r="AD104" s="242"/>
      <c r="AE104" s="242"/>
      <c r="AF104" s="242"/>
      <c r="AG104" s="242"/>
      <c r="AH104" s="242"/>
      <c r="AI104" s="242"/>
      <c r="AJ104" s="242"/>
      <c r="AK104" s="242"/>
      <c r="AL104" s="242"/>
      <c r="AM104" s="242"/>
    </row>
    <row r="105" spans="1:39" x14ac:dyDescent="0.2">
      <c r="A105" s="500">
        <f t="shared" si="10"/>
        <v>86</v>
      </c>
      <c r="B105" s="259" t="str">
        <f>CONCATENATE('3. Consumption by Rate Class'!B110,"-",'3. Consumption by Rate Class'!C110)</f>
        <v>2013-February</v>
      </c>
      <c r="C105" s="670">
        <v>22406076</v>
      </c>
      <c r="D105" s="826"/>
      <c r="E105" s="827">
        <v>1384324.99</v>
      </c>
      <c r="F105" s="826">
        <v>1713.43</v>
      </c>
      <c r="G105" s="826">
        <f>'A - CDM Adjustment'!E46</f>
        <v>83436.41025641025</v>
      </c>
      <c r="H105" s="677"/>
      <c r="I105" s="677"/>
      <c r="J105" s="550">
        <f t="shared" si="8"/>
        <v>21106900.850256413</v>
      </c>
      <c r="K105" s="697">
        <f>IF(K$18='5.Variables'!$B$16,+'5.Variables'!$D34,+IF(K$18='5.Variables'!$B$39,+'5.Variables'!$D57,+IF(K$18='5.Variables'!$B$62,+'5.Variables'!$D71,+IF(K$18='5.Variables'!$B$76,+'5.Variables'!$D85,+IF(K$18='5.Variables'!$B$90,+'5.Variables'!$D99,+IF(K$18='5.Variables'!$B$104,+'5.Variables'!$D113,0))))))</f>
        <v>633.29999999999995</v>
      </c>
      <c r="L105" s="697">
        <f>IF(L$18='5.Variables'!$B$16,+'5.Variables'!$D33,+IF(L$18='5.Variables'!$B$39,+'5.Variables'!$D57,+IF(L$18='5.Variables'!$B$62,+'5.Variables'!$D71,+IF(L$18='5.Variables'!$B$76,+'5.Variables'!$D85,+IF(L$18='5.Variables'!$B$90,+'5.Variables'!$D99,+IF(L$18='5.Variables'!$B$104,+'5.Variables'!$D113,0))))))</f>
        <v>0</v>
      </c>
      <c r="M105" s="697">
        <f>IF(M$18='5.Variables'!$B$16,+'5.Variables'!$D33,+IF(M$18='5.Variables'!$B$39,+'5.Variables'!$D57,+IF(M$18='5.Variables'!$B$62,+'5.Variables'!$D71,+IF(M$18='5.Variables'!$B$76,+'5.Variables'!$D85,+IF(M$18='5.Variables'!$B$90,+'5.Variables'!$D99,+IF(M$18='5.Variables'!$B$104,+'5.Variables'!$D113,0))))))</f>
        <v>28</v>
      </c>
      <c r="N105" s="697">
        <f>IF(N$18='5.Variables'!$B$16,+'5.Variables'!$D33,+IF(N$18='5.Variables'!$B$39,+'5.Variables'!$D57,+IF(N$18='5.Variables'!$B$62,+'5.Variables'!$D71,+IF(N$18='5.Variables'!$B$76,+'5.Variables'!$D85,+IF(N$18='5.Variables'!$B$90,+'5.Variables'!$D99,+IF(N$18='5.Variables'!$B$104,+'5.Variables'!$D113,0))))))</f>
        <v>145.1</v>
      </c>
      <c r="O105" s="697">
        <f>IF(O$18='5.Variables'!$B$16,+'5.Variables'!$D33,+IF(O$18='5.Variables'!$B$39,+'5.Variables'!$D57,+IF(O$18='5.Variables'!$B$62,+'5.Variables'!$D71,+IF(O$18='5.Variables'!$B$76,+'5.Variables'!$D85,+IF(O$18='5.Variables'!$B$90,+'5.Variables'!$D99,+IF(O$18='5.Variables'!$B$104,+'5.Variables'!$D113,0))))))</f>
        <v>0</v>
      </c>
      <c r="P105" s="697">
        <f>IF(P$18='5.Variables'!$B$16,+'5.Variables'!$D33,+IF(P$18='5.Variables'!$B$39,+'5.Variables'!$D57,+IF(P$18='5.Variables'!$B$62,+'5.Variables'!$D71,+IF(P$18='5.Variables'!$B$76,+'5.Variables'!$D85,+IF(P$18='5.Variables'!$B$90,+'5.Variables'!$D99,+IF(P$18='5.Variables'!$B$104,+'5.Variables'!$D113,0))))))</f>
        <v>304</v>
      </c>
      <c r="Q105" s="242"/>
      <c r="R105" s="260">
        <f t="shared" si="9"/>
        <v>21111723.73320305</v>
      </c>
      <c r="S105" s="262"/>
      <c r="T105" s="242"/>
      <c r="U105" s="242"/>
      <c r="V105" s="242"/>
      <c r="W105" s="242"/>
      <c r="X105" s="242"/>
      <c r="Y105" s="242"/>
      <c r="Z105" s="242"/>
      <c r="AA105" s="242"/>
      <c r="AB105" s="242"/>
      <c r="AC105" s="242"/>
      <c r="AD105" s="242"/>
      <c r="AE105" s="242"/>
      <c r="AF105" s="242"/>
      <c r="AG105" s="242"/>
      <c r="AH105" s="242"/>
      <c r="AI105" s="242"/>
      <c r="AJ105" s="242"/>
      <c r="AK105" s="242"/>
      <c r="AL105" s="242"/>
      <c r="AM105" s="242"/>
    </row>
    <row r="106" spans="1:39" x14ac:dyDescent="0.2">
      <c r="A106" s="500">
        <f t="shared" si="10"/>
        <v>87</v>
      </c>
      <c r="B106" s="259" t="str">
        <f>CONCATENATE('3. Consumption by Rate Class'!B111,"-",'3. Consumption by Rate Class'!C111)</f>
        <v>2013-March</v>
      </c>
      <c r="C106" s="670">
        <v>22949758</v>
      </c>
      <c r="D106" s="826"/>
      <c r="E106" s="827">
        <v>1545727.05</v>
      </c>
      <c r="F106" s="826">
        <v>3595</v>
      </c>
      <c r="G106" s="826">
        <f>'A - CDM Adjustment'!E47</f>
        <v>125154.61538461538</v>
      </c>
      <c r="H106" s="677"/>
      <c r="I106" s="677"/>
      <c r="J106" s="550">
        <f t="shared" si="8"/>
        <v>21532780.565384615</v>
      </c>
      <c r="K106" s="697">
        <f>IF(K$18='5.Variables'!$B$16,+'5.Variables'!$E34,+IF(K$18='5.Variables'!$B$39,+'5.Variables'!$E57,+IF(K$18='5.Variables'!$B$62,+'5.Variables'!$E71,+IF(K$18='5.Variables'!$B$76,+'5.Variables'!$E85,+IF(K$18='5.Variables'!$B$90,+'5.Variables'!$E99,+IF(K$18='5.Variables'!$B$104,+'5.Variables'!$E113,0))))))</f>
        <v>556.1</v>
      </c>
      <c r="L106" s="697">
        <f>IF(L$18='5.Variables'!$B$16,+'5.Variables'!$E33,+IF(L$18='5.Variables'!$B$39,+'5.Variables'!$E57,+IF(L$18='5.Variables'!$B$62,+'5.Variables'!$E71,+IF(L$18='5.Variables'!$B$76,+'5.Variables'!$E85,+IF(L$18='5.Variables'!$B$90,+'5.Variables'!$E99,+IF(L$18='5.Variables'!$B$104,+'5.Variables'!$E113,0))))))</f>
        <v>0</v>
      </c>
      <c r="M106" s="697">
        <f>IF(M$18='5.Variables'!$B$16,+'5.Variables'!$E33,+IF(M$18='5.Variables'!$B$39,+'5.Variables'!$E57,+IF(M$18='5.Variables'!$B$62,+'5.Variables'!$E71,+IF(M$18='5.Variables'!$B$76,+'5.Variables'!$E85,+IF(M$18='5.Variables'!$B$90,+'5.Variables'!$E99,+IF(M$18='5.Variables'!$B$104,+'5.Variables'!$E113,0))))))</f>
        <v>31</v>
      </c>
      <c r="N106" s="697">
        <f>IF(N$18='5.Variables'!$B$16,+'5.Variables'!$E33,+IF(N$18='5.Variables'!$B$39,+'5.Variables'!$E57,+IF(N$18='5.Variables'!$B$62,+'5.Variables'!$E71,+IF(N$18='5.Variables'!$B$76,+'5.Variables'!$E85,+IF(N$18='5.Variables'!$B$90,+'5.Variables'!$E99,+IF(N$18='5.Variables'!$B$104,+'5.Variables'!$E113,0))))))</f>
        <v>145.30000000000001</v>
      </c>
      <c r="O106" s="697">
        <f>IF(O$18='5.Variables'!$B$16,+'5.Variables'!$E33,+IF(O$18='5.Variables'!$B$39,+'5.Variables'!$E57,+IF(O$18='5.Variables'!$B$62,+'5.Variables'!$E71,+IF(O$18='5.Variables'!$B$76,+'5.Variables'!$E85,+IF(O$18='5.Variables'!$B$90,+'5.Variables'!$E99,+IF(O$18='5.Variables'!$B$104,+'5.Variables'!$E113,0))))))</f>
        <v>0</v>
      </c>
      <c r="P106" s="697">
        <f>IF(P$18='5.Variables'!$B$16,+'5.Variables'!$E33,+IF(P$18='5.Variables'!$B$39,+'5.Variables'!$E57,+IF(P$18='5.Variables'!$B$62,+'5.Variables'!$E71,+IF(P$18='5.Variables'!$B$76,+'5.Variables'!$E85,+IF(P$18='5.Variables'!$B$90,+'5.Variables'!$E99,+IF(P$18='5.Variables'!$B$104,+'5.Variables'!$E113,0))))))</f>
        <v>320</v>
      </c>
      <c r="Q106" s="242"/>
      <c r="R106" s="260">
        <f t="shared" si="9"/>
        <v>21875370.18675201</v>
      </c>
      <c r="S106" s="262"/>
      <c r="T106" s="242"/>
      <c r="U106" s="242"/>
      <c r="V106" s="242"/>
      <c r="W106" s="242"/>
      <c r="X106" s="242"/>
      <c r="Y106" s="242"/>
      <c r="Z106" s="242"/>
      <c r="AA106" s="242"/>
      <c r="AB106" s="242"/>
      <c r="AC106" s="242"/>
      <c r="AD106" s="242"/>
      <c r="AE106" s="242"/>
      <c r="AF106" s="242"/>
      <c r="AG106" s="242"/>
      <c r="AH106" s="242"/>
      <c r="AI106" s="242"/>
      <c r="AJ106" s="242"/>
      <c r="AK106" s="242"/>
      <c r="AL106" s="242"/>
      <c r="AM106" s="242"/>
    </row>
    <row r="107" spans="1:39" x14ac:dyDescent="0.2">
      <c r="A107" s="500">
        <f t="shared" si="10"/>
        <v>88</v>
      </c>
      <c r="B107" s="259" t="str">
        <f>CONCATENATE('3. Consumption by Rate Class'!B112,"-",'3. Consumption by Rate Class'!C112)</f>
        <v>2013-April</v>
      </c>
      <c r="C107" s="670">
        <v>21342594</v>
      </c>
      <c r="D107" s="826"/>
      <c r="E107" s="827">
        <v>1720655.02</v>
      </c>
      <c r="F107" s="826">
        <v>3664.39</v>
      </c>
      <c r="G107" s="826">
        <f>'A - CDM Adjustment'!E48</f>
        <v>166872.8205128205</v>
      </c>
      <c r="H107" s="677"/>
      <c r="I107" s="677"/>
      <c r="J107" s="550">
        <f t="shared" si="8"/>
        <v>19792476.190512821</v>
      </c>
      <c r="K107" s="697">
        <f>IF(K$18='5.Variables'!$B$16,+'5.Variables'!$F34,+IF(K$18='5.Variables'!$B$39,+'5.Variables'!$F57,+IF(K$18='5.Variables'!$B$62,+'5.Variables'!$F71,+IF(K$18='5.Variables'!$B$76,+'5.Variables'!$F85,+IF(K$18='5.Variables'!$B$90,+'5.Variables'!$F99,+IF(K$18='5.Variables'!$B$104,+'5.Variables'!$F113,0))))))</f>
        <v>383.6</v>
      </c>
      <c r="L107" s="697">
        <f>IF(L$18='5.Variables'!$B$16,+'5.Variables'!$F33,+IF(L$18='5.Variables'!$B$39,+'5.Variables'!$F57,+IF(L$18='5.Variables'!$B$62,+'5.Variables'!$F71,+IF(L$18='5.Variables'!$B$76,+'5.Variables'!$F85,+IF(L$18='5.Variables'!$B$90,+'5.Variables'!$F99,+IF(L$18='5.Variables'!$B$104,+'5.Variables'!$F113,0))))))</f>
        <v>0</v>
      </c>
      <c r="M107" s="697">
        <f>IF(M$18='5.Variables'!$B$16,+'5.Variables'!$F33,+IF(M$18='5.Variables'!$B$39,+'5.Variables'!$F57,+IF(M$18='5.Variables'!$B$62,+'5.Variables'!$F71,+IF(M$18='5.Variables'!$B$76,+'5.Variables'!$F85,+IF(M$18='5.Variables'!$B$90,+'5.Variables'!$F99,+IF(M$18='5.Variables'!$B$104,+'5.Variables'!$F113,0))))))</f>
        <v>30</v>
      </c>
      <c r="N107" s="697">
        <f>IF(N$18='5.Variables'!$B$16,+'5.Variables'!$F33,+IF(N$18='5.Variables'!$B$39,+'5.Variables'!$F57,+IF(N$18='5.Variables'!$B$62,+'5.Variables'!$F71,+IF(N$18='5.Variables'!$B$76,+'5.Variables'!$F85,+IF(N$18='5.Variables'!$B$90,+'5.Variables'!$F99,+IF(N$18='5.Variables'!$B$104,+'5.Variables'!$F113,0))))))</f>
        <v>145.5</v>
      </c>
      <c r="O107" s="697">
        <f>IF(O$18='5.Variables'!$B$16,+'5.Variables'!$F33,+IF(O$18='5.Variables'!$B$39,+'5.Variables'!$F57,+IF(O$18='5.Variables'!$B$62,+'5.Variables'!$F71,+IF(O$18='5.Variables'!$B$76,+'5.Variables'!$F85,+IF(O$18='5.Variables'!$B$90,+'5.Variables'!$F99,+IF(O$18='5.Variables'!$B$104,+'5.Variables'!$F113,0))))))</f>
        <v>0</v>
      </c>
      <c r="P107" s="697">
        <f>IF(P$18='5.Variables'!$B$16,+'5.Variables'!$F33,+IF(P$18='5.Variables'!$B$39,+'5.Variables'!$F57,+IF(P$18='5.Variables'!$B$62,+'5.Variables'!$F71,+IF(P$18='5.Variables'!$B$76,+'5.Variables'!$F85,+IF(P$18='5.Variables'!$B$90,+'5.Variables'!$F99,+IF(P$18='5.Variables'!$B$104,+'5.Variables'!$F113,0))))))</f>
        <v>352</v>
      </c>
      <c r="Q107" s="242"/>
      <c r="R107" s="260">
        <f t="shared" si="9"/>
        <v>20621040.126892198</v>
      </c>
      <c r="S107" s="262"/>
      <c r="T107" s="242"/>
      <c r="U107" s="242"/>
      <c r="V107" s="242"/>
      <c r="W107" s="242"/>
      <c r="X107" s="242"/>
      <c r="Y107" s="242"/>
      <c r="Z107" s="242"/>
      <c r="AA107" s="242"/>
      <c r="AB107" s="242"/>
      <c r="AC107" s="242"/>
      <c r="AD107" s="242"/>
      <c r="AE107" s="242"/>
      <c r="AF107" s="242"/>
      <c r="AG107" s="242"/>
      <c r="AH107" s="242"/>
      <c r="AI107" s="242"/>
      <c r="AJ107" s="242"/>
      <c r="AK107" s="242"/>
      <c r="AL107" s="242"/>
      <c r="AM107" s="242"/>
    </row>
    <row r="108" spans="1:39" x14ac:dyDescent="0.2">
      <c r="A108" s="500">
        <f t="shared" si="10"/>
        <v>89</v>
      </c>
      <c r="B108" s="259" t="str">
        <f>CONCATENATE('3. Consumption by Rate Class'!B113,"-",'3. Consumption by Rate Class'!C113)</f>
        <v>2013-May</v>
      </c>
      <c r="C108" s="670">
        <v>19856595</v>
      </c>
      <c r="D108" s="826"/>
      <c r="E108" s="827">
        <v>1425412.55</v>
      </c>
      <c r="F108" s="826">
        <v>5254.83</v>
      </c>
      <c r="G108" s="826">
        <f>'A - CDM Adjustment'!E49</f>
        <v>208591.02564102566</v>
      </c>
      <c r="H108" s="677"/>
      <c r="I108" s="677"/>
      <c r="J108" s="550">
        <f t="shared" si="8"/>
        <v>18645028.305641022</v>
      </c>
      <c r="K108" s="697">
        <f>IF(K$18='5.Variables'!$B$16,+'5.Variables'!$G34,+IF(K$18='5.Variables'!$B$39,+'5.Variables'!$G57,+IF(K$18='5.Variables'!$B$62,+'5.Variables'!$G71,+IF(K$18='5.Variables'!$B$76,+'5.Variables'!$G85,+IF(K$18='5.Variables'!$B$90,+'5.Variables'!$G99,+IF(K$18='5.Variables'!$B$104,+'5.Variables'!$G113,0))))))</f>
        <v>171.6</v>
      </c>
      <c r="L108" s="697">
        <f>IF(L$18='5.Variables'!$B$16,+'5.Variables'!$G33,+IF(L$18='5.Variables'!$B$39,+'5.Variables'!$G57,+IF(L$18='5.Variables'!$B$62,+'5.Variables'!$G71,+IF(L$18='5.Variables'!$B$76,+'5.Variables'!$G85,+IF(L$18='5.Variables'!$B$90,+'5.Variables'!$G99,+IF(L$18='5.Variables'!$B$104,+'5.Variables'!$G113,0))))))</f>
        <v>0.1</v>
      </c>
      <c r="M108" s="697">
        <f>IF(M$18='5.Variables'!$B$16,+'5.Variables'!$G33,+IF(M$18='5.Variables'!$B$39,+'5.Variables'!$G57,+IF(M$18='5.Variables'!$B$62,+'5.Variables'!$G71,+IF(M$18='5.Variables'!$B$76,+'5.Variables'!$G85,+IF(M$18='5.Variables'!$B$90,+'5.Variables'!$G99,+IF(M$18='5.Variables'!$B$104,+'5.Variables'!$G113,0))))))</f>
        <v>31</v>
      </c>
      <c r="N108" s="697">
        <f>IF(N$18='5.Variables'!$B$16,+'5.Variables'!$G33,+IF(N$18='5.Variables'!$B$39,+'5.Variables'!$G57,+IF(N$18='5.Variables'!$B$62,+'5.Variables'!$G71,+IF(N$18='5.Variables'!$B$76,+'5.Variables'!$G85,+IF(N$18='5.Variables'!$B$90,+'5.Variables'!$G99,+IF(N$18='5.Variables'!$B$104,+'5.Variables'!$G113,0))))))</f>
        <v>145.6</v>
      </c>
      <c r="O108" s="697">
        <f>IF(O$18='5.Variables'!$B$16,+'5.Variables'!$G33,+IF(O$18='5.Variables'!$B$39,+'5.Variables'!$G57,+IF(O$18='5.Variables'!$B$62,+'5.Variables'!$G71,+IF(O$18='5.Variables'!$B$76,+'5.Variables'!$G85,+IF(O$18='5.Variables'!$B$90,+'5.Variables'!$G99,+IF(O$18='5.Variables'!$B$104,+'5.Variables'!$G113,0))))))</f>
        <v>0</v>
      </c>
      <c r="P108" s="697">
        <f>IF(P$18='5.Variables'!$B$16,+'5.Variables'!$G33,+IF(P$18='5.Variables'!$B$39,+'5.Variables'!$G57,+IF(P$18='5.Variables'!$B$62,+'5.Variables'!$G71,+IF(P$18='5.Variables'!$B$76,+'5.Variables'!$G85,+IF(P$18='5.Variables'!$B$90,+'5.Variables'!$G99,+IF(P$18='5.Variables'!$B$104,+'5.Variables'!$G113,0))))))</f>
        <v>352</v>
      </c>
      <c r="Q108" s="242"/>
      <c r="R108" s="260">
        <f t="shared" si="9"/>
        <v>19626351.903795417</v>
      </c>
      <c r="S108" s="262"/>
      <c r="T108" s="242"/>
      <c r="U108" s="242"/>
      <c r="V108" s="242"/>
      <c r="W108" s="242"/>
      <c r="X108" s="242"/>
      <c r="Y108" s="242"/>
      <c r="Z108" s="242"/>
      <c r="AA108" s="242"/>
      <c r="AB108" s="242"/>
      <c r="AC108" s="242"/>
      <c r="AD108" s="242"/>
      <c r="AE108" s="242"/>
      <c r="AF108" s="242"/>
      <c r="AG108" s="242"/>
      <c r="AH108" s="242"/>
      <c r="AI108" s="242"/>
      <c r="AJ108" s="242"/>
      <c r="AK108" s="242"/>
      <c r="AL108" s="242"/>
      <c r="AM108" s="242"/>
    </row>
    <row r="109" spans="1:39" x14ac:dyDescent="0.2">
      <c r="A109" s="500">
        <f t="shared" si="10"/>
        <v>90</v>
      </c>
      <c r="B109" s="259" t="str">
        <f>CONCATENATE('3. Consumption by Rate Class'!B114,"-",'3. Consumption by Rate Class'!C114)</f>
        <v>2013-June</v>
      </c>
      <c r="C109" s="670">
        <v>19952203</v>
      </c>
      <c r="D109" s="826"/>
      <c r="E109" s="827">
        <v>1387509.57</v>
      </c>
      <c r="F109" s="826">
        <v>4157.6400000000003</v>
      </c>
      <c r="G109" s="826">
        <f>'A - CDM Adjustment'!E50</f>
        <v>250309.23076923075</v>
      </c>
      <c r="H109" s="677"/>
      <c r="I109" s="677"/>
      <c r="J109" s="550">
        <f t="shared" si="8"/>
        <v>18819160.300769232</v>
      </c>
      <c r="K109" s="697">
        <f>IF(K$18='5.Variables'!$B$16,+'5.Variables'!$H34,+IF(K$18='5.Variables'!$B$39,+'5.Variables'!$H57,+IF(K$18='5.Variables'!$B$62,+'5.Variables'!$H71,+IF(K$18='5.Variables'!$B$76,+'5.Variables'!$H85,+IF(K$18='5.Variables'!$B$90,+'5.Variables'!$H99,+IF(K$18='5.Variables'!$B$104,+'5.Variables'!$H113,0))))))</f>
        <v>67.099999999999994</v>
      </c>
      <c r="L109" s="697">
        <f>IF(L$18='5.Variables'!$B$16,+'5.Variables'!$H33,+IF(L$18='5.Variables'!$B$39,+'5.Variables'!$H57,+IF(L$18='5.Variables'!$B$62,+'5.Variables'!$H71,+IF(L$18='5.Variables'!$B$76,+'5.Variables'!$H85,+IF(L$18='5.Variables'!$B$90,+'5.Variables'!$H99,+IF(L$18='5.Variables'!$B$104,+'5.Variables'!$H113,0))))))</f>
        <v>13.3</v>
      </c>
      <c r="M109" s="697">
        <f>IF(M$18='5.Variables'!$B$16,+'5.Variables'!$H33,+IF(M$18='5.Variables'!$B$39,+'5.Variables'!$H57,+IF(M$18='5.Variables'!$B$62,+'5.Variables'!$H71,+IF(M$18='5.Variables'!$B$76,+'5.Variables'!$H85,+IF(M$18='5.Variables'!$B$90,+'5.Variables'!$H99,+IF(M$18='5.Variables'!$B$104,+'5.Variables'!$H113,0))))))</f>
        <v>30</v>
      </c>
      <c r="N109" s="697">
        <f>IF(N$18='5.Variables'!$B$16,+'5.Variables'!$H33,+IF(N$18='5.Variables'!$B$39,+'5.Variables'!$H57,+IF(N$18='5.Variables'!$B$62,+'5.Variables'!$H71,+IF(N$18='5.Variables'!$B$76,+'5.Variables'!$H85,+IF(N$18='5.Variables'!$B$90,+'5.Variables'!$H99,+IF(N$18='5.Variables'!$B$104,+'5.Variables'!$H113,0))))))</f>
        <v>145.80000000000001</v>
      </c>
      <c r="O109" s="697">
        <f>IF(O$18='5.Variables'!$B$16,+'5.Variables'!$H33,+IF(O$18='5.Variables'!$B$39,+'5.Variables'!$H57,+IF(O$18='5.Variables'!$B$62,+'5.Variables'!$H71,+IF(O$18='5.Variables'!$B$76,+'5.Variables'!$H85,+IF(O$18='5.Variables'!$B$90,+'5.Variables'!$H99,+IF(O$18='5.Variables'!$B$104,+'5.Variables'!$H113,0))))))</f>
        <v>0</v>
      </c>
      <c r="P109" s="697">
        <f>IF(P$18='5.Variables'!$B$16,+'5.Variables'!$H33,+IF(P$18='5.Variables'!$B$39,+'5.Variables'!$H57,+IF(P$18='5.Variables'!$B$62,+'5.Variables'!$H71,+IF(P$18='5.Variables'!$B$76,+'5.Variables'!$H85,+IF(P$18='5.Variables'!$B$90,+'5.Variables'!$H99,+IF(P$18='5.Variables'!$B$104,+'5.Variables'!$H113,0))))))</f>
        <v>320</v>
      </c>
      <c r="Q109" s="242"/>
      <c r="R109" s="260">
        <f t="shared" si="9"/>
        <v>18853635.555822793</v>
      </c>
      <c r="S109" s="262"/>
      <c r="T109" s="242"/>
      <c r="U109" s="242"/>
      <c r="V109" s="242"/>
      <c r="W109" s="242"/>
      <c r="X109" s="242"/>
      <c r="Y109" s="242"/>
      <c r="Z109" s="242"/>
      <c r="AA109" s="242"/>
      <c r="AB109" s="242"/>
      <c r="AC109" s="242"/>
      <c r="AD109" s="242"/>
      <c r="AE109" s="242"/>
      <c r="AF109" s="242"/>
      <c r="AG109" s="242"/>
      <c r="AH109" s="242"/>
      <c r="AI109" s="242"/>
      <c r="AJ109" s="242"/>
      <c r="AK109" s="242"/>
      <c r="AL109" s="242"/>
      <c r="AM109" s="242"/>
    </row>
    <row r="110" spans="1:39" x14ac:dyDescent="0.2">
      <c r="A110" s="500">
        <f t="shared" si="10"/>
        <v>91</v>
      </c>
      <c r="B110" s="259" t="str">
        <f>CONCATENATE('3. Consumption by Rate Class'!B115,"-",'3. Consumption by Rate Class'!C115)</f>
        <v>2013-July</v>
      </c>
      <c r="C110" s="670">
        <v>22595752</v>
      </c>
      <c r="D110" s="826"/>
      <c r="E110" s="827">
        <v>1138886.1299999999</v>
      </c>
      <c r="F110" s="826">
        <v>17275.28</v>
      </c>
      <c r="G110" s="826">
        <f>'A - CDM Adjustment'!E51</f>
        <v>292027.43589743593</v>
      </c>
      <c r="H110" s="677"/>
      <c r="I110" s="677"/>
      <c r="J110" s="550">
        <f t="shared" si="8"/>
        <v>21766168.585897438</v>
      </c>
      <c r="K110" s="697">
        <f>IF(K$18='5.Variables'!$B$16,+'5.Variables'!$I34,+IF(K$18='5.Variables'!$B$39,+'5.Variables'!$I57,+IF(K$18='5.Variables'!$B$62,+'5.Variables'!$I71,+IF(K$18='5.Variables'!$B$76,+'5.Variables'!$I85,+IF(K$18='5.Variables'!$B$90,+'5.Variables'!$I99,+IF(K$18='5.Variables'!$B$104,+'5.Variables'!$I113,0))))))</f>
        <v>9.3000000000000007</v>
      </c>
      <c r="L110" s="697">
        <f>IF(L$18='5.Variables'!$B$16,+'5.Variables'!$I33,+IF(L$18='5.Variables'!$B$39,+'5.Variables'!$I57,+IF(L$18='5.Variables'!$B$62,+'5.Variables'!$I71,+IF(L$18='5.Variables'!$B$76,+'5.Variables'!$I85,+IF(L$18='5.Variables'!$B$90,+'5.Variables'!$I99,+IF(L$18='5.Variables'!$B$104,+'5.Variables'!$I113,0))))))</f>
        <v>72</v>
      </c>
      <c r="M110" s="697">
        <f>IF(M$18='5.Variables'!$B$16,+'5.Variables'!$I33,+IF(M$18='5.Variables'!$B$39,+'5.Variables'!$I57,+IF(M$18='5.Variables'!$B$62,+'5.Variables'!$I71,+IF(M$18='5.Variables'!$B$76,+'5.Variables'!$I85,+IF(M$18='5.Variables'!$B$90,+'5.Variables'!$I99,+IF(M$18='5.Variables'!$B$104,+'5.Variables'!$I113,0))))))</f>
        <v>31</v>
      </c>
      <c r="N110" s="697">
        <f>IF(N$18='5.Variables'!$B$16,+'5.Variables'!$I33,+IF(N$18='5.Variables'!$B$39,+'5.Variables'!$I57,+IF(N$18='5.Variables'!$B$62,+'5.Variables'!$I71,+IF(N$18='5.Variables'!$B$76,+'5.Variables'!$I85,+IF(N$18='5.Variables'!$B$90,+'5.Variables'!$I99,+IF(N$18='5.Variables'!$B$104,+'5.Variables'!$I113,0))))))</f>
        <v>145.9</v>
      </c>
      <c r="O110" s="697">
        <f>IF(O$18='5.Variables'!$B$16,+'5.Variables'!$I33,+IF(O$18='5.Variables'!$B$39,+'5.Variables'!$I57,+IF(O$18='5.Variables'!$B$62,+'5.Variables'!$I71,+IF(O$18='5.Variables'!$B$76,+'5.Variables'!$I85,+IF(O$18='5.Variables'!$B$90,+'5.Variables'!$I99,+IF(O$18='5.Variables'!$B$104,+'5.Variables'!$I113,0))))))</f>
        <v>0</v>
      </c>
      <c r="P110" s="697">
        <f>IF(P$18='5.Variables'!$B$16,+'5.Variables'!$I33,+IF(P$18='5.Variables'!$B$39,+'5.Variables'!$I57,+IF(P$18='5.Variables'!$B$62,+'5.Variables'!$I71,+IF(P$18='5.Variables'!$B$76,+'5.Variables'!$I85,+IF(P$18='5.Variables'!$B$90,+'5.Variables'!$I99,+IF(P$18='5.Variables'!$B$104,+'5.Variables'!$I113,0))))))</f>
        <v>352</v>
      </c>
      <c r="Q110" s="242"/>
      <c r="R110" s="260">
        <f t="shared" si="9"/>
        <v>21439594.901966162</v>
      </c>
      <c r="S110" s="262"/>
      <c r="T110" s="242"/>
      <c r="U110" s="242"/>
      <c r="V110" s="242"/>
      <c r="W110" s="242"/>
      <c r="X110" s="242"/>
      <c r="Y110" s="242"/>
      <c r="Z110" s="242"/>
      <c r="AA110" s="242"/>
      <c r="AB110" s="242"/>
      <c r="AC110" s="242"/>
      <c r="AD110" s="242"/>
      <c r="AE110" s="242"/>
      <c r="AF110" s="242"/>
      <c r="AG110" s="242"/>
      <c r="AH110" s="242"/>
      <c r="AI110" s="242"/>
      <c r="AJ110" s="242"/>
      <c r="AK110" s="242"/>
      <c r="AL110" s="242"/>
      <c r="AM110" s="242"/>
    </row>
    <row r="111" spans="1:39" x14ac:dyDescent="0.2">
      <c r="A111" s="500">
        <f t="shared" si="10"/>
        <v>92</v>
      </c>
      <c r="B111" s="259" t="str">
        <f>CONCATENATE('3. Consumption by Rate Class'!B116,"-",'3. Consumption by Rate Class'!C116)</f>
        <v>2013-August</v>
      </c>
      <c r="C111" s="670">
        <v>20483499</v>
      </c>
      <c r="D111" s="826"/>
      <c r="E111" s="827">
        <v>697434.4</v>
      </c>
      <c r="F111" s="826">
        <v>35182.61</v>
      </c>
      <c r="G111" s="826">
        <f>'A - CDM Adjustment'!E52</f>
        <v>333745.64102564106</v>
      </c>
      <c r="H111" s="677"/>
      <c r="I111" s="677"/>
      <c r="J111" s="550">
        <f t="shared" si="8"/>
        <v>20154992.851025641</v>
      </c>
      <c r="K111" s="697">
        <f>IF(K$18='5.Variables'!$B$16,+'5.Variables'!$J34,+IF(K$18='5.Variables'!$B$39,+'5.Variables'!$J57,+IF(K$18='5.Variables'!$B$62,+'5.Variables'!$J71,+IF(K$18='5.Variables'!$B$76,+'5.Variables'!$J85,+IF(K$18='5.Variables'!$B$90,+'5.Variables'!$J99,+IF(K$18='5.Variables'!$B$104,+'5.Variables'!$J113,0))))))</f>
        <v>18.5</v>
      </c>
      <c r="L111" s="697">
        <f>IF(L$18='5.Variables'!$B$16,+'5.Variables'!$J33,+IF(L$18='5.Variables'!$B$39,+'5.Variables'!$J57,+IF(L$18='5.Variables'!$B$62,+'5.Variables'!$J71,+IF(L$18='5.Variables'!$B$76,+'5.Variables'!$J85,+IF(L$18='5.Variables'!$B$90,+'5.Variables'!$J99,+IF(L$18='5.Variables'!$B$104,+'5.Variables'!$J113,0))))))</f>
        <v>40.6</v>
      </c>
      <c r="M111" s="697">
        <f>IF(M$18='5.Variables'!$B$16,+'5.Variables'!$J33,+IF(M$18='5.Variables'!$B$39,+'5.Variables'!$J57,+IF(M$18='5.Variables'!$B$62,+'5.Variables'!$J71,+IF(M$18='5.Variables'!$B$76,+'5.Variables'!$J85,+IF(M$18='5.Variables'!$B$90,+'5.Variables'!$J99,+IF(M$18='5.Variables'!$B$104,+'5.Variables'!$J113,0))))))</f>
        <v>31</v>
      </c>
      <c r="N111" s="697">
        <f>IF(N$18='5.Variables'!$B$16,+'5.Variables'!$J33,+IF(N$18='5.Variables'!$B$39,+'5.Variables'!$J57,+IF(N$18='5.Variables'!$B$62,+'5.Variables'!$J71,+IF(N$18='5.Variables'!$B$76,+'5.Variables'!$J85,+IF(N$18='5.Variables'!$B$90,+'5.Variables'!$J99,+IF(N$18='5.Variables'!$B$104,+'5.Variables'!$J113,0))))))</f>
        <v>146.1</v>
      </c>
      <c r="O111" s="697">
        <f>IF(O$18='5.Variables'!$B$16,+'5.Variables'!$J33,+IF(O$18='5.Variables'!$B$39,+'5.Variables'!$J57,+IF(O$18='5.Variables'!$B$62,+'5.Variables'!$J71,+IF(O$18='5.Variables'!$B$76,+'5.Variables'!$J85,+IF(O$18='5.Variables'!$B$90,+'5.Variables'!$J99,+IF(O$18='5.Variables'!$B$104,+'5.Variables'!$J113,0))))))</f>
        <v>0</v>
      </c>
      <c r="P111" s="697">
        <f>IF(P$18='5.Variables'!$B$16,+'5.Variables'!$J33,+IF(P$18='5.Variables'!$B$39,+'5.Variables'!$J57,+IF(P$18='5.Variables'!$B$62,+'5.Variables'!$J71,+IF(P$18='5.Variables'!$B$76,+'5.Variables'!$J85,+IF(P$18='5.Variables'!$B$90,+'5.Variables'!$J99,+IF(P$18='5.Variables'!$B$104,+'5.Variables'!$J113,0))))))</f>
        <v>336</v>
      </c>
      <c r="Q111" s="242"/>
      <c r="R111" s="260">
        <f t="shared" si="9"/>
        <v>20133828.486782245</v>
      </c>
      <c r="S111" s="262"/>
      <c r="T111" s="242"/>
      <c r="U111" s="242"/>
      <c r="V111" s="242"/>
      <c r="W111" s="242"/>
      <c r="X111" s="242"/>
      <c r="Y111" s="242"/>
      <c r="Z111" s="242"/>
      <c r="AA111" s="242"/>
      <c r="AB111" s="242"/>
      <c r="AC111" s="242"/>
      <c r="AD111" s="242"/>
      <c r="AE111" s="242"/>
      <c r="AF111" s="242"/>
      <c r="AG111" s="242"/>
      <c r="AH111" s="242"/>
      <c r="AI111" s="242"/>
      <c r="AJ111" s="242"/>
      <c r="AK111" s="242"/>
      <c r="AL111" s="242"/>
      <c r="AM111" s="242"/>
    </row>
    <row r="112" spans="1:39" x14ac:dyDescent="0.2">
      <c r="A112" s="500">
        <f t="shared" si="10"/>
        <v>93</v>
      </c>
      <c r="B112" s="259" t="str">
        <f>CONCATENATE('3. Consumption by Rate Class'!B117,"-",'3. Consumption by Rate Class'!C117)</f>
        <v>2013-September</v>
      </c>
      <c r="C112" s="670">
        <v>18849394</v>
      </c>
      <c r="D112" s="826"/>
      <c r="E112" s="827">
        <v>878363.34</v>
      </c>
      <c r="F112" s="826">
        <v>34856.65</v>
      </c>
      <c r="G112" s="826">
        <f>'A - CDM Adjustment'!E53</f>
        <v>375463.84615384619</v>
      </c>
      <c r="H112" s="677"/>
      <c r="I112" s="677"/>
      <c r="J112" s="550">
        <f t="shared" si="8"/>
        <v>18381351.156153847</v>
      </c>
      <c r="K112" s="697">
        <f>IF(K$18='5.Variables'!$B$16,+'5.Variables'!$K34,+IF(K$18='5.Variables'!$B$39,+'5.Variables'!$K57,+IF(K$18='5.Variables'!$B$62,+'5.Variables'!$K71,+IF(K$18='5.Variables'!$B$76,+'5.Variables'!$K85,+IF(K$18='5.Variables'!$B$90,+'5.Variables'!$K99,+IF(K$18='5.Variables'!$B$104,+'5.Variables'!$K113,0))))))</f>
        <v>110.4</v>
      </c>
      <c r="L112" s="697">
        <f>IF(L$18='5.Variables'!$B$16,+'5.Variables'!$K33,+IF(L$18='5.Variables'!$B$39,+'5.Variables'!$K57,+IF(L$18='5.Variables'!$B$62,+'5.Variables'!$K71,+IF(L$18='5.Variables'!$B$76,+'5.Variables'!$K85,+IF(L$18='5.Variables'!$B$90,+'5.Variables'!$K99,+IF(L$18='5.Variables'!$B$104,+'5.Variables'!$K113,0))))))</f>
        <v>14.5</v>
      </c>
      <c r="M112" s="697">
        <f>IF(M$18='5.Variables'!$B$16,+'5.Variables'!$K33,+IF(M$18='5.Variables'!$B$39,+'5.Variables'!$K57,+IF(M$18='5.Variables'!$B$62,+'5.Variables'!$K71,+IF(M$18='5.Variables'!$B$76,+'5.Variables'!$K85,+IF(M$18='5.Variables'!$B$90,+'5.Variables'!$K99,+IF(M$18='5.Variables'!$B$104,+'5.Variables'!$K113,0))))))</f>
        <v>30</v>
      </c>
      <c r="N112" s="697">
        <f>IF(N$18='5.Variables'!$B$16,+'5.Variables'!$K33,+IF(N$18='5.Variables'!$B$39,+'5.Variables'!$K57,+IF(N$18='5.Variables'!$B$62,+'5.Variables'!$K71,+IF(N$18='5.Variables'!$B$76,+'5.Variables'!$K85,+IF(N$18='5.Variables'!$B$90,+'5.Variables'!$K99,+IF(N$18='5.Variables'!$B$104,+'5.Variables'!$K113,0))))))</f>
        <v>146.19999999999999</v>
      </c>
      <c r="O112" s="697">
        <f>IF(O$18='5.Variables'!$B$16,+'5.Variables'!$K33,+IF(O$18='5.Variables'!$B$39,+'5.Variables'!$K57,+IF(O$18='5.Variables'!$B$62,+'5.Variables'!$K71,+IF(O$18='5.Variables'!$B$76,+'5.Variables'!$K85,+IF(O$18='5.Variables'!$B$90,+'5.Variables'!$K99,+IF(O$18='5.Variables'!$B$104,+'5.Variables'!$K113,0))))))</f>
        <v>0</v>
      </c>
      <c r="P112" s="697">
        <f>IF(P$18='5.Variables'!$B$16,+'5.Variables'!$K33,+IF(P$18='5.Variables'!$B$39,+'5.Variables'!$K57,+IF(P$18='5.Variables'!$B$62,+'5.Variables'!$K71,+IF(P$18='5.Variables'!$B$76,+'5.Variables'!$K85,+IF(P$18='5.Variables'!$B$90,+'5.Variables'!$K99,+IF(P$18='5.Variables'!$B$104,+'5.Variables'!$K113,0))))))</f>
        <v>320</v>
      </c>
      <c r="Q112" s="242"/>
      <c r="R112" s="260">
        <f t="shared" si="9"/>
        <v>19195237.644847557</v>
      </c>
      <c r="S112" s="262"/>
      <c r="T112" s="242"/>
      <c r="U112" s="242"/>
      <c r="V112" s="242"/>
      <c r="W112" s="242"/>
      <c r="X112" s="242"/>
      <c r="Y112" s="242"/>
      <c r="Z112" s="242"/>
      <c r="AA112" s="242"/>
      <c r="AB112" s="242"/>
      <c r="AC112" s="242"/>
      <c r="AD112" s="242"/>
      <c r="AE112" s="242"/>
      <c r="AF112" s="242"/>
      <c r="AG112" s="242"/>
      <c r="AH112" s="242"/>
      <c r="AI112" s="242"/>
      <c r="AJ112" s="242"/>
      <c r="AK112" s="242"/>
      <c r="AL112" s="242"/>
      <c r="AM112" s="242"/>
    </row>
    <row r="113" spans="1:39" x14ac:dyDescent="0.2">
      <c r="A113" s="500">
        <f t="shared" si="10"/>
        <v>94</v>
      </c>
      <c r="B113" s="259" t="str">
        <f>CONCATENATE('3. Consumption by Rate Class'!B118,"-",'3. Consumption by Rate Class'!C118)</f>
        <v>2013-October</v>
      </c>
      <c r="C113" s="670">
        <v>20065544</v>
      </c>
      <c r="D113" s="826"/>
      <c r="E113" s="827">
        <v>1262489.6299999999</v>
      </c>
      <c r="F113" s="826">
        <v>25081.88</v>
      </c>
      <c r="G113" s="826">
        <f>'A - CDM Adjustment'!E54</f>
        <v>417182.05128205137</v>
      </c>
      <c r="H113" s="677"/>
      <c r="I113" s="677"/>
      <c r="J113" s="550">
        <f t="shared" si="8"/>
        <v>19245318.301282052</v>
      </c>
      <c r="K113" s="697">
        <f>IF(K$18='5.Variables'!$B$16,+'5.Variables'!$L34,+IF(K$18='5.Variables'!$B$39,+'5.Variables'!$L57,+IF(K$18='5.Variables'!$B$62,+'5.Variables'!$L71,+IF(K$18='5.Variables'!$B$76,+'5.Variables'!$L85,+IF(K$18='5.Variables'!$B$90,+'5.Variables'!$L99,+IF(K$18='5.Variables'!$B$104,+'5.Variables'!$L113,0))))))</f>
        <v>202.2</v>
      </c>
      <c r="L113" s="697">
        <f>IF(L$18='5.Variables'!$B$16,+'5.Variables'!$L33,+IF(L$18='5.Variables'!$B$39,+'5.Variables'!$L57,+IF(L$18='5.Variables'!$B$62,+'5.Variables'!$L71,+IF(L$18='5.Variables'!$B$76,+'5.Variables'!$L85,+IF(L$18='5.Variables'!$B$90,+'5.Variables'!$L99,+IF(L$18='5.Variables'!$B$104,+'5.Variables'!$L113,0))))))</f>
        <v>0</v>
      </c>
      <c r="M113" s="697">
        <f>IF(M$18='5.Variables'!$B$16,+'5.Variables'!$L33,+IF(M$18='5.Variables'!$B$39,+'5.Variables'!$L57,+IF(M$18='5.Variables'!$B$62,+'5.Variables'!$L71,+IF(M$18='5.Variables'!$B$76,+'5.Variables'!$L85,+IF(M$18='5.Variables'!$B$90,+'5.Variables'!$L99,+IF(M$18='5.Variables'!$B$104,+'5.Variables'!$L113,0))))))</f>
        <v>31</v>
      </c>
      <c r="N113" s="697">
        <f>IF(N$18='5.Variables'!$B$16,+'5.Variables'!$L33,+IF(N$18='5.Variables'!$B$39,+'5.Variables'!$L57,+IF(N$18='5.Variables'!$B$62,+'5.Variables'!$L71,+IF(N$18='5.Variables'!$B$76,+'5.Variables'!$L85,+IF(N$18='5.Variables'!$B$90,+'5.Variables'!$L99,+IF(N$18='5.Variables'!$B$104,+'5.Variables'!$L113,0))))))</f>
        <v>146.4</v>
      </c>
      <c r="O113" s="697">
        <f>IF(O$18='5.Variables'!$B$16,+'5.Variables'!$L33,+IF(O$18='5.Variables'!$B$39,+'5.Variables'!$L57,+IF(O$18='5.Variables'!$B$62,+'5.Variables'!$L71,+IF(O$18='5.Variables'!$B$76,+'5.Variables'!$L85,+IF(O$18='5.Variables'!$B$90,+'5.Variables'!$L99,+IF(O$18='5.Variables'!$B$104,+'5.Variables'!$L113,0))))))</f>
        <v>0</v>
      </c>
      <c r="P113" s="697">
        <f>IF(P$18='5.Variables'!$B$16,+'5.Variables'!$L33,+IF(P$18='5.Variables'!$B$39,+'5.Variables'!$L57,+IF(P$18='5.Variables'!$B$62,+'5.Variables'!$L71,+IF(P$18='5.Variables'!$B$76,+'5.Variables'!$L85,+IF(P$18='5.Variables'!$B$90,+'5.Variables'!$L99,+IF(P$18='5.Variables'!$B$104,+'5.Variables'!$L113,0))))))</f>
        <v>352</v>
      </c>
      <c r="Q113" s="242"/>
      <c r="R113" s="260">
        <f t="shared" si="9"/>
        <v>19845176.953764874</v>
      </c>
      <c r="S113" s="262"/>
      <c r="T113" s="242"/>
      <c r="U113" s="242"/>
      <c r="V113" s="242"/>
      <c r="W113" s="242"/>
      <c r="X113" s="242"/>
      <c r="Y113" s="242"/>
      <c r="Z113" s="242"/>
      <c r="AA113" s="242"/>
      <c r="AB113" s="242"/>
      <c r="AC113" s="242"/>
      <c r="AD113" s="242"/>
      <c r="AE113" s="242"/>
      <c r="AF113" s="242"/>
      <c r="AG113" s="242"/>
      <c r="AH113" s="242"/>
      <c r="AI113" s="242"/>
      <c r="AJ113" s="242"/>
      <c r="AK113" s="242"/>
      <c r="AL113" s="242"/>
      <c r="AM113" s="242"/>
    </row>
    <row r="114" spans="1:39" x14ac:dyDescent="0.2">
      <c r="A114" s="500">
        <f t="shared" si="10"/>
        <v>95</v>
      </c>
      <c r="B114" s="259" t="str">
        <f>CONCATENATE('3. Consumption by Rate Class'!B119,"-",'3. Consumption by Rate Class'!C119)</f>
        <v>2013-November</v>
      </c>
      <c r="C114" s="670">
        <v>21282596</v>
      </c>
      <c r="D114" s="826"/>
      <c r="E114" s="827">
        <v>1146180.58</v>
      </c>
      <c r="F114" s="826">
        <v>23434.34</v>
      </c>
      <c r="G114" s="826">
        <f>'A - CDM Adjustment'!E55</f>
        <v>458900.25641025655</v>
      </c>
      <c r="H114" s="677"/>
      <c r="I114" s="677"/>
      <c r="J114" s="550">
        <f t="shared" si="8"/>
        <v>20618750.016410258</v>
      </c>
      <c r="K114" s="697">
        <f>IF(K$18='5.Variables'!$B$16,+'5.Variables'!$M34,+IF(K$18='5.Variables'!$B$39,+'5.Variables'!$M57,+IF(K$18='5.Variables'!$B$62,+'5.Variables'!$M71,+IF(K$18='5.Variables'!$B$76,+'5.Variables'!$M85,+IF(K$18='5.Variables'!$B$90,+'5.Variables'!$M99,+IF(K$18='5.Variables'!$B$104,+'5.Variables'!$M113,0))))))</f>
        <v>481.9</v>
      </c>
      <c r="L114" s="697">
        <f>IF(L$18='5.Variables'!$B$16,+'5.Variables'!$M33,+IF(L$18='5.Variables'!$B$39,+'5.Variables'!$M57,+IF(L$18='5.Variables'!$B$62,+'5.Variables'!$M71,+IF(L$18='5.Variables'!$B$76,+'5.Variables'!$M85,+IF(L$18='5.Variables'!$B$90,+'5.Variables'!$M99,+IF(L$18='5.Variables'!$B$104,+'5.Variables'!$M113,0))))))</f>
        <v>0</v>
      </c>
      <c r="M114" s="697">
        <f>IF(M$18='5.Variables'!$B$16,+'5.Variables'!$M33,+IF(M$18='5.Variables'!$B$39,+'5.Variables'!$M57,+IF(M$18='5.Variables'!$B$62,+'5.Variables'!$M71,+IF(M$18='5.Variables'!$B$76,+'5.Variables'!$M85,+IF(M$18='5.Variables'!$B$90,+'5.Variables'!$M99,+IF(M$18='5.Variables'!$B$104,+'5.Variables'!$M113,0))))))</f>
        <v>30</v>
      </c>
      <c r="N114" s="697">
        <f>IF(N$18='5.Variables'!$B$16,+'5.Variables'!$M33,+IF(N$18='5.Variables'!$B$39,+'5.Variables'!$M57,+IF(N$18='5.Variables'!$B$62,+'5.Variables'!$M71,+IF(N$18='5.Variables'!$B$76,+'5.Variables'!$M85,+IF(N$18='5.Variables'!$B$90,+'5.Variables'!$M99,+IF(N$18='5.Variables'!$B$104,+'5.Variables'!$M113,0))))))</f>
        <v>146.6</v>
      </c>
      <c r="O114" s="697">
        <f>IF(O$18='5.Variables'!$B$16,+'5.Variables'!$M33,+IF(O$18='5.Variables'!$B$39,+'5.Variables'!$M57,+IF(O$18='5.Variables'!$B$62,+'5.Variables'!$M71,+IF(O$18='5.Variables'!$B$76,+'5.Variables'!$M85,+IF(O$18='5.Variables'!$B$90,+'5.Variables'!$M99,+IF(O$18='5.Variables'!$B$104,+'5.Variables'!$M113,0))))))</f>
        <v>0</v>
      </c>
      <c r="P114" s="697">
        <f>IF(P$18='5.Variables'!$B$16,+'5.Variables'!$M33,+IF(P$18='5.Variables'!$B$39,+'5.Variables'!$M57,+IF(P$18='5.Variables'!$B$62,+'5.Variables'!$M71,+IF(P$18='5.Variables'!$B$76,+'5.Variables'!$M85,+IF(P$18='5.Variables'!$B$90,+'5.Variables'!$M99,+IF(P$18='5.Variables'!$B$104,+'5.Variables'!$M113,0))))))</f>
        <v>336</v>
      </c>
      <c r="Q114" s="242"/>
      <c r="R114" s="260">
        <f t="shared" si="9"/>
        <v>21172018.02461024</v>
      </c>
      <c r="S114" s="262"/>
      <c r="T114" s="242"/>
      <c r="U114" s="242"/>
      <c r="V114" s="242"/>
      <c r="W114" s="242"/>
      <c r="X114" s="242"/>
      <c r="Y114" s="242"/>
      <c r="Z114" s="242"/>
      <c r="AA114" s="242"/>
      <c r="AB114" s="242"/>
      <c r="AC114" s="242"/>
      <c r="AD114" s="242"/>
      <c r="AE114" s="242"/>
      <c r="AF114" s="242"/>
      <c r="AG114" s="242"/>
      <c r="AH114" s="242"/>
      <c r="AI114" s="242"/>
      <c r="AJ114" s="242"/>
      <c r="AK114" s="242"/>
      <c r="AL114" s="242"/>
      <c r="AM114" s="242"/>
    </row>
    <row r="115" spans="1:39" x14ac:dyDescent="0.2">
      <c r="A115" s="500">
        <f t="shared" si="10"/>
        <v>96</v>
      </c>
      <c r="B115" s="519" t="str">
        <f>CONCATENATE('3. Consumption by Rate Class'!B120,"-",'3. Consumption by Rate Class'!C120)</f>
        <v>2013-December</v>
      </c>
      <c r="C115" s="671">
        <v>23218277</v>
      </c>
      <c r="D115" s="828"/>
      <c r="E115" s="829">
        <v>967248.74</v>
      </c>
      <c r="F115" s="828">
        <v>11555.47</v>
      </c>
      <c r="G115" s="828">
        <f>'A - CDM Adjustment'!E56</f>
        <v>500618.46153846162</v>
      </c>
      <c r="H115" s="679"/>
      <c r="I115" s="679"/>
      <c r="J115" s="550">
        <f t="shared" si="8"/>
        <v>22763202.191538461</v>
      </c>
      <c r="K115" s="697">
        <f>IF(K$18='5.Variables'!$B$16,+'5.Variables'!$N34,+IF(K$18='5.Variables'!$B$39,+'5.Variables'!$N57,+IF(K$18='5.Variables'!$B$62,+'5.Variables'!$N71,+IF(K$18='5.Variables'!$B$76,+'5.Variables'!$N85,+IF(K$18='5.Variables'!$B$90,+'5.Variables'!$N99,+IF(K$18='5.Variables'!$B$104,+'5.Variables'!$N113,0))))))</f>
        <v>683.9</v>
      </c>
      <c r="L115" s="697">
        <f>IF(L$18='5.Variables'!$B$16,+'5.Variables'!$N33,+IF(L$18='5.Variables'!$B$39,+'5.Variables'!$N57,+IF(L$18='5.Variables'!$B$62,+'5.Variables'!$N71,+IF(L$18='5.Variables'!$B$76,+'5.Variables'!$N85,+IF(L$18='5.Variables'!$B$90,+'5.Variables'!$N99,+IF(L$18='5.Variables'!$B$104,+'5.Variables'!$N113,0))))))</f>
        <v>0</v>
      </c>
      <c r="M115" s="697">
        <f>IF(M$18='5.Variables'!$B$16,+'5.Variables'!$N33,+IF(M$18='5.Variables'!$B$39,+'5.Variables'!$N57,+IF(M$18='5.Variables'!$B$62,+'5.Variables'!$N71,+IF(M$18='5.Variables'!$B$76,+'5.Variables'!$N85,+IF(M$18='5.Variables'!$B$90,+'5.Variables'!$N99,+IF(M$18='5.Variables'!$B$104,+'5.Variables'!$N113,0))))))</f>
        <v>31</v>
      </c>
      <c r="N115" s="697">
        <f>IF(N$18='5.Variables'!$B$16,+'5.Variables'!$N33,+IF(N$18='5.Variables'!$B$39,+'5.Variables'!$N57,+IF(N$18='5.Variables'!$B$62,+'5.Variables'!$N71,+IF(N$18='5.Variables'!$B$76,+'5.Variables'!$N85,+IF(N$18='5.Variables'!$B$90,+'5.Variables'!$N99,+IF(N$18='5.Variables'!$B$104,+'5.Variables'!$N113,0))))))</f>
        <v>146.69999999999999</v>
      </c>
      <c r="O115" s="697">
        <f>IF(O$18='5.Variables'!$B$16,+'5.Variables'!$N33,+IF(O$18='5.Variables'!$B$39,+'5.Variables'!$N57,+IF(O$18='5.Variables'!$B$62,+'5.Variables'!$N71,+IF(O$18='5.Variables'!$B$76,+'5.Variables'!$N85,+IF(O$18='5.Variables'!$B$90,+'5.Variables'!$N99,+IF(O$18='5.Variables'!$B$104,+'5.Variables'!$N113,0))))))</f>
        <v>0</v>
      </c>
      <c r="P115" s="697">
        <f>IF(P$18='5.Variables'!$B$16,+'5.Variables'!$N33,+IF(P$18='5.Variables'!$B$39,+'5.Variables'!$N57,+IF(P$18='5.Variables'!$B$62,+'5.Variables'!$N71,+IF(P$18='5.Variables'!$B$76,+'5.Variables'!$N85,+IF(P$18='5.Variables'!$B$90,+'5.Variables'!$N99,+IF(P$18='5.Variables'!$B$104,+'5.Variables'!$N113,0))))))</f>
        <v>320</v>
      </c>
      <c r="Q115" s="242"/>
      <c r="R115" s="260">
        <f t="shared" si="9"/>
        <v>22749056.390991144</v>
      </c>
      <c r="S115" s="262">
        <f>SUM(R104:R115)</f>
        <v>249342246.0888707</v>
      </c>
      <c r="T115" s="242"/>
      <c r="U115" s="242"/>
      <c r="V115" s="242"/>
      <c r="W115" s="242"/>
      <c r="X115" s="242"/>
      <c r="Y115" s="242"/>
      <c r="Z115" s="242"/>
      <c r="AA115" s="242"/>
      <c r="AB115" s="242"/>
      <c r="AC115" s="242"/>
      <c r="AD115" s="242"/>
      <c r="AE115" s="242"/>
      <c r="AF115" s="242"/>
      <c r="AG115" s="242"/>
      <c r="AH115" s="242"/>
      <c r="AI115" s="242"/>
      <c r="AJ115" s="242"/>
      <c r="AK115" s="242"/>
      <c r="AL115" s="242"/>
      <c r="AM115" s="242"/>
    </row>
    <row r="116" spans="1:39" x14ac:dyDescent="0.2">
      <c r="A116" s="500">
        <f t="shared" si="10"/>
        <v>97</v>
      </c>
      <c r="B116" s="259" t="str">
        <f>CONCATENATE('3. Consumption by Rate Class'!B121,"-",'3. Consumption by Rate Class'!C121)</f>
        <v>2014-January</v>
      </c>
      <c r="C116" s="670">
        <v>24436239</v>
      </c>
      <c r="D116" s="826"/>
      <c r="E116" s="827">
        <v>462759.42</v>
      </c>
      <c r="F116" s="826">
        <v>15181.87</v>
      </c>
      <c r="G116" s="826">
        <f>'A - CDM Adjustment'!E58</f>
        <v>54179.48717948718</v>
      </c>
      <c r="H116" s="677"/>
      <c r="I116" s="677"/>
      <c r="J116" s="550">
        <f t="shared" si="8"/>
        <v>24042840.937179487</v>
      </c>
      <c r="K116" s="697">
        <f>IF(K$18='5.Variables'!$B$16,+'5.Variables'!$C35,+IF(K$18='5.Variables'!$B$39,+'5.Variables'!$C58,+IF(K$18='5.Variables'!$B$62,+'5.Variables'!$C72,+IF(K$18='5.Variables'!$B$76,+'5.Variables'!$C86,+IF(K$18='5.Variables'!$B$90,+'5.Variables'!$C100,+IF(K$18='5.Variables'!$B$104,+'5.Variables'!$C114,0))))))</f>
        <v>792.3</v>
      </c>
      <c r="L116" s="697">
        <f>IF(L$18='5.Variables'!$B$16,+'5.Variables'!$C34,+IF(L$18='5.Variables'!$B$39,+'5.Variables'!$C58,+IF(L$18='5.Variables'!$B$62,+'5.Variables'!$C72,+IF(L$18='5.Variables'!$B$76,+'5.Variables'!$C86,+IF(L$18='5.Variables'!$B$90,+'5.Variables'!$C100,+IF(L$18='5.Variables'!$B$104,+'5.Variables'!$C114,0))))))</f>
        <v>0</v>
      </c>
      <c r="M116" s="697">
        <f>IF(M$18='5.Variables'!$B$16,+'5.Variables'!$C34,+IF(M$18='5.Variables'!$B$39,+'5.Variables'!$C58,+IF(M$18='5.Variables'!$B$62,+'5.Variables'!$C72,+IF(M$18='5.Variables'!$B$76,+'5.Variables'!$C86,+IF(M$18='5.Variables'!$B$90,+'5.Variables'!$C100,+IF(M$18='5.Variables'!$B$104,+'5.Variables'!$C114,0))))))</f>
        <v>31</v>
      </c>
      <c r="N116" s="697">
        <f>IF(N$18='5.Variables'!$B$16,+'5.Variables'!$C34,+IF(N$18='5.Variables'!$B$39,+'5.Variables'!$C58,+IF(N$18='5.Variables'!$B$62,+'5.Variables'!$C72,+IF(N$18='5.Variables'!$B$76,+'5.Variables'!$C86,+IF(N$18='5.Variables'!$B$90,+'5.Variables'!$C100,+IF(N$18='5.Variables'!$B$104,+'5.Variables'!$C114,0))))))</f>
        <v>146.9</v>
      </c>
      <c r="O116" s="697">
        <f>IF(O$18='5.Variables'!$B$16,+'5.Variables'!$C34,+IF(O$18='5.Variables'!$B$39,+'5.Variables'!$C58,+IF(O$18='5.Variables'!$B$62,+'5.Variables'!$C72,+IF(O$18='5.Variables'!$B$76,+'5.Variables'!$C86,+IF(O$18='5.Variables'!$B$90,+'5.Variables'!$C100,+IF(O$18='5.Variables'!$B$104,+'5.Variables'!$C114,0))))))</f>
        <v>0</v>
      </c>
      <c r="P116" s="697">
        <f>IF(P$18='5.Variables'!$B$16,+'5.Variables'!$C34,+IF(P$18='5.Variables'!$B$39,+'5.Variables'!$C58,+IF(P$18='5.Variables'!$B$62,+'5.Variables'!$C72,+IF(P$18='5.Variables'!$B$76,+'5.Variables'!$C86,+IF(P$18='5.Variables'!$B$90,+'5.Variables'!$C100,+IF(P$18='5.Variables'!$B$104,+'5.Variables'!$C114,0))))))</f>
        <v>352</v>
      </c>
      <c r="Q116" s="242"/>
      <c r="R116" s="260">
        <f t="shared" si="9"/>
        <v>23704623.773603056</v>
      </c>
      <c r="S116" s="262"/>
      <c r="T116" s="242"/>
      <c r="U116" s="242"/>
      <c r="V116" s="242"/>
      <c r="W116" s="242"/>
      <c r="X116" s="242"/>
      <c r="Y116" s="242"/>
      <c r="Z116" s="242"/>
      <c r="AA116" s="242"/>
      <c r="AB116" s="242"/>
      <c r="AC116" s="242"/>
      <c r="AD116" s="242"/>
      <c r="AE116" s="242"/>
      <c r="AF116" s="242"/>
      <c r="AG116" s="242"/>
      <c r="AH116" s="242"/>
      <c r="AI116" s="242"/>
      <c r="AJ116" s="242"/>
      <c r="AK116" s="242"/>
      <c r="AL116" s="242"/>
      <c r="AM116" s="242"/>
    </row>
    <row r="117" spans="1:39" x14ac:dyDescent="0.2">
      <c r="A117" s="500">
        <f t="shared" si="10"/>
        <v>98</v>
      </c>
      <c r="B117" s="259" t="str">
        <f>CONCATENATE('3. Consumption by Rate Class'!B122,"-",'3. Consumption by Rate Class'!C122)</f>
        <v>2014-February</v>
      </c>
      <c r="C117" s="670">
        <v>21999576</v>
      </c>
      <c r="D117" s="826"/>
      <c r="E117" s="827">
        <v>1139661.58</v>
      </c>
      <c r="F117" s="826">
        <v>24355.98</v>
      </c>
      <c r="G117" s="826">
        <f>'A - CDM Adjustment'!E59</f>
        <v>108358.97435897436</v>
      </c>
      <c r="H117" s="677"/>
      <c r="I117" s="677"/>
      <c r="J117" s="550">
        <f t="shared" si="8"/>
        <v>20992629.374358978</v>
      </c>
      <c r="K117" s="697">
        <f>IF(K$18='5.Variables'!$B$16,+'5.Variables'!$D35,+IF(K$18='5.Variables'!$B$39,+'5.Variables'!$D58,+IF(K$18='5.Variables'!$B$62,+'5.Variables'!$D72,+IF(K$18='5.Variables'!$B$76,+'5.Variables'!$D86,+IF(K$18='5.Variables'!$B$90,+'5.Variables'!$D100,+IF(K$18='5.Variables'!$B$104,+'5.Variables'!$D114,0))))))</f>
        <v>714.7</v>
      </c>
      <c r="L117" s="697">
        <f>IF(L$18='5.Variables'!$B$16,+'5.Variables'!$D34,+IF(L$18='5.Variables'!$B$39,+'5.Variables'!$D58,+IF(L$18='5.Variables'!$B$62,+'5.Variables'!$D72,+IF(L$18='5.Variables'!$B$76,+'5.Variables'!$D86,+IF(L$18='5.Variables'!$B$90,+'5.Variables'!$D100,+IF(L$18='5.Variables'!$B$104,+'5.Variables'!$D114,0))))))</f>
        <v>0</v>
      </c>
      <c r="M117" s="697">
        <f>IF(M$18='5.Variables'!$B$16,+'5.Variables'!$D34,+IF(M$18='5.Variables'!$B$39,+'5.Variables'!$D58,+IF(M$18='5.Variables'!$B$62,+'5.Variables'!$D72,+IF(M$18='5.Variables'!$B$76,+'5.Variables'!$D86,+IF(M$18='5.Variables'!$B$90,+'5.Variables'!$D100,+IF(M$18='5.Variables'!$B$104,+'5.Variables'!$D114,0))))))</f>
        <v>28</v>
      </c>
      <c r="N117" s="697">
        <f>IF(N$18='5.Variables'!$B$16,+'5.Variables'!$D34,+IF(N$18='5.Variables'!$B$39,+'5.Variables'!$D58,+IF(N$18='5.Variables'!$B$62,+'5.Variables'!$D72,+IF(N$18='5.Variables'!$B$76,+'5.Variables'!$D86,+IF(N$18='5.Variables'!$B$90,+'5.Variables'!$D100,+IF(N$18='5.Variables'!$B$104,+'5.Variables'!$D114,0))))))</f>
        <v>147.19999999999999</v>
      </c>
      <c r="O117" s="697">
        <f>IF(O$18='5.Variables'!$B$16,+'5.Variables'!$D34,+IF(O$18='5.Variables'!$B$39,+'5.Variables'!$D58,+IF(O$18='5.Variables'!$B$62,+'5.Variables'!$D72,+IF(O$18='5.Variables'!$B$76,+'5.Variables'!$D86,+IF(O$18='5.Variables'!$B$90,+'5.Variables'!$D100,+IF(O$18='5.Variables'!$B$104,+'5.Variables'!$D114,0))))))</f>
        <v>0</v>
      </c>
      <c r="P117" s="697">
        <f>IF(P$18='5.Variables'!$B$16,+'5.Variables'!$D34,+IF(P$18='5.Variables'!$B$39,+'5.Variables'!$D58,+IF(P$18='5.Variables'!$B$62,+'5.Variables'!$D72,+IF(P$18='5.Variables'!$B$76,+'5.Variables'!$D86,+IF(P$18='5.Variables'!$B$90,+'5.Variables'!$D100,+IF(P$18='5.Variables'!$B$104,+'5.Variables'!$D114,0))))))</f>
        <v>304</v>
      </c>
      <c r="Q117" s="242"/>
      <c r="R117" s="260">
        <f t="shared" si="9"/>
        <v>21703592.271620393</v>
      </c>
      <c r="S117" s="262"/>
      <c r="T117" s="242"/>
      <c r="U117" s="242"/>
      <c r="V117" s="242"/>
      <c r="W117" s="242"/>
      <c r="X117" s="242"/>
      <c r="Y117" s="242"/>
      <c r="Z117" s="242"/>
      <c r="AA117" s="242"/>
      <c r="AB117" s="242"/>
      <c r="AC117" s="242"/>
      <c r="AD117" s="242"/>
      <c r="AE117" s="242"/>
      <c r="AF117" s="242"/>
      <c r="AG117" s="242"/>
      <c r="AH117" s="242"/>
      <c r="AI117" s="242"/>
      <c r="AJ117" s="242"/>
      <c r="AK117" s="242"/>
      <c r="AL117" s="242"/>
      <c r="AM117" s="242"/>
    </row>
    <row r="118" spans="1:39" x14ac:dyDescent="0.2">
      <c r="A118" s="500">
        <f t="shared" si="10"/>
        <v>99</v>
      </c>
      <c r="B118" s="259" t="str">
        <f>CONCATENATE('3. Consumption by Rate Class'!B123,"-",'3. Consumption by Rate Class'!C123)</f>
        <v>2014-March</v>
      </c>
      <c r="C118" s="670">
        <v>23407004</v>
      </c>
      <c r="D118" s="826"/>
      <c r="E118" s="827">
        <v>1481130.14</v>
      </c>
      <c r="F118" s="826">
        <v>85661.88</v>
      </c>
      <c r="G118" s="826">
        <f>'A - CDM Adjustment'!E60</f>
        <v>162538.46153846153</v>
      </c>
      <c r="H118" s="677"/>
      <c r="I118" s="677"/>
      <c r="J118" s="550">
        <f t="shared" si="8"/>
        <v>22174074.201538458</v>
      </c>
      <c r="K118" s="697">
        <f>IF(K$18='5.Variables'!$B$16,+'5.Variables'!$E35,+IF(K$18='5.Variables'!$B$39,+'5.Variables'!$E58,+IF(K$18='5.Variables'!$B$62,+'5.Variables'!$E72,+IF(K$18='5.Variables'!$B$76,+'5.Variables'!$E86,+IF(K$18='5.Variables'!$B$90,+'5.Variables'!$E100,+IF(K$18='5.Variables'!$B$104,+'5.Variables'!$E114,0))))))</f>
        <v>692.7</v>
      </c>
      <c r="L118" s="697">
        <f>IF(L$18='5.Variables'!$B$16,+'5.Variables'!$E34,+IF(L$18='5.Variables'!$B$39,+'5.Variables'!$E58,+IF(L$18='5.Variables'!$B$62,+'5.Variables'!$E72,+IF(L$18='5.Variables'!$B$76,+'5.Variables'!$E86,+IF(L$18='5.Variables'!$B$90,+'5.Variables'!$E100,+IF(L$18='5.Variables'!$B$104,+'5.Variables'!$E114,0))))))</f>
        <v>0</v>
      </c>
      <c r="M118" s="697">
        <f>IF(M$18='5.Variables'!$B$16,+'5.Variables'!$E34,+IF(M$18='5.Variables'!$B$39,+'5.Variables'!$E58,+IF(M$18='5.Variables'!$B$62,+'5.Variables'!$E72,+IF(M$18='5.Variables'!$B$76,+'5.Variables'!$E86,+IF(M$18='5.Variables'!$B$90,+'5.Variables'!$E100,+IF(M$18='5.Variables'!$B$104,+'5.Variables'!$E114,0))))))</f>
        <v>31</v>
      </c>
      <c r="N118" s="697">
        <f>IF(N$18='5.Variables'!$B$16,+'5.Variables'!$E34,+IF(N$18='5.Variables'!$B$39,+'5.Variables'!$E58,+IF(N$18='5.Variables'!$B$62,+'5.Variables'!$E72,+IF(N$18='5.Variables'!$B$76,+'5.Variables'!$E86,+IF(N$18='5.Variables'!$B$90,+'5.Variables'!$E100,+IF(N$18='5.Variables'!$B$104,+'5.Variables'!$E114,0))))))</f>
        <v>147.4</v>
      </c>
      <c r="O118" s="697">
        <f>IF(O$18='5.Variables'!$B$16,+'5.Variables'!$E34,+IF(O$18='5.Variables'!$B$39,+'5.Variables'!$E58,+IF(O$18='5.Variables'!$B$62,+'5.Variables'!$E72,+IF(O$18='5.Variables'!$B$76,+'5.Variables'!$E86,+IF(O$18='5.Variables'!$B$90,+'5.Variables'!$E100,+IF(O$18='5.Variables'!$B$104,+'5.Variables'!$E114,0))))))</f>
        <v>0</v>
      </c>
      <c r="P118" s="697">
        <f>IF(P$18='5.Variables'!$B$16,+'5.Variables'!$E34,+IF(P$18='5.Variables'!$B$39,+'5.Variables'!$E58,+IF(P$18='5.Variables'!$B$62,+'5.Variables'!$E72,+IF(P$18='5.Variables'!$B$76,+'5.Variables'!$E86,+IF(P$18='5.Variables'!$B$90,+'5.Variables'!$E100,+IF(P$18='5.Variables'!$B$104,+'5.Variables'!$E114,0))))))</f>
        <v>336</v>
      </c>
      <c r="Q118" s="242"/>
      <c r="R118" s="260">
        <f t="shared" si="9"/>
        <v>22948609.068830255</v>
      </c>
      <c r="S118" s="262"/>
      <c r="T118" s="242"/>
      <c r="U118" s="242"/>
      <c r="V118" s="242"/>
      <c r="W118" s="242"/>
      <c r="X118" s="242"/>
      <c r="Y118" s="242"/>
      <c r="Z118" s="242"/>
      <c r="AA118" s="242"/>
      <c r="AB118" s="242"/>
      <c r="AC118" s="242"/>
      <c r="AD118" s="242"/>
      <c r="AE118" s="242"/>
      <c r="AF118" s="242"/>
      <c r="AG118" s="242"/>
      <c r="AH118" s="242"/>
      <c r="AI118" s="242"/>
      <c r="AJ118" s="242"/>
      <c r="AK118" s="242"/>
      <c r="AL118" s="242"/>
      <c r="AM118" s="242"/>
    </row>
    <row r="119" spans="1:39" x14ac:dyDescent="0.2">
      <c r="A119" s="500">
        <f t="shared" si="10"/>
        <v>100</v>
      </c>
      <c r="B119" s="259" t="str">
        <f>CONCATENATE('3. Consumption by Rate Class'!B124,"-",'3. Consumption by Rate Class'!C124)</f>
        <v>2014-April</v>
      </c>
      <c r="C119" s="670">
        <v>19803682</v>
      </c>
      <c r="D119" s="826"/>
      <c r="E119" s="827">
        <v>1083335.1299999999</v>
      </c>
      <c r="F119" s="826">
        <v>130895.74</v>
      </c>
      <c r="G119" s="826">
        <f>'A - CDM Adjustment'!E61</f>
        <v>216717.94871794872</v>
      </c>
      <c r="H119" s="677"/>
      <c r="I119" s="677"/>
      <c r="J119" s="550">
        <f t="shared" si="8"/>
        <v>19067960.558717947</v>
      </c>
      <c r="K119" s="697">
        <f>IF(K$18='5.Variables'!$B$16,+'5.Variables'!$F35,+IF(K$18='5.Variables'!$B$39,+'5.Variables'!$F58,+IF(K$18='5.Variables'!$B$62,+'5.Variables'!$F72,+IF(K$18='5.Variables'!$B$76,+'5.Variables'!$F86,+IF(K$18='5.Variables'!$B$90,+'5.Variables'!$F100,+IF(K$18='5.Variables'!$B$104,+'5.Variables'!$F114,0))))))</f>
        <v>394.2</v>
      </c>
      <c r="L119" s="697">
        <f>IF(L$18='5.Variables'!$B$16,+'5.Variables'!$F34,+IF(L$18='5.Variables'!$B$39,+'5.Variables'!$F58,+IF(L$18='5.Variables'!$B$62,+'5.Variables'!$F72,+IF(L$18='5.Variables'!$B$76,+'5.Variables'!$F86,+IF(L$18='5.Variables'!$B$90,+'5.Variables'!$F100,+IF(L$18='5.Variables'!$B$104,+'5.Variables'!$F114,0))))))</f>
        <v>0</v>
      </c>
      <c r="M119" s="697">
        <f>IF(M$18='5.Variables'!$B$16,+'5.Variables'!$F34,+IF(M$18='5.Variables'!$B$39,+'5.Variables'!$F58,+IF(M$18='5.Variables'!$B$62,+'5.Variables'!$F72,+IF(M$18='5.Variables'!$B$76,+'5.Variables'!$F86,+IF(M$18='5.Variables'!$B$90,+'5.Variables'!$F100,+IF(M$18='5.Variables'!$B$104,+'5.Variables'!$F114,0))))))</f>
        <v>30</v>
      </c>
      <c r="N119" s="697">
        <f>IF(N$18='5.Variables'!$B$16,+'5.Variables'!$F34,+IF(N$18='5.Variables'!$B$39,+'5.Variables'!$F58,+IF(N$18='5.Variables'!$B$62,+'5.Variables'!$F72,+IF(N$18='5.Variables'!$B$76,+'5.Variables'!$F86,+IF(N$18='5.Variables'!$B$90,+'5.Variables'!$F100,+IF(N$18='5.Variables'!$B$104,+'5.Variables'!$F114,0))))))</f>
        <v>147.6</v>
      </c>
      <c r="O119" s="697">
        <f>IF(O$18='5.Variables'!$B$16,+'5.Variables'!$F34,+IF(O$18='5.Variables'!$B$39,+'5.Variables'!$F58,+IF(O$18='5.Variables'!$B$62,+'5.Variables'!$F72,+IF(O$18='5.Variables'!$B$76,+'5.Variables'!$F86,+IF(O$18='5.Variables'!$B$90,+'5.Variables'!$F100,+IF(O$18='5.Variables'!$B$104,+'5.Variables'!$F114,0))))))</f>
        <v>0</v>
      </c>
      <c r="P119" s="697">
        <f>IF(P$18='5.Variables'!$B$16,+'5.Variables'!$F34,+IF(P$18='5.Variables'!$B$39,+'5.Variables'!$F58,+IF(P$18='5.Variables'!$B$62,+'5.Variables'!$F72,+IF(P$18='5.Variables'!$B$76,+'5.Variables'!$F86,+IF(P$18='5.Variables'!$B$90,+'5.Variables'!$F100,+IF(P$18='5.Variables'!$B$104,+'5.Variables'!$F114,0))))))</f>
        <v>336</v>
      </c>
      <c r="Q119" s="242"/>
      <c r="R119" s="260">
        <f t="shared" si="9"/>
        <v>20629896.363535445</v>
      </c>
      <c r="S119" s="262"/>
      <c r="T119" s="242"/>
      <c r="U119" s="242"/>
      <c r="V119" s="242"/>
      <c r="W119" s="242"/>
      <c r="X119" s="242"/>
      <c r="Y119" s="242"/>
      <c r="Z119" s="242"/>
      <c r="AA119" s="242"/>
      <c r="AB119" s="242"/>
      <c r="AC119" s="242"/>
      <c r="AD119" s="242"/>
      <c r="AE119" s="242"/>
      <c r="AF119" s="242"/>
      <c r="AG119" s="242"/>
      <c r="AH119" s="242"/>
      <c r="AI119" s="242"/>
      <c r="AJ119" s="242"/>
      <c r="AK119" s="242"/>
      <c r="AL119" s="242"/>
      <c r="AM119" s="242"/>
    </row>
    <row r="120" spans="1:39" x14ac:dyDescent="0.2">
      <c r="A120" s="500">
        <f t="shared" si="10"/>
        <v>101</v>
      </c>
      <c r="B120" s="259" t="str">
        <f>CONCATENATE('3. Consumption by Rate Class'!B125,"-",'3. Consumption by Rate Class'!C125)</f>
        <v>2014-May</v>
      </c>
      <c r="C120" s="670">
        <v>18789088</v>
      </c>
      <c r="D120" s="826"/>
      <c r="E120" s="827">
        <v>1083522.8899999999</v>
      </c>
      <c r="F120" s="826">
        <v>166742.46</v>
      </c>
      <c r="G120" s="826">
        <f>'A - CDM Adjustment'!E62</f>
        <v>270897.43589743588</v>
      </c>
      <c r="H120" s="677"/>
      <c r="I120" s="677"/>
      <c r="J120" s="550">
        <f t="shared" si="8"/>
        <v>18143205.005897436</v>
      </c>
      <c r="K120" s="697">
        <f>IF(K$18='5.Variables'!$B$16,+'5.Variables'!$G35,+IF(K$18='5.Variables'!$B$39,+'5.Variables'!$G58,+IF(K$18='5.Variables'!$B$62,+'5.Variables'!$G72,+IF(K$18='5.Variables'!$B$76,+'5.Variables'!$G86,+IF(K$18='5.Variables'!$B$90,+'5.Variables'!$G100,+IF(K$18='5.Variables'!$B$104,+'5.Variables'!$G114,0))))))</f>
        <v>218.9</v>
      </c>
      <c r="L120" s="697">
        <f>IF(L$18='5.Variables'!$B$16,+'5.Variables'!$G34,+IF(L$18='5.Variables'!$B$39,+'5.Variables'!$G58,+IF(L$18='5.Variables'!$B$62,+'5.Variables'!$G72,+IF(L$18='5.Variables'!$B$76,+'5.Variables'!$G86,+IF(L$18='5.Variables'!$B$90,+'5.Variables'!$G100,+IF(L$18='5.Variables'!$B$104,+'5.Variables'!$G114,0))))))</f>
        <v>0</v>
      </c>
      <c r="M120" s="697">
        <f>IF(M$18='5.Variables'!$B$16,+'5.Variables'!$G34,+IF(M$18='5.Variables'!$B$39,+'5.Variables'!$G58,+IF(M$18='5.Variables'!$B$62,+'5.Variables'!$G72,+IF(M$18='5.Variables'!$B$76,+'5.Variables'!$G86,+IF(M$18='5.Variables'!$B$90,+'5.Variables'!$G100,+IF(M$18='5.Variables'!$B$104,+'5.Variables'!$G114,0))))))</f>
        <v>31</v>
      </c>
      <c r="N120" s="697">
        <f>IF(N$18='5.Variables'!$B$16,+'5.Variables'!$G34,+IF(N$18='5.Variables'!$B$39,+'5.Variables'!$G58,+IF(N$18='5.Variables'!$B$62,+'5.Variables'!$G72,+IF(N$18='5.Variables'!$B$76,+'5.Variables'!$G86,+IF(N$18='5.Variables'!$B$90,+'5.Variables'!$G100,+IF(N$18='5.Variables'!$B$104,+'5.Variables'!$G114,0))))))</f>
        <v>147.9</v>
      </c>
      <c r="O120" s="697">
        <f>IF(O$18='5.Variables'!$B$16,+'5.Variables'!$G34,+IF(O$18='5.Variables'!$B$39,+'5.Variables'!$G58,+IF(O$18='5.Variables'!$B$62,+'5.Variables'!$G72,+IF(O$18='5.Variables'!$B$76,+'5.Variables'!$G86,+IF(O$18='5.Variables'!$B$90,+'5.Variables'!$G100,+IF(O$18='5.Variables'!$B$104,+'5.Variables'!$G114,0))))))</f>
        <v>0</v>
      </c>
      <c r="P120" s="697">
        <f>IF(P$18='5.Variables'!$B$16,+'5.Variables'!$G34,+IF(P$18='5.Variables'!$B$39,+'5.Variables'!$G58,+IF(P$18='5.Variables'!$B$62,+'5.Variables'!$G72,+IF(P$18='5.Variables'!$B$76,+'5.Variables'!$G86,+IF(P$18='5.Variables'!$B$90,+'5.Variables'!$G100,+IF(P$18='5.Variables'!$B$104,+'5.Variables'!$G114,0))))))</f>
        <v>336</v>
      </c>
      <c r="Q120" s="242"/>
      <c r="R120" s="260">
        <f t="shared" si="9"/>
        <v>19876204.655551348</v>
      </c>
      <c r="S120" s="262"/>
      <c r="T120" s="242"/>
      <c r="U120" s="242"/>
      <c r="V120" s="242"/>
      <c r="W120" s="242"/>
      <c r="X120" s="242"/>
      <c r="Y120" s="242"/>
      <c r="Z120" s="242"/>
      <c r="AA120" s="242"/>
      <c r="AB120" s="242"/>
      <c r="AC120" s="242"/>
      <c r="AD120" s="242"/>
      <c r="AE120" s="242"/>
      <c r="AF120" s="242"/>
      <c r="AG120" s="242"/>
      <c r="AH120" s="242"/>
      <c r="AI120" s="242"/>
      <c r="AJ120" s="242"/>
      <c r="AK120" s="242"/>
      <c r="AL120" s="242"/>
      <c r="AM120" s="242"/>
    </row>
    <row r="121" spans="1:39" x14ac:dyDescent="0.2">
      <c r="A121" s="500">
        <f t="shared" si="10"/>
        <v>102</v>
      </c>
      <c r="B121" s="259" t="str">
        <f>CONCATENATE('3. Consumption by Rate Class'!B126,"-",'3. Consumption by Rate Class'!C126)</f>
        <v>2014-June</v>
      </c>
      <c r="C121" s="670">
        <v>19194905</v>
      </c>
      <c r="D121" s="826"/>
      <c r="E121" s="827">
        <v>1161099.42</v>
      </c>
      <c r="F121" s="826">
        <v>161808.60999999999</v>
      </c>
      <c r="G121" s="826">
        <f>'A - CDM Adjustment'!E63</f>
        <v>325076.92307692306</v>
      </c>
      <c r="H121" s="677"/>
      <c r="I121" s="677"/>
      <c r="J121" s="550">
        <f t="shared" si="8"/>
        <v>18520691.113076922</v>
      </c>
      <c r="K121" s="697">
        <f>IF(K$18='5.Variables'!$B$16,+'5.Variables'!$H35,+IF(K$18='5.Variables'!$B$39,+'5.Variables'!$H58,+IF(K$18='5.Variables'!$B$62,+'5.Variables'!$H72,+IF(K$18='5.Variables'!$B$76,+'5.Variables'!$H86,+IF(K$18='5.Variables'!$B$90,+'5.Variables'!$H100,+IF(K$18='5.Variables'!$B$104,+'5.Variables'!$H114,0))))))</f>
        <v>61.9</v>
      </c>
      <c r="L121" s="697">
        <f>IF(L$18='5.Variables'!$B$16,+'5.Variables'!$H34,+IF(L$18='5.Variables'!$B$39,+'5.Variables'!$H58,+IF(L$18='5.Variables'!$B$62,+'5.Variables'!$H72,+IF(L$18='5.Variables'!$B$76,+'5.Variables'!$H86,+IF(L$18='5.Variables'!$B$90,+'5.Variables'!$H100,+IF(L$18='5.Variables'!$B$104,+'5.Variables'!$H114,0))))))</f>
        <v>17.5</v>
      </c>
      <c r="M121" s="697">
        <f>IF(M$18='5.Variables'!$B$16,+'5.Variables'!$H34,+IF(M$18='5.Variables'!$B$39,+'5.Variables'!$H58,+IF(M$18='5.Variables'!$B$62,+'5.Variables'!$H72,+IF(M$18='5.Variables'!$B$76,+'5.Variables'!$H86,+IF(M$18='5.Variables'!$B$90,+'5.Variables'!$H100,+IF(M$18='5.Variables'!$B$104,+'5.Variables'!$H114,0))))))</f>
        <v>30</v>
      </c>
      <c r="N121" s="697">
        <f>IF(N$18='5.Variables'!$B$16,+'5.Variables'!$H34,+IF(N$18='5.Variables'!$B$39,+'5.Variables'!$H58,+IF(N$18='5.Variables'!$B$62,+'5.Variables'!$H72,+IF(N$18='5.Variables'!$B$76,+'5.Variables'!$H86,+IF(N$18='5.Variables'!$B$90,+'5.Variables'!$H100,+IF(N$18='5.Variables'!$B$104,+'5.Variables'!$H114,0))))))</f>
        <v>148.1</v>
      </c>
      <c r="O121" s="697">
        <f>IF(O$18='5.Variables'!$B$16,+'5.Variables'!$H34,+IF(O$18='5.Variables'!$B$39,+'5.Variables'!$H58,+IF(O$18='5.Variables'!$B$62,+'5.Variables'!$H72,+IF(O$18='5.Variables'!$B$76,+'5.Variables'!$H86,+IF(O$18='5.Variables'!$B$90,+'5.Variables'!$H100,+IF(O$18='5.Variables'!$B$104,+'5.Variables'!$H114,0))))))</f>
        <v>0</v>
      </c>
      <c r="P121" s="697">
        <f>IF(P$18='5.Variables'!$B$16,+'5.Variables'!$H34,+IF(P$18='5.Variables'!$B$39,+'5.Variables'!$H58,+IF(P$18='5.Variables'!$B$62,+'5.Variables'!$H72,+IF(P$18='5.Variables'!$B$76,+'5.Variables'!$H86,+IF(P$18='5.Variables'!$B$90,+'5.Variables'!$H100,+IF(P$18='5.Variables'!$B$104,+'5.Variables'!$H114,0))))))</f>
        <v>336</v>
      </c>
      <c r="Q121" s="242"/>
      <c r="R121" s="260">
        <f t="shared" si="9"/>
        <v>19176010.557884015</v>
      </c>
      <c r="S121" s="262"/>
      <c r="T121" s="242"/>
      <c r="U121" s="242"/>
      <c r="V121" s="242"/>
      <c r="W121" s="242"/>
      <c r="X121" s="242"/>
      <c r="Y121" s="242"/>
      <c r="Z121" s="242"/>
      <c r="AA121" s="242"/>
      <c r="AB121" s="242"/>
      <c r="AC121" s="242"/>
      <c r="AD121" s="242"/>
      <c r="AE121" s="242"/>
      <c r="AF121" s="242"/>
      <c r="AG121" s="242"/>
      <c r="AH121" s="242"/>
      <c r="AI121" s="242"/>
      <c r="AJ121" s="242"/>
      <c r="AK121" s="242"/>
      <c r="AL121" s="242"/>
      <c r="AM121" s="242"/>
    </row>
    <row r="122" spans="1:39" x14ac:dyDescent="0.2">
      <c r="A122" s="500">
        <f t="shared" si="10"/>
        <v>103</v>
      </c>
      <c r="B122" s="259" t="str">
        <f>CONCATENATE('3. Consumption by Rate Class'!B127,"-",'3. Consumption by Rate Class'!C127)</f>
        <v>2014-July</v>
      </c>
      <c r="C122" s="670">
        <v>20208703</v>
      </c>
      <c r="D122" s="826"/>
      <c r="E122" s="827">
        <v>1064556.57</v>
      </c>
      <c r="F122" s="826">
        <v>171165.61</v>
      </c>
      <c r="G122" s="826">
        <f>'A - CDM Adjustment'!E64</f>
        <v>379256.41025641031</v>
      </c>
      <c r="H122" s="677"/>
      <c r="I122" s="677"/>
      <c r="J122" s="550">
        <f t="shared" si="8"/>
        <v>19694568.450256411</v>
      </c>
      <c r="K122" s="697">
        <f>IF(K$18='5.Variables'!$B$16,+'5.Variables'!$I35,+IF(K$18='5.Variables'!$B$39,+'5.Variables'!$I58,+IF(K$18='5.Variables'!$B$62,+'5.Variables'!$I72,+IF(K$18='5.Variables'!$B$76,+'5.Variables'!$I86,+IF(K$18='5.Variables'!$B$90,+'5.Variables'!$I100,+IF(K$18='5.Variables'!$B$104,+'5.Variables'!$I114,0))))))</f>
        <v>36.9</v>
      </c>
      <c r="L122" s="697">
        <f>IF(L$18='5.Variables'!$B$16,+'5.Variables'!$I34,+IF(L$18='5.Variables'!$B$39,+'5.Variables'!$I58,+IF(L$18='5.Variables'!$B$62,+'5.Variables'!$I72,+IF(L$18='5.Variables'!$B$76,+'5.Variables'!$I86,+IF(L$18='5.Variables'!$B$90,+'5.Variables'!$I100,+IF(L$18='5.Variables'!$B$104,+'5.Variables'!$I114,0))))))</f>
        <v>18.8</v>
      </c>
      <c r="M122" s="697">
        <f>IF(M$18='5.Variables'!$B$16,+'5.Variables'!$I34,+IF(M$18='5.Variables'!$B$39,+'5.Variables'!$I58,+IF(M$18='5.Variables'!$B$62,+'5.Variables'!$I72,+IF(M$18='5.Variables'!$B$76,+'5.Variables'!$I86,+IF(M$18='5.Variables'!$B$90,+'5.Variables'!$I100,+IF(M$18='5.Variables'!$B$104,+'5.Variables'!$I114,0))))))</f>
        <v>31</v>
      </c>
      <c r="N122" s="697">
        <f>IF(N$18='5.Variables'!$B$16,+'5.Variables'!$I34,+IF(N$18='5.Variables'!$B$39,+'5.Variables'!$I58,+IF(N$18='5.Variables'!$B$62,+'5.Variables'!$I72,+IF(N$18='5.Variables'!$B$76,+'5.Variables'!$I86,+IF(N$18='5.Variables'!$B$90,+'5.Variables'!$I100,+IF(N$18='5.Variables'!$B$104,+'5.Variables'!$I114,0))))))</f>
        <v>148.30000000000001</v>
      </c>
      <c r="O122" s="697">
        <f>IF(O$18='5.Variables'!$B$16,+'5.Variables'!$I34,+IF(O$18='5.Variables'!$B$39,+'5.Variables'!$I58,+IF(O$18='5.Variables'!$B$62,+'5.Variables'!$I72,+IF(O$18='5.Variables'!$B$76,+'5.Variables'!$I86,+IF(O$18='5.Variables'!$B$90,+'5.Variables'!$I100,+IF(O$18='5.Variables'!$B$104,+'5.Variables'!$I114,0))))))</f>
        <v>0</v>
      </c>
      <c r="P122" s="697">
        <f>IF(P$18='5.Variables'!$B$16,+'5.Variables'!$I34,+IF(P$18='5.Variables'!$B$39,+'5.Variables'!$I58,+IF(P$18='5.Variables'!$B$62,+'5.Variables'!$I72,+IF(P$18='5.Variables'!$B$76,+'5.Variables'!$I86,+IF(P$18='5.Variables'!$B$90,+'5.Variables'!$I100,+IF(P$18='5.Variables'!$B$104,+'5.Variables'!$I114,0))))))</f>
        <v>352</v>
      </c>
      <c r="Q122" s="242"/>
      <c r="R122" s="260">
        <f t="shared" si="9"/>
        <v>19572130.841119666</v>
      </c>
      <c r="S122" s="262"/>
      <c r="T122" s="242"/>
      <c r="U122" s="242"/>
      <c r="V122" s="242"/>
      <c r="W122" s="242"/>
      <c r="X122" s="242"/>
      <c r="Y122" s="242"/>
      <c r="Z122" s="242"/>
      <c r="AA122" s="242"/>
      <c r="AB122" s="242"/>
      <c r="AC122" s="242"/>
      <c r="AD122" s="242"/>
      <c r="AE122" s="242"/>
      <c r="AF122" s="242"/>
      <c r="AG122" s="242"/>
      <c r="AH122" s="242"/>
      <c r="AI122" s="242"/>
      <c r="AJ122" s="242"/>
      <c r="AK122" s="242"/>
      <c r="AL122" s="242"/>
      <c r="AM122" s="242"/>
    </row>
    <row r="123" spans="1:39" x14ac:dyDescent="0.2">
      <c r="A123" s="500">
        <f t="shared" si="10"/>
        <v>104</v>
      </c>
      <c r="B123" s="259" t="str">
        <f>CONCATENATE('3. Consumption by Rate Class'!B128,"-",'3. Consumption by Rate Class'!C128)</f>
        <v>2014-August</v>
      </c>
      <c r="C123" s="670">
        <v>19892388</v>
      </c>
      <c r="D123" s="826"/>
      <c r="E123" s="827">
        <v>983777.78</v>
      </c>
      <c r="F123" s="826">
        <v>137339.46</v>
      </c>
      <c r="G123" s="826">
        <f>'A - CDM Adjustment'!E65</f>
        <v>433435.89743589744</v>
      </c>
      <c r="H123" s="677"/>
      <c r="I123" s="677"/>
      <c r="J123" s="550">
        <f t="shared" si="8"/>
        <v>19479385.577435896</v>
      </c>
      <c r="K123" s="697">
        <f>IF(K$18='5.Variables'!$B$16,+'5.Variables'!$J35,+IF(K$18='5.Variables'!$B$39,+'5.Variables'!$J58,+IF(K$18='5.Variables'!$B$62,+'5.Variables'!$J72,+IF(K$18='5.Variables'!$B$76,+'5.Variables'!$J86,+IF(K$18='5.Variables'!$B$90,+'5.Variables'!$J100,+IF(K$18='5.Variables'!$B$104,+'5.Variables'!$J114,0))))))</f>
        <v>26.9</v>
      </c>
      <c r="L123" s="697">
        <f>IF(L$18='5.Variables'!$B$16,+'5.Variables'!$J34,+IF(L$18='5.Variables'!$B$39,+'5.Variables'!$J58,+IF(L$18='5.Variables'!$B$62,+'5.Variables'!$J72,+IF(L$18='5.Variables'!$B$76,+'5.Variables'!$J86,+IF(L$18='5.Variables'!$B$90,+'5.Variables'!$J100,+IF(L$18='5.Variables'!$B$104,+'5.Variables'!$J114,0))))))</f>
        <v>33.299999999999997</v>
      </c>
      <c r="M123" s="697">
        <f>IF(M$18='5.Variables'!$B$16,+'5.Variables'!$J34,+IF(M$18='5.Variables'!$B$39,+'5.Variables'!$J58,+IF(M$18='5.Variables'!$B$62,+'5.Variables'!$J72,+IF(M$18='5.Variables'!$B$76,+'5.Variables'!$J86,+IF(M$18='5.Variables'!$B$90,+'5.Variables'!$J100,+IF(M$18='5.Variables'!$B$104,+'5.Variables'!$J114,0))))))</f>
        <v>31</v>
      </c>
      <c r="N123" s="697">
        <f>IF(N$18='5.Variables'!$B$16,+'5.Variables'!$J34,+IF(N$18='5.Variables'!$B$39,+'5.Variables'!$J58,+IF(N$18='5.Variables'!$B$62,+'5.Variables'!$J72,+IF(N$18='5.Variables'!$B$76,+'5.Variables'!$J86,+IF(N$18='5.Variables'!$B$90,+'5.Variables'!$J100,+IF(N$18='5.Variables'!$B$104,+'5.Variables'!$J114,0))))))</f>
        <v>148.6</v>
      </c>
      <c r="O123" s="697">
        <f>IF(O$18='5.Variables'!$B$16,+'5.Variables'!$J34,+IF(O$18='5.Variables'!$B$39,+'5.Variables'!$J58,+IF(O$18='5.Variables'!$B$62,+'5.Variables'!$J72,+IF(O$18='5.Variables'!$B$76,+'5.Variables'!$J86,+IF(O$18='5.Variables'!$B$90,+'5.Variables'!$J100,+IF(O$18='5.Variables'!$B$104,+'5.Variables'!$J114,0))))))</f>
        <v>0</v>
      </c>
      <c r="P123" s="697">
        <f>IF(P$18='5.Variables'!$B$16,+'5.Variables'!$J34,+IF(P$18='5.Variables'!$B$39,+'5.Variables'!$J58,+IF(P$18='5.Variables'!$B$62,+'5.Variables'!$J72,+IF(P$18='5.Variables'!$B$76,+'5.Variables'!$J86,+IF(P$18='5.Variables'!$B$90,+'5.Variables'!$J100,+IF(P$18='5.Variables'!$B$104,+'5.Variables'!$J114,0))))))</f>
        <v>320</v>
      </c>
      <c r="Q123" s="242"/>
      <c r="R123" s="260">
        <f t="shared" si="9"/>
        <v>19849495.195606332</v>
      </c>
      <c r="S123" s="262"/>
      <c r="T123" s="242"/>
      <c r="U123" s="242"/>
      <c r="V123" s="242"/>
      <c r="W123" s="242"/>
      <c r="X123" s="242"/>
      <c r="Y123" s="242"/>
      <c r="Z123" s="242"/>
      <c r="AA123" s="242"/>
      <c r="AB123" s="242"/>
      <c r="AC123" s="242"/>
      <c r="AD123" s="242"/>
      <c r="AE123" s="242"/>
      <c r="AF123" s="242"/>
      <c r="AG123" s="242"/>
      <c r="AH123" s="242"/>
      <c r="AI123" s="242"/>
      <c r="AJ123" s="242"/>
      <c r="AK123" s="242"/>
      <c r="AL123" s="242"/>
      <c r="AM123" s="242"/>
    </row>
    <row r="124" spans="1:39" x14ac:dyDescent="0.2">
      <c r="A124" s="500">
        <f t="shared" si="10"/>
        <v>105</v>
      </c>
      <c r="B124" s="259" t="str">
        <f>CONCATENATE('3. Consumption by Rate Class'!B129,"-",'3. Consumption by Rate Class'!C129)</f>
        <v>2014-September</v>
      </c>
      <c r="C124" s="670">
        <v>19587581</v>
      </c>
      <c r="D124" s="826"/>
      <c r="E124" s="827">
        <v>1317549.68</v>
      </c>
      <c r="F124" s="826">
        <v>153396.97</v>
      </c>
      <c r="G124" s="826">
        <f>'A - CDM Adjustment'!E66</f>
        <v>487615.38461538457</v>
      </c>
      <c r="H124" s="677"/>
      <c r="I124" s="677"/>
      <c r="J124" s="550">
        <f t="shared" si="8"/>
        <v>18911043.674615383</v>
      </c>
      <c r="K124" s="697">
        <f>IF(K$18='5.Variables'!$B$16,+'5.Variables'!$K35,+IF(K$18='5.Variables'!$B$39,+'5.Variables'!$K58,+IF(K$18='5.Variables'!$B$62,+'5.Variables'!$K72,+IF(K$18='5.Variables'!$B$76,+'5.Variables'!$K86,+IF(K$18='5.Variables'!$B$90,+'5.Variables'!$K100,+IF(K$18='5.Variables'!$B$104,+'5.Variables'!$K114,0))))))</f>
        <v>97.3</v>
      </c>
      <c r="L124" s="697">
        <f>IF(L$18='5.Variables'!$B$16,+'5.Variables'!$K34,+IF(L$18='5.Variables'!$B$39,+'5.Variables'!$K58,+IF(L$18='5.Variables'!$B$62,+'5.Variables'!$K72,+IF(L$18='5.Variables'!$B$76,+'5.Variables'!$K86,+IF(L$18='5.Variables'!$B$90,+'5.Variables'!$K100,+IF(L$18='5.Variables'!$B$104,+'5.Variables'!$K114,0))))))</f>
        <v>10.1</v>
      </c>
      <c r="M124" s="697">
        <f>IF(M$18='5.Variables'!$B$16,+'5.Variables'!$K34,+IF(M$18='5.Variables'!$B$39,+'5.Variables'!$K58,+IF(M$18='5.Variables'!$B$62,+'5.Variables'!$K72,+IF(M$18='5.Variables'!$B$76,+'5.Variables'!$K86,+IF(M$18='5.Variables'!$B$90,+'5.Variables'!$K100,+IF(M$18='5.Variables'!$B$104,+'5.Variables'!$K114,0))))))</f>
        <v>30</v>
      </c>
      <c r="N124" s="697">
        <f>IF(N$18='5.Variables'!$B$16,+'5.Variables'!$K34,+IF(N$18='5.Variables'!$B$39,+'5.Variables'!$K58,+IF(N$18='5.Variables'!$B$62,+'5.Variables'!$K72,+IF(N$18='5.Variables'!$B$76,+'5.Variables'!$K86,+IF(N$18='5.Variables'!$B$90,+'5.Variables'!$K100,+IF(N$18='5.Variables'!$B$104,+'5.Variables'!$K114,0))))))</f>
        <v>148.80000000000001</v>
      </c>
      <c r="O124" s="697">
        <f>IF(O$18='5.Variables'!$B$16,+'5.Variables'!$K34,+IF(O$18='5.Variables'!$B$39,+'5.Variables'!$K58,+IF(O$18='5.Variables'!$B$62,+'5.Variables'!$K72,+IF(O$18='5.Variables'!$B$76,+'5.Variables'!$K86,+IF(O$18='5.Variables'!$B$90,+'5.Variables'!$K100,+IF(O$18='5.Variables'!$B$104,+'5.Variables'!$K114,0))))))</f>
        <v>0</v>
      </c>
      <c r="P124" s="697">
        <f>IF(P$18='5.Variables'!$B$16,+'5.Variables'!$K34,+IF(P$18='5.Variables'!$B$39,+'5.Variables'!$K58,+IF(P$18='5.Variables'!$B$62,+'5.Variables'!$K72,+IF(P$18='5.Variables'!$B$76,+'5.Variables'!$K86,+IF(P$18='5.Variables'!$B$90,+'5.Variables'!$K100,+IF(P$18='5.Variables'!$B$104,+'5.Variables'!$K114,0))))))</f>
        <v>336</v>
      </c>
      <c r="Q124" s="242"/>
      <c r="R124" s="260">
        <f t="shared" si="9"/>
        <v>19132610.362079971</v>
      </c>
      <c r="S124" s="262"/>
      <c r="T124" s="242"/>
      <c r="U124" s="242"/>
      <c r="V124" s="242"/>
      <c r="W124" s="242"/>
      <c r="X124" s="242"/>
      <c r="Y124" s="242"/>
      <c r="Z124" s="242"/>
      <c r="AA124" s="242"/>
      <c r="AB124" s="242"/>
      <c r="AC124" s="242"/>
      <c r="AD124" s="242"/>
      <c r="AE124" s="242"/>
      <c r="AF124" s="242"/>
      <c r="AG124" s="242"/>
      <c r="AH124" s="242"/>
      <c r="AI124" s="242"/>
      <c r="AJ124" s="242"/>
      <c r="AK124" s="242"/>
      <c r="AL124" s="242"/>
      <c r="AM124" s="242"/>
    </row>
    <row r="125" spans="1:39" x14ac:dyDescent="0.2">
      <c r="A125" s="500">
        <f t="shared" si="10"/>
        <v>106</v>
      </c>
      <c r="B125" s="259" t="str">
        <f>CONCATENATE('3. Consumption by Rate Class'!B130,"-",'3. Consumption by Rate Class'!C130)</f>
        <v>2014-October</v>
      </c>
      <c r="C125" s="670">
        <v>19752445</v>
      </c>
      <c r="D125" s="826"/>
      <c r="E125" s="827">
        <v>1252072.5900000001</v>
      </c>
      <c r="F125" s="826">
        <v>116582.48</v>
      </c>
      <c r="G125" s="826">
        <f>'A - CDM Adjustment'!E67</f>
        <v>541794.87179487175</v>
      </c>
      <c r="H125" s="677"/>
      <c r="I125" s="677"/>
      <c r="J125" s="550">
        <f t="shared" si="8"/>
        <v>19158749.761794873</v>
      </c>
      <c r="K125" s="697">
        <f>IF(K$18='5.Variables'!$B$16,+'5.Variables'!$L35,+IF(K$18='5.Variables'!$B$39,+'5.Variables'!$L58,+IF(K$18='5.Variables'!$B$62,+'5.Variables'!$L72,+IF(K$18='5.Variables'!$B$76,+'5.Variables'!$L86,+IF(K$18='5.Variables'!$B$90,+'5.Variables'!$L100,+IF(K$18='5.Variables'!$B$104,+'5.Variables'!$L114,0))))))</f>
        <v>231.4</v>
      </c>
      <c r="L125" s="697">
        <f>IF(L$18='5.Variables'!$B$16,+'5.Variables'!$L34,+IF(L$18='5.Variables'!$B$39,+'5.Variables'!$L58,+IF(L$18='5.Variables'!$B$62,+'5.Variables'!$L72,+IF(L$18='5.Variables'!$B$76,+'5.Variables'!$L86,+IF(L$18='5.Variables'!$B$90,+'5.Variables'!$L100,+IF(L$18='5.Variables'!$B$104,+'5.Variables'!$L114,0))))))</f>
        <v>0</v>
      </c>
      <c r="M125" s="697">
        <f>IF(M$18='5.Variables'!$B$16,+'5.Variables'!$L34,+IF(M$18='5.Variables'!$B$39,+'5.Variables'!$L58,+IF(M$18='5.Variables'!$B$62,+'5.Variables'!$L72,+IF(M$18='5.Variables'!$B$76,+'5.Variables'!$L86,+IF(M$18='5.Variables'!$B$90,+'5.Variables'!$L100,+IF(M$18='5.Variables'!$B$104,+'5.Variables'!$L114,0))))))</f>
        <v>31</v>
      </c>
      <c r="N125" s="697">
        <f>IF(N$18='5.Variables'!$B$16,+'5.Variables'!$L34,+IF(N$18='5.Variables'!$B$39,+'5.Variables'!$L58,+IF(N$18='5.Variables'!$B$62,+'5.Variables'!$L72,+IF(N$18='5.Variables'!$B$76,+'5.Variables'!$L86,+IF(N$18='5.Variables'!$B$90,+'5.Variables'!$L100,+IF(N$18='5.Variables'!$B$104,+'5.Variables'!$L114,0))))))</f>
        <v>149</v>
      </c>
      <c r="O125" s="697">
        <f>IF(O$18='5.Variables'!$B$16,+'5.Variables'!$L34,+IF(O$18='5.Variables'!$B$39,+'5.Variables'!$L58,+IF(O$18='5.Variables'!$B$62,+'5.Variables'!$L72,+IF(O$18='5.Variables'!$B$76,+'5.Variables'!$L86,+IF(O$18='5.Variables'!$B$90,+'5.Variables'!$L100,+IF(O$18='5.Variables'!$B$104,+'5.Variables'!$L114,0))))))</f>
        <v>0</v>
      </c>
      <c r="P125" s="697">
        <f>IF(P$18='5.Variables'!$B$16,+'5.Variables'!$L34,+IF(P$18='5.Variables'!$B$39,+'5.Variables'!$L58,+IF(P$18='5.Variables'!$B$62,+'5.Variables'!$L72,+IF(P$18='5.Variables'!$B$76,+'5.Variables'!$L86,+IF(P$18='5.Variables'!$B$90,+'5.Variables'!$L100,+IF(P$18='5.Variables'!$B$104,+'5.Variables'!$L114,0))))))</f>
        <v>352</v>
      </c>
      <c r="Q125" s="242"/>
      <c r="R125" s="260">
        <f t="shared" si="9"/>
        <v>20111580.152013723</v>
      </c>
      <c r="S125" s="262"/>
      <c r="T125" s="242"/>
      <c r="U125" s="242"/>
      <c r="V125" s="242"/>
      <c r="W125" s="242"/>
      <c r="X125" s="242"/>
      <c r="Y125" s="242"/>
      <c r="Z125" s="242"/>
      <c r="AA125" s="242"/>
      <c r="AB125" s="242"/>
      <c r="AC125" s="242"/>
      <c r="AD125" s="242"/>
      <c r="AE125" s="242"/>
      <c r="AF125" s="242"/>
      <c r="AG125" s="242"/>
      <c r="AH125" s="242"/>
      <c r="AI125" s="242"/>
      <c r="AJ125" s="242"/>
      <c r="AK125" s="242"/>
      <c r="AL125" s="242"/>
      <c r="AM125" s="242"/>
    </row>
    <row r="126" spans="1:39" x14ac:dyDescent="0.2">
      <c r="A126" s="500">
        <f t="shared" si="10"/>
        <v>107</v>
      </c>
      <c r="B126" s="259" t="str">
        <f>CONCATENATE('3. Consumption by Rate Class'!B131,"-",'3. Consumption by Rate Class'!C131)</f>
        <v>2014-November</v>
      </c>
      <c r="C126" s="670">
        <v>21153366</v>
      </c>
      <c r="D126" s="826"/>
      <c r="E126" s="827">
        <v>1298522.28</v>
      </c>
      <c r="F126" s="826">
        <v>53872.95</v>
      </c>
      <c r="G126" s="826">
        <f>'A - CDM Adjustment'!E68</f>
        <v>595974.358974359</v>
      </c>
      <c r="H126" s="677"/>
      <c r="I126" s="677"/>
      <c r="J126" s="550">
        <f t="shared" si="8"/>
        <v>20504691.028974358</v>
      </c>
      <c r="K126" s="697">
        <f>IF(K$18='5.Variables'!$B$16,+'5.Variables'!$M35,+IF(K$18='5.Variables'!$B$39,+'5.Variables'!$M58,+IF(K$18='5.Variables'!$B$62,+'5.Variables'!$M72,+IF(K$18='5.Variables'!$B$76,+'5.Variables'!$M86,+IF(K$18='5.Variables'!$B$90,+'5.Variables'!$M100,+IF(K$18='5.Variables'!$B$104,+'5.Variables'!$M114,0))))))</f>
        <v>473.2</v>
      </c>
      <c r="L126" s="697">
        <f>IF(L$18='5.Variables'!$B$16,+'5.Variables'!$M34,+IF(L$18='5.Variables'!$B$39,+'5.Variables'!$M58,+IF(L$18='5.Variables'!$B$62,+'5.Variables'!$M72,+IF(L$18='5.Variables'!$B$76,+'5.Variables'!$M86,+IF(L$18='5.Variables'!$B$90,+'5.Variables'!$M100,+IF(L$18='5.Variables'!$B$104,+'5.Variables'!$M114,0))))))</f>
        <v>0</v>
      </c>
      <c r="M126" s="697">
        <f>IF(M$18='5.Variables'!$B$16,+'5.Variables'!$M34,+IF(M$18='5.Variables'!$B$39,+'5.Variables'!$M58,+IF(M$18='5.Variables'!$B$62,+'5.Variables'!$M72,+IF(M$18='5.Variables'!$B$76,+'5.Variables'!$M86,+IF(M$18='5.Variables'!$B$90,+'5.Variables'!$M100,+IF(M$18='5.Variables'!$B$104,+'5.Variables'!$M114,0))))))</f>
        <v>30</v>
      </c>
      <c r="N126" s="697">
        <f>IF(N$18='5.Variables'!$B$16,+'5.Variables'!$M34,+IF(N$18='5.Variables'!$B$39,+'5.Variables'!$M58,+IF(N$18='5.Variables'!$B$62,+'5.Variables'!$M72,+IF(N$18='5.Variables'!$B$76,+'5.Variables'!$M86,+IF(N$18='5.Variables'!$B$90,+'5.Variables'!$M100,+IF(N$18='5.Variables'!$B$104,+'5.Variables'!$M114,0))))))</f>
        <v>149.30000000000001</v>
      </c>
      <c r="O126" s="697">
        <f>IF(O$18='5.Variables'!$B$16,+'5.Variables'!$M34,+IF(O$18='5.Variables'!$B$39,+'5.Variables'!$M58,+IF(O$18='5.Variables'!$B$62,+'5.Variables'!$M72,+IF(O$18='5.Variables'!$B$76,+'5.Variables'!$M86,+IF(O$18='5.Variables'!$B$90,+'5.Variables'!$M100,+IF(O$18='5.Variables'!$B$104,+'5.Variables'!$M114,0))))))</f>
        <v>0</v>
      </c>
      <c r="P126" s="697">
        <f>IF(P$18='5.Variables'!$B$16,+'5.Variables'!$M34,+IF(P$18='5.Variables'!$B$39,+'5.Variables'!$M58,+IF(P$18='5.Variables'!$B$62,+'5.Variables'!$M72,+IF(P$18='5.Variables'!$B$76,+'5.Variables'!$M86,+IF(P$18='5.Variables'!$B$90,+'5.Variables'!$M100,+IF(P$18='5.Variables'!$B$104,+'5.Variables'!$M114,0))))))</f>
        <v>320</v>
      </c>
      <c r="Q126" s="242"/>
      <c r="R126" s="260">
        <f t="shared" si="9"/>
        <v>21072698.062322173</v>
      </c>
      <c r="S126" s="262"/>
      <c r="T126" s="242"/>
      <c r="U126" s="242"/>
      <c r="V126" s="242"/>
      <c r="W126" s="242"/>
      <c r="X126" s="242"/>
      <c r="Y126" s="242"/>
      <c r="Z126" s="242"/>
      <c r="AA126" s="242"/>
      <c r="AB126" s="242"/>
      <c r="AC126" s="242"/>
      <c r="AD126" s="242"/>
      <c r="AE126" s="242"/>
      <c r="AF126" s="242"/>
      <c r="AG126" s="242"/>
      <c r="AH126" s="242"/>
      <c r="AI126" s="242"/>
      <c r="AJ126" s="242"/>
      <c r="AK126" s="242"/>
      <c r="AL126" s="242"/>
      <c r="AM126" s="242"/>
    </row>
    <row r="127" spans="1:39" x14ac:dyDescent="0.2">
      <c r="A127" s="500">
        <f t="shared" si="10"/>
        <v>108</v>
      </c>
      <c r="B127" s="519" t="str">
        <f>CONCATENATE('3. Consumption by Rate Class'!B132,"-",'3. Consumption by Rate Class'!C132)</f>
        <v>2014-December</v>
      </c>
      <c r="C127" s="671">
        <v>22098682</v>
      </c>
      <c r="D127" s="828"/>
      <c r="E127" s="829">
        <v>959502.64</v>
      </c>
      <c r="F127" s="828">
        <v>56090.5</v>
      </c>
      <c r="G127" s="828">
        <f>'A - CDM Adjustment'!E69</f>
        <v>650153.84615384613</v>
      </c>
      <c r="H127" s="679"/>
      <c r="I127" s="679"/>
      <c r="J127" s="550">
        <f t="shared" si="8"/>
        <v>21845423.706153847</v>
      </c>
      <c r="K127" s="697">
        <f>IF(K$18='5.Variables'!$B$16,+'5.Variables'!$N35,+IF(K$18='5.Variables'!$B$39,+'5.Variables'!$N58,+IF(K$18='5.Variables'!$B$62,+'5.Variables'!$N72,+IF(K$18='5.Variables'!$B$76,+'5.Variables'!$N86,+IF(K$18='5.Variables'!$B$90,+'5.Variables'!$N100,+IF(K$18='5.Variables'!$B$104,+'5.Variables'!$N114,0))))))</f>
        <v>519.4</v>
      </c>
      <c r="L127" s="697">
        <f>IF(L$18='5.Variables'!$B$16,+'5.Variables'!$N34,+IF(L$18='5.Variables'!$B$39,+'5.Variables'!$N58,+IF(L$18='5.Variables'!$B$62,+'5.Variables'!$N72,+IF(L$18='5.Variables'!$B$76,+'5.Variables'!$N86,+IF(L$18='5.Variables'!$B$90,+'5.Variables'!$N100,+IF(L$18='5.Variables'!$B$104,+'5.Variables'!$N114,0))))))</f>
        <v>0</v>
      </c>
      <c r="M127" s="697">
        <f>IF(M$18='5.Variables'!$B$16,+'5.Variables'!$N34,+IF(M$18='5.Variables'!$B$39,+'5.Variables'!$N58,+IF(M$18='5.Variables'!$B$62,+'5.Variables'!$N72,+IF(M$18='5.Variables'!$B$76,+'5.Variables'!$N86,+IF(M$18='5.Variables'!$B$90,+'5.Variables'!$N100,+IF(M$18='5.Variables'!$B$104,+'5.Variables'!$N114,0))))))</f>
        <v>31</v>
      </c>
      <c r="N127" s="697">
        <f>IF(N$18='5.Variables'!$B$16,+'5.Variables'!$N34,+IF(N$18='5.Variables'!$B$39,+'5.Variables'!$N58,+IF(N$18='5.Variables'!$B$62,+'5.Variables'!$N72,+IF(N$18='5.Variables'!$B$76,+'5.Variables'!$N86,+IF(N$18='5.Variables'!$B$90,+'5.Variables'!$N100,+IF(N$18='5.Variables'!$B$104,+'5.Variables'!$N114,0))))))</f>
        <v>149.5</v>
      </c>
      <c r="O127" s="697">
        <f>IF(O$18='5.Variables'!$B$16,+'5.Variables'!$N34,+IF(O$18='5.Variables'!$B$39,+'5.Variables'!$N58,+IF(O$18='5.Variables'!$B$62,+'5.Variables'!$N72,+IF(O$18='5.Variables'!$B$76,+'5.Variables'!$N86,+IF(O$18='5.Variables'!$B$90,+'5.Variables'!$N100,+IF(O$18='5.Variables'!$B$104,+'5.Variables'!$N114,0))))))</f>
        <v>0</v>
      </c>
      <c r="P127" s="697">
        <f>IF(P$18='5.Variables'!$B$16,+'5.Variables'!$N34,+IF(P$18='5.Variables'!$B$39,+'5.Variables'!$N58,+IF(P$18='5.Variables'!$B$62,+'5.Variables'!$N72,+IF(P$18='5.Variables'!$B$76,+'5.Variables'!$N86,+IF(P$18='5.Variables'!$B$90,+'5.Variables'!$N100,+IF(P$18='5.Variables'!$B$104,+'5.Variables'!$N114,0))))))</f>
        <v>336</v>
      </c>
      <c r="Q127" s="242"/>
      <c r="R127" s="260">
        <f t="shared" si="9"/>
        <v>21880977.175745647</v>
      </c>
      <c r="S127" s="262">
        <f>SUM(R116:R127)</f>
        <v>249658428.47991201</v>
      </c>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39" x14ac:dyDescent="0.2">
      <c r="A128" s="500">
        <f t="shared" si="10"/>
        <v>109</v>
      </c>
      <c r="B128" s="259" t="str">
        <f>CONCATENATE('3. Consumption by Rate Class'!B133,"-",'3. Consumption by Rate Class'!C133)</f>
        <v>2015-January</v>
      </c>
      <c r="C128" s="670">
        <f>24460867.33+F128</f>
        <v>24545395.52</v>
      </c>
      <c r="D128" s="826"/>
      <c r="E128" s="827">
        <v>1189994</v>
      </c>
      <c r="F128" s="826">
        <v>84528.19</v>
      </c>
      <c r="G128" s="826">
        <f>'A - CDM Adjustment'!E71</f>
        <v>21671.794871794871</v>
      </c>
      <c r="H128" s="677"/>
      <c r="I128" s="677"/>
      <c r="J128" s="550">
        <f>C128-D128-E128+F128+G128</f>
        <v>23461601.504871797</v>
      </c>
      <c r="K128" s="697">
        <f>IF(K$18='5.Variables'!$B$16,+'5.Variables'!$C36,+IF(K$18='5.Variables'!$B$39,+'5.Variables'!$C59,+IF(K$18='5.Variables'!$B$62,+'5.Variables'!$C73,+IF(K$18='5.Variables'!$B$76,+'5.Variables'!$C87,+IF(K$18='5.Variables'!$B$90,+'5.Variables'!$C101,+IF(K$18='5.Variables'!$B$104,+'5.Variables'!$C115,0))))))</f>
        <v>759.2</v>
      </c>
      <c r="L128" s="697">
        <f>IF(L$18='5.Variables'!$B$16,+'5.Variables'!$C35,+IF(L$18='5.Variables'!$B$39,+'5.Variables'!$C59,+IF(L$18='5.Variables'!$B$62,+'5.Variables'!$C73,+IF(L$18='5.Variables'!$B$76,+'5.Variables'!$C87,+IF(L$18='5.Variables'!$B$90,+'5.Variables'!$C101,+IF(L$18='5.Variables'!$B$104,+'5.Variables'!$C115,0))))))</f>
        <v>0</v>
      </c>
      <c r="M128" s="697">
        <f>IF(M$18='5.Variables'!$B$16,+'5.Variables'!$C35,+IF(M$18='5.Variables'!$B$39,+'5.Variables'!$C59,+IF(M$18='5.Variables'!$B$62,+'5.Variables'!$C73,+IF(M$18='5.Variables'!$B$76,+'5.Variables'!$C87,+IF(M$18='5.Variables'!$B$90,+'5.Variables'!$C101,+IF(M$18='5.Variables'!$B$104,+'5.Variables'!$C115,0))))))</f>
        <v>31</v>
      </c>
      <c r="N128" s="697">
        <f>IF(N$18='5.Variables'!$B$16,+'5.Variables'!$C35,+IF(N$18='5.Variables'!$B$39,+'5.Variables'!$C59,+IF(N$18='5.Variables'!$B$62,+'5.Variables'!$C73,+IF(N$18='5.Variables'!$B$76,+'5.Variables'!$C87,+IF(N$18='5.Variables'!$B$90,+'5.Variables'!$C101,+IF(N$18='5.Variables'!$B$104,+'5.Variables'!$C115,0))))))</f>
        <v>140.05333333333337</v>
      </c>
      <c r="O128" s="697">
        <f>IF(O$18='5.Variables'!$B$16,+'5.Variables'!$C35,+IF(O$18='5.Variables'!$B$39,+'5.Variables'!$C59,+IF(O$18='5.Variables'!$B$62,+'5.Variables'!$C73,+IF(O$18='5.Variables'!$B$76,+'5.Variables'!$C87,+IF(O$18='5.Variables'!$B$90,+'5.Variables'!$C101,+IF(O$18='5.Variables'!$B$104,+'5.Variables'!$C115,0))))))</f>
        <v>0</v>
      </c>
      <c r="P128" s="697">
        <f>IF(P$18='5.Variables'!$B$16,+'5.Variables'!$C35,+IF(P$18='5.Variables'!$B$39,+'5.Variables'!$C59,+IF(P$18='5.Variables'!$B$62,+'5.Variables'!$C73,+IF(P$18='5.Variables'!$B$76,+'5.Variables'!$C87,+IF(P$18='5.Variables'!$B$90,+'5.Variables'!$C101,+IF(P$18='5.Variables'!$B$104,+'5.Variables'!$C115,0))))))</f>
        <v>344.88888888888891</v>
      </c>
      <c r="Q128" s="242"/>
      <c r="R128" s="260">
        <f t="shared" si="9"/>
        <v>23234336.0657763</v>
      </c>
      <c r="S128" s="262"/>
      <c r="T128" s="242"/>
      <c r="U128" s="242"/>
      <c r="V128" s="242"/>
      <c r="W128" s="242"/>
      <c r="X128" s="242"/>
      <c r="Y128" s="242"/>
      <c r="Z128" s="242"/>
      <c r="AA128" s="242"/>
      <c r="AB128" s="242"/>
      <c r="AC128" s="242"/>
      <c r="AD128" s="242"/>
      <c r="AE128" s="242"/>
      <c r="AF128" s="242"/>
      <c r="AG128" s="242"/>
      <c r="AH128" s="242"/>
      <c r="AI128" s="242"/>
      <c r="AJ128" s="242"/>
      <c r="AK128" s="242"/>
      <c r="AL128" s="242"/>
      <c r="AM128" s="242"/>
    </row>
    <row r="129" spans="1:39" x14ac:dyDescent="0.2">
      <c r="A129" s="500">
        <f t="shared" si="10"/>
        <v>110</v>
      </c>
      <c r="B129" s="259" t="str">
        <f>CONCATENATE('3. Consumption by Rate Class'!B134,"-",'3. Consumption by Rate Class'!C134)</f>
        <v>2015-February</v>
      </c>
      <c r="C129" s="670">
        <f>23190222.68+F129</f>
        <v>23214860.239999998</v>
      </c>
      <c r="D129" s="826"/>
      <c r="E129" s="827">
        <v>1496624.43</v>
      </c>
      <c r="F129" s="826">
        <v>24637.56</v>
      </c>
      <c r="G129" s="826">
        <f>'A - CDM Adjustment'!E72</f>
        <v>43343.589743589742</v>
      </c>
      <c r="H129" s="677"/>
      <c r="I129" s="677"/>
      <c r="J129" s="550">
        <f t="shared" si="8"/>
        <v>21786216.959743585</v>
      </c>
      <c r="K129" s="697">
        <f>IF(K$18='5.Variables'!$B$16,+'5.Variables'!$D36,+IF(K$18='5.Variables'!$B$39,+'5.Variables'!$D59,+IF(K$18='5.Variables'!$B$62,+'5.Variables'!$D73,+IF(K$18='5.Variables'!$B$76,+'5.Variables'!$D87,+IF(K$18='5.Variables'!$B$90,+'5.Variables'!$D101,+IF(K$18='5.Variables'!$B$104,+'5.Variables'!$D115,0))))))</f>
        <v>842.5</v>
      </c>
      <c r="L129" s="697">
        <f>IF(L$18='5.Variables'!$B$16,+'5.Variables'!$D35,+IF(L$18='5.Variables'!$B$39,+'5.Variables'!$D59,+IF(L$18='5.Variables'!$B$62,+'5.Variables'!$D73,+IF(L$18='5.Variables'!$B$76,+'5.Variables'!$D87,+IF(L$18='5.Variables'!$B$90,+'5.Variables'!$D101,+IF(L$18='5.Variables'!$B$104,+'5.Variables'!$D115,0))))))</f>
        <v>0</v>
      </c>
      <c r="M129" s="697">
        <f>IF(M$18='5.Variables'!$B$16,+'5.Variables'!$D35,+IF(M$18='5.Variables'!$B$39,+'5.Variables'!$D59,+IF(M$18='5.Variables'!$B$62,+'5.Variables'!$D73,+IF(M$18='5.Variables'!$B$76,+'5.Variables'!$D87,+IF(M$18='5.Variables'!$B$90,+'5.Variables'!$D101,+IF(M$18='5.Variables'!$B$104,+'5.Variables'!$D115,0))))))</f>
        <v>28</v>
      </c>
      <c r="N129" s="697">
        <f>IF(N$18='5.Variables'!$B$16,+'5.Variables'!$D35,+IF(N$18='5.Variables'!$B$39,+'5.Variables'!$D59,+IF(N$18='5.Variables'!$B$62,+'5.Variables'!$D73,+IF(N$18='5.Variables'!$B$76,+'5.Variables'!$D87,+IF(N$18='5.Variables'!$B$90,+'5.Variables'!$D101,+IF(N$18='5.Variables'!$B$104,+'5.Variables'!$D115,0))))))</f>
        <v>140.21</v>
      </c>
      <c r="O129" s="697">
        <f>IF(O$18='5.Variables'!$B$16,+'5.Variables'!$D35,+IF(O$18='5.Variables'!$B$39,+'5.Variables'!$D59,+IF(O$18='5.Variables'!$B$62,+'5.Variables'!$D73,+IF(O$18='5.Variables'!$B$76,+'5.Variables'!$D87,+IF(O$18='5.Variables'!$B$90,+'5.Variables'!$D101,+IF(O$18='5.Variables'!$B$104,+'5.Variables'!$D115,0))))))</f>
        <v>0</v>
      </c>
      <c r="P129" s="697">
        <f>IF(P$18='5.Variables'!$B$16,+'5.Variables'!$D35,+IF(P$18='5.Variables'!$B$39,+'5.Variables'!$D59,+IF(P$18='5.Variables'!$B$62,+'5.Variables'!$D73,+IF(P$18='5.Variables'!$B$76,+'5.Variables'!$D87,+IF(P$18='5.Variables'!$B$90,+'5.Variables'!$D101,+IF(P$18='5.Variables'!$B$104,+'5.Variables'!$D115,0))))))</f>
        <v>312.88888888888891</v>
      </c>
      <c r="Q129" s="242"/>
      <c r="R129" s="260">
        <f t="shared" si="9"/>
        <v>22399166.299287375</v>
      </c>
      <c r="S129" s="262"/>
      <c r="T129" s="242"/>
      <c r="U129" s="242"/>
      <c r="V129" s="242"/>
      <c r="W129" s="242"/>
      <c r="X129" s="242"/>
      <c r="Y129" s="242"/>
      <c r="Z129" s="242"/>
      <c r="AA129" s="242"/>
      <c r="AB129" s="242"/>
      <c r="AC129" s="242"/>
      <c r="AD129" s="242"/>
      <c r="AE129" s="242"/>
      <c r="AF129" s="242"/>
      <c r="AG129" s="242"/>
      <c r="AH129" s="242"/>
      <c r="AI129" s="242"/>
      <c r="AJ129" s="242"/>
      <c r="AK129" s="242"/>
      <c r="AL129" s="242"/>
      <c r="AM129" s="242"/>
    </row>
    <row r="130" spans="1:39" x14ac:dyDescent="0.2">
      <c r="A130" s="500">
        <f t="shared" si="10"/>
        <v>111</v>
      </c>
      <c r="B130" s="259" t="str">
        <f>CONCATENATE('3. Consumption by Rate Class'!B135,"-",'3. Consumption by Rate Class'!C135)</f>
        <v>2015-March</v>
      </c>
      <c r="C130" s="670">
        <f>22718708.77+F130</f>
        <v>22960336.199999999</v>
      </c>
      <c r="D130" s="826"/>
      <c r="E130" s="827">
        <v>1542568.65</v>
      </c>
      <c r="F130" s="826">
        <v>241627.43</v>
      </c>
      <c r="G130" s="826">
        <f>'A - CDM Adjustment'!E73</f>
        <v>65015.38461538461</v>
      </c>
      <c r="H130" s="677"/>
      <c r="I130" s="677"/>
      <c r="J130" s="550">
        <f t="shared" si="8"/>
        <v>21724410.364615384</v>
      </c>
      <c r="K130" s="697">
        <f>IF(K$18='5.Variables'!$B$16,+'5.Variables'!$E36,+IF(K$18='5.Variables'!$B$39,+'5.Variables'!$E59,+IF(K$18='5.Variables'!$B$62,+'5.Variables'!$E73,+IF(K$18='5.Variables'!$B$76,+'5.Variables'!$E87,+IF(K$18='5.Variables'!$B$90,+'5.Variables'!$E101,+IF(K$18='5.Variables'!$B$104,+'5.Variables'!$E115,0))))))</f>
        <v>639.70000000000005</v>
      </c>
      <c r="L130" s="697">
        <f>IF(L$18='5.Variables'!$B$16,+'5.Variables'!$E35,+IF(L$18='5.Variables'!$B$39,+'5.Variables'!$E59,+IF(L$18='5.Variables'!$B$62,+'5.Variables'!$E73,+IF(L$18='5.Variables'!$B$76,+'5.Variables'!$E87,+IF(L$18='5.Variables'!$B$90,+'5.Variables'!$E101,+IF(L$18='5.Variables'!$B$104,+'5.Variables'!$E115,0))))))</f>
        <v>0</v>
      </c>
      <c r="M130" s="697">
        <f>IF(M$18='5.Variables'!$B$16,+'5.Variables'!$E35,+IF(M$18='5.Variables'!$B$39,+'5.Variables'!$E59,+IF(M$18='5.Variables'!$B$62,+'5.Variables'!$E73,+IF(M$18='5.Variables'!$B$76,+'5.Variables'!$E87,+IF(M$18='5.Variables'!$B$90,+'5.Variables'!$E101,+IF(M$18='5.Variables'!$B$104,+'5.Variables'!$E115,0))))))</f>
        <v>31</v>
      </c>
      <c r="N130" s="697">
        <f>IF(N$18='5.Variables'!$B$16,+'5.Variables'!$E35,+IF(N$18='5.Variables'!$B$39,+'5.Variables'!$E59,+IF(N$18='5.Variables'!$B$62,+'5.Variables'!$E73,+IF(N$18='5.Variables'!$B$76,+'5.Variables'!$E87,+IF(N$18='5.Variables'!$B$90,+'5.Variables'!$E101,+IF(N$18='5.Variables'!$B$104,+'5.Variables'!$E115,0))))))</f>
        <v>140.36000000000001</v>
      </c>
      <c r="O130" s="697">
        <f>IF(O$18='5.Variables'!$B$16,+'5.Variables'!$E35,+IF(O$18='5.Variables'!$B$39,+'5.Variables'!$E59,+IF(O$18='5.Variables'!$B$62,+'5.Variables'!$E73,+IF(O$18='5.Variables'!$B$76,+'5.Variables'!$E87,+IF(O$18='5.Variables'!$B$90,+'5.Variables'!$E101,+IF(O$18='5.Variables'!$B$104,+'5.Variables'!$E115,0))))))</f>
        <v>0</v>
      </c>
      <c r="P130" s="697">
        <f>IF(P$18='5.Variables'!$B$16,+'5.Variables'!$E35,+IF(P$18='5.Variables'!$B$39,+'5.Variables'!$E59,+IF(P$18='5.Variables'!$B$62,+'5.Variables'!$E73,+IF(P$18='5.Variables'!$B$76,+'5.Variables'!$E87,+IF(P$18='5.Variables'!$B$90,+'5.Variables'!$E101,+IF(P$18='5.Variables'!$B$104,+'5.Variables'!$E115,0))))))</f>
        <v>339.55555555555554</v>
      </c>
      <c r="Q130" s="242"/>
      <c r="R130" s="260">
        <f t="shared" si="9"/>
        <v>22424143.040387791</v>
      </c>
      <c r="S130" s="262"/>
      <c r="T130" s="242"/>
      <c r="U130" s="242"/>
      <c r="V130" s="242"/>
      <c r="W130" s="242"/>
      <c r="X130" s="242"/>
      <c r="Y130" s="242"/>
      <c r="Z130" s="242"/>
      <c r="AA130" s="242"/>
      <c r="AB130" s="242"/>
      <c r="AC130" s="242"/>
      <c r="AD130" s="242"/>
      <c r="AE130" s="242"/>
      <c r="AF130" s="242"/>
      <c r="AG130" s="242"/>
      <c r="AH130" s="242"/>
      <c r="AI130" s="242"/>
      <c r="AJ130" s="242"/>
      <c r="AK130" s="242"/>
      <c r="AL130" s="242"/>
      <c r="AM130" s="242"/>
    </row>
    <row r="131" spans="1:39" x14ac:dyDescent="0.2">
      <c r="A131" s="500">
        <f t="shared" si="10"/>
        <v>112</v>
      </c>
      <c r="B131" s="259" t="str">
        <f>CONCATENATE('3. Consumption by Rate Class'!B136,"-",'3. Consumption by Rate Class'!C136)</f>
        <v>2015-April</v>
      </c>
      <c r="C131" s="670">
        <f>19473534.43+F131</f>
        <v>19821057.059999999</v>
      </c>
      <c r="D131" s="826"/>
      <c r="E131" s="827">
        <v>1535310.33</v>
      </c>
      <c r="F131" s="826">
        <v>347522.63</v>
      </c>
      <c r="G131" s="826">
        <f>'A - CDM Adjustment'!E74</f>
        <v>86687.17948717947</v>
      </c>
      <c r="H131" s="677"/>
      <c r="I131" s="677"/>
      <c r="J131" s="550">
        <f t="shared" si="8"/>
        <v>18719956.539487176</v>
      </c>
      <c r="K131" s="697">
        <f>IF(K$18='5.Variables'!$B$16,+'5.Variables'!$F36,+IF(K$18='5.Variables'!$B$39,+'5.Variables'!$F59,+IF(K$18='5.Variables'!$B$62,+'5.Variables'!$F73,+IF(K$18='5.Variables'!$B$76,+'5.Variables'!$F87,+IF(K$18='5.Variables'!$B$90,+'5.Variables'!$F101,+IF(K$18='5.Variables'!$B$104,+'5.Variables'!$F115,0))))))</f>
        <v>351</v>
      </c>
      <c r="L131" s="697">
        <f>IF(L$18='5.Variables'!$B$16,+'5.Variables'!$F35,+IF(L$18='5.Variables'!$B$39,+'5.Variables'!$F59,+IF(L$18='5.Variables'!$B$62,+'5.Variables'!$F73,+IF(L$18='5.Variables'!$B$76,+'5.Variables'!$F87,+IF(L$18='5.Variables'!$B$90,+'5.Variables'!$F101,+IF(L$18='5.Variables'!$B$104,+'5.Variables'!$F115,0))))))</f>
        <v>0</v>
      </c>
      <c r="M131" s="697">
        <f>IF(M$18='5.Variables'!$B$16,+'5.Variables'!$F35,+IF(M$18='5.Variables'!$B$39,+'5.Variables'!$F59,+IF(M$18='5.Variables'!$B$62,+'5.Variables'!$F73,+IF(M$18='5.Variables'!$B$76,+'5.Variables'!$F87,+IF(M$18='5.Variables'!$B$90,+'5.Variables'!$F101,+IF(M$18='5.Variables'!$B$104,+'5.Variables'!$F115,0))))))</f>
        <v>30</v>
      </c>
      <c r="N131" s="697">
        <f>IF(N$18='5.Variables'!$B$16,+'5.Variables'!$F35,+IF(N$18='5.Variables'!$B$39,+'5.Variables'!$F59,+IF(N$18='5.Variables'!$B$62,+'5.Variables'!$F73,+IF(N$18='5.Variables'!$B$76,+'5.Variables'!$F87,+IF(N$18='5.Variables'!$B$90,+'5.Variables'!$F101,+IF(N$18='5.Variables'!$B$104,+'5.Variables'!$F115,0))))))</f>
        <v>140.51222222222225</v>
      </c>
      <c r="O131" s="697">
        <f>IF(O$18='5.Variables'!$B$16,+'5.Variables'!$F35,+IF(O$18='5.Variables'!$B$39,+'5.Variables'!$F59,+IF(O$18='5.Variables'!$B$62,+'5.Variables'!$F73,+IF(O$18='5.Variables'!$B$76,+'5.Variables'!$F87,+IF(O$18='5.Variables'!$B$90,+'5.Variables'!$F101,+IF(O$18='5.Variables'!$B$104,+'5.Variables'!$F115,0))))))</f>
        <v>0</v>
      </c>
      <c r="P131" s="697">
        <f>IF(P$18='5.Variables'!$B$16,+'5.Variables'!$F35,+IF(P$18='5.Variables'!$B$39,+'5.Variables'!$F59,+IF(P$18='5.Variables'!$B$62,+'5.Variables'!$F73,+IF(P$18='5.Variables'!$B$76,+'5.Variables'!$F87,+IF(P$18='5.Variables'!$B$90,+'5.Variables'!$F101,+IF(P$18='5.Variables'!$B$104,+'5.Variables'!$F115,0))))))</f>
        <v>330.66666666666669</v>
      </c>
      <c r="Q131" s="242"/>
      <c r="R131" s="260">
        <f t="shared" si="9"/>
        <v>20100264.000045672</v>
      </c>
      <c r="S131" s="262"/>
      <c r="T131" s="242"/>
      <c r="U131" s="242"/>
      <c r="V131" s="242"/>
      <c r="W131" s="242"/>
      <c r="X131" s="242"/>
      <c r="Y131" s="242"/>
      <c r="Z131" s="242"/>
      <c r="AA131" s="242"/>
      <c r="AB131" s="242"/>
      <c r="AC131" s="242"/>
      <c r="AD131" s="242"/>
      <c r="AE131" s="242"/>
      <c r="AF131" s="242"/>
      <c r="AG131" s="242"/>
      <c r="AH131" s="242"/>
      <c r="AI131" s="242"/>
      <c r="AJ131" s="242"/>
      <c r="AK131" s="242"/>
      <c r="AL131" s="242"/>
      <c r="AM131" s="242"/>
    </row>
    <row r="132" spans="1:39" x14ac:dyDescent="0.2">
      <c r="A132" s="500">
        <f t="shared" si="10"/>
        <v>113</v>
      </c>
      <c r="B132" s="259" t="str">
        <f>CONCATENATE('3. Consumption by Rate Class'!B137,"-",'3. Consumption by Rate Class'!C137)</f>
        <v>2015-May</v>
      </c>
      <c r="C132" s="670">
        <f>18576601.11+F132</f>
        <v>18913830.300000001</v>
      </c>
      <c r="D132" s="826"/>
      <c r="E132" s="827">
        <v>1557973.59</v>
      </c>
      <c r="F132" s="826">
        <v>337229.19</v>
      </c>
      <c r="G132" s="826">
        <f>'A - CDM Adjustment'!E75</f>
        <v>108358.97435897433</v>
      </c>
      <c r="H132" s="677"/>
      <c r="I132" s="677"/>
      <c r="J132" s="550">
        <f t="shared" si="8"/>
        <v>17801444.874358978</v>
      </c>
      <c r="K132" s="697">
        <f>IF(K$18='5.Variables'!$B$16,+'5.Variables'!$G36,+IF(K$18='5.Variables'!$B$39,+'5.Variables'!$G59,+IF(K$18='5.Variables'!$B$62,+'5.Variables'!$G73,+IF(K$18='5.Variables'!$B$76,+'5.Variables'!$G87,+IF(K$18='5.Variables'!$B$90,+'5.Variables'!$G101,+IF(K$18='5.Variables'!$B$104,+'5.Variables'!$G115,0))))))</f>
        <v>183.4</v>
      </c>
      <c r="L132" s="697">
        <f>IF(L$18='5.Variables'!$B$16,+'5.Variables'!$G35,+IF(L$18='5.Variables'!$B$39,+'5.Variables'!$G59,+IF(L$18='5.Variables'!$B$62,+'5.Variables'!$G73,+IF(L$18='5.Variables'!$B$76,+'5.Variables'!$G87,+IF(L$18='5.Variables'!$B$90,+'5.Variables'!$G101,+IF(L$18='5.Variables'!$B$104,+'5.Variables'!$G115,0))))))</f>
        <v>0</v>
      </c>
      <c r="M132" s="697">
        <f>IF(M$18='5.Variables'!$B$16,+'5.Variables'!$G35,+IF(M$18='5.Variables'!$B$39,+'5.Variables'!$G59,+IF(M$18='5.Variables'!$B$62,+'5.Variables'!$G73,+IF(M$18='5.Variables'!$B$76,+'5.Variables'!$G87,+IF(M$18='5.Variables'!$B$90,+'5.Variables'!$G101,+IF(M$18='5.Variables'!$B$104,+'5.Variables'!$G115,0))))))</f>
        <v>31</v>
      </c>
      <c r="N132" s="697">
        <f>IF(N$18='5.Variables'!$B$16,+'5.Variables'!$G35,+IF(N$18='5.Variables'!$B$39,+'5.Variables'!$G59,+IF(N$18='5.Variables'!$B$62,+'5.Variables'!$G73,+IF(N$18='5.Variables'!$B$76,+'5.Variables'!$G87,+IF(N$18='5.Variables'!$B$90,+'5.Variables'!$G101,+IF(N$18='5.Variables'!$B$104,+'5.Variables'!$G115,0))))))</f>
        <v>140.66666666666666</v>
      </c>
      <c r="O132" s="697">
        <f>IF(O$18='5.Variables'!$B$16,+'5.Variables'!$G35,+IF(O$18='5.Variables'!$B$39,+'5.Variables'!$G59,+IF(O$18='5.Variables'!$B$62,+'5.Variables'!$G73,+IF(O$18='5.Variables'!$B$76,+'5.Variables'!$G87,+IF(O$18='5.Variables'!$B$90,+'5.Variables'!$G101,+IF(O$18='5.Variables'!$B$104,+'5.Variables'!$G115,0))))))</f>
        <v>0</v>
      </c>
      <c r="P132" s="697">
        <f>IF(P$18='5.Variables'!$B$16,+'5.Variables'!$G35,+IF(P$18='5.Variables'!$B$39,+'5.Variables'!$G59,+IF(P$18='5.Variables'!$B$62,+'5.Variables'!$G73,+IF(P$18='5.Variables'!$B$76,+'5.Variables'!$G87,+IF(P$18='5.Variables'!$B$90,+'5.Variables'!$G101,+IF(P$18='5.Variables'!$B$104,+'5.Variables'!$G115,0))))))</f>
        <v>339.55555555555554</v>
      </c>
      <c r="Q132" s="242"/>
      <c r="R132" s="260">
        <f t="shared" si="9"/>
        <v>19460097.596103791</v>
      </c>
      <c r="S132" s="262"/>
      <c r="T132" s="242"/>
      <c r="U132" s="242"/>
      <c r="V132" s="242"/>
      <c r="W132" s="242"/>
      <c r="X132" s="242"/>
      <c r="Y132" s="242"/>
      <c r="Z132" s="242"/>
      <c r="AA132" s="242"/>
      <c r="AB132" s="242"/>
      <c r="AC132" s="242"/>
      <c r="AD132" s="242"/>
      <c r="AE132" s="242"/>
      <c r="AF132" s="242"/>
      <c r="AG132" s="242"/>
      <c r="AH132" s="242"/>
      <c r="AI132" s="242"/>
      <c r="AJ132" s="242"/>
      <c r="AK132" s="242"/>
      <c r="AL132" s="242"/>
      <c r="AM132" s="242"/>
    </row>
    <row r="133" spans="1:39" x14ac:dyDescent="0.2">
      <c r="A133" s="500">
        <f t="shared" si="10"/>
        <v>114</v>
      </c>
      <c r="B133" s="259" t="str">
        <f>CONCATENATE('3. Consumption by Rate Class'!B138,"-",'3. Consumption by Rate Class'!C138)</f>
        <v>2015-June</v>
      </c>
      <c r="C133" s="670">
        <f>19026485.85+F133</f>
        <v>19352885.700000003</v>
      </c>
      <c r="D133" s="826"/>
      <c r="E133" s="827">
        <v>1652810.1</v>
      </c>
      <c r="F133" s="826">
        <v>326399.84999999998</v>
      </c>
      <c r="G133" s="826">
        <f>'A - CDM Adjustment'!E76</f>
        <v>130030.76923076919</v>
      </c>
      <c r="H133" s="677"/>
      <c r="I133" s="677"/>
      <c r="J133" s="550">
        <f t="shared" si="8"/>
        <v>18156506.219230771</v>
      </c>
      <c r="K133" s="697">
        <f>IF(K$18='5.Variables'!$B$16,+'5.Variables'!$H36,+IF(K$18='5.Variables'!$B$39,+'5.Variables'!$H59,+IF(K$18='5.Variables'!$B$62,+'5.Variables'!$H73,+IF(K$18='5.Variables'!$B$76,+'5.Variables'!$H87,+IF(K$18='5.Variables'!$B$90,+'5.Variables'!$H101,+IF(K$18='5.Variables'!$B$104,+'5.Variables'!$H115,0))))))</f>
        <v>88.3</v>
      </c>
      <c r="L133" s="697">
        <f>IF(L$18='5.Variables'!$B$16,+'5.Variables'!$H35,+IF(L$18='5.Variables'!$B$39,+'5.Variables'!$H59,+IF(L$18='5.Variables'!$B$62,+'5.Variables'!$H73,+IF(L$18='5.Variables'!$B$76,+'5.Variables'!$H87,+IF(L$18='5.Variables'!$B$90,+'5.Variables'!$H101,+IF(L$18='5.Variables'!$B$104,+'5.Variables'!$H115,0))))))</f>
        <v>5.6</v>
      </c>
      <c r="M133" s="697">
        <f>IF(M$18='5.Variables'!$B$16,+'5.Variables'!$H35,+IF(M$18='5.Variables'!$B$39,+'5.Variables'!$H59,+IF(M$18='5.Variables'!$B$62,+'5.Variables'!$H73,+IF(M$18='5.Variables'!$B$76,+'5.Variables'!$H87,+IF(M$18='5.Variables'!$B$90,+'5.Variables'!$H101,+IF(M$18='5.Variables'!$B$104,+'5.Variables'!$H115,0))))))</f>
        <v>30</v>
      </c>
      <c r="N133" s="697">
        <f>IF(N$18='5.Variables'!$B$16,+'5.Variables'!$H35,+IF(N$18='5.Variables'!$B$39,+'5.Variables'!$H59,+IF(N$18='5.Variables'!$B$62,+'5.Variables'!$H73,+IF(N$18='5.Variables'!$B$76,+'5.Variables'!$H87,+IF(N$18='5.Variables'!$B$90,+'5.Variables'!$H101,+IF(N$18='5.Variables'!$B$104,+'5.Variables'!$H115,0))))))</f>
        <v>140.82222222222219</v>
      </c>
      <c r="O133" s="697">
        <f>IF(O$18='5.Variables'!$B$16,+'5.Variables'!$H35,+IF(O$18='5.Variables'!$B$39,+'5.Variables'!$H59,+IF(O$18='5.Variables'!$B$62,+'5.Variables'!$H73,+IF(O$18='5.Variables'!$B$76,+'5.Variables'!$H87,+IF(O$18='5.Variables'!$B$90,+'5.Variables'!$H101,+IF(O$18='5.Variables'!$B$104,+'5.Variables'!$H115,0))))))</f>
        <v>0</v>
      </c>
      <c r="P133" s="697">
        <f>IF(P$18='5.Variables'!$B$16,+'5.Variables'!$H35,+IF(P$18='5.Variables'!$B$39,+'5.Variables'!$H59,+IF(P$18='5.Variables'!$B$62,+'5.Variables'!$H73,+IF(P$18='5.Variables'!$B$76,+'5.Variables'!$H87,+IF(P$18='5.Variables'!$B$90,+'5.Variables'!$H101,+IF(P$18='5.Variables'!$B$104,+'5.Variables'!$H115,0))))))</f>
        <v>339.55555555555554</v>
      </c>
      <c r="Q133" s="242"/>
      <c r="R133" s="260">
        <f t="shared" si="9"/>
        <v>18688241.593299769</v>
      </c>
      <c r="S133" s="262"/>
      <c r="T133" s="242"/>
      <c r="U133" s="242"/>
      <c r="V133" s="242"/>
      <c r="W133" s="242"/>
      <c r="X133" s="242"/>
      <c r="Y133" s="242"/>
      <c r="Z133" s="242"/>
      <c r="AA133" s="242"/>
      <c r="AB133" s="242"/>
      <c r="AC133" s="242"/>
      <c r="AD133" s="242"/>
      <c r="AE133" s="242"/>
      <c r="AF133" s="242"/>
      <c r="AG133" s="242"/>
      <c r="AH133" s="242"/>
      <c r="AI133" s="242"/>
      <c r="AJ133" s="242"/>
      <c r="AK133" s="242"/>
      <c r="AL133" s="242"/>
      <c r="AM133" s="242"/>
    </row>
    <row r="134" spans="1:39" x14ac:dyDescent="0.2">
      <c r="A134" s="500">
        <f t="shared" si="10"/>
        <v>115</v>
      </c>
      <c r="B134" s="259" t="str">
        <f>CONCATENATE('3. Consumption by Rate Class'!B139,"-",'3. Consumption by Rate Class'!C139)</f>
        <v>2015-July</v>
      </c>
      <c r="C134" s="672">
        <f>20495166.43+F134</f>
        <v>21020965.309999999</v>
      </c>
      <c r="D134" s="826"/>
      <c r="E134" s="827">
        <v>1374191.59</v>
      </c>
      <c r="F134" s="826">
        <v>525798.88</v>
      </c>
      <c r="G134" s="826">
        <f>'A - CDM Adjustment'!E77</f>
        <v>151702.56410256404</v>
      </c>
      <c r="H134" s="677"/>
      <c r="I134" s="677"/>
      <c r="J134" s="550">
        <f t="shared" si="8"/>
        <v>20324275.164102562</v>
      </c>
      <c r="K134" s="697">
        <f>IF(K$18='5.Variables'!$B$16,+'5.Variables'!$I35,+IF(K$18='5.Variables'!$B$39,+'5.Variables'!$I59,+IF(K$18='5.Variables'!$B$62,+'5.Variables'!$I73,+IF(K$18='5.Variables'!$B$76,+'5.Variables'!$I87,+IF(K$18='5.Variables'!$B$90,+'5.Variables'!$I101,+IF(K$18='5.Variables'!$B$104,+'5.Variables'!$I115,0))))))</f>
        <v>36.9</v>
      </c>
      <c r="L134" s="697">
        <f>IF(L$18='5.Variables'!$B$16,+'5.Variables'!$I35,+IF(L$18='5.Variables'!$B$39,+'5.Variables'!$I59,+IF(L$18='5.Variables'!$B$62,+'5.Variables'!$I73,+IF(L$18='5.Variables'!$B$76,+'5.Variables'!$I87,+IF(L$18='5.Variables'!$B$90,+'5.Variables'!$I101,+IF(L$18='5.Variables'!$B$104,+'5.Variables'!$I115,0))))))</f>
        <v>37</v>
      </c>
      <c r="M134" s="697">
        <f>IF(M$18='5.Variables'!$B$16,+'5.Variables'!$I35,+IF(M$18='5.Variables'!$B$39,+'5.Variables'!$I59,+IF(M$18='5.Variables'!$B$62,+'5.Variables'!$I73,+IF(M$18='5.Variables'!$B$76,+'5.Variables'!$I87,+IF(M$18='5.Variables'!$B$90,+'5.Variables'!$I101,+IF(M$18='5.Variables'!$B$104,+'5.Variables'!$I115,0))))))</f>
        <v>31</v>
      </c>
      <c r="N134" s="697">
        <f>IF(N$18='5.Variables'!$B$16,+'5.Variables'!$I35,+IF(N$18='5.Variables'!$B$39,+'5.Variables'!$I59,+IF(N$18='5.Variables'!$B$62,+'5.Variables'!$I73,+IF(N$18='5.Variables'!$B$76,+'5.Variables'!$I87,+IF(N$18='5.Variables'!$B$90,+'5.Variables'!$I101,+IF(N$18='5.Variables'!$B$104,+'5.Variables'!$I115,0))))))</f>
        <v>140.96444444444444</v>
      </c>
      <c r="O134" s="697">
        <f>IF(O$18='5.Variables'!$B$16,+'5.Variables'!$I35,+IF(O$18='5.Variables'!$B$39,+'5.Variables'!$I59,+IF(O$18='5.Variables'!$B$62,+'5.Variables'!$I73,+IF(O$18='5.Variables'!$B$76,+'5.Variables'!$I87,+IF(O$18='5.Variables'!$B$90,+'5.Variables'!$I101,+IF(O$18='5.Variables'!$B$104,+'5.Variables'!$I115,0))))))</f>
        <v>0</v>
      </c>
      <c r="P134" s="697">
        <f>IF(P$18='5.Variables'!$B$16,+'5.Variables'!$I35,+IF(P$18='5.Variables'!$B$39,+'5.Variables'!$I59,+IF(P$18='5.Variables'!$B$62,+'5.Variables'!$I73,+IF(P$18='5.Variables'!$B$76,+'5.Variables'!$I87,+IF(P$18='5.Variables'!$B$90,+'5.Variables'!$I101,+IF(P$18='5.Variables'!$B$104,+'5.Variables'!$I115,0))))))</f>
        <v>343.11111111111109</v>
      </c>
      <c r="Q134" s="242"/>
      <c r="R134" s="260">
        <f t="shared" si="9"/>
        <v>20014100.740671888</v>
      </c>
      <c r="S134" s="262"/>
      <c r="T134" s="242"/>
      <c r="U134" s="242"/>
      <c r="V134" s="242"/>
      <c r="W134" s="242"/>
      <c r="X134" s="242"/>
      <c r="Y134" s="242"/>
      <c r="Z134" s="242"/>
      <c r="AA134" s="242"/>
      <c r="AB134" s="242"/>
      <c r="AC134" s="242"/>
      <c r="AD134" s="242"/>
      <c r="AE134" s="242"/>
      <c r="AF134" s="242"/>
      <c r="AG134" s="242"/>
      <c r="AH134" s="242"/>
      <c r="AI134" s="242"/>
      <c r="AJ134" s="242"/>
      <c r="AK134" s="242"/>
      <c r="AL134" s="242"/>
      <c r="AM134" s="242"/>
    </row>
    <row r="135" spans="1:39" x14ac:dyDescent="0.2">
      <c r="A135" s="500">
        <f t="shared" si="10"/>
        <v>116</v>
      </c>
      <c r="B135" s="259" t="str">
        <f>CONCATENATE('3. Consumption by Rate Class'!B140,"-",'3. Consumption by Rate Class'!C140)</f>
        <v>2015-August</v>
      </c>
      <c r="C135" s="672">
        <f>20293688.65+F135</f>
        <v>20743590.419999998</v>
      </c>
      <c r="D135" s="826"/>
      <c r="E135" s="827">
        <v>1178553.8500000001</v>
      </c>
      <c r="F135" s="826">
        <v>449901.77</v>
      </c>
      <c r="G135" s="826">
        <f>'A - CDM Adjustment'!E78</f>
        <v>173374.35897435891</v>
      </c>
      <c r="H135" s="677"/>
      <c r="I135" s="677"/>
      <c r="J135" s="550">
        <f t="shared" si="8"/>
        <v>20188312.698974356</v>
      </c>
      <c r="K135" s="697">
        <f>IF(K$18='5.Variables'!$B$16,+'5.Variables'!$J36,+IF(K$18='5.Variables'!$B$39,+'5.Variables'!$J59,+IF(K$18='5.Variables'!$B$62,+'5.Variables'!$J73,+IF(K$18='5.Variables'!$B$76,+'5.Variables'!$J87,+IF(K$18='5.Variables'!$B$90,+'5.Variables'!$J101,+IF(K$18='5.Variables'!$B$104,+'5.Variables'!$J115,0))))))</f>
        <v>12.9</v>
      </c>
      <c r="L135" s="697">
        <f>IF(L$18='5.Variables'!$B$16,+'5.Variables'!$J35,+IF(L$18='5.Variables'!$B$39,+'5.Variables'!$J59,+IF(L$18='5.Variables'!$B$62,+'5.Variables'!$J73,+IF(L$18='5.Variables'!$B$76,+'5.Variables'!$J87,+IF(L$18='5.Variables'!$B$90,+'5.Variables'!$J101,+IF(L$18='5.Variables'!$B$104,+'5.Variables'!$J115,0))))))</f>
        <v>44.7</v>
      </c>
      <c r="M135" s="697">
        <f>IF(M$18='5.Variables'!$B$16,+'5.Variables'!$J35,+IF(M$18='5.Variables'!$B$39,+'5.Variables'!$J59,+IF(M$18='5.Variables'!$B$62,+'5.Variables'!$J73,+IF(M$18='5.Variables'!$B$76,+'5.Variables'!$J87,+IF(M$18='5.Variables'!$B$90,+'5.Variables'!$J101,+IF(M$18='5.Variables'!$B$104,+'5.Variables'!$J115,0))))))</f>
        <v>31</v>
      </c>
      <c r="N135" s="697">
        <f>IF(N$18='5.Variables'!$B$16,+'5.Variables'!$J35,+IF(N$18='5.Variables'!$B$39,+'5.Variables'!$J59,+IF(N$18='5.Variables'!$B$62,+'5.Variables'!$J73,+IF(N$18='5.Variables'!$B$76,+'5.Variables'!$J87,+IF(N$18='5.Variables'!$B$90,+'5.Variables'!$J101,+IF(N$18='5.Variables'!$B$104,+'5.Variables'!$J115,0))))))</f>
        <v>141.1311111111111</v>
      </c>
      <c r="O135" s="697">
        <f>IF(O$18='5.Variables'!$B$16,+'5.Variables'!$J35,+IF(O$18='5.Variables'!$B$39,+'5.Variables'!$J59,+IF(O$18='5.Variables'!$B$62,+'5.Variables'!$J73,+IF(O$18='5.Variables'!$B$76,+'5.Variables'!$J87,+IF(O$18='5.Variables'!$B$90,+'5.Variables'!$J101,+IF(O$18='5.Variables'!$B$104,+'5.Variables'!$J115,0))))))</f>
        <v>0</v>
      </c>
      <c r="P135" s="697">
        <f>IF(P$18='5.Variables'!$B$16,+'5.Variables'!$J35,+IF(P$18='5.Variables'!$B$39,+'5.Variables'!$J59,+IF(P$18='5.Variables'!$B$62,+'5.Variables'!$J73,+IF(P$18='5.Variables'!$B$76,+'5.Variables'!$J87,+IF(P$18='5.Variables'!$B$90,+'5.Variables'!$J101,+IF(P$18='5.Variables'!$B$104,+'5.Variables'!$J115,0))))))</f>
        <v>334.22222222222223</v>
      </c>
      <c r="Q135" s="242"/>
      <c r="R135" s="260">
        <f t="shared" si="9"/>
        <v>20101483.462164268</v>
      </c>
      <c r="S135" s="262"/>
      <c r="T135" s="242"/>
      <c r="U135" s="242"/>
      <c r="V135" s="242"/>
      <c r="W135" s="242"/>
      <c r="X135" s="242"/>
      <c r="Y135" s="242"/>
      <c r="Z135" s="242"/>
      <c r="AA135" s="242"/>
      <c r="AB135" s="242"/>
      <c r="AC135" s="242"/>
      <c r="AD135" s="242"/>
      <c r="AE135" s="242"/>
      <c r="AF135" s="242"/>
      <c r="AG135" s="242"/>
      <c r="AH135" s="242"/>
      <c r="AI135" s="242"/>
      <c r="AJ135" s="242"/>
      <c r="AK135" s="242"/>
      <c r="AL135" s="242"/>
      <c r="AM135" s="242"/>
    </row>
    <row r="136" spans="1:39" x14ac:dyDescent="0.2">
      <c r="A136" s="500">
        <f t="shared" si="10"/>
        <v>117</v>
      </c>
      <c r="B136" s="259" t="str">
        <f>CONCATENATE('3. Consumption by Rate Class'!B141,"-",'3. Consumption by Rate Class'!C141)</f>
        <v>2015-September</v>
      </c>
      <c r="C136" s="672">
        <f>20207479.83+F136</f>
        <v>20566313.5</v>
      </c>
      <c r="D136" s="826"/>
      <c r="E136" s="827">
        <v>1313341.02</v>
      </c>
      <c r="F136" s="826">
        <v>358833.67</v>
      </c>
      <c r="G136" s="826">
        <f>'A - CDM Adjustment'!E79</f>
        <v>195046.15384615376</v>
      </c>
      <c r="H136" s="677"/>
      <c r="I136" s="677"/>
      <c r="J136" s="550">
        <f t="shared" si="8"/>
        <v>19806852.303846154</v>
      </c>
      <c r="K136" s="697">
        <f>IF(K$18='5.Variables'!$B$16,+'5.Variables'!$K36,+IF(K$18='5.Variables'!$B$39,+'5.Variables'!$K59,+IF(K$18='5.Variables'!$B$62,+'5.Variables'!$K73,+IF(K$18='5.Variables'!$B$76,+'5.Variables'!$K87,+IF(K$18='5.Variables'!$B$90,+'5.Variables'!$K101,+IF(K$18='5.Variables'!$B$104,+'5.Variables'!$K115,0))))))</f>
        <v>43.1</v>
      </c>
      <c r="L136" s="697">
        <f>IF(L$18='5.Variables'!$B$16,+'5.Variables'!$K35,+IF(L$18='5.Variables'!$B$39,+'5.Variables'!$K59,+IF(L$18='5.Variables'!$B$62,+'5.Variables'!$K73,+IF(L$18='5.Variables'!$B$76,+'5.Variables'!$K87,+IF(L$18='5.Variables'!$B$90,+'5.Variables'!$K101,+IF(L$18='5.Variables'!$B$104,+'5.Variables'!$K115,0))))))</f>
        <v>41.7</v>
      </c>
      <c r="M136" s="697">
        <f>IF(M$18='5.Variables'!$B$16,+'5.Variables'!$K35,+IF(M$18='5.Variables'!$B$39,+'5.Variables'!$K59,+IF(M$18='5.Variables'!$B$62,+'5.Variables'!$K73,+IF(M$18='5.Variables'!$B$76,+'5.Variables'!$K87,+IF(M$18='5.Variables'!$B$90,+'5.Variables'!$K101,+IF(M$18='5.Variables'!$B$104,+'5.Variables'!$K115,0))))))</f>
        <v>30</v>
      </c>
      <c r="N136" s="697">
        <f>IF(N$18='5.Variables'!$B$16,+'5.Variables'!$K35,+IF(N$18='5.Variables'!$B$39,+'5.Variables'!$K59,+IF(N$18='5.Variables'!$B$62,+'5.Variables'!$K73,+IF(N$18='5.Variables'!$B$76,+'5.Variables'!$K87,+IF(N$18='5.Variables'!$B$90,+'5.Variables'!$K101,+IF(N$18='5.Variables'!$B$104,+'5.Variables'!$K115,0))))))</f>
        <v>141.27555555555554</v>
      </c>
      <c r="O136" s="697">
        <f>IF(O$18='5.Variables'!$B$16,+'5.Variables'!$K35,+IF(O$18='5.Variables'!$B$39,+'5.Variables'!$K59,+IF(O$18='5.Variables'!$B$62,+'5.Variables'!$K73,+IF(O$18='5.Variables'!$B$76,+'5.Variables'!$K87,+IF(O$18='5.Variables'!$B$90,+'5.Variables'!$K101,+IF(O$18='5.Variables'!$B$104,+'5.Variables'!$K115,0))))))</f>
        <v>0</v>
      </c>
      <c r="P136" s="697">
        <f>IF(P$18='5.Variables'!$B$16,+'5.Variables'!$K35,+IF(P$18='5.Variables'!$B$39,+'5.Variables'!$K59,+IF(P$18='5.Variables'!$B$62,+'5.Variables'!$K73,+IF(P$18='5.Variables'!$B$76,+'5.Variables'!$K87,+IF(P$18='5.Variables'!$B$90,+'5.Variables'!$K101,+IF(P$18='5.Variables'!$B$104,+'5.Variables'!$K115,0))))))</f>
        <v>325.33333333333331</v>
      </c>
      <c r="Q136" s="242"/>
      <c r="R136" s="260">
        <f t="shared" si="9"/>
        <v>19735760.13137801</v>
      </c>
      <c r="S136" s="262"/>
      <c r="T136" s="242"/>
      <c r="U136" s="242"/>
      <c r="V136" s="242"/>
      <c r="W136" s="242"/>
      <c r="X136" s="242"/>
      <c r="Y136" s="242"/>
      <c r="Z136" s="242"/>
      <c r="AA136" s="242"/>
      <c r="AB136" s="242"/>
      <c r="AC136" s="242"/>
      <c r="AD136" s="242"/>
      <c r="AE136" s="242"/>
      <c r="AF136" s="242"/>
      <c r="AG136" s="242"/>
      <c r="AH136" s="242"/>
      <c r="AI136" s="242"/>
      <c r="AJ136" s="242"/>
      <c r="AK136" s="242"/>
      <c r="AL136" s="242"/>
      <c r="AM136" s="242"/>
    </row>
    <row r="137" spans="1:39" x14ac:dyDescent="0.2">
      <c r="A137" s="500">
        <f t="shared" si="10"/>
        <v>118</v>
      </c>
      <c r="B137" s="259" t="str">
        <f>CONCATENATE('3. Consumption by Rate Class'!B142,"-",'3. Consumption by Rate Class'!C142)</f>
        <v>2015-October</v>
      </c>
      <c r="C137" s="672">
        <f>19050393.31+F137</f>
        <v>19315191.379999999</v>
      </c>
      <c r="D137" s="826"/>
      <c r="E137" s="827">
        <v>1040675.25</v>
      </c>
      <c r="F137" s="826">
        <v>264798.07</v>
      </c>
      <c r="G137" s="826">
        <f>'A - CDM Adjustment'!E80</f>
        <v>216717.94871794863</v>
      </c>
      <c r="H137" s="677"/>
      <c r="I137" s="677"/>
      <c r="J137" s="550">
        <f t="shared" si="8"/>
        <v>18756032.148717947</v>
      </c>
      <c r="K137" s="697">
        <f>IF(K$18='5.Variables'!$B$16,+'5.Variables'!$L36,+IF(K$18='5.Variables'!$B$39,+'5.Variables'!$L59,+IF(K$18='5.Variables'!$B$62,+'5.Variables'!$L73,+IF(K$18='5.Variables'!$B$76,+'5.Variables'!$L87,+IF(K$18='5.Variables'!$B$90,+'5.Variables'!$L101,+IF(K$18='5.Variables'!$B$104,+'5.Variables'!$L115,0))))))</f>
        <v>271.10000000000002</v>
      </c>
      <c r="L137" s="697">
        <f>IF(L$18='5.Variables'!$B$16,+'5.Variables'!$L35,+IF(L$18='5.Variables'!$B$39,+'5.Variables'!$L59,+IF(L$18='5.Variables'!$B$62,+'5.Variables'!$L73,+IF(L$18='5.Variables'!$B$76,+'5.Variables'!$L87,+IF(L$18='5.Variables'!$B$90,+'5.Variables'!$L101,+IF(L$18='5.Variables'!$B$104,+'5.Variables'!$L115,0))))))</f>
        <v>0</v>
      </c>
      <c r="M137" s="697">
        <f>IF(M$18='5.Variables'!$B$16,+'5.Variables'!$L35,+IF(M$18='5.Variables'!$B$39,+'5.Variables'!$L59,+IF(M$18='5.Variables'!$B$62,+'5.Variables'!$L73,+IF(M$18='5.Variables'!$B$76,+'5.Variables'!$L87,+IF(M$18='5.Variables'!$B$90,+'5.Variables'!$L101,+IF(M$18='5.Variables'!$B$104,+'5.Variables'!$L115,0))))))</f>
        <v>31</v>
      </c>
      <c r="N137" s="697">
        <f>IF(N$18='5.Variables'!$B$16,+'5.Variables'!$L35,+IF(N$18='5.Variables'!$B$39,+'5.Variables'!$L59,+IF(N$18='5.Variables'!$B$62,+'5.Variables'!$L73,+IF(N$18='5.Variables'!$B$76,+'5.Variables'!$L87,+IF(N$18='5.Variables'!$B$90,+'5.Variables'!$L101,+IF(N$18='5.Variables'!$B$104,+'5.Variables'!$L115,0))))))</f>
        <v>141.44222222222223</v>
      </c>
      <c r="O137" s="697">
        <f>IF(O$18='5.Variables'!$B$16,+'5.Variables'!$L35,+IF(O$18='5.Variables'!$B$39,+'5.Variables'!$L59,+IF(O$18='5.Variables'!$B$62,+'5.Variables'!$L73,+IF(O$18='5.Variables'!$B$76,+'5.Variables'!$L87,+IF(O$18='5.Variables'!$B$90,+'5.Variables'!$L101,+IF(O$18='5.Variables'!$B$104,+'5.Variables'!$L115,0))))))</f>
        <v>0</v>
      </c>
      <c r="P137" s="697">
        <f>IF(P$18='5.Variables'!$B$16,+'5.Variables'!$L35,+IF(P$18='5.Variables'!$B$39,+'5.Variables'!$L59,+IF(P$18='5.Variables'!$B$62,+'5.Variables'!$L73,+IF(P$18='5.Variables'!$B$76,+'5.Variables'!$L87,+IF(P$18='5.Variables'!$B$90,+'5.Variables'!$L101,+IF(P$18='5.Variables'!$B$104,+'5.Variables'!$L115,0))))))</f>
        <v>344.88888888888891</v>
      </c>
      <c r="Q137" s="242"/>
      <c r="R137" s="260">
        <f t="shared" si="9"/>
        <v>20094794.148942653</v>
      </c>
      <c r="S137" s="262"/>
      <c r="T137" s="242"/>
      <c r="U137" s="242"/>
      <c r="V137" s="242"/>
      <c r="W137" s="242"/>
      <c r="X137" s="242"/>
      <c r="Y137" s="242"/>
      <c r="Z137" s="242"/>
      <c r="AA137" s="242"/>
      <c r="AB137" s="242"/>
      <c r="AC137" s="242"/>
      <c r="AD137" s="242"/>
      <c r="AE137" s="242"/>
      <c r="AF137" s="242"/>
      <c r="AG137" s="242"/>
      <c r="AH137" s="242"/>
      <c r="AI137" s="242"/>
      <c r="AJ137" s="242"/>
      <c r="AK137" s="242"/>
      <c r="AL137" s="242"/>
      <c r="AM137" s="242"/>
    </row>
    <row r="138" spans="1:39" x14ac:dyDescent="0.2">
      <c r="A138" s="500">
        <f t="shared" si="10"/>
        <v>119</v>
      </c>
      <c r="B138" s="259" t="str">
        <f>CONCATENATE('3. Consumption by Rate Class'!B143,"-",'3. Consumption by Rate Class'!C143)</f>
        <v>2015-November</v>
      </c>
      <c r="C138" s="672">
        <f>19373156.13+F138</f>
        <v>19532582.219999999</v>
      </c>
      <c r="D138" s="826"/>
      <c r="E138" s="827">
        <v>946641.6</v>
      </c>
      <c r="F138" s="826">
        <v>159426.09</v>
      </c>
      <c r="G138" s="826">
        <f>'A - CDM Adjustment'!E81</f>
        <v>238389.74358974351</v>
      </c>
      <c r="H138" s="677"/>
      <c r="I138" s="677"/>
      <c r="J138" s="550">
        <f t="shared" si="8"/>
        <v>18983756.453589741</v>
      </c>
      <c r="K138" s="697">
        <f>IF(K$18='5.Variables'!$B$16,+'5.Variables'!$M36,+IF(K$18='5.Variables'!$B$39,+'5.Variables'!$M59,+IF(K$18='5.Variables'!$B$62,+'5.Variables'!$M73,+IF(K$18='5.Variables'!$B$76,+'5.Variables'!$M87,+IF(K$18='5.Variables'!$B$90,+'5.Variables'!$M101,+IF(K$18='5.Variables'!$B$104,+'5.Variables'!$M115,0))))))</f>
        <v>349.8</v>
      </c>
      <c r="L138" s="697">
        <f>IF(L$18='5.Variables'!$B$16,+'5.Variables'!$M35,+IF(L$18='5.Variables'!$B$39,+'5.Variables'!$M59,+IF(L$18='5.Variables'!$B$62,+'5.Variables'!$M73,+IF(L$18='5.Variables'!$B$76,+'5.Variables'!$M87,+IF(L$18='5.Variables'!$B$90,+'5.Variables'!$M101,+IF(L$18='5.Variables'!$B$104,+'5.Variables'!$M115,0))))))</f>
        <v>0</v>
      </c>
      <c r="M138" s="697">
        <f>IF(M$18='5.Variables'!$B$16,+'5.Variables'!$M35,+IF(M$18='5.Variables'!$B$39,+'5.Variables'!$M59,+IF(M$18='5.Variables'!$B$62,+'5.Variables'!$M73,+IF(M$18='5.Variables'!$B$76,+'5.Variables'!$M87,+IF(M$18='5.Variables'!$B$90,+'5.Variables'!$M101,+IF(M$18='5.Variables'!$B$104,+'5.Variables'!$M115,0))))))</f>
        <v>30</v>
      </c>
      <c r="N138" s="697">
        <f>IF(N$18='5.Variables'!$B$16,+'5.Variables'!$M35,+IF(N$18='5.Variables'!$B$39,+'5.Variables'!$M59,+IF(N$18='5.Variables'!$B$62,+'5.Variables'!$M73,+IF(N$18='5.Variables'!$B$76,+'5.Variables'!$M87,+IF(N$18='5.Variables'!$B$90,+'5.Variables'!$M101,+IF(N$18='5.Variables'!$B$104,+'5.Variables'!$M115,0))))))</f>
        <v>141.60999999999999</v>
      </c>
      <c r="O138" s="697">
        <f>IF(O$18='5.Variables'!$B$16,+'5.Variables'!$M35,+IF(O$18='5.Variables'!$B$39,+'5.Variables'!$M59,+IF(O$18='5.Variables'!$B$62,+'5.Variables'!$M73,+IF(O$18='5.Variables'!$B$76,+'5.Variables'!$M87,+IF(O$18='5.Variables'!$B$90,+'5.Variables'!$M101,+IF(O$18='5.Variables'!$B$104,+'5.Variables'!$M115,0))))))</f>
        <v>0</v>
      </c>
      <c r="P138" s="697">
        <f>IF(P$18='5.Variables'!$B$16,+'5.Variables'!$M35,+IF(P$18='5.Variables'!$B$39,+'5.Variables'!$M59,+IF(P$18='5.Variables'!$B$62,+'5.Variables'!$M73,+IF(P$18='5.Variables'!$B$76,+'5.Variables'!$M87,+IF(P$18='5.Variables'!$B$90,+'5.Variables'!$M101,+IF(P$18='5.Variables'!$B$104,+'5.Variables'!$M115,0))))))</f>
        <v>330.66666666666669</v>
      </c>
      <c r="Q138" s="242"/>
      <c r="R138" s="260">
        <f t="shared" si="9"/>
        <v>20124597.737740327</v>
      </c>
      <c r="S138" s="262"/>
      <c r="T138" s="242"/>
      <c r="U138" s="242"/>
      <c r="V138" s="242"/>
      <c r="W138" s="242"/>
      <c r="X138" s="242"/>
      <c r="Y138" s="242"/>
      <c r="Z138" s="242"/>
      <c r="AA138" s="242"/>
      <c r="AB138" s="242"/>
      <c r="AC138" s="242"/>
      <c r="AD138" s="242"/>
      <c r="AE138" s="242"/>
      <c r="AF138" s="242"/>
      <c r="AG138" s="242"/>
      <c r="AH138" s="242"/>
      <c r="AI138" s="242"/>
      <c r="AJ138" s="242"/>
      <c r="AK138" s="242"/>
      <c r="AL138" s="242"/>
      <c r="AM138" s="242"/>
    </row>
    <row r="139" spans="1:39" x14ac:dyDescent="0.2">
      <c r="A139" s="500">
        <f t="shared" si="10"/>
        <v>120</v>
      </c>
      <c r="B139" s="519" t="str">
        <f>CONCATENATE('3. Consumption by Rate Class'!B144,"-",'3. Consumption by Rate Class'!C144)</f>
        <v>2015-December</v>
      </c>
      <c r="C139" s="673">
        <f>20176285.65+F139</f>
        <v>20256239.539999999</v>
      </c>
      <c r="D139" s="828"/>
      <c r="E139" s="829">
        <v>904337.68</v>
      </c>
      <c r="F139" s="828">
        <v>79953.89</v>
      </c>
      <c r="G139" s="828">
        <f>'A - CDM Adjustment'!E82</f>
        <v>260061.53846153838</v>
      </c>
      <c r="H139" s="679"/>
      <c r="I139" s="679"/>
      <c r="J139" s="550">
        <f t="shared" si="8"/>
        <v>19691917.28846154</v>
      </c>
      <c r="K139" s="697">
        <f>IF(K$18='5.Variables'!$B$16,+'5.Variables'!$N36,+IF(K$18='5.Variables'!$B$39,+'5.Variables'!$N59,+IF(K$18='5.Variables'!$B$62,+'5.Variables'!$N73,+IF(K$18='5.Variables'!$B$76,+'5.Variables'!$N87,+IF(K$18='5.Variables'!$B$90,+'5.Variables'!$N101,+IF(K$18='5.Variables'!$B$104,+'5.Variables'!$N115,0))))))</f>
        <v>430.8</v>
      </c>
      <c r="L139" s="697">
        <f>IF(L$18='5.Variables'!$B$16,+'5.Variables'!$N35,+IF(L$18='5.Variables'!$B$39,+'5.Variables'!$N59,+IF(L$18='5.Variables'!$B$62,+'5.Variables'!$N73,+IF(L$18='5.Variables'!$B$76,+'5.Variables'!$N87,+IF(L$18='5.Variables'!$B$90,+'5.Variables'!$N101,+IF(L$18='5.Variables'!$B$104,+'5.Variables'!$N115,0))))))</f>
        <v>0</v>
      </c>
      <c r="M139" s="697">
        <f>IF(M$18='5.Variables'!$B$16,+'5.Variables'!$N35,+IF(M$18='5.Variables'!$B$39,+'5.Variables'!$N59,+IF(M$18='5.Variables'!$B$62,+'5.Variables'!$N73,+IF(M$18='5.Variables'!$B$76,+'5.Variables'!$N87,+IF(M$18='5.Variables'!$B$90,+'5.Variables'!$N101,+IF(M$18='5.Variables'!$B$104,+'5.Variables'!$N115,0))))))</f>
        <v>31</v>
      </c>
      <c r="N139" s="697">
        <f>IF(N$18='5.Variables'!$B$16,+'5.Variables'!$N35,+IF(N$18='5.Variables'!$B$39,+'5.Variables'!$N59,+IF(N$18='5.Variables'!$B$62,+'5.Variables'!$N73,+IF(N$18='5.Variables'!$B$76,+'5.Variables'!$N87,+IF(N$18='5.Variables'!$B$90,+'5.Variables'!$N101,+IF(N$18='5.Variables'!$B$104,+'5.Variables'!$N115,0))))))</f>
        <v>141.75444444444443</v>
      </c>
      <c r="O139" s="697">
        <f>IF(O$18='5.Variables'!$B$16,+'5.Variables'!$N35,+IF(O$18='5.Variables'!$B$39,+'5.Variables'!$N59,+IF(O$18='5.Variables'!$B$62,+'5.Variables'!$N73,+IF(O$18='5.Variables'!$B$76,+'5.Variables'!$N87,+IF(O$18='5.Variables'!$B$90,+'5.Variables'!$N101,+IF(O$18='5.Variables'!$B$104,+'5.Variables'!$N115,0))))))</f>
        <v>0</v>
      </c>
      <c r="P139" s="697">
        <f>IF(P$18='5.Variables'!$B$16,+'5.Variables'!$N35,+IF(P$18='5.Variables'!$B$39,+'5.Variables'!$N59,+IF(P$18='5.Variables'!$B$62,+'5.Variables'!$N73,+IF(P$18='5.Variables'!$B$76,+'5.Variables'!$N87,+IF(P$18='5.Variables'!$B$90,+'5.Variables'!$N101,+IF(P$18='5.Variables'!$B$104,+'5.Variables'!$N115,0))))))</f>
        <v>328.88888888888891</v>
      </c>
      <c r="Q139" s="242"/>
      <c r="R139" s="260">
        <f t="shared" si="9"/>
        <v>21022751.478240397</v>
      </c>
      <c r="S139" s="262">
        <f>SUM(R128:R139)</f>
        <v>247399736.29403827</v>
      </c>
      <c r="T139" s="242"/>
      <c r="U139" s="242"/>
      <c r="V139" s="242"/>
      <c r="W139" s="242"/>
      <c r="X139" s="242"/>
      <c r="Y139" s="242"/>
      <c r="Z139" s="242"/>
      <c r="AA139" s="242"/>
      <c r="AB139" s="242"/>
      <c r="AC139" s="242"/>
      <c r="AD139" s="242"/>
      <c r="AE139" s="242"/>
      <c r="AF139" s="242"/>
      <c r="AG139" s="242"/>
      <c r="AH139" s="242"/>
      <c r="AI139" s="242"/>
      <c r="AJ139" s="242"/>
      <c r="AK139" s="242"/>
      <c r="AL139" s="242"/>
      <c r="AM139" s="242"/>
    </row>
    <row r="140" spans="1:39" x14ac:dyDescent="0.2">
      <c r="A140" s="500">
        <f t="shared" si="10"/>
        <v>121</v>
      </c>
      <c r="B140" s="259" t="str">
        <f>CONCATENATE('3. Consumption by Rate Class'!B145,"-",'3. Consumption by Rate Class'!C145)</f>
        <v>2016-January</v>
      </c>
      <c r="C140" s="687"/>
      <c r="D140" s="272"/>
      <c r="E140" s="758"/>
      <c r="F140" s="272"/>
      <c r="G140" s="272"/>
      <c r="H140" s="272"/>
      <c r="I140" s="272"/>
      <c r="J140" s="243"/>
      <c r="K140" s="716">
        <f>IF(K$19=$B$169,+AVERAGE(K20,K32,K44,K56,K68,K80,K92,K104,K116,K128),+IF(K$19=$B$170,+(EXP((LN(+'4. Customer Growth'!$W$42)/12))*$K139),IF($K$19=$B$171,+$A140*$C$176+$D$176,0)))</f>
        <v>705.71</v>
      </c>
      <c r="L140" s="716">
        <f>IF(L$19=$B$169,+AVERAGE(L20,L32,L44,L56,L68,L80,L92,L104,L116,L128),+IF(L$19=$B$170,+(EXP((LN(+'4. Customer Growth'!$W$42)/12))*$K139),IF($L$19=$B$171,+$A140*$C$177+$D$177,0)))</f>
        <v>0</v>
      </c>
      <c r="M140" s="716">
        <f>IF(M$19=$B$169,+AVERAGE(M20,M32,M44,M56,M68,M80,M92,M104,M116,M128),+IF(M$19=$B$170,+(EXP((LN(+'4. Customer Growth'!$W$42)/12))*$K139),IF($M$19=$B$171,+$A140*$C$178+$D$178,0)))</f>
        <v>31</v>
      </c>
      <c r="N140" s="716">
        <f>IF(N$19=$B$169,+AVERAGE(N20,N32,N44,N56,N68,N80,N92,N104,N116,N128),+IF(N$19=$B$170,+(EXP((LN(+'4. Customer Growth'!$W$42)/12))*$K139),IF($N$19=$B$171,+$A140*$C$179+$D$179,0)))</f>
        <v>145.95331123560536</v>
      </c>
      <c r="O140" s="716">
        <f>IF(O$19=$B$169,+AVERAGE(O20,O32,O44,O56,O68,O80,O92,O104,O116,O128),+IF(O$19=$B$170,+(EXP((LN(+'4. Customer Growth'!$W$42)/12))*$O139),IF($O$19=$B$171,+$A140*$C$180+$D$180,0)))</f>
        <v>0</v>
      </c>
      <c r="P140" s="716">
        <f>IF(P$19=$B$169,+AVERAGE(P20,P32,P44,P56,P68,P80,P92,P104,P116,P128),+IF(P$19=$B$170,+(EXP((LN(+'4. Customer Growth'!$W$42)/12))*$P139),IF($P$19=$B$171,+$A140*$C$181+$D$181,0)))</f>
        <v>344.88888888888886</v>
      </c>
      <c r="Q140" s="242"/>
      <c r="R140" s="260">
        <f t="shared" si="9"/>
        <v>23058623.390469827</v>
      </c>
      <c r="S140" s="262"/>
      <c r="T140" s="242"/>
      <c r="U140" s="242"/>
      <c r="V140" s="242"/>
      <c r="W140" s="242"/>
      <c r="X140" s="242"/>
      <c r="Y140" s="242"/>
      <c r="Z140" s="242"/>
      <c r="AA140" s="242"/>
      <c r="AB140" s="242"/>
      <c r="AC140" s="242"/>
      <c r="AD140" s="242"/>
      <c r="AE140" s="242"/>
      <c r="AF140" s="242"/>
      <c r="AG140" s="242"/>
      <c r="AH140" s="242"/>
      <c r="AI140" s="242"/>
      <c r="AJ140" s="242"/>
      <c r="AK140" s="242"/>
      <c r="AL140" s="242"/>
      <c r="AM140" s="242"/>
    </row>
    <row r="141" spans="1:39" x14ac:dyDescent="0.2">
      <c r="A141" s="500">
        <f t="shared" si="10"/>
        <v>122</v>
      </c>
      <c r="B141" s="259" t="str">
        <f>CONCATENATE('3. Consumption by Rate Class'!B146,"-",'3. Consumption by Rate Class'!C146)</f>
        <v>2016-February</v>
      </c>
      <c r="C141" s="687"/>
      <c r="D141" s="272"/>
      <c r="E141" s="758"/>
      <c r="F141" s="272"/>
      <c r="G141" s="272"/>
      <c r="H141" s="272"/>
      <c r="I141" s="272"/>
      <c r="J141" s="243"/>
      <c r="K141" s="716">
        <f>IF(K$19=$B$169,+AVERAGE(K21,K33,K45,K57,K69,K81,K93,K105,K117,K129),+IF(K$19=$B$170,+(EXP((LN(+'4. Customer Growth'!$W$42)/12))*$K140),IF($K$19=$B$171,+$A141*$C$176+$D$176,0)))</f>
        <v>660.06999999999994</v>
      </c>
      <c r="L141" s="716">
        <f>IF(L$19=$B$169,+AVERAGE(L21,L33,L45,L57,L69,L81,L93,L105,L117,L129),+IF(L$19=$B$170,+(EXP((LN(+'4. Customer Growth'!$W$42)/12))*$K140),IF($L$19=$B$171,+$A141*$C$177+$D$177,0)))</f>
        <v>0</v>
      </c>
      <c r="M141" s="716">
        <f>IF(M$19=$B$169,+AVERAGE(M21,M33,M45,M57,M69,M81,M93,M105,M117,M129),+IF(M$19=$B$170,+(EXP((LN(+'4. Customer Growth'!$W$42)/12))*$K140),IF($M$19=$B$171,+$A141*$C$178+$D$178,0)))</f>
        <v>28.2</v>
      </c>
      <c r="N141" s="716">
        <f>IF(N$19=$B$169,+AVERAGE(N21,N33,N45,N57,N69,N81,N93,N105,N117,N129),+IF(N$19=$B$170,+(EXP((LN(+'4. Customer Growth'!$W$42)/12))*$K140),IF($N$19=$B$171,+$A141*$C$179+$D$179,0)))</f>
        <v>146.0368339802404</v>
      </c>
      <c r="O141" s="716">
        <f>IF(O$19=$B$169,+AVERAGE(O21,O33,O45,O57,O69,O81,O93,O105,O117,O129),+IF(O$19=$B$170,+(EXP((LN(+'4. Customer Growth'!$W$42)/12))*$O140),IF($O$19=$B$171,+$A141*$C$180+$D$180,0)))</f>
        <v>0</v>
      </c>
      <c r="P141" s="716">
        <f>IF(P$19=$B$169,+AVERAGE(P21,P33,P45,P57,P69,P81,P93,P105,P117,P129),+IF(P$19=$B$170,+(EXP((LN(+'4. Customer Growth'!$W$42)/12))*$P140),IF($P$19=$B$171,+$A141*$C$181+$D$181,0)))</f>
        <v>312.88888888888886</v>
      </c>
      <c r="Q141" s="242"/>
      <c r="R141" s="260">
        <f t="shared" si="9"/>
        <v>21457139.594747286</v>
      </c>
      <c r="S141" s="262"/>
      <c r="T141" s="242"/>
      <c r="U141" s="242"/>
      <c r="V141" s="242"/>
      <c r="W141" s="242"/>
      <c r="X141" s="242"/>
      <c r="Y141" s="242"/>
      <c r="Z141" s="242"/>
      <c r="AA141" s="242"/>
      <c r="AB141" s="242"/>
      <c r="AC141" s="242"/>
      <c r="AD141" s="242"/>
      <c r="AE141" s="242"/>
      <c r="AF141" s="242"/>
      <c r="AG141" s="242"/>
      <c r="AH141" s="242"/>
      <c r="AI141" s="242"/>
      <c r="AJ141" s="242"/>
      <c r="AK141" s="242"/>
      <c r="AL141" s="242"/>
      <c r="AM141" s="242"/>
    </row>
    <row r="142" spans="1:39" x14ac:dyDescent="0.2">
      <c r="A142" s="500">
        <f t="shared" si="10"/>
        <v>123</v>
      </c>
      <c r="B142" s="259" t="str">
        <f>CONCATENATE('3. Consumption by Rate Class'!B147,"-",'3. Consumption by Rate Class'!C147)</f>
        <v>2016-March</v>
      </c>
      <c r="C142" s="687"/>
      <c r="D142" s="272"/>
      <c r="E142" s="758"/>
      <c r="F142" s="272"/>
      <c r="G142" s="272"/>
      <c r="H142" s="272"/>
      <c r="I142" s="272"/>
      <c r="J142" s="243"/>
      <c r="K142" s="716">
        <f>IF(K$19=$B$169,+AVERAGE(K22,K34,K46,K58,K70,K82,K94,K106,K118,K130),+IF(K$19=$B$170,+(EXP((LN(+'4. Customer Growth'!$W$42)/12))*$K141),IF($K$19=$B$171,+$A142*$C$176+$D$176,0)))</f>
        <v>568.18999999999994</v>
      </c>
      <c r="L142" s="716">
        <f>IF(L$19=$B$169,+AVERAGE(L22,L34,L46,L58,L70,L82,L94,L106,L118,L130),+IF(L$19=$B$170,+(EXP((LN(+'4. Customer Growth'!$W$42)/12))*$K141),IF($L$19=$B$171,+$A142*$C$177+$D$177,0)))</f>
        <v>0</v>
      </c>
      <c r="M142" s="716">
        <f>IF(M$19=$B$169,+AVERAGE(M22,M34,M46,M58,M70,M82,M94,M106,M118,M130),+IF(M$19=$B$170,+(EXP((LN(+'4. Customer Growth'!$W$42)/12))*$K141),IF($M$19=$B$171,+$A142*$C$178+$D$178,0)))</f>
        <v>31</v>
      </c>
      <c r="N142" s="716">
        <f>IF(N$19=$B$169,+AVERAGE(N22,N34,N46,N58,N70,N82,N94,N106,N118,N130),+IF(N$19=$B$170,+(EXP((LN(+'4. Customer Growth'!$W$42)/12))*$K141),IF($N$19=$B$171,+$A142*$C$179+$D$179,0)))</f>
        <v>146.12035672487542</v>
      </c>
      <c r="O142" s="716">
        <f>IF(O$19=$B$169,+AVERAGE(O22,O34,O46,O58,O70,O82,O94,O106,O118,O130),+IF(O$19=$B$170,+(EXP((LN(+'4. Customer Growth'!$W$42)/12))*$O141),IF($O$19=$B$171,+$A142*$C$180+$D$180,0)))</f>
        <v>0</v>
      </c>
      <c r="P142" s="716">
        <f>IF(P$19=$B$169,+AVERAGE(P22,P34,P46,P58,P70,P82,P94,P106,P118,P130),+IF(P$19=$B$170,+(EXP((LN(+'4. Customer Growth'!$W$42)/12))*$P141),IF($P$19=$B$171,+$A142*$C$181+$D$181,0)))</f>
        <v>339.55555555555554</v>
      </c>
      <c r="Q142" s="242"/>
      <c r="R142" s="260">
        <f t="shared" si="9"/>
        <v>22126931.566722881</v>
      </c>
      <c r="S142" s="262"/>
      <c r="T142" s="242"/>
      <c r="U142" s="242"/>
      <c r="V142" s="242"/>
      <c r="W142" s="242"/>
      <c r="X142" s="242"/>
      <c r="Y142" s="242"/>
      <c r="Z142" s="242"/>
      <c r="AA142" s="242"/>
      <c r="AB142" s="242"/>
      <c r="AC142" s="242"/>
      <c r="AD142" s="242"/>
      <c r="AE142" s="242"/>
      <c r="AF142" s="242"/>
      <c r="AG142" s="242"/>
      <c r="AH142" s="242"/>
      <c r="AI142" s="242"/>
      <c r="AJ142" s="242"/>
      <c r="AK142" s="242"/>
      <c r="AL142" s="242"/>
      <c r="AM142" s="242"/>
    </row>
    <row r="143" spans="1:39" x14ac:dyDescent="0.2">
      <c r="A143" s="500">
        <f t="shared" si="10"/>
        <v>124</v>
      </c>
      <c r="B143" s="259" t="str">
        <f>CONCATENATE('3. Consumption by Rate Class'!B148,"-",'3. Consumption by Rate Class'!C148)</f>
        <v>2016-April</v>
      </c>
      <c r="C143" s="687"/>
      <c r="D143" s="272"/>
      <c r="E143" s="758"/>
      <c r="F143" s="272"/>
      <c r="G143" s="272"/>
      <c r="H143" s="272"/>
      <c r="I143" s="272"/>
      <c r="J143" s="243"/>
      <c r="K143" s="716">
        <f>IF(K$19=$B$169,+AVERAGE(K23,K35,K47,K59,K71,K83,K95,K107,K119,K131),+IF(K$19=$B$170,+(EXP((LN(+'4. Customer Growth'!$W$42)/12))*$K142),IF($K$19=$B$171,+$A143*$C$176+$D$176,0)))</f>
        <v>353.47999999999996</v>
      </c>
      <c r="L143" s="716">
        <f>IF(L$19=$B$169,+AVERAGE(L23,L35,L47,L59,L71,L83,L95,L107,L119,L131),+IF(L$19=$B$170,+(EXP((LN(+'4. Customer Growth'!$W$42)/12))*$K142),IF($L$19=$B$171,+$A143*$C$177+$D$177,0)))</f>
        <v>0</v>
      </c>
      <c r="M143" s="716">
        <f>IF(M$19=$B$169,+AVERAGE(M23,M35,M47,M59,M71,M83,M95,M107,M119,M131),+IF(M$19=$B$170,+(EXP((LN(+'4. Customer Growth'!$W$42)/12))*$K142),IF($M$19=$B$171,+$A143*$C$178+$D$178,0)))</f>
        <v>30</v>
      </c>
      <c r="N143" s="716">
        <f>IF(N$19=$B$169,+AVERAGE(N23,N35,N47,N59,N71,N83,N95,N107,N119,N131),+IF(N$19=$B$170,+(EXP((LN(+'4. Customer Growth'!$W$42)/12))*$K142),IF($N$19=$B$171,+$A143*$C$179+$D$179,0)))</f>
        <v>146.20387946951047</v>
      </c>
      <c r="O143" s="716">
        <f>IF(O$19=$B$169,+AVERAGE(O23,O35,O47,O59,O71,O83,O95,O107,O119,O131),+IF(O$19=$B$170,+(EXP((LN(+'4. Customer Growth'!$W$42)/12))*$O142),IF($O$19=$B$171,+$A143*$C$180+$D$180,0)))</f>
        <v>0</v>
      </c>
      <c r="P143" s="716">
        <f>IF(P$19=$B$169,+AVERAGE(P23,P35,P47,P59,P71,P83,P95,P107,P119,P131),+IF(P$19=$B$170,+(EXP((LN(+'4. Customer Growth'!$W$42)/12))*$P142),IF($P$19=$B$171,+$A143*$C$181+$D$181,0)))</f>
        <v>330.66666666666663</v>
      </c>
      <c r="Q143" s="242"/>
      <c r="R143" s="260">
        <f t="shared" si="9"/>
        <v>20283123.011309046</v>
      </c>
      <c r="S143" s="262"/>
      <c r="T143" s="242"/>
      <c r="U143" s="242"/>
      <c r="V143" s="242"/>
      <c r="W143" s="242"/>
      <c r="X143" s="242"/>
      <c r="Y143" s="242"/>
      <c r="Z143" s="242"/>
      <c r="AA143" s="242"/>
      <c r="AB143" s="242"/>
      <c r="AC143" s="242"/>
      <c r="AD143" s="242"/>
      <c r="AE143" s="242"/>
      <c r="AF143" s="242"/>
      <c r="AG143" s="242"/>
      <c r="AH143" s="242"/>
      <c r="AI143" s="242"/>
      <c r="AJ143" s="242"/>
      <c r="AK143" s="242"/>
      <c r="AL143" s="242"/>
      <c r="AM143" s="242"/>
    </row>
    <row r="144" spans="1:39" x14ac:dyDescent="0.2">
      <c r="A144" s="500">
        <f t="shared" si="10"/>
        <v>125</v>
      </c>
      <c r="B144" s="259" t="str">
        <f>CONCATENATE('3. Consumption by Rate Class'!B149,"-",'3. Consumption by Rate Class'!C149)</f>
        <v>2016-May</v>
      </c>
      <c r="C144" s="687"/>
      <c r="D144" s="272"/>
      <c r="E144" s="758"/>
      <c r="F144" s="272"/>
      <c r="G144" s="272"/>
      <c r="H144" s="273"/>
      <c r="I144" s="272"/>
      <c r="J144" s="243"/>
      <c r="K144" s="716">
        <f>IF(K$19=$B$169,+AVERAGE(K24,K36,K48,K60,K72,K84,K96,K108,K120,K132),+IF(K$19=$B$170,+(EXP((LN(+'4. Customer Growth'!$W$42)/12))*$K143),IF($K$19=$B$171,+$A144*$C$176+$D$176,0)))</f>
        <v>193.28</v>
      </c>
      <c r="L144" s="716">
        <f>IF(L$19=$B$169,+AVERAGE(L24,L36,L48,L60,L72,L84,L96,L108,L120,L132),+IF(L$19=$B$170,+(EXP((LN(+'4. Customer Growth'!$W$42)/12))*$K143),IF($L$19=$B$171,+$A144*$C$177+$D$177,0)))</f>
        <v>2.12</v>
      </c>
      <c r="M144" s="716">
        <f>IF(M$19=$B$169,+AVERAGE(M24,M36,M48,M60,M72,M84,M96,M108,M120,M132),+IF(M$19=$B$170,+(EXP((LN(+'4. Customer Growth'!$W$42)/12))*$K143),IF($M$19=$B$171,+$A144*$C$178+$D$178,0)))</f>
        <v>31</v>
      </c>
      <c r="N144" s="716">
        <f>IF(N$19=$B$169,+AVERAGE(N24,N36,N48,N60,N72,N84,N96,N108,N120,N132),+IF(N$19=$B$170,+(EXP((LN(+'4. Customer Growth'!$W$42)/12))*$K143),IF($N$19=$B$171,+$A144*$C$179+$D$179,0)))</f>
        <v>146.28740221414552</v>
      </c>
      <c r="O144" s="716">
        <f>IF(O$19=$B$169,+AVERAGE(O24,O36,O48,O60,O72,O84,O96,O108,O120,O132),+IF(O$19=$B$170,+(EXP((LN(+'4. Customer Growth'!$W$42)/12))*$O143),IF($O$19=$B$171,+$A144*$C$180+$D$180,0)))</f>
        <v>0</v>
      </c>
      <c r="P144" s="716">
        <f>IF(P$19=$B$169,+AVERAGE(P24,P36,P48,P60,P72,P84,P96,P108,P120,P132),+IF(P$19=$B$170,+(EXP((LN(+'4. Customer Growth'!$W$42)/12))*$P143),IF($P$19=$B$171,+$A144*$C$181+$D$181,0)))</f>
        <v>339.55555555555554</v>
      </c>
      <c r="Q144" s="242"/>
      <c r="R144" s="260">
        <f t="shared" si="9"/>
        <v>19773479.141945761</v>
      </c>
      <c r="S144" s="262"/>
      <c r="T144" s="242"/>
      <c r="U144" s="242"/>
      <c r="V144" s="242"/>
      <c r="W144" s="242"/>
      <c r="X144" s="242"/>
      <c r="Y144" s="242"/>
      <c r="Z144" s="242"/>
      <c r="AA144" s="242"/>
      <c r="AB144" s="242"/>
      <c r="AC144" s="242"/>
      <c r="AD144" s="242"/>
      <c r="AE144" s="242"/>
      <c r="AF144" s="242"/>
      <c r="AG144" s="242"/>
      <c r="AH144" s="242"/>
      <c r="AI144" s="242"/>
      <c r="AJ144" s="242"/>
      <c r="AK144" s="242"/>
      <c r="AL144" s="242"/>
      <c r="AM144" s="242"/>
    </row>
    <row r="145" spans="1:39" x14ac:dyDescent="0.2">
      <c r="A145" s="500">
        <f t="shared" si="10"/>
        <v>126</v>
      </c>
      <c r="B145" s="259" t="str">
        <f>CONCATENATE('3. Consumption by Rate Class'!B150,"-",'3. Consumption by Rate Class'!C150)</f>
        <v>2016-June</v>
      </c>
      <c r="C145" s="687"/>
      <c r="D145" s="272"/>
      <c r="E145" s="758"/>
      <c r="F145" s="272"/>
      <c r="G145" s="272"/>
      <c r="H145" s="272"/>
      <c r="I145" s="272"/>
      <c r="J145" s="243"/>
      <c r="K145" s="716">
        <f>IF(K$19=$B$169,+AVERAGE(K25,K37,K49,K61,K73,K85,K97,K109,K121,K133),+IF(K$19=$B$170,+(EXP((LN(+'4. Customer Growth'!$W$42)/12))*$K144),IF($K$19=$B$171,+$A145*$C$176+$D$176,0)))</f>
        <v>59.839999999999996</v>
      </c>
      <c r="L145" s="716">
        <f>IF(L$19=$B$169,+AVERAGE(L25,L37,L49,L61,L73,L85,L97,L109,L121,L133),+IF(L$19=$B$170,+(EXP((LN(+'4. Customer Growth'!$W$42)/12))*$K144),IF($L$19=$B$171,+$A145*$C$177+$D$177,0)))</f>
        <v>15.87</v>
      </c>
      <c r="M145" s="716">
        <f>IF(M$19=$B$169,+AVERAGE(M25,M37,M49,M61,M73,M85,M97,M109,M121,M133),+IF(M$19=$B$170,+(EXP((LN(+'4. Customer Growth'!$W$42)/12))*$K144),IF($M$19=$B$171,+$A145*$C$178+$D$178,0)))</f>
        <v>30</v>
      </c>
      <c r="N145" s="716">
        <f>IF(N$19=$B$169,+AVERAGE(N25,N37,N49,N61,N73,N85,N97,N109,N121,N133),+IF(N$19=$B$170,+(EXP((LN(+'4. Customer Growth'!$W$42)/12))*$K144),IF($N$19=$B$171,+$A145*$C$179+$D$179,0)))</f>
        <v>146.37092495878056</v>
      </c>
      <c r="O145" s="716">
        <f>IF(O$19=$B$169,+AVERAGE(O25,O37,O49,O61,O73,O85,O97,O109,O121,O133),+IF(O$19=$B$170,+(EXP((LN(+'4. Customer Growth'!$W$42)/12))*$O144),IF($O$19=$B$171,+$A145*$C$180+$D$180,0)))</f>
        <v>0</v>
      </c>
      <c r="P145" s="716">
        <f>IF(P$19=$B$169,+AVERAGE(P25,P37,P49,P61,P73,P85,P97,P109,P121,P133),+IF(P$19=$B$170,+(EXP((LN(+'4. Customer Growth'!$W$42)/12))*$P144),IF($P$19=$B$171,+$A145*$C$181+$D$181,0)))</f>
        <v>339.55555555555554</v>
      </c>
      <c r="Q145" s="242"/>
      <c r="R145" s="260">
        <f t="shared" si="9"/>
        <v>19074113.169172235</v>
      </c>
      <c r="S145" s="262"/>
      <c r="T145" s="242"/>
      <c r="U145" s="242"/>
      <c r="V145" s="242"/>
      <c r="W145" s="242"/>
      <c r="X145" s="274"/>
      <c r="Y145" s="242"/>
      <c r="Z145" s="242"/>
      <c r="AA145" s="242"/>
      <c r="AB145" s="242"/>
      <c r="AC145" s="242"/>
      <c r="AD145" s="242"/>
      <c r="AE145" s="242"/>
      <c r="AF145" s="242"/>
      <c r="AG145" s="242"/>
      <c r="AH145" s="242"/>
      <c r="AI145" s="242"/>
      <c r="AJ145" s="242"/>
      <c r="AK145" s="242"/>
      <c r="AL145" s="242"/>
      <c r="AM145" s="242"/>
    </row>
    <row r="146" spans="1:39" x14ac:dyDescent="0.2">
      <c r="A146" s="500">
        <f t="shared" si="10"/>
        <v>127</v>
      </c>
      <c r="B146" s="259" t="str">
        <f>CONCATENATE('3. Consumption by Rate Class'!B151,"-",'3. Consumption by Rate Class'!C151)</f>
        <v>2016-July</v>
      </c>
      <c r="C146" s="687"/>
      <c r="D146" s="272"/>
      <c r="E146" s="758"/>
      <c r="F146" s="272"/>
      <c r="G146" s="272"/>
      <c r="H146" s="272"/>
      <c r="I146" s="272"/>
      <c r="J146" s="243"/>
      <c r="K146" s="716">
        <f>IF(K$19=$B$169,+AVERAGE(K26,K38,K50,K62,K74,K86,K98,K110,K122,K134),+IF(K$19=$B$170,+(EXP((LN(+'4. Customer Growth'!$W$42)/12))*$K145),IF($K$19=$B$171,+$A146*$C$176+$D$176,0)))</f>
        <v>17.579999999999998</v>
      </c>
      <c r="L146" s="716">
        <f>IF(L$19=$B$169,+AVERAGE(L26,L38,L50,L62,L74,L86,L98,L110,L122,L134),+IF(L$19=$B$170,+(EXP((LN(+'4. Customer Growth'!$W$42)/12))*$K145),IF($L$19=$B$171,+$A146*$C$177+$D$177,0)))</f>
        <v>63.089999999999996</v>
      </c>
      <c r="M146" s="716">
        <f>IF(M$19=$B$169,+AVERAGE(M26,M38,M50,M62,M74,M86,M98,M110,M122,M134),+IF(M$19=$B$170,+(EXP((LN(+'4. Customer Growth'!$W$42)/12))*$K145),IF($M$19=$B$171,+$A146*$C$178+$D$178,0)))</f>
        <v>31</v>
      </c>
      <c r="N146" s="716">
        <f>IF(N$19=$B$169,+AVERAGE(N26,N38,N50,N62,N74,N86,N98,N110,N122,N134),+IF(N$19=$B$170,+(EXP((LN(+'4. Customer Growth'!$W$42)/12))*$K145),IF($N$19=$B$171,+$A146*$C$179+$D$179,0)))</f>
        <v>146.45444770341561</v>
      </c>
      <c r="O146" s="716">
        <f>IF(O$19=$B$169,+AVERAGE(O26,O38,O50,O62,O74,O86,O98,O110,O122,O134),+IF(O$19=$B$170,+(EXP((LN(+'4. Customer Growth'!$W$42)/12))*$O145),IF($O$19=$B$171,+$A146*$C$180+$D$180,0)))</f>
        <v>0</v>
      </c>
      <c r="P146" s="716">
        <f>IF(P$19=$B$169,+AVERAGE(P26,P38,P50,P62,P74,P86,P98,P110,P122,P134),+IF(P$19=$B$170,+(EXP((LN(+'4. Customer Growth'!$W$42)/12))*$P145),IF($P$19=$B$171,+$A146*$C$181+$D$181,0)))</f>
        <v>343.11111111111114</v>
      </c>
      <c r="Q146" s="242"/>
      <c r="R146" s="260">
        <f t="shared" si="9"/>
        <v>21087507.681773629</v>
      </c>
      <c r="S146" s="262"/>
      <c r="T146" s="242"/>
      <c r="U146" s="242"/>
      <c r="V146" s="242"/>
      <c r="W146" s="242"/>
      <c r="X146" s="242"/>
      <c r="Y146" s="242"/>
      <c r="Z146" s="242"/>
      <c r="AA146" s="242"/>
      <c r="AB146" s="242"/>
      <c r="AC146" s="242"/>
      <c r="AD146" s="242"/>
      <c r="AE146" s="242"/>
      <c r="AF146" s="242"/>
      <c r="AG146" s="242"/>
      <c r="AH146" s="242"/>
      <c r="AI146" s="242"/>
      <c r="AJ146" s="242"/>
      <c r="AK146" s="242"/>
      <c r="AL146" s="242"/>
      <c r="AM146" s="242"/>
    </row>
    <row r="147" spans="1:39" x14ac:dyDescent="0.2">
      <c r="A147" s="500">
        <f t="shared" si="10"/>
        <v>128</v>
      </c>
      <c r="B147" s="259" t="str">
        <f>CONCATENATE('3. Consumption by Rate Class'!B152,"-",'3. Consumption by Rate Class'!C152)</f>
        <v>2016-August</v>
      </c>
      <c r="C147" s="687"/>
      <c r="D147" s="272"/>
      <c r="E147" s="758"/>
      <c r="F147" s="272"/>
      <c r="G147" s="272"/>
      <c r="H147" s="272"/>
      <c r="I147" s="272"/>
      <c r="J147" s="243"/>
      <c r="K147" s="716">
        <f>IF(K$19=$B$169,+AVERAGE(K27,K39,K51,K63,K75,K87,K99,K111,K123,K135),+IF(K$19=$B$170,+(EXP((LN(+'4. Customer Growth'!$W$42)/12))*$K146),IF($K$19=$B$171,+$A147*$C$176+$D$176,0)))</f>
        <v>13.040000000000001</v>
      </c>
      <c r="L147" s="716">
        <f>IF(L$19=$B$169,+AVERAGE(L27,L39,L51,L63,L75,L87,L99,L111,L123,L135),+IF(L$19=$B$170,+(EXP((LN(+'4. Customer Growth'!$W$42)/12))*$K146),IF($L$19=$B$171,+$A147*$C$177+$D$177,0)))</f>
        <v>57.790000000000006</v>
      </c>
      <c r="M147" s="716">
        <f>IF(M$19=$B$169,+AVERAGE(M27,M39,M51,M63,M75,M87,M99,M111,M123,M135),+IF(M$19=$B$170,+(EXP((LN(+'4. Customer Growth'!$W$42)/12))*$K146),IF($M$19=$B$171,+$A147*$C$178+$D$178,0)))</f>
        <v>31</v>
      </c>
      <c r="N147" s="716">
        <f>IF(N$19=$B$169,+AVERAGE(N27,N39,N51,N63,N75,N87,N99,N111,N123,N135),+IF(N$19=$B$170,+(EXP((LN(+'4. Customer Growth'!$W$42)/12))*$K146),IF($N$19=$B$171,+$A147*$C$179+$D$179,0)))</f>
        <v>146.53797044805066</v>
      </c>
      <c r="O147" s="716">
        <f>IF(O$19=$B$169,+AVERAGE(O27,O39,O51,O63,O75,O87,O99,O111,O123,O135),+IF(O$19=$B$170,+(EXP((LN(+'4. Customer Growth'!$W$42)/12))*$O146),IF($O$19=$B$171,+$A147*$C$180+$D$180,0)))</f>
        <v>0</v>
      </c>
      <c r="P147" s="716">
        <f>IF(P$19=$B$169,+AVERAGE(P27,P39,P51,P63,P75,P87,P99,P111,P123,P135),+IF(P$19=$B$170,+(EXP((LN(+'4. Customer Growth'!$W$42)/12))*$P146),IF($P$19=$B$171,+$A147*$C$181+$D$181,0)))</f>
        <v>334.22222222222223</v>
      </c>
      <c r="Q147" s="242"/>
      <c r="R147" s="260">
        <f t="shared" si="9"/>
        <v>20781792.148702551</v>
      </c>
      <c r="S147" s="262"/>
      <c r="T147" s="242"/>
      <c r="U147" s="242"/>
      <c r="V147" s="242"/>
      <c r="W147" s="242"/>
      <c r="X147" s="242"/>
      <c r="Y147" s="242"/>
      <c r="Z147" s="242"/>
      <c r="AA147" s="242"/>
      <c r="AB147" s="242"/>
      <c r="AC147" s="242"/>
      <c r="AD147" s="242"/>
      <c r="AE147" s="242"/>
      <c r="AF147" s="242"/>
      <c r="AG147" s="242"/>
      <c r="AH147" s="242"/>
      <c r="AI147" s="242"/>
      <c r="AJ147" s="242"/>
      <c r="AK147" s="242"/>
      <c r="AL147" s="242"/>
      <c r="AM147" s="242"/>
    </row>
    <row r="148" spans="1:39" x14ac:dyDescent="0.2">
      <c r="A148" s="500">
        <f t="shared" si="10"/>
        <v>129</v>
      </c>
      <c r="B148" s="259" t="str">
        <f>CONCATENATE('3. Consumption by Rate Class'!B153,"-",'3. Consumption by Rate Class'!C153)</f>
        <v>2016-September</v>
      </c>
      <c r="C148" s="687"/>
      <c r="D148" s="272"/>
      <c r="E148" s="758"/>
      <c r="F148" s="272"/>
      <c r="G148" s="272"/>
      <c r="H148" s="272"/>
      <c r="I148" s="272"/>
      <c r="J148" s="243"/>
      <c r="K148" s="716">
        <f>IF(K$19=$B$169,+AVERAGE(K28,K40,K52,K64,K76,K88,K100,K112,K124,K136),+IF(K$19=$B$170,+(EXP((LN(+'4. Customer Growth'!$W$42)/12))*$K147),IF($K$19=$B$171,+$A148*$C$176+$D$176,0)))</f>
        <v>80.66</v>
      </c>
      <c r="L148" s="716">
        <f>IF(L$19=$B$169,+AVERAGE(L28,L40,L52,L64,L76,L88,L100,L112,L124,L136),+IF(L$19=$B$170,+(EXP((LN(+'4. Customer Growth'!$W$42)/12))*$K147),IF($L$19=$B$171,+$A148*$C$177+$D$177,0)))</f>
        <v>16.73</v>
      </c>
      <c r="M148" s="716">
        <f>IF(M$19=$B$169,+AVERAGE(M28,M40,M52,M64,M76,M88,M100,M112,M124,M136),+IF(M$19=$B$170,+(EXP((LN(+'4. Customer Growth'!$W$42)/12))*$K147),IF($M$19=$B$171,+$A148*$C$178+$D$178,0)))</f>
        <v>30</v>
      </c>
      <c r="N148" s="716">
        <f>IF(N$19=$B$169,+AVERAGE(N28,N40,N52,N64,N76,N88,N100,N112,N124,N136),+IF(N$19=$B$170,+(EXP((LN(+'4. Customer Growth'!$W$42)/12))*$K147),IF($N$19=$B$171,+$A148*$C$179+$D$179,0)))</f>
        <v>146.6214931926857</v>
      </c>
      <c r="O148" s="716">
        <f>IF(O$19=$B$169,+AVERAGE(O28,O40,O52,O64,O76,O88,O100,O112,O124,O136),+IF(O$19=$B$170,+(EXP((LN(+'4. Customer Growth'!$W$42)/12))*$O147),IF($O$19=$B$171,+$A148*$C$180+$D$180,0)))</f>
        <v>0</v>
      </c>
      <c r="P148" s="716">
        <f>IF(P$19=$B$169,+AVERAGE(P28,P40,P52,P64,P76,P88,P100,P112,P124,P136),+IF(P$19=$B$170,+(EXP((LN(+'4. Customer Growth'!$W$42)/12))*$P147),IF($P$19=$B$171,+$A148*$C$181+$D$181,0)))</f>
        <v>325.33333333333337</v>
      </c>
      <c r="Q148" s="242"/>
      <c r="R148" s="260">
        <f t="shared" si="9"/>
        <v>19143146.124275945</v>
      </c>
      <c r="S148" s="262"/>
      <c r="T148" s="242"/>
      <c r="U148" s="242"/>
      <c r="V148" s="242"/>
      <c r="W148" s="242"/>
      <c r="X148" s="242"/>
      <c r="Y148" s="242"/>
      <c r="Z148" s="242"/>
      <c r="AA148" s="242"/>
      <c r="AB148" s="242"/>
      <c r="AC148" s="242"/>
      <c r="AD148" s="242"/>
      <c r="AE148" s="242"/>
      <c r="AF148" s="242"/>
      <c r="AG148" s="242"/>
      <c r="AH148" s="242"/>
      <c r="AI148" s="242"/>
      <c r="AJ148" s="242"/>
      <c r="AK148" s="242"/>
      <c r="AL148" s="242"/>
      <c r="AM148" s="242"/>
    </row>
    <row r="149" spans="1:39" x14ac:dyDescent="0.2">
      <c r="A149" s="500">
        <f t="shared" si="10"/>
        <v>130</v>
      </c>
      <c r="B149" s="259" t="str">
        <f>CONCATENATE('3. Consumption by Rate Class'!B154,"-",'3. Consumption by Rate Class'!C154)</f>
        <v>2016-October</v>
      </c>
      <c r="C149" s="687"/>
      <c r="D149" s="272"/>
      <c r="E149" s="758"/>
      <c r="F149" s="272"/>
      <c r="G149" s="272"/>
      <c r="H149" s="272"/>
      <c r="I149" s="272"/>
      <c r="J149" s="243"/>
      <c r="K149" s="716">
        <f>IF(K$19=$B$169,+AVERAGE(K29,K41,K53,K65,K77,K89,K101,K113,K125,K137),+IF(K$19=$B$170,+(EXP((LN(+'4. Customer Growth'!$W$42)/12))*$K148),IF($K$19=$B$171,+$A149*$C$176+$D$176,0)))</f>
        <v>252.32</v>
      </c>
      <c r="L149" s="716">
        <f>IF(L$19=$B$169,+AVERAGE(L29,L41,L53,L65,L77,L89,L101,L113,L125,L137),+IF(L$19=$B$170,+(EXP((LN(+'4. Customer Growth'!$W$42)/12))*$K148),IF($L$19=$B$171,+$A149*$C$177+$D$177,0)))</f>
        <v>0.41</v>
      </c>
      <c r="M149" s="716">
        <f>IF(M$19=$B$169,+AVERAGE(M29,M41,M53,M65,M77,M89,M101,M113,M125,M137),+IF(M$19=$B$170,+(EXP((LN(+'4. Customer Growth'!$W$42)/12))*$K148),IF($M$19=$B$171,+$A149*$C$178+$D$178,0)))</f>
        <v>31</v>
      </c>
      <c r="N149" s="716">
        <f>IF(N$19=$B$169,+AVERAGE(N29,N41,N53,N65,N77,N89,N101,N113,N125,N137),+IF(N$19=$B$170,+(EXP((LN(+'4. Customer Growth'!$W$42)/12))*$K148),IF($N$19=$B$171,+$A149*$C$179+$D$179,0)))</f>
        <v>146.70501593732075</v>
      </c>
      <c r="O149" s="716">
        <f>IF(O$19=$B$169,+AVERAGE(O29,O41,O53,O65,O77,O89,O101,O113,O125,O137),+IF(O$19=$B$170,+(EXP((LN(+'4. Customer Growth'!$W$42)/12))*$O148),IF($O$19=$B$171,+$A149*$C$180+$D$180,0)))</f>
        <v>0</v>
      </c>
      <c r="P149" s="716">
        <f>IF(P$19=$B$169,+AVERAGE(P29,P41,P53,P65,P77,P89,P101,P113,P125,P137),+IF(P$19=$B$170,+(EXP((LN(+'4. Customer Growth'!$W$42)/12))*$P148),IF($P$19=$B$171,+$A149*$C$181+$D$181,0)))</f>
        <v>344.88888888888886</v>
      </c>
      <c r="Q149" s="242"/>
      <c r="R149" s="260">
        <f t="shared" ref="R149:R163" si="11">$V$34+(K149*$V$35)+(L149*$V$36)+(M149*$V$37)+(N149*$V$38)+(O149*$V$39)+(P149*$V$40)</f>
        <v>20142892.343716849</v>
      </c>
      <c r="S149" s="262"/>
      <c r="T149" s="242"/>
      <c r="U149" s="242"/>
      <c r="V149" s="242"/>
      <c r="W149" s="242"/>
      <c r="X149" s="242"/>
      <c r="Y149" s="242"/>
      <c r="Z149" s="242"/>
      <c r="AA149" s="242"/>
      <c r="AB149" s="242"/>
      <c r="AC149" s="242"/>
      <c r="AD149" s="242"/>
      <c r="AE149" s="242"/>
      <c r="AF149" s="242"/>
      <c r="AG149" s="242"/>
      <c r="AH149" s="242"/>
      <c r="AI149" s="242"/>
      <c r="AJ149" s="242"/>
      <c r="AK149" s="242"/>
      <c r="AL149" s="242"/>
      <c r="AM149" s="242"/>
    </row>
    <row r="150" spans="1:39" x14ac:dyDescent="0.2">
      <c r="A150" s="500">
        <f t="shared" ref="A150:A163" si="12">+A149+1</f>
        <v>131</v>
      </c>
      <c r="B150" s="259" t="str">
        <f>CONCATENATE('3. Consumption by Rate Class'!B155,"-",'3. Consumption by Rate Class'!C155)</f>
        <v>2016-November</v>
      </c>
      <c r="C150" s="687"/>
      <c r="D150" s="272"/>
      <c r="E150" s="758"/>
      <c r="F150" s="272"/>
      <c r="G150" s="272"/>
      <c r="H150" s="272"/>
      <c r="I150" s="272"/>
      <c r="J150" s="243"/>
      <c r="K150" s="716">
        <f>IF(K$19=$B$169,+AVERAGE(K30,K42,K54,K66,K78,K90,K102,K114,K126,K138),+IF(K$19=$B$170,+(EXP((LN(+'4. Customer Growth'!$W$42)/12))*$K149),IF($K$19=$B$171,+$A150*$C$176+$D$176,0)))</f>
        <v>417.91</v>
      </c>
      <c r="L150" s="716">
        <f>IF(L$19=$B$169,+AVERAGE(L30,L42,L54,L66,L78,L90,L102,L114,L126,L138),+IF(L$19=$B$170,+(EXP((LN(+'4. Customer Growth'!$W$42)/12))*$K149),IF($L$19=$B$171,+$A150*$C$177+$D$177,0)))</f>
        <v>0</v>
      </c>
      <c r="M150" s="716">
        <f>IF(M$19=$B$169,+AVERAGE(M30,M42,M54,M66,M78,M90,M102,M114,M126,M138),+IF(M$19=$B$170,+(EXP((LN(+'4. Customer Growth'!$W$42)/12))*$K149),IF($M$19=$B$171,+$A150*$C$178+$D$178,0)))</f>
        <v>30</v>
      </c>
      <c r="N150" s="716">
        <f>IF(N$19=$B$169,+AVERAGE(N30,N42,N54,N66,N78,N90,N102,N114,N126,N138),+IF(N$19=$B$170,+(EXP((LN(+'4. Customer Growth'!$W$42)/12))*$K149),IF($N$19=$B$171,+$A150*$C$179+$D$179,0)))</f>
        <v>146.7885386819558</v>
      </c>
      <c r="O150" s="716">
        <f>IF(O$19=$B$169,+AVERAGE(O30,O42,O54,O66,O78,O90,O102,O114,O126,O138),+IF(O$19=$B$170,+(EXP((LN(+'4. Customer Growth'!$W$42)/12))*$O149),IF($O$19=$B$171,+$A150*$C$180+$D$180,0)))</f>
        <v>0</v>
      </c>
      <c r="P150" s="716">
        <f>IF(P$19=$B$169,+AVERAGE(P30,P42,P54,P66,P78,P90,P102,P114,P126,P138),+IF(P$19=$B$170,+(EXP((LN(+'4. Customer Growth'!$W$42)/12))*$P149),IF($P$19=$B$171,+$A150*$C$181+$D$181,0)))</f>
        <v>330.66666666666663</v>
      </c>
      <c r="Q150" s="242"/>
      <c r="R150" s="260">
        <f t="shared" si="11"/>
        <v>20720041.166170008</v>
      </c>
      <c r="S150" s="262"/>
      <c r="T150" s="242"/>
      <c r="U150" s="242"/>
      <c r="V150" s="242"/>
      <c r="W150" s="242"/>
      <c r="X150" s="242"/>
      <c r="Y150" s="242"/>
      <c r="Z150" s="242"/>
      <c r="AA150" s="242"/>
      <c r="AB150" s="242"/>
      <c r="AC150" s="242"/>
      <c r="AD150" s="242"/>
      <c r="AE150" s="242"/>
      <c r="AF150" s="242"/>
      <c r="AG150" s="242"/>
      <c r="AH150" s="242"/>
      <c r="AI150" s="242"/>
      <c r="AJ150" s="242"/>
      <c r="AK150" s="242"/>
      <c r="AL150" s="242"/>
      <c r="AM150" s="242"/>
    </row>
    <row r="151" spans="1:39" x14ac:dyDescent="0.2">
      <c r="A151" s="500">
        <f t="shared" si="12"/>
        <v>132</v>
      </c>
      <c r="B151" s="259" t="str">
        <f>CONCATENATE('3. Consumption by Rate Class'!B156,"-",'3. Consumption by Rate Class'!C156)</f>
        <v>2016-December</v>
      </c>
      <c r="C151" s="687"/>
      <c r="D151" s="272"/>
      <c r="E151" s="758"/>
      <c r="F151" s="272"/>
      <c r="G151" s="272"/>
      <c r="H151" s="272"/>
      <c r="I151" s="272"/>
      <c r="J151" s="243"/>
      <c r="K151" s="716">
        <f>IF(K$19=$B$169,+AVERAGE(K31,K43,K55,K67,K79,K91,K103,K115,K127,K139),+IF(K$19=$B$170,+(EXP((LN(+'4. Customer Growth'!$W$42)/12))*$K150),IF($K$19=$B$171,+$A151*$C$176+$D$176,0)))</f>
        <v>583.75</v>
      </c>
      <c r="L151" s="716">
        <f>IF(L$19=$B$169,+AVERAGE(L31,L43,L55,L67,L79,L91,L103,L115,L127,L139),+IF(L$19=$B$170,+(EXP((LN(+'4. Customer Growth'!$W$42)/12))*$K150),IF($L$19=$B$171,+$A151*$C$177+$D$177,0)))</f>
        <v>0</v>
      </c>
      <c r="M151" s="716">
        <f>IF(M$19=$B$169,+AVERAGE(M31,M43,M55,M67,M79,M91,M103,M115,M127,M139),+IF(M$19=$B$170,+(EXP((LN(+'4. Customer Growth'!$W$42)/12))*$K150),IF($M$19=$B$171,+$A151*$C$178+$D$178,0)))</f>
        <v>31</v>
      </c>
      <c r="N151" s="716">
        <f>IF(N$19=$B$169,+AVERAGE(N31,N43,N55,N67,N79,N91,N103,N115,N127,N139),+IF(N$19=$B$170,+(EXP((LN(+'4. Customer Growth'!$W$42)/12))*$K150),IF($N$19=$B$171,+$A151*$C$179+$D$179,0)))</f>
        <v>146.87206142659082</v>
      </c>
      <c r="O151" s="716">
        <f>IF(O$19=$B$169,+AVERAGE(O31,O43,O55,O67,O79,O91,O103,O115,O127,O139),+IF(O$19=$B$170,+(EXP((LN(+'4. Customer Growth'!$W$42)/12))*$O150),IF($O$19=$B$171,+$A151*$C$180+$D$180,0)))</f>
        <v>0</v>
      </c>
      <c r="P151" s="716">
        <f>IF(P$19=$B$169,+AVERAGE(P31,P43,P55,P67,P79,P91,P103,P115,P127,P139),+IF(P$19=$B$170,+(EXP((LN(+'4. Customer Growth'!$W$42)/12))*$P150),IF($P$19=$B$171,+$A151*$C$181+$D$181,0)))</f>
        <v>328.88888888888886</v>
      </c>
      <c r="Q151" s="242"/>
      <c r="R151" s="260">
        <f t="shared" si="11"/>
        <v>22169186.476617709</v>
      </c>
      <c r="S151" s="262">
        <f>SUM(R140:R151)</f>
        <v>249817975.81562376</v>
      </c>
      <c r="T151" s="242"/>
      <c r="U151" s="242"/>
      <c r="V151" s="242"/>
      <c r="W151" s="242"/>
      <c r="X151" s="242"/>
      <c r="Y151" s="242"/>
      <c r="Z151" s="242"/>
      <c r="AA151" s="242"/>
      <c r="AB151" s="242"/>
      <c r="AC151" s="242"/>
      <c r="AD151" s="242"/>
      <c r="AE151" s="242"/>
      <c r="AF151" s="242"/>
      <c r="AG151" s="242"/>
      <c r="AH151" s="242"/>
      <c r="AI151" s="242"/>
      <c r="AJ151" s="242"/>
      <c r="AK151" s="242"/>
      <c r="AL151" s="242"/>
      <c r="AM151" s="242"/>
    </row>
    <row r="152" spans="1:39" x14ac:dyDescent="0.2">
      <c r="A152" s="500">
        <f t="shared" si="12"/>
        <v>133</v>
      </c>
      <c r="B152" s="259" t="str">
        <f>CONCATENATE('3. Consumption by Rate Class'!B157,"-",'3. Consumption by Rate Class'!C157)</f>
        <v>2017-January</v>
      </c>
      <c r="C152" s="687"/>
      <c r="D152" s="272"/>
      <c r="E152" s="758"/>
      <c r="F152" s="272"/>
      <c r="G152" s="272"/>
      <c r="H152" s="272"/>
      <c r="I152" s="272"/>
      <c r="J152" s="243"/>
      <c r="K152" s="716">
        <f>IF(K$19=$B$169,+AVERAGE(K32,K44,K56,K68,K80,K92,K104,K116,K128,K140),+IF(K$19=$B$170,+(EXP((LN(+'4. Customer Growth'!$W$43)/12))*$K151),IF($K$19=$B$171,+$A152*$C$176+$D$176,0)))</f>
        <v>717.38100000000009</v>
      </c>
      <c r="L152" s="716">
        <f>IF(L$19=$B$169,+AVERAGE(L32,L44,L56,L68,L80,L92,L104,L116,L128,L140),+IF(L$19=$B$170,+(EXP((LN(+'4. Customer Growth'!$W$43)/12))*$K151),IF($L$19=$B$171,+$A152*$C$177+$D$177,0)))</f>
        <v>0</v>
      </c>
      <c r="M152" s="716">
        <f>IF(M$19=$B$169,+AVERAGE(M32,M44,M56,M68,M80,M92,M104,M116,M128,M140),+IF(M$19=$B$170,+(EXP((LN(+'4. Customer Growth'!$W$43)/12))*$K151),IF($M$19=$B$171,+$A152*$C$178+$D$178,0)))</f>
        <v>31</v>
      </c>
      <c r="N152" s="716">
        <f>IF(N$19=$B$169,+AVERAGE(N32,N44,N56,N68,N80,N92,N104,N116,N128,N140),+IF(N$19=$B$170,+(EXP((LN(+'4. Customer Growth'!$W$43)/12))*$K151),IF($N$19=$B$171,+$A152*$C$179+$D$179,0)))</f>
        <v>146.95558417122587</v>
      </c>
      <c r="O152" s="716">
        <f>IF(O$19=$B$169,+AVERAGE(O32,O44,O56,O68,O80,O92,O104,O116,O128,O140),+IF(O$19=$B$170,+(EXP((LN(+'4. Customer Growth'!$W$43)/12))*$O151),IF($O$19=$B$171,+$A152*$C$180+$D$180,0)))</f>
        <v>0</v>
      </c>
      <c r="P152" s="716">
        <f>IF(P$19=$B$169,+AVERAGE(P32,P44,P56,P68,P80,P92,P104,P116,P128,P140),+IF(P$19=$B$170,+(EXP((LN(+'4. Customer Growth'!$W$43)/12))*$P151),IF($P$19=$B$171,+$A152*$C$181+$D$181,0)))</f>
        <v>345.77777777777771</v>
      </c>
      <c r="Q152" s="242"/>
      <c r="R152" s="260">
        <f t="shared" si="11"/>
        <v>23170782.957239013</v>
      </c>
      <c r="S152" s="262"/>
      <c r="T152" s="242"/>
      <c r="U152" s="242"/>
      <c r="V152" s="242"/>
      <c r="W152" s="242"/>
      <c r="X152" s="242"/>
      <c r="Y152" s="242"/>
      <c r="Z152" s="242"/>
      <c r="AA152" s="242"/>
      <c r="AB152" s="242"/>
      <c r="AC152" s="242"/>
      <c r="AD152" s="242"/>
      <c r="AE152" s="242"/>
      <c r="AF152" s="242"/>
      <c r="AG152" s="242"/>
      <c r="AH152" s="242"/>
      <c r="AI152" s="242"/>
      <c r="AJ152" s="242"/>
      <c r="AK152" s="242"/>
      <c r="AL152" s="242"/>
      <c r="AM152" s="242"/>
    </row>
    <row r="153" spans="1:39" x14ac:dyDescent="0.2">
      <c r="A153" s="500">
        <f t="shared" si="12"/>
        <v>134</v>
      </c>
      <c r="B153" s="259" t="str">
        <f>CONCATENATE('3. Consumption by Rate Class'!B158,"-",'3. Consumption by Rate Class'!C158)</f>
        <v>2017-February</v>
      </c>
      <c r="C153" s="687"/>
      <c r="D153" s="272"/>
      <c r="E153" s="758"/>
      <c r="F153" s="272"/>
      <c r="G153" s="272"/>
      <c r="H153" s="272"/>
      <c r="I153" s="272"/>
      <c r="J153" s="243"/>
      <c r="K153" s="716">
        <f>IF(K$19=$B$169,+AVERAGE(K33,K45,K57,K69,K81,K93,K105,K117,K129,K141),+IF(K$19=$B$170,+(EXP((LN(+'4. Customer Growth'!$W$43)/12))*$K152),IF($K$19=$B$171,+$A153*$C$176+$D$176,0)))</f>
        <v>663.35699999999997</v>
      </c>
      <c r="L153" s="716">
        <f>IF(L$19=$B$169,+AVERAGE(L33,L45,L57,L69,L81,L93,L105,L117,L129,L141),+IF(L$19=$B$170,+(EXP((LN(+'4. Customer Growth'!$W$43)/12))*$K152),IF($L$19=$B$171,+$A153*$C$177+$D$177,0)))</f>
        <v>0</v>
      </c>
      <c r="M153" s="716">
        <f>IF(M$19=$B$169,+AVERAGE(M33,M45,M57,M69,M81,M93,M105,M117,M129,M141),+IF(M$19=$B$170,+(EXP((LN(+'4. Customer Growth'!$W$43)/12))*$K152),IF($M$19=$B$171,+$A153*$C$178+$D$178,0)))</f>
        <v>28.22</v>
      </c>
      <c r="N153" s="716">
        <f>IF(N$19=$B$169,+AVERAGE(N33,N45,N57,N69,N81,N93,N105,N117,N129,N141),+IF(N$19=$B$170,+(EXP((LN(+'4. Customer Growth'!$W$43)/12))*$K152),IF($N$19=$B$171,+$A153*$C$179+$D$179,0)))</f>
        <v>147.03910691586091</v>
      </c>
      <c r="O153" s="716">
        <f>IF(O$19=$B$169,+AVERAGE(O33,O45,O57,O69,O81,O93,O105,O117,O129,O141),+IF(O$19=$B$170,+(EXP((LN(+'4. Customer Growth'!$W$43)/12))*$O152),IF($O$19=$B$171,+$A153*$C$180+$D$180,0)))</f>
        <v>0</v>
      </c>
      <c r="P153" s="716">
        <f>IF(P$19=$B$169,+AVERAGE(P33,P45,P57,P69,P81,P93,P105,P117,P129,P141),+IF(P$19=$B$170,+(EXP((LN(+'4. Customer Growth'!$W$43)/12))*$P152),IF($P$19=$B$171,+$A153*$C$181+$D$181,0)))</f>
        <v>312.17777777777775</v>
      </c>
      <c r="Q153" s="242"/>
      <c r="R153" s="260">
        <f t="shared" si="11"/>
        <v>21510095.519030835</v>
      </c>
      <c r="S153" s="262"/>
      <c r="T153" s="242"/>
      <c r="U153" s="242"/>
      <c r="V153" s="242"/>
      <c r="W153" s="242"/>
      <c r="X153" s="242"/>
      <c r="Y153" s="242"/>
      <c r="Z153" s="242"/>
      <c r="AA153" s="242"/>
      <c r="AB153" s="242"/>
      <c r="AC153" s="242"/>
      <c r="AD153" s="242"/>
      <c r="AE153" s="242"/>
      <c r="AF153" s="242"/>
      <c r="AG153" s="242"/>
      <c r="AH153" s="242"/>
      <c r="AI153" s="242"/>
      <c r="AJ153" s="242"/>
      <c r="AK153" s="242"/>
      <c r="AL153" s="242"/>
      <c r="AM153" s="242"/>
    </row>
    <row r="154" spans="1:39" x14ac:dyDescent="0.2">
      <c r="A154" s="500">
        <f t="shared" si="12"/>
        <v>135</v>
      </c>
      <c r="B154" s="259" t="str">
        <f>CONCATENATE('3. Consumption by Rate Class'!B159,"-",'3. Consumption by Rate Class'!C159)</f>
        <v>2017-March</v>
      </c>
      <c r="C154" s="687"/>
      <c r="D154" s="272"/>
      <c r="E154" s="758"/>
      <c r="F154" s="272"/>
      <c r="G154" s="272"/>
      <c r="H154" s="272"/>
      <c r="I154" s="272"/>
      <c r="J154" s="243"/>
      <c r="K154" s="716">
        <f>IF(K$19=$B$169,+AVERAGE(K34,K46,K58,K70,K82,K94,K106,K118,K130,K142),+IF(K$19=$B$170,+(EXP((LN(+'4. Customer Growth'!$W$43)/12))*$K153),IF($K$19=$B$171,+$A154*$C$176+$D$176,0)))</f>
        <v>568.56899999999985</v>
      </c>
      <c r="L154" s="716">
        <f>IF(L$19=$B$169,+AVERAGE(L34,L46,L58,L70,L82,L94,L106,L118,L130,L142),+IF(L$19=$B$170,+(EXP((LN(+'4. Customer Growth'!$W$43)/12))*$K153),IF($L$19=$B$171,+$A154*$C$177+$D$177,0)))</f>
        <v>0</v>
      </c>
      <c r="M154" s="716">
        <f>IF(M$19=$B$169,+AVERAGE(M34,M46,M58,M70,M82,M94,M106,M118,M130,M142),+IF(M$19=$B$170,+(EXP((LN(+'4. Customer Growth'!$W$43)/12))*$K153),IF($M$19=$B$171,+$A154*$C$178+$D$178,0)))</f>
        <v>31</v>
      </c>
      <c r="N154" s="716">
        <f>IF(N$19=$B$169,+AVERAGE(N34,N46,N58,N70,N82,N94,N106,N118,N130,N142),+IF(N$19=$B$170,+(EXP((LN(+'4. Customer Growth'!$W$43)/12))*$K153),IF($N$19=$B$171,+$A154*$C$179+$D$179,0)))</f>
        <v>147.12262966049596</v>
      </c>
      <c r="O154" s="716">
        <f>IF(O$19=$B$169,+AVERAGE(O34,O46,O58,O70,O82,O94,O106,O118,O130,O142),+IF(O$19=$B$170,+(EXP((LN(+'4. Customer Growth'!$W$43)/12))*$O153),IF($O$19=$B$171,+$A154*$C$180+$D$180,0)))</f>
        <v>0</v>
      </c>
      <c r="P154" s="716">
        <f>IF(P$19=$B$169,+AVERAGE(P34,P46,P58,P70,P82,P94,P106,P118,P130,P142),+IF(P$19=$B$170,+(EXP((LN(+'4. Customer Growth'!$W$43)/12))*$P153),IF($P$19=$B$171,+$A154*$C$181+$D$181,0)))</f>
        <v>336.71111111111111</v>
      </c>
      <c r="Q154" s="242"/>
      <c r="R154" s="260">
        <f t="shared" si="11"/>
        <v>22137118.016732965</v>
      </c>
      <c r="S154" s="262"/>
      <c r="T154" s="242"/>
      <c r="U154" s="242"/>
      <c r="V154" s="242"/>
      <c r="W154" s="242"/>
      <c r="X154" s="242"/>
      <c r="Y154" s="242"/>
      <c r="Z154" s="242"/>
      <c r="AA154" s="242"/>
      <c r="AB154" s="242"/>
      <c r="AC154" s="242"/>
      <c r="AD154" s="242"/>
      <c r="AE154" s="242"/>
      <c r="AF154" s="242"/>
      <c r="AG154" s="242"/>
      <c r="AH154" s="242"/>
      <c r="AI154" s="242"/>
      <c r="AJ154" s="242"/>
      <c r="AK154" s="242"/>
      <c r="AL154" s="242"/>
      <c r="AM154" s="242"/>
    </row>
    <row r="155" spans="1:39" x14ac:dyDescent="0.2">
      <c r="A155" s="500">
        <f t="shared" si="12"/>
        <v>136</v>
      </c>
      <c r="B155" s="259" t="str">
        <f>CONCATENATE('3. Consumption by Rate Class'!B160,"-",'3. Consumption by Rate Class'!C160)</f>
        <v>2017-April</v>
      </c>
      <c r="C155" s="687"/>
      <c r="D155" s="272"/>
      <c r="E155" s="758"/>
      <c r="F155" s="272"/>
      <c r="G155" s="272"/>
      <c r="H155" s="272"/>
      <c r="I155" s="272"/>
      <c r="J155" s="243"/>
      <c r="K155" s="716">
        <f>IF(K$19=$B$169,+AVERAGE(K35,K47,K59,K71,K83,K95,K107,K119,K131,K143),+IF(K$19=$B$170,+(EXP((LN(+'4. Customer Growth'!$W$43)/12))*$K154),IF($K$19=$B$171,+$A155*$C$176+$D$176,0)))</f>
        <v>354.56799999999993</v>
      </c>
      <c r="L155" s="716">
        <f>IF(L$19=$B$169,+AVERAGE(L35,L47,L59,L71,L83,L95,L107,L119,L131,L143),+IF(L$19=$B$170,+(EXP((LN(+'4. Customer Growth'!$W$43)/12))*$K154),IF($L$19=$B$171,+$A155*$C$177+$D$177,0)))</f>
        <v>0</v>
      </c>
      <c r="M155" s="716">
        <f>IF(M$19=$B$169,+AVERAGE(M35,M47,M59,M71,M83,M95,M107,M119,M131,M143),+IF(M$19=$B$170,+(EXP((LN(+'4. Customer Growth'!$W$43)/12))*$K154),IF($M$19=$B$171,+$A155*$C$178+$D$178,0)))</f>
        <v>30</v>
      </c>
      <c r="N155" s="716">
        <f>IF(N$19=$B$169,+AVERAGE(N35,N47,N59,N71,N83,N95,N107,N119,N131,N143),+IF(N$19=$B$170,+(EXP((LN(+'4. Customer Growth'!$W$43)/12))*$K154),IF($N$19=$B$171,+$A155*$C$179+$D$179,0)))</f>
        <v>147.20615240513101</v>
      </c>
      <c r="O155" s="716">
        <f>IF(O$19=$B$169,+AVERAGE(O35,O47,O59,O71,O83,O95,O107,O119,O131,O143),+IF(O$19=$B$170,+(EXP((LN(+'4. Customer Growth'!$W$43)/12))*$O154),IF($O$19=$B$171,+$A155*$C$180+$D$180,0)))</f>
        <v>0</v>
      </c>
      <c r="P155" s="716">
        <f>IF(P$19=$B$169,+AVERAGE(P35,P47,P59,P71,P83,P95,P107,P119,P131,P143),+IF(P$19=$B$170,+(EXP((LN(+'4. Customer Growth'!$W$43)/12))*$P154),IF($P$19=$B$171,+$A155*$C$181+$D$181,0)))</f>
        <v>333.33333333333331</v>
      </c>
      <c r="Q155" s="242"/>
      <c r="R155" s="260">
        <f t="shared" si="11"/>
        <v>20339852.732557252</v>
      </c>
      <c r="S155" s="262"/>
      <c r="T155" s="242"/>
      <c r="U155" s="242"/>
      <c r="V155" s="242"/>
      <c r="W155" s="242"/>
      <c r="X155" s="242"/>
      <c r="Y155" s="242"/>
      <c r="Z155" s="242"/>
      <c r="AA155" s="242"/>
      <c r="AB155" s="242"/>
      <c r="AC155" s="242"/>
      <c r="AD155" s="242"/>
      <c r="AE155" s="242"/>
      <c r="AF155" s="242"/>
      <c r="AG155" s="242"/>
      <c r="AH155" s="242"/>
      <c r="AI155" s="242"/>
      <c r="AJ155" s="242"/>
      <c r="AK155" s="242"/>
      <c r="AL155" s="242"/>
      <c r="AM155" s="242"/>
    </row>
    <row r="156" spans="1:39" x14ac:dyDescent="0.2">
      <c r="A156" s="500">
        <f t="shared" si="12"/>
        <v>137</v>
      </c>
      <c r="B156" s="259" t="str">
        <f>CONCATENATE('3. Consumption by Rate Class'!B161,"-",'3. Consumption by Rate Class'!C161)</f>
        <v>2017-May</v>
      </c>
      <c r="C156" s="687"/>
      <c r="D156" s="272"/>
      <c r="E156" s="758"/>
      <c r="F156" s="272"/>
      <c r="G156" s="272"/>
      <c r="H156" s="272"/>
      <c r="I156" s="272"/>
      <c r="J156" s="243"/>
      <c r="K156" s="716">
        <f>IF(K$19=$B$169,+AVERAGE(K36,K48,K60,K72,K84,K96,K108,K120,K132,K144),+IF(K$19=$B$170,+(EXP((LN(+'4. Customer Growth'!$W$43)/12))*$K155),IF($K$19=$B$171,+$A156*$C$176+$D$176,0)))</f>
        <v>193.398</v>
      </c>
      <c r="L156" s="716">
        <f>IF(L$19=$B$169,+AVERAGE(L36,L48,L60,L72,L84,L96,L108,L120,L132,L144),+IF(L$19=$B$170,+(EXP((LN(+'4. Customer Growth'!$W$43)/12))*$K155),IF($L$19=$B$171,+$A156*$C$177+$D$177,0)))</f>
        <v>1.702</v>
      </c>
      <c r="M156" s="716">
        <f>IF(M$19=$B$169,+AVERAGE(M36,M48,M60,M72,M84,M96,M108,M120,M132,M144),+IF(M$19=$B$170,+(EXP((LN(+'4. Customer Growth'!$W$43)/12))*$K155),IF($M$19=$B$171,+$A156*$C$178+$D$178,0)))</f>
        <v>31</v>
      </c>
      <c r="N156" s="716">
        <f>IF(N$19=$B$169,+AVERAGE(N36,N48,N60,N72,N84,N96,N108,N120,N132,N144),+IF(N$19=$B$170,+(EXP((LN(+'4. Customer Growth'!$W$43)/12))*$K155),IF($N$19=$B$171,+$A156*$C$179+$D$179,0)))</f>
        <v>147.28967514976605</v>
      </c>
      <c r="O156" s="716">
        <f>IF(O$19=$B$169,+AVERAGE(O36,O48,O60,O72,O84,O96,O108,O120,O132,O144),+IF(O$19=$B$170,+(EXP((LN(+'4. Customer Growth'!$W$43)/12))*$O155),IF($O$19=$B$171,+$A156*$C$180+$D$180,0)))</f>
        <v>0</v>
      </c>
      <c r="P156" s="716">
        <f>IF(P$19=$B$169,+AVERAGE(P36,P48,P60,P72,P84,P96,P108,P120,P132,P144),+IF(P$19=$B$170,+(EXP((LN(+'4. Customer Growth'!$W$43)/12))*$P155),IF($P$19=$B$171,+$A156*$C$181+$D$181,0)))</f>
        <v>338.31111111111113</v>
      </c>
      <c r="Q156" s="242"/>
      <c r="R156" s="260">
        <f t="shared" si="11"/>
        <v>19777498.296514198</v>
      </c>
      <c r="S156" s="262"/>
      <c r="T156" s="242"/>
      <c r="U156" s="242"/>
      <c r="V156" s="242"/>
      <c r="W156" s="242"/>
      <c r="X156" s="242"/>
      <c r="Y156" s="242"/>
      <c r="Z156" s="242"/>
      <c r="AA156" s="242"/>
      <c r="AB156" s="242"/>
      <c r="AC156" s="242"/>
      <c r="AD156" s="242"/>
      <c r="AE156" s="242"/>
      <c r="AF156" s="242"/>
      <c r="AG156" s="242"/>
      <c r="AH156" s="242"/>
      <c r="AI156" s="242"/>
      <c r="AJ156" s="242"/>
      <c r="AK156" s="242"/>
      <c r="AL156" s="242"/>
      <c r="AM156" s="242"/>
    </row>
    <row r="157" spans="1:39" x14ac:dyDescent="0.2">
      <c r="A157" s="500">
        <f t="shared" si="12"/>
        <v>138</v>
      </c>
      <c r="B157" s="259" t="str">
        <f>CONCATENATE('3. Consumption by Rate Class'!B162,"-",'3. Consumption by Rate Class'!C162)</f>
        <v>2017-June</v>
      </c>
      <c r="C157" s="687"/>
      <c r="D157" s="272"/>
      <c r="E157" s="758"/>
      <c r="F157" s="272"/>
      <c r="G157" s="272"/>
      <c r="H157" s="272"/>
      <c r="I157" s="272"/>
      <c r="J157" s="243"/>
      <c r="K157" s="716">
        <f>IF(K$19=$B$169,+AVERAGE(K37,K49,K61,K73,K85,K97,K109,K121,K133,K145),+IF(K$19=$B$170,+(EXP((LN(+'4. Customer Growth'!$W$43)/12))*$K156),IF($K$19=$B$171,+$A157*$C$176+$D$176,0)))</f>
        <v>61.814</v>
      </c>
      <c r="L157" s="716">
        <f>IF(L$19=$B$169,+AVERAGE(L37,L49,L61,L73,L85,L97,L109,L121,L133,L145),+IF(L$19=$B$170,+(EXP((LN(+'4. Customer Growth'!$W$43)/12))*$K156),IF($L$19=$B$171,+$A157*$C$177+$D$177,0)))</f>
        <v>15.657</v>
      </c>
      <c r="M157" s="716">
        <f>IF(M$19=$B$169,+AVERAGE(M37,M49,M61,M73,M85,M97,M109,M121,M133,M145),+IF(M$19=$B$170,+(EXP((LN(+'4. Customer Growth'!$W$43)/12))*$K156),IF($M$19=$B$171,+$A157*$C$178+$D$178,0)))</f>
        <v>30</v>
      </c>
      <c r="N157" s="716">
        <f>IF(N$19=$B$169,+AVERAGE(N37,N49,N61,N73,N85,N97,N109,N121,N133,N145),+IF(N$19=$B$170,+(EXP((LN(+'4. Customer Growth'!$W$43)/12))*$K156),IF($N$19=$B$171,+$A157*$C$179+$D$179,0)))</f>
        <v>147.3731978944011</v>
      </c>
      <c r="O157" s="716">
        <f>IF(O$19=$B$169,+AVERAGE(O37,O49,O61,O73,O85,O97,O109,O121,O133,O145),+IF(O$19=$B$170,+(EXP((LN(+'4. Customer Growth'!$W$43)/12))*$O156),IF($O$19=$B$171,+$A157*$C$180+$D$180,0)))</f>
        <v>0</v>
      </c>
      <c r="P157" s="716">
        <f>IF(P$19=$B$169,+AVERAGE(P37,P49,P61,P73,P85,P97,P109,P121,P133,P145),+IF(P$19=$B$170,+(EXP((LN(+'4. Customer Growth'!$W$43)/12))*$P156),IF($P$19=$B$171,+$A157*$C$181+$D$181,0)))</f>
        <v>338.31111111111113</v>
      </c>
      <c r="Q157" s="242"/>
      <c r="R157" s="260">
        <f t="shared" si="11"/>
        <v>19098384.976512618</v>
      </c>
      <c r="S157" s="262"/>
      <c r="T157" s="242"/>
      <c r="U157" s="242"/>
      <c r="V157" s="242"/>
      <c r="W157" s="242"/>
      <c r="X157" s="242"/>
      <c r="Y157" s="242"/>
      <c r="Z157" s="242"/>
      <c r="AA157" s="242"/>
      <c r="AB157" s="242"/>
      <c r="AC157" s="242"/>
      <c r="AD157" s="242"/>
      <c r="AE157" s="242"/>
      <c r="AF157" s="242"/>
      <c r="AG157" s="242"/>
      <c r="AH157" s="242"/>
      <c r="AI157" s="242"/>
      <c r="AJ157" s="242"/>
      <c r="AK157" s="242"/>
      <c r="AL157" s="242"/>
      <c r="AM157" s="242"/>
    </row>
    <row r="158" spans="1:39" x14ac:dyDescent="0.2">
      <c r="A158" s="500">
        <f t="shared" si="12"/>
        <v>139</v>
      </c>
      <c r="B158" s="259" t="str">
        <f>CONCATENATE('3. Consumption by Rate Class'!B163,"-",'3. Consumption by Rate Class'!C163)</f>
        <v>2017-July</v>
      </c>
      <c r="C158" s="687"/>
      <c r="D158" s="272"/>
      <c r="E158" s="758"/>
      <c r="F158" s="272"/>
      <c r="G158" s="272"/>
      <c r="H158" s="272"/>
      <c r="I158" s="272"/>
      <c r="J158" s="243"/>
      <c r="K158" s="716">
        <f>IF(K$19=$B$169,+AVERAGE(K38,K50,K62,K74,K86,K98,K110,K122,K134,K146),+IF(K$19=$B$170,+(EXP((LN(+'4. Customer Growth'!$W$43)/12))*$K157),IF($K$19=$B$171,+$A158*$C$176+$D$176,0)))</f>
        <v>18.748000000000001</v>
      </c>
      <c r="L158" s="716">
        <f>IF(L$19=$B$169,+AVERAGE(L38,L50,L62,L74,L86,L98,L110,L122,L134,L146),+IF(L$19=$B$170,+(EXP((LN(+'4. Customer Growth'!$W$43)/12))*$K157),IF($L$19=$B$171,+$A158*$C$177+$D$177,0)))</f>
        <v>60.709000000000003</v>
      </c>
      <c r="M158" s="716">
        <f>IF(M$19=$B$169,+AVERAGE(M38,M50,M62,M74,M86,M98,M110,M122,M134,M146),+IF(M$19=$B$170,+(EXP((LN(+'4. Customer Growth'!$W$43)/12))*$K157),IF($M$19=$B$171,+$A158*$C$178+$D$178,0)))</f>
        <v>31</v>
      </c>
      <c r="N158" s="716">
        <f>IF(N$19=$B$169,+AVERAGE(N38,N50,N62,N74,N86,N98,N110,N122,N134,N146),+IF(N$19=$B$170,+(EXP((LN(+'4. Customer Growth'!$W$43)/12))*$K157),IF($N$19=$B$171,+$A158*$C$179+$D$179,0)))</f>
        <v>147.45672063903615</v>
      </c>
      <c r="O158" s="716">
        <f>IF(O$19=$B$169,+AVERAGE(O38,O50,O62,O74,O86,O98,O110,O122,O134,O146),+IF(O$19=$B$170,+(EXP((LN(+'4. Customer Growth'!$W$43)/12))*$O157),IF($O$19=$B$171,+$A158*$C$180+$D$180,0)))</f>
        <v>0</v>
      </c>
      <c r="P158" s="716">
        <f>IF(P$19=$B$169,+AVERAGE(P38,P50,P62,P74,P86,P98,P110,P122,P134,P146),+IF(P$19=$B$170,+(EXP((LN(+'4. Customer Growth'!$W$43)/12))*$P157),IF($P$19=$B$171,+$A158*$C$181+$D$181,0)))</f>
        <v>345.42222222222227</v>
      </c>
      <c r="Q158" s="242"/>
      <c r="R158" s="260">
        <f t="shared" si="11"/>
        <v>21047280.02636943</v>
      </c>
      <c r="S158" s="262"/>
      <c r="T158" s="242"/>
      <c r="U158" s="242"/>
      <c r="V158" s="242"/>
      <c r="W158" s="242"/>
      <c r="X158" s="242"/>
      <c r="Y158" s="242"/>
      <c r="Z158" s="242"/>
      <c r="AA158" s="242"/>
      <c r="AB158" s="242"/>
      <c r="AC158" s="242"/>
      <c r="AD158" s="242"/>
      <c r="AE158" s="242"/>
      <c r="AF158" s="242"/>
      <c r="AG158" s="242"/>
      <c r="AH158" s="242"/>
      <c r="AI158" s="242"/>
      <c r="AJ158" s="242"/>
      <c r="AK158" s="242"/>
      <c r="AL158" s="242"/>
      <c r="AM158" s="242"/>
    </row>
    <row r="159" spans="1:39" x14ac:dyDescent="0.2">
      <c r="A159" s="500">
        <f t="shared" si="12"/>
        <v>140</v>
      </c>
      <c r="B159" s="259" t="str">
        <f>CONCATENATE('3. Consumption by Rate Class'!B164,"-",'3. Consumption by Rate Class'!C164)</f>
        <v>2017-August</v>
      </c>
      <c r="C159" s="687"/>
      <c r="D159" s="272"/>
      <c r="E159" s="758"/>
      <c r="F159" s="272"/>
      <c r="G159" s="272"/>
      <c r="H159" s="272"/>
      <c r="I159" s="272"/>
      <c r="J159" s="243"/>
      <c r="K159" s="716">
        <f>IF(K$19=$B$169,+AVERAGE(K39,K51,K63,K75,K87,K99,K111,K123,K135,K147),+IF(K$19=$B$170,+(EXP((LN(+'4. Customer Growth'!$W$43)/12))*$K158),IF($K$19=$B$171,+$A159*$C$176+$D$176,0)))</f>
        <v>13.674000000000001</v>
      </c>
      <c r="L159" s="716">
        <f>IF(L$19=$B$169,+AVERAGE(L39,L51,L63,L75,L87,L99,L111,L123,L135,L147),+IF(L$19=$B$170,+(EXP((LN(+'4. Customer Growth'!$W$43)/12))*$K158),IF($L$19=$B$171,+$A159*$C$177+$D$177,0)))</f>
        <v>57.928999999999995</v>
      </c>
      <c r="M159" s="716">
        <f>IF(M$19=$B$169,+AVERAGE(M39,M51,M63,M75,M87,M99,M111,M123,M135,M147),+IF(M$19=$B$170,+(EXP((LN(+'4. Customer Growth'!$W$43)/12))*$K158),IF($M$19=$B$171,+$A159*$C$178+$D$178,0)))</f>
        <v>31</v>
      </c>
      <c r="N159" s="716">
        <f>IF(N$19=$B$169,+AVERAGE(N39,N51,N63,N75,N87,N99,N111,N123,N135,N147),+IF(N$19=$B$170,+(EXP((LN(+'4. Customer Growth'!$W$43)/12))*$K158),IF($N$19=$B$171,+$A159*$C$179+$D$179,0)))</f>
        <v>147.5402433836712</v>
      </c>
      <c r="O159" s="716">
        <f>IF(O$19=$B$169,+AVERAGE(O39,O51,O63,O75,O87,O99,O111,O123,O135,O147),+IF(O$19=$B$170,+(EXP((LN(+'4. Customer Growth'!$W$43)/12))*$O158),IF($O$19=$B$171,+$A159*$C$180+$D$180,0)))</f>
        <v>0</v>
      </c>
      <c r="P159" s="716">
        <f>IF(P$19=$B$169,+AVERAGE(P39,P51,P63,P75,P87,P99,P111,P123,P135,P147),+IF(P$19=$B$170,+(EXP((LN(+'4. Customer Growth'!$W$43)/12))*$P158),IF($P$19=$B$171,+$A159*$C$181+$D$181,0)))</f>
        <v>332.44444444444446</v>
      </c>
      <c r="Q159" s="242"/>
      <c r="R159" s="260">
        <f t="shared" si="11"/>
        <v>20807287.119906224</v>
      </c>
      <c r="S159" s="262"/>
      <c r="T159" s="242"/>
      <c r="U159" s="242"/>
      <c r="V159" s="242"/>
      <c r="W159" s="242"/>
      <c r="X159" s="242"/>
      <c r="Y159" s="242"/>
      <c r="Z159" s="242"/>
      <c r="AA159" s="242"/>
      <c r="AB159" s="242"/>
      <c r="AC159" s="242"/>
      <c r="AD159" s="242"/>
      <c r="AE159" s="242"/>
      <c r="AF159" s="242"/>
      <c r="AG159" s="242"/>
      <c r="AH159" s="242"/>
      <c r="AI159" s="242"/>
      <c r="AJ159" s="242"/>
      <c r="AK159" s="242"/>
      <c r="AL159" s="242"/>
      <c r="AM159" s="242"/>
    </row>
    <row r="160" spans="1:39" x14ac:dyDescent="0.2">
      <c r="A160" s="500">
        <f t="shared" si="12"/>
        <v>141</v>
      </c>
      <c r="B160" s="259" t="str">
        <f>CONCATENATE('3. Consumption by Rate Class'!B165,"-",'3. Consumption by Rate Class'!C165)</f>
        <v>2017-September</v>
      </c>
      <c r="C160" s="687"/>
      <c r="D160" s="272"/>
      <c r="E160" s="758"/>
      <c r="F160" s="272"/>
      <c r="G160" s="272"/>
      <c r="H160" s="272"/>
      <c r="I160" s="272"/>
      <c r="J160" s="243"/>
      <c r="K160" s="716">
        <f>IF(K$19=$B$169,+AVERAGE(K40,K52,K64,K76,K88,K100,K112,K124,K136,K148),+IF(K$19=$B$170,+(EXP((LN(+'4. Customer Growth'!$W$43)/12))*$K159),IF($K$19=$B$171,+$A160*$C$176+$D$176,0)))</f>
        <v>78.395999999999987</v>
      </c>
      <c r="L160" s="716">
        <f>IF(L$19=$B$169,+AVERAGE(L40,L52,L64,L76,L88,L100,L112,L124,L136,L148),+IF(L$19=$B$170,+(EXP((LN(+'4. Customer Growth'!$W$43)/12))*$K159),IF($L$19=$B$171,+$A160*$C$177+$D$177,0)))</f>
        <v>18.273</v>
      </c>
      <c r="M160" s="716">
        <f>IF(M$19=$B$169,+AVERAGE(M40,M52,M64,M76,M88,M100,M112,M124,M136,M148),+IF(M$19=$B$170,+(EXP((LN(+'4. Customer Growth'!$W$43)/12))*$K159),IF($M$19=$B$171,+$A160*$C$178+$D$178,0)))</f>
        <v>30</v>
      </c>
      <c r="N160" s="716">
        <f>IF(N$19=$B$169,+AVERAGE(N40,N52,N64,N76,N88,N100,N112,N124,N136,N148),+IF(N$19=$B$170,+(EXP((LN(+'4. Customer Growth'!$W$43)/12))*$K159),IF($N$19=$B$171,+$A160*$C$179+$D$179,0)))</f>
        <v>147.62376612830622</v>
      </c>
      <c r="O160" s="716">
        <f>IF(O$19=$B$169,+AVERAGE(O40,O52,O64,O76,O88,O100,O112,O124,O136,O148),+IF(O$19=$B$170,+(EXP((LN(+'4. Customer Growth'!$W$43)/12))*$O159),IF($O$19=$B$171,+$A160*$C$180+$D$180,0)))</f>
        <v>0</v>
      </c>
      <c r="P160" s="716">
        <f>IF(P$19=$B$169,+AVERAGE(P40,P52,P64,P76,P88,P100,P112,P124,P136,P148),+IF(P$19=$B$170,+(EXP((LN(+'4. Customer Growth'!$W$43)/12))*$P159),IF($P$19=$B$171,+$A160*$C$181+$D$181,0)))</f>
        <v>325.86666666666667</v>
      </c>
      <c r="Q160" s="242"/>
      <c r="R160" s="260">
        <f t="shared" si="11"/>
        <v>19223225.215596002</v>
      </c>
      <c r="S160" s="262"/>
      <c r="T160" s="242"/>
      <c r="U160" s="242"/>
      <c r="V160" s="242"/>
      <c r="W160" s="242"/>
      <c r="X160" s="242"/>
      <c r="Y160" s="242"/>
      <c r="Z160" s="242"/>
      <c r="AA160" s="242"/>
      <c r="AB160" s="242"/>
      <c r="AC160" s="242"/>
      <c r="AD160" s="242"/>
      <c r="AE160" s="242"/>
      <c r="AF160" s="242"/>
      <c r="AG160" s="242"/>
      <c r="AH160" s="242"/>
      <c r="AI160" s="242"/>
      <c r="AJ160" s="242"/>
      <c r="AK160" s="242"/>
      <c r="AL160" s="242"/>
      <c r="AM160" s="242"/>
    </row>
    <row r="161" spans="1:39" x14ac:dyDescent="0.2">
      <c r="A161" s="500">
        <f t="shared" si="12"/>
        <v>142</v>
      </c>
      <c r="B161" s="259" t="str">
        <f>CONCATENATE('3. Consumption by Rate Class'!B166,"-",'3. Consumption by Rate Class'!C166)</f>
        <v>2017-October</v>
      </c>
      <c r="C161" s="687"/>
      <c r="D161" s="272"/>
      <c r="E161" s="758"/>
      <c r="F161" s="272"/>
      <c r="G161" s="272"/>
      <c r="H161" s="272"/>
      <c r="I161" s="272"/>
      <c r="J161" s="243"/>
      <c r="K161" s="716">
        <f>IF(K$19=$B$169,+AVERAGE(K41,K53,K65,K77,K89,K101,K113,K125,K137,K149),+IF(K$19=$B$170,+(EXP((LN(+'4. Customer Growth'!$W$43)/12))*$K160),IF($K$19=$B$171,+$A161*$C$176+$D$176,0)))</f>
        <v>247.91200000000003</v>
      </c>
      <c r="L161" s="716">
        <f>IF(L$19=$B$169,+AVERAGE(L41,L53,L65,L77,L89,L101,L113,L125,L137,L149),+IF(L$19=$B$170,+(EXP((LN(+'4. Customer Growth'!$W$43)/12))*$K160),IF($L$19=$B$171,+$A161*$C$177+$D$177,0)))</f>
        <v>0.45099999999999996</v>
      </c>
      <c r="M161" s="716">
        <f>IF(M$19=$B$169,+AVERAGE(M41,M53,M65,M77,M89,M101,M113,M125,M137,M149),+IF(M$19=$B$170,+(EXP((LN(+'4. Customer Growth'!$W$43)/12))*$K160),IF($M$19=$B$171,+$A161*$C$178+$D$178,0)))</f>
        <v>31</v>
      </c>
      <c r="N161" s="716">
        <f>IF(N$19=$B$169,+AVERAGE(N41,N53,N65,N77,N89,N101,N113,N125,N137,N149),+IF(N$19=$B$170,+(EXP((LN(+'4. Customer Growth'!$W$43)/12))*$K160),IF($N$19=$B$171,+$A161*$C$179+$D$179,0)))</f>
        <v>147.70728887294126</v>
      </c>
      <c r="O161" s="716">
        <f>IF(O$19=$B$169,+AVERAGE(O41,O53,O65,O77,O89,O101,O113,O125,O137,O149),+IF(O$19=$B$170,+(EXP((LN(+'4. Customer Growth'!$W$43)/12))*$O160),IF($O$19=$B$171,+$A161*$C$180+$D$180,0)))</f>
        <v>0</v>
      </c>
      <c r="P161" s="716">
        <f>IF(P$19=$B$169,+AVERAGE(P41,P53,P65,P77,P89,P101,P113,P125,P137,P149),+IF(P$19=$B$170,+(EXP((LN(+'4. Customer Growth'!$W$43)/12))*$P160),IF($P$19=$B$171,+$A161*$C$181+$D$181,0)))</f>
        <v>345.77777777777771</v>
      </c>
      <c r="Q161" s="242"/>
      <c r="R161" s="260">
        <f t="shared" si="11"/>
        <v>20151920.996210061</v>
      </c>
      <c r="S161" s="262"/>
      <c r="T161" s="242"/>
      <c r="U161" s="242"/>
      <c r="V161" s="242"/>
      <c r="W161" s="242"/>
      <c r="X161" s="242"/>
      <c r="Y161" s="242"/>
      <c r="Z161" s="242"/>
      <c r="AA161" s="242"/>
      <c r="AB161" s="242"/>
      <c r="AC161" s="242"/>
      <c r="AD161" s="242"/>
      <c r="AE161" s="242"/>
      <c r="AF161" s="242"/>
      <c r="AG161" s="242"/>
      <c r="AH161" s="242"/>
      <c r="AI161" s="242"/>
      <c r="AJ161" s="242"/>
      <c r="AK161" s="242"/>
      <c r="AL161" s="242"/>
      <c r="AM161" s="242"/>
    </row>
    <row r="162" spans="1:39" x14ac:dyDescent="0.2">
      <c r="A162" s="500">
        <f t="shared" si="12"/>
        <v>143</v>
      </c>
      <c r="B162" s="175" t="str">
        <f>CONCATENATE('3. Consumption by Rate Class'!B167,"-",'3. Consumption by Rate Class'!C167)</f>
        <v>2017-November</v>
      </c>
      <c r="C162" s="688"/>
      <c r="D162" s="54"/>
      <c r="E162" s="759"/>
      <c r="F162" s="54"/>
      <c r="G162" s="54"/>
      <c r="H162" s="54"/>
      <c r="I162" s="54"/>
      <c r="K162" s="716">
        <f>IF(K$19=$B$169,+AVERAGE(K42,K54,K66,K78,K90,K102,K114,K126,K138,K150),+IF(K$19=$B$170,+(EXP((LN(+'4. Customer Growth'!$W$43)/12))*$K161),IF($K$19=$B$171,+$A162*$C$176+$D$176,0)))</f>
        <v>420.61099999999999</v>
      </c>
      <c r="L162" s="716">
        <f>IF(L$19=$B$169,+AVERAGE(L42,L54,L66,L78,L90,L102,L114,L126,L138,L150),+IF(L$19=$B$170,+(EXP((LN(+'4. Customer Growth'!$W$43)/12))*$K161),IF($L$19=$B$171,+$A162*$C$177+$D$177,0)))</f>
        <v>0</v>
      </c>
      <c r="M162" s="716">
        <f>IF(M$19=$B$169,+AVERAGE(M42,M54,M66,M78,M90,M102,M114,M126,M138,M150),+IF(M$19=$B$170,+(EXP((LN(+'4. Customer Growth'!$W$43)/12))*$K161),IF($M$19=$B$171,+$A162*$C$178+$D$178,0)))</f>
        <v>30</v>
      </c>
      <c r="N162" s="716">
        <f>IF(N$19=$B$169,+AVERAGE(N42,N54,N66,N78,N90,N102,N114,N126,N138,N150),+IF(N$19=$B$170,+(EXP((LN(+'4. Customer Growth'!$W$43)/12))*$K161),IF($N$19=$B$171,+$A162*$C$179+$D$179,0)))</f>
        <v>147.79081161757631</v>
      </c>
      <c r="O162" s="716">
        <f>IF(O$19=$B$169,+AVERAGE(O42,O54,O66,O78,O90,O102,O114,O126,O138,O150),+IF(O$19=$B$170,+(EXP((LN(+'4. Customer Growth'!$W$43)/12))*$O161),IF($O$19=$B$171,+$A162*$C$180+$D$180,0)))</f>
        <v>0</v>
      </c>
      <c r="P162" s="716">
        <f>IF(P$19=$B$169,+AVERAGE(P42,P54,P66,P78,P90,P102,P114,P126,P138,P150),+IF(P$19=$B$170,+(EXP((LN(+'4. Customer Growth'!$W$43)/12))*$P161),IF($P$19=$B$171,+$A162*$C$181+$D$181,0)))</f>
        <v>328.5333333333333</v>
      </c>
      <c r="R162" s="260">
        <f t="shared" si="11"/>
        <v>20750766.150011677</v>
      </c>
      <c r="S162" s="218"/>
      <c r="U162" s="242"/>
      <c r="V162" s="242"/>
      <c r="W162" s="242"/>
      <c r="X162" s="242"/>
      <c r="Y162" s="242"/>
      <c r="Z162" s="242"/>
    </row>
    <row r="163" spans="1:39" x14ac:dyDescent="0.2">
      <c r="A163" s="500">
        <f t="shared" si="12"/>
        <v>144</v>
      </c>
      <c r="B163" s="175" t="str">
        <f>CONCATENATE('3. Consumption by Rate Class'!B168,"-",'3. Consumption by Rate Class'!C168)</f>
        <v>2017-December</v>
      </c>
      <c r="C163" s="688"/>
      <c r="D163" s="54"/>
      <c r="E163" s="759"/>
      <c r="F163" s="54"/>
      <c r="G163" s="54"/>
      <c r="H163" s="54"/>
      <c r="I163" s="54"/>
      <c r="K163" s="716">
        <f>IF(K$19=$B$169,+AVERAGE(K43,K55,K67,K79,K91,K103,K115,K127,K139,K151),+IF(K$19=$B$170,+(EXP((LN(+'4. Customer Growth'!$W$43)/12))*$K162),IF($K$19=$B$171,+$A163*$C$176+$D$176,0)))</f>
        <v>591.57500000000005</v>
      </c>
      <c r="L163" s="716">
        <f>IF(L$19=$B$169,+AVERAGE(L43,L55,L67,L79,L91,L103,L115,L127,L139,L151),+IF(L$19=$B$170,+(EXP((LN(+'4. Customer Growth'!$W$43)/12))*$K162),IF($L$19=$B$171,+$A163*$C$177+$D$177,0)))</f>
        <v>0</v>
      </c>
      <c r="M163" s="716">
        <f>IF(M$19=$B$169,+AVERAGE(M43,M55,M67,M79,M91,M103,M115,M127,M139,M151),+IF(M$19=$B$170,+(EXP((LN(+'4. Customer Growth'!$W$43)/12))*$K162),IF($M$19=$B$171,+$A163*$C$178+$D$178,0)))</f>
        <v>31</v>
      </c>
      <c r="N163" s="716">
        <f>IF(N$19=$B$169,+AVERAGE(N43,N55,N67,N79,N91,N103,N115,N127,N139,N151),+IF(N$19=$B$170,+(EXP((LN(+'4. Customer Growth'!$W$43)/12))*$K162),IF($N$19=$B$171,+$A163*$C$179+$D$179,0)))</f>
        <v>147.87433436221136</v>
      </c>
      <c r="O163" s="716">
        <f>IF(O$19=$B$169,+AVERAGE(O43,O55,O67,O79,O91,O103,O115,O127,O139,O151),+IF(O$19=$B$170,+(EXP((LN(+'4. Customer Growth'!$W$43)/12))*$O162),IF($O$19=$B$171,+$A163*$C$180+$D$180,0)))</f>
        <v>0</v>
      </c>
      <c r="P163" s="716">
        <f>IF(P$19=$B$169,+AVERAGE(P43,P55,P67,P79,P91,P103,P115,P127,P139,P151),+IF(P$19=$B$170,+(EXP((LN(+'4. Customer Growth'!$W$43)/12))*$P162),IF($P$19=$B$171,+$A163*$C$181+$D$181,0)))</f>
        <v>331.37777777777774</v>
      </c>
      <c r="R163" s="260">
        <f t="shared" si="11"/>
        <v>22268458.809824258</v>
      </c>
      <c r="S163" s="218">
        <f>SUM(R152:R163)</f>
        <v>250282670.81650454</v>
      </c>
    </row>
    <row r="164" spans="1:39" x14ac:dyDescent="0.2">
      <c r="B164" s="176"/>
      <c r="C164" s="688"/>
      <c r="D164" s="54"/>
      <c r="E164" s="759"/>
      <c r="F164" s="54"/>
      <c r="G164" s="54"/>
      <c r="H164" s="54"/>
      <c r="I164" s="54"/>
    </row>
    <row r="167" spans="1:39" x14ac:dyDescent="0.2">
      <c r="B167" s="299"/>
      <c r="C167" s="689"/>
      <c r="D167" s="699"/>
    </row>
    <row r="168" spans="1:39" hidden="1" x14ac:dyDescent="0.2">
      <c r="A168" s="300"/>
      <c r="B168" s="301" t="s">
        <v>169</v>
      </c>
      <c r="C168" s="690"/>
      <c r="D168" s="699"/>
      <c r="L168" s="698"/>
    </row>
    <row r="169" spans="1:39" hidden="1" x14ac:dyDescent="0.2">
      <c r="A169" s="300"/>
      <c r="B169" s="302" t="s">
        <v>167</v>
      </c>
      <c r="C169" s="691"/>
      <c r="D169" s="699"/>
    </row>
    <row r="170" spans="1:39" hidden="1" x14ac:dyDescent="0.2">
      <c r="A170" s="300"/>
      <c r="B170" s="303" t="s">
        <v>168</v>
      </c>
      <c r="C170" s="692"/>
      <c r="D170" s="699"/>
    </row>
    <row r="171" spans="1:39" hidden="1" x14ac:dyDescent="0.2">
      <c r="B171" s="497" t="s">
        <v>233</v>
      </c>
      <c r="C171" s="691"/>
      <c r="D171" s="699"/>
    </row>
    <row r="172" spans="1:39" hidden="1" x14ac:dyDescent="0.2">
      <c r="B172" s="700"/>
      <c r="C172" s="701"/>
      <c r="D172" s="702"/>
    </row>
    <row r="173" spans="1:39" hidden="1" x14ac:dyDescent="0.2">
      <c r="B173" s="700"/>
      <c r="C173" s="701"/>
      <c r="D173" s="702"/>
    </row>
    <row r="174" spans="1:39" hidden="1" x14ac:dyDescent="0.2">
      <c r="B174" s="913" t="s">
        <v>234</v>
      </c>
      <c r="C174" s="913"/>
      <c r="D174" s="913"/>
    </row>
    <row r="175" spans="1:39" hidden="1" x14ac:dyDescent="0.2">
      <c r="B175" s="501" t="s">
        <v>147</v>
      </c>
      <c r="C175" s="693" t="s">
        <v>235</v>
      </c>
      <c r="D175" s="499" t="s">
        <v>236</v>
      </c>
    </row>
    <row r="176" spans="1:39" ht="14.25" hidden="1" x14ac:dyDescent="0.2">
      <c r="B176" s="501" t="s">
        <v>1</v>
      </c>
      <c r="C176" s="694">
        <f>INDEX(LINEST($K$20:$K139,$A$20:$A$139,TRUE,FALSE),1)</f>
        <v>-0.15356101118133153</v>
      </c>
      <c r="D176" s="498">
        <f>INDEX(LINEST($K$20:$K139,$A$20:$A$139,TRUE,FALSE),2)</f>
        <v>334.7762745098039</v>
      </c>
    </row>
    <row r="177" spans="2:4" ht="14.25" hidden="1" x14ac:dyDescent="0.2">
      <c r="B177" s="501" t="s">
        <v>2</v>
      </c>
      <c r="C177" s="694">
        <f>INDEX(LINEST($L$20:$L139,$A$20:$A$139,TRUE,FALSE),1)</f>
        <v>-8.4703798874921857E-3</v>
      </c>
      <c r="D177" s="498">
        <f>INDEX(LINEST($L$20:$L139,$A$20:$A$139,TRUE,FALSE),2)</f>
        <v>13.51329131652661</v>
      </c>
    </row>
    <row r="178" spans="2:4" ht="14.25" hidden="1" x14ac:dyDescent="0.2">
      <c r="B178" s="501" t="s">
        <v>132</v>
      </c>
      <c r="C178" s="694">
        <f>INDEX(LINEST($M$20:$M139,$A$20:$A$139,TRUE,FALSE),1)</f>
        <v>5.1392457809569915E-4</v>
      </c>
      <c r="D178" s="498">
        <f>INDEX(LINEST($M$20:$M139,$A$20:$A$139,TRUE,FALSE),2)</f>
        <v>30.402240896358546</v>
      </c>
    </row>
    <row r="179" spans="2:4" ht="14.25" hidden="1" x14ac:dyDescent="0.2">
      <c r="B179" s="501" t="s">
        <v>155</v>
      </c>
      <c r="C179" s="694">
        <f>INDEX(LINEST($N$20:$N139,$A$20:$A$139,TRUE,FALSE),1)</f>
        <v>8.3522744635044138E-2</v>
      </c>
      <c r="D179" s="498">
        <f>INDEX(LINEST($N$20:$N139,$A$20:$A$139,TRUE,FALSE),2)</f>
        <v>135.847059134765</v>
      </c>
    </row>
    <row r="180" spans="2:4" ht="14.25" hidden="1" x14ac:dyDescent="0.2">
      <c r="B180" s="501" t="s">
        <v>131</v>
      </c>
      <c r="C180" s="694">
        <f>INDEX(LINEST($O$20:$O139,$A$20:$A$139,TRUE,FALSE),1)</f>
        <v>0</v>
      </c>
      <c r="D180" s="498">
        <f>INDEX(LINEST($O$20:$O139,$A$20:$A$139,TRUE,FALSE),2)</f>
        <v>0</v>
      </c>
    </row>
    <row r="181" spans="2:4" ht="14.25" hidden="1" x14ac:dyDescent="0.2">
      <c r="B181" s="501" t="s">
        <v>163</v>
      </c>
      <c r="C181" s="694">
        <f>INDEX(LINEST($P$20:$P139,$A$20:$A$139,TRUE,FALSE),1)</f>
        <v>-1.9507527528917895E-3</v>
      </c>
      <c r="D181" s="498">
        <f>INDEX(LINEST($P$20:$P139,$A$20:$A$139,TRUE,FALSE),2)</f>
        <v>334.63653906006846</v>
      </c>
    </row>
    <row r="182" spans="2:4" x14ac:dyDescent="0.2">
      <c r="B182" s="700"/>
      <c r="C182" s="701"/>
      <c r="D182" s="702"/>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horizontalDpi="4294967294" verticalDpi="4294967294" r:id="rId1"/>
  <ignoredErrors>
    <ignoredError sqref="U46:U55 V46:V55 X46 W47:W55 Y47:Y55 Z46:Z55" unlockedFormula="1"/>
    <ignoredError sqref="X47:X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205"/>
  <sheetViews>
    <sheetView showGridLines="0" topLeftCell="A145" zoomScaleNormal="100" workbookViewId="0">
      <selection activeCell="A182" sqref="A182:I202"/>
    </sheetView>
  </sheetViews>
  <sheetFormatPr defaultRowHeight="12.75" x14ac:dyDescent="0.2"/>
  <cols>
    <col min="1" max="1" width="27.6640625" style="1" customWidth="1"/>
    <col min="2" max="2" width="9.33203125" style="1"/>
    <col min="3" max="3" width="16"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2" customFormat="1" x14ac:dyDescent="0.2">
      <c r="A1" s="726" t="s">
        <v>266</v>
      </c>
    </row>
    <row r="2" spans="1:39" s="532" customFormat="1" x14ac:dyDescent="0.2"/>
    <row r="3" spans="1:39" s="532" customFormat="1" x14ac:dyDescent="0.2"/>
    <row r="4" spans="1:39" s="532" customFormat="1" x14ac:dyDescent="0.2"/>
    <row r="5" spans="1:39" s="532" customFormat="1" x14ac:dyDescent="0.2"/>
    <row r="6" spans="1:39" s="532" customFormat="1" x14ac:dyDescent="0.2"/>
    <row r="7" spans="1:39" s="532" customFormat="1" x14ac:dyDescent="0.2"/>
    <row r="8" spans="1:39" s="532" customFormat="1" x14ac:dyDescent="0.2"/>
    <row r="9" spans="1:39" s="532" customFormat="1" x14ac:dyDescent="0.2"/>
    <row r="10" spans="1:39" s="532" customFormat="1" x14ac:dyDescent="0.2"/>
    <row r="11" spans="1:39" s="532" customFormat="1" ht="23.25" x14ac:dyDescent="0.2">
      <c r="A11" s="256"/>
      <c r="B11" s="257" t="s">
        <v>251</v>
      </c>
      <c r="C11" s="243"/>
      <c r="D11" s="243"/>
      <c r="E11" s="243"/>
      <c r="F11" s="243"/>
      <c r="G11" s="243"/>
      <c r="H11" s="243"/>
      <c r="I11" s="243"/>
      <c r="J11" s="243"/>
      <c r="K11" s="243"/>
      <c r="L11" s="243"/>
      <c r="M11" s="243"/>
      <c r="N11" s="243"/>
      <c r="O11" s="243"/>
      <c r="P11" s="243"/>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s="532" customFormat="1" ht="15" x14ac:dyDescent="0.2">
      <c r="A12" s="256"/>
      <c r="B12" s="57" t="s">
        <v>63</v>
      </c>
      <c r="C12" s="243"/>
      <c r="D12" s="243"/>
      <c r="E12" s="243"/>
      <c r="F12" s="243"/>
      <c r="G12" s="243"/>
      <c r="H12" s="243"/>
      <c r="I12" s="243"/>
      <c r="J12" s="243"/>
      <c r="K12" s="243"/>
      <c r="L12" s="243"/>
      <c r="M12" s="243"/>
      <c r="N12" s="243"/>
      <c r="O12" s="242"/>
      <c r="P12" s="243"/>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s="532" customFormat="1" ht="14.25" x14ac:dyDescent="0.2">
      <c r="A13" s="256"/>
      <c r="B13" s="99" t="s">
        <v>249</v>
      </c>
      <c r="C13" s="243"/>
      <c r="D13" s="243"/>
      <c r="E13" s="243"/>
      <c r="F13" s="243"/>
      <c r="G13" s="243"/>
      <c r="H13" s="243"/>
      <c r="I13" s="243"/>
      <c r="J13" s="243"/>
      <c r="K13" s="243"/>
      <c r="L13" s="243"/>
      <c r="M13" s="243"/>
      <c r="N13" s="243"/>
      <c r="O13" s="243"/>
      <c r="P13" s="243"/>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s="532" customFormat="1" ht="14.25" x14ac:dyDescent="0.2">
      <c r="A14" s="256"/>
      <c r="B14" s="99" t="s">
        <v>250</v>
      </c>
      <c r="C14" s="243"/>
      <c r="D14" s="243"/>
      <c r="E14" s="243"/>
      <c r="F14" s="243"/>
      <c r="G14" s="243"/>
      <c r="H14" s="243"/>
      <c r="I14" s="243"/>
      <c r="J14" s="243"/>
      <c r="K14" s="243"/>
      <c r="L14" s="243"/>
      <c r="M14" s="243"/>
      <c r="N14" s="243"/>
      <c r="O14" s="243"/>
      <c r="P14" s="243"/>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6" spans="1:39" x14ac:dyDescent="0.2">
      <c r="A16" s="748" t="s">
        <v>275</v>
      </c>
      <c r="B16" s="749"/>
      <c r="C16" s="749"/>
      <c r="D16" s="532"/>
      <c r="E16" s="532"/>
      <c r="F16" s="532"/>
      <c r="G16" s="532"/>
      <c r="H16" s="532"/>
      <c r="I16" s="532"/>
    </row>
    <row r="17" spans="1:9" x14ac:dyDescent="0.2">
      <c r="A17" s="532"/>
      <c r="B17" s="532"/>
      <c r="C17" s="532"/>
      <c r="D17" s="532"/>
      <c r="E17" s="532"/>
      <c r="F17" s="532"/>
      <c r="G17" s="532"/>
      <c r="H17" s="532"/>
      <c r="I17" s="532"/>
    </row>
    <row r="18" spans="1:9" x14ac:dyDescent="0.2">
      <c r="A18" t="s">
        <v>156</v>
      </c>
      <c r="B18"/>
      <c r="C18"/>
      <c r="D18"/>
      <c r="E18"/>
      <c r="F18"/>
      <c r="G18"/>
      <c r="H18"/>
      <c r="I18"/>
    </row>
    <row r="19" spans="1:9" ht="13.5" thickBot="1" x14ac:dyDescent="0.25">
      <c r="A19"/>
      <c r="B19"/>
      <c r="C19"/>
      <c r="D19"/>
      <c r="E19"/>
      <c r="F19"/>
      <c r="G19"/>
      <c r="H19"/>
      <c r="I19"/>
    </row>
    <row r="20" spans="1:9" x14ac:dyDescent="0.2">
      <c r="A20" s="545" t="s">
        <v>7</v>
      </c>
      <c r="B20" s="545"/>
      <c r="C20"/>
      <c r="D20"/>
      <c r="E20"/>
      <c r="F20"/>
      <c r="G20"/>
      <c r="H20"/>
      <c r="I20"/>
    </row>
    <row r="21" spans="1:9" x14ac:dyDescent="0.2">
      <c r="A21" s="542" t="s">
        <v>8</v>
      </c>
      <c r="B21" s="542">
        <v>0.89067806436506536</v>
      </c>
      <c r="C21"/>
      <c r="D21"/>
      <c r="E21"/>
      <c r="F21"/>
      <c r="G21"/>
      <c r="H21"/>
      <c r="I21"/>
    </row>
    <row r="22" spans="1:9" x14ac:dyDescent="0.2">
      <c r="A22" s="542" t="s">
        <v>9</v>
      </c>
      <c r="B22" s="542">
        <v>0.79330741434109953</v>
      </c>
      <c r="C22"/>
      <c r="D22"/>
      <c r="E22"/>
      <c r="F22"/>
      <c r="G22"/>
      <c r="H22"/>
      <c r="I22"/>
    </row>
    <row r="23" spans="1:9" x14ac:dyDescent="0.2">
      <c r="A23" s="542" t="s">
        <v>10</v>
      </c>
      <c r="B23" s="542">
        <v>0.78102864687621432</v>
      </c>
      <c r="C23"/>
      <c r="D23"/>
      <c r="E23"/>
      <c r="F23"/>
      <c r="G23"/>
      <c r="H23"/>
      <c r="I23"/>
    </row>
    <row r="24" spans="1:9" x14ac:dyDescent="0.2">
      <c r="A24" s="542" t="s">
        <v>11</v>
      </c>
      <c r="B24" s="542">
        <v>800436.68317000335</v>
      </c>
      <c r="C24"/>
      <c r="D24"/>
      <c r="E24"/>
      <c r="F24"/>
      <c r="G24"/>
      <c r="H24"/>
      <c r="I24"/>
    </row>
    <row r="25" spans="1:9" ht="13.5" thickBot="1" x14ac:dyDescent="0.25">
      <c r="A25" s="543" t="s">
        <v>12</v>
      </c>
      <c r="B25" s="543">
        <v>108</v>
      </c>
      <c r="C25"/>
      <c r="D25"/>
      <c r="E25"/>
      <c r="F25"/>
      <c r="G25"/>
      <c r="H25"/>
      <c r="I25"/>
    </row>
    <row r="26" spans="1:9" x14ac:dyDescent="0.2">
      <c r="A26"/>
      <c r="B26"/>
      <c r="C26"/>
      <c r="D26"/>
      <c r="E26"/>
      <c r="F26"/>
      <c r="G26"/>
      <c r="H26"/>
      <c r="I26"/>
    </row>
    <row r="27" spans="1:9" ht="13.5" thickBot="1" x14ac:dyDescent="0.25">
      <c r="A27" t="s">
        <v>13</v>
      </c>
      <c r="B27"/>
      <c r="C27"/>
      <c r="D27"/>
      <c r="E27"/>
      <c r="F27"/>
      <c r="G27"/>
      <c r="H27"/>
      <c r="I27"/>
    </row>
    <row r="28" spans="1:9" x14ac:dyDescent="0.2">
      <c r="A28" s="544"/>
      <c r="B28" s="544" t="s">
        <v>18</v>
      </c>
      <c r="C28" s="544" t="s">
        <v>19</v>
      </c>
      <c r="D28" s="544" t="s">
        <v>20</v>
      </c>
      <c r="E28" s="544" t="s">
        <v>21</v>
      </c>
      <c r="F28" s="544" t="s">
        <v>22</v>
      </c>
      <c r="G28"/>
      <c r="H28"/>
      <c r="I28"/>
    </row>
    <row r="29" spans="1:9" x14ac:dyDescent="0.2">
      <c r="A29" s="542" t="s">
        <v>14</v>
      </c>
      <c r="B29" s="542">
        <v>6</v>
      </c>
      <c r="C29" s="542">
        <v>248365893223610.81</v>
      </c>
      <c r="D29" s="542">
        <v>41394315537268.469</v>
      </c>
      <c r="E29" s="542">
        <v>64.608065639307853</v>
      </c>
      <c r="F29" s="542">
        <v>2.2809761036236228E-32</v>
      </c>
      <c r="G29"/>
      <c r="H29"/>
      <c r="I29"/>
    </row>
    <row r="30" spans="1:9" x14ac:dyDescent="0.2">
      <c r="A30" s="542" t="s">
        <v>15</v>
      </c>
      <c r="B30" s="542">
        <v>101</v>
      </c>
      <c r="C30" s="542">
        <v>64710587260183.828</v>
      </c>
      <c r="D30" s="542">
        <v>640698883764.19629</v>
      </c>
      <c r="E30" s="542"/>
      <c r="F30" s="542"/>
      <c r="G30"/>
      <c r="H30"/>
      <c r="I30"/>
    </row>
    <row r="31" spans="1:9" ht="13.5" thickBot="1" x14ac:dyDescent="0.25">
      <c r="A31" s="543" t="s">
        <v>16</v>
      </c>
      <c r="B31" s="543">
        <v>107</v>
      </c>
      <c r="C31" s="543">
        <v>313076480483794.62</v>
      </c>
      <c r="D31" s="543"/>
      <c r="E31" s="543"/>
      <c r="F31" s="543"/>
      <c r="G31"/>
      <c r="H31"/>
      <c r="I31"/>
    </row>
    <row r="32" spans="1:9" ht="13.5" thickBot="1" x14ac:dyDescent="0.25">
      <c r="A32"/>
      <c r="B32"/>
      <c r="C32"/>
      <c r="D32"/>
      <c r="E32"/>
      <c r="F32"/>
      <c r="G32"/>
      <c r="H32"/>
      <c r="I32"/>
    </row>
    <row r="33" spans="1:9" x14ac:dyDescent="0.2">
      <c r="A33" s="544"/>
      <c r="B33" s="544" t="s">
        <v>23</v>
      </c>
      <c r="C33" s="544" t="s">
        <v>11</v>
      </c>
      <c r="D33" s="544" t="s">
        <v>24</v>
      </c>
      <c r="E33" s="544" t="s">
        <v>25</v>
      </c>
      <c r="F33" s="544" t="s">
        <v>26</v>
      </c>
      <c r="G33" s="544" t="s">
        <v>27</v>
      </c>
      <c r="H33" s="544" t="s">
        <v>28</v>
      </c>
      <c r="I33" s="544" t="s">
        <v>29</v>
      </c>
    </row>
    <row r="34" spans="1:9" x14ac:dyDescent="0.2">
      <c r="A34" s="542" t="s">
        <v>17</v>
      </c>
      <c r="B34" s="542">
        <v>-7856768.0409564655</v>
      </c>
      <c r="C34" s="542">
        <v>3896382.517613607</v>
      </c>
      <c r="D34" s="542">
        <v>-2.0164262634481922</v>
      </c>
      <c r="E34" s="542">
        <v>4.6410160651583855E-2</v>
      </c>
      <c r="F34" s="542">
        <v>-15586142.84052079</v>
      </c>
      <c r="G34" s="542">
        <v>-127393.24139214121</v>
      </c>
      <c r="H34" s="542">
        <v>-15586142.84052079</v>
      </c>
      <c r="I34" s="542">
        <v>-127393.24139214121</v>
      </c>
    </row>
    <row r="35" spans="1:9" x14ac:dyDescent="0.2">
      <c r="A35" s="542" t="s">
        <v>1</v>
      </c>
      <c r="B35" s="542">
        <v>6924.0674858718085</v>
      </c>
      <c r="C35" s="542">
        <v>446.5204968008278</v>
      </c>
      <c r="D35" s="542">
        <v>15.506718136077671</v>
      </c>
      <c r="E35" s="542">
        <v>1.8104060904074093E-28</v>
      </c>
      <c r="F35" s="542">
        <v>6038.2909329128679</v>
      </c>
      <c r="G35" s="542">
        <v>7809.844038830749</v>
      </c>
      <c r="H35" s="542">
        <v>6038.2909329128679</v>
      </c>
      <c r="I35" s="542">
        <v>7809.844038830749</v>
      </c>
    </row>
    <row r="36" spans="1:9" x14ac:dyDescent="0.2">
      <c r="A36" s="542" t="s">
        <v>2</v>
      </c>
      <c r="B36" s="542">
        <v>40368.824967700653</v>
      </c>
      <c r="C36" s="542">
        <v>4769.5907088930444</v>
      </c>
      <c r="D36" s="542">
        <v>8.4637922688904457</v>
      </c>
      <c r="E36" s="542">
        <v>2.1235888619163751E-13</v>
      </c>
      <c r="F36" s="542">
        <v>30907.240007060522</v>
      </c>
      <c r="G36" s="542">
        <v>49830.409928340785</v>
      </c>
      <c r="H36" s="542">
        <v>30907.240007060522</v>
      </c>
      <c r="I36" s="542">
        <v>49830.409928340785</v>
      </c>
    </row>
    <row r="37" spans="1:9" x14ac:dyDescent="0.2">
      <c r="A37" s="542" t="s">
        <v>240</v>
      </c>
      <c r="B37" s="542">
        <v>257150.70268886714</v>
      </c>
      <c r="C37" s="542">
        <v>108591.66603179116</v>
      </c>
      <c r="D37" s="542">
        <v>2.3680519149009465</v>
      </c>
      <c r="E37" s="542">
        <v>1.97857404276644E-2</v>
      </c>
      <c r="F37" s="542">
        <v>41734.048119002022</v>
      </c>
      <c r="G37" s="542">
        <v>472567.35725873226</v>
      </c>
      <c r="H37" s="542">
        <v>41734.048119002022</v>
      </c>
      <c r="I37" s="542">
        <v>472567.35725873226</v>
      </c>
    </row>
    <row r="38" spans="1:9" x14ac:dyDescent="0.2">
      <c r="A38" s="542" t="s">
        <v>262</v>
      </c>
      <c r="B38" s="542">
        <v>103148.19572950907</v>
      </c>
      <c r="C38" s="542">
        <v>18493.950499520146</v>
      </c>
      <c r="D38" s="542">
        <v>5.5774019581260053</v>
      </c>
      <c r="E38" s="542">
        <v>2.0482171908998091E-7</v>
      </c>
      <c r="F38" s="542">
        <v>66461.172756484666</v>
      </c>
      <c r="G38" s="542">
        <v>139835.21870253346</v>
      </c>
      <c r="H38" s="542">
        <v>66461.172756484666</v>
      </c>
      <c r="I38" s="542">
        <v>139835.21870253346</v>
      </c>
    </row>
    <row r="39" spans="1:9" x14ac:dyDescent="0.2">
      <c r="A39" s="542" t="s">
        <v>265</v>
      </c>
      <c r="B39" s="542">
        <v>-573917.67906933452</v>
      </c>
      <c r="C39" s="542">
        <v>189733.6088941129</v>
      </c>
      <c r="D39" s="542">
        <v>-3.024860394605303</v>
      </c>
      <c r="E39" s="542">
        <v>3.1545742887550878E-3</v>
      </c>
      <c r="F39" s="542">
        <v>-950298.1213352395</v>
      </c>
      <c r="G39" s="542">
        <v>-197537.23680342955</v>
      </c>
      <c r="H39" s="542">
        <v>-950298.1213352395</v>
      </c>
      <c r="I39" s="542">
        <v>-197537.23680342955</v>
      </c>
    </row>
    <row r="40" spans="1:9" ht="13.5" thickBot="1" x14ac:dyDescent="0.25">
      <c r="A40" s="543" t="s">
        <v>276</v>
      </c>
      <c r="B40" s="543">
        <v>11352.326816465909</v>
      </c>
      <c r="C40" s="543">
        <v>4888.7416774836374</v>
      </c>
      <c r="D40" s="543">
        <v>2.3221367716670289</v>
      </c>
      <c r="E40" s="543">
        <v>2.2232839242209066E-2</v>
      </c>
      <c r="F40" s="543">
        <v>1654.3783854004287</v>
      </c>
      <c r="G40" s="543">
        <v>21050.27524753139</v>
      </c>
      <c r="H40" s="543">
        <v>1654.3783854004287</v>
      </c>
      <c r="I40" s="543">
        <v>21050.27524753139</v>
      </c>
    </row>
    <row r="41" spans="1:9" x14ac:dyDescent="0.2">
      <c r="A41" s="532"/>
      <c r="B41" s="532"/>
      <c r="C41" s="532"/>
      <c r="D41" s="532"/>
      <c r="E41" s="532"/>
      <c r="F41" s="532"/>
      <c r="G41" s="532"/>
      <c r="H41" s="532"/>
      <c r="I41" s="532"/>
    </row>
    <row r="42" spans="1:9" x14ac:dyDescent="0.2">
      <c r="A42" s="532"/>
      <c r="B42" s="532"/>
      <c r="C42" s="532"/>
      <c r="D42" s="532"/>
      <c r="E42" s="532"/>
      <c r="F42" s="532"/>
      <c r="G42" s="532"/>
      <c r="H42" s="532"/>
      <c r="I42" s="532"/>
    </row>
    <row r="43" spans="1:9" x14ac:dyDescent="0.2">
      <c r="A43" s="748" t="s">
        <v>277</v>
      </c>
      <c r="B43" s="749"/>
      <c r="C43" s="749"/>
      <c r="D43" s="532"/>
      <c r="E43" s="532"/>
      <c r="F43" s="532"/>
      <c r="G43" s="532"/>
      <c r="H43" s="532"/>
      <c r="I43" s="532"/>
    </row>
    <row r="44" spans="1:9" x14ac:dyDescent="0.2">
      <c r="A44" s="532"/>
      <c r="B44" s="532"/>
      <c r="C44" s="532"/>
      <c r="D44" s="532"/>
      <c r="E44" s="532"/>
      <c r="F44" s="532"/>
      <c r="G44" s="532"/>
      <c r="H44" s="532"/>
      <c r="I44" s="532"/>
    </row>
    <row r="45" spans="1:9" x14ac:dyDescent="0.2">
      <c r="A45" t="s">
        <v>156</v>
      </c>
      <c r="B45"/>
      <c r="C45"/>
      <c r="D45"/>
      <c r="E45"/>
      <c r="F45"/>
      <c r="G45"/>
      <c r="H45"/>
      <c r="I45"/>
    </row>
    <row r="46" spans="1:9" ht="13.5" thickBot="1" x14ac:dyDescent="0.25">
      <c r="A46"/>
      <c r="B46"/>
      <c r="C46"/>
      <c r="D46"/>
      <c r="E46"/>
      <c r="F46"/>
      <c r="G46"/>
      <c r="H46"/>
      <c r="I46"/>
    </row>
    <row r="47" spans="1:9" x14ac:dyDescent="0.2">
      <c r="A47" s="545" t="s">
        <v>7</v>
      </c>
      <c r="B47" s="545"/>
      <c r="C47"/>
      <c r="D47"/>
      <c r="E47"/>
      <c r="F47"/>
      <c r="G47"/>
      <c r="H47"/>
      <c r="I47"/>
    </row>
    <row r="48" spans="1:9" x14ac:dyDescent="0.2">
      <c r="A48" s="542" t="s">
        <v>8</v>
      </c>
      <c r="B48" s="542">
        <v>0.88446155490795952</v>
      </c>
      <c r="C48"/>
      <c r="D48"/>
      <c r="E48"/>
      <c r="F48"/>
      <c r="G48"/>
      <c r="H48"/>
      <c r="I48"/>
    </row>
    <row r="49" spans="1:9" x14ac:dyDescent="0.2">
      <c r="A49" s="542" t="s">
        <v>9</v>
      </c>
      <c r="B49" s="542">
        <v>0.78227224211020552</v>
      </c>
      <c r="C49"/>
      <c r="D49"/>
      <c r="E49"/>
      <c r="F49"/>
      <c r="G49"/>
      <c r="H49"/>
      <c r="I49"/>
    </row>
    <row r="50" spans="1:9" x14ac:dyDescent="0.2">
      <c r="A50" s="542" t="s">
        <v>10</v>
      </c>
      <c r="B50" s="542">
        <v>0.77159931280188232</v>
      </c>
      <c r="C50"/>
      <c r="D50"/>
      <c r="E50"/>
      <c r="F50"/>
      <c r="G50"/>
      <c r="H50"/>
      <c r="I50"/>
    </row>
    <row r="51" spans="1:9" x14ac:dyDescent="0.2">
      <c r="A51" s="542" t="s">
        <v>11</v>
      </c>
      <c r="B51" s="542">
        <v>817489.222473567</v>
      </c>
      <c r="C51"/>
      <c r="D51"/>
      <c r="E51"/>
      <c r="F51"/>
      <c r="G51"/>
      <c r="H51"/>
      <c r="I51"/>
    </row>
    <row r="52" spans="1:9" ht="13.5" thickBot="1" x14ac:dyDescent="0.25">
      <c r="A52" s="543" t="s">
        <v>12</v>
      </c>
      <c r="B52" s="543">
        <v>108</v>
      </c>
      <c r="C52"/>
      <c r="D52"/>
      <c r="E52"/>
      <c r="F52"/>
      <c r="G52"/>
      <c r="H52"/>
      <c r="I52"/>
    </row>
    <row r="53" spans="1:9" x14ac:dyDescent="0.2">
      <c r="A53"/>
      <c r="B53"/>
      <c r="C53"/>
      <c r="D53"/>
      <c r="E53"/>
      <c r="F53"/>
      <c r="G53"/>
      <c r="H53"/>
      <c r="I53"/>
    </row>
    <row r="54" spans="1:9" ht="13.5" thickBot="1" x14ac:dyDescent="0.25">
      <c r="A54" t="s">
        <v>13</v>
      </c>
      <c r="B54"/>
      <c r="C54"/>
      <c r="D54"/>
      <c r="E54"/>
      <c r="F54"/>
      <c r="G54"/>
      <c r="H54"/>
      <c r="I54"/>
    </row>
    <row r="55" spans="1:9" x14ac:dyDescent="0.2">
      <c r="A55" s="544"/>
      <c r="B55" s="544" t="s">
        <v>18</v>
      </c>
      <c r="C55" s="544" t="s">
        <v>19</v>
      </c>
      <c r="D55" s="544" t="s">
        <v>20</v>
      </c>
      <c r="E55" s="544" t="s">
        <v>21</v>
      </c>
      <c r="F55" s="544" t="s">
        <v>22</v>
      </c>
      <c r="G55"/>
      <c r="H55"/>
      <c r="I55"/>
    </row>
    <row r="56" spans="1:9" x14ac:dyDescent="0.2">
      <c r="A56" s="542" t="s">
        <v>14</v>
      </c>
      <c r="B56" s="542">
        <v>5</v>
      </c>
      <c r="C56" s="542">
        <v>244911040340030.03</v>
      </c>
      <c r="D56" s="542">
        <v>48982208068006.008</v>
      </c>
      <c r="E56" s="542">
        <v>73.294989548947214</v>
      </c>
      <c r="F56" s="542">
        <v>3.3931531079445652E-32</v>
      </c>
      <c r="G56"/>
      <c r="H56"/>
      <c r="I56"/>
    </row>
    <row r="57" spans="1:9" x14ac:dyDescent="0.2">
      <c r="A57" s="542" t="s">
        <v>15</v>
      </c>
      <c r="B57" s="542">
        <v>102</v>
      </c>
      <c r="C57" s="542">
        <v>68165440143764.594</v>
      </c>
      <c r="D57" s="542">
        <v>668288628860.43713</v>
      </c>
      <c r="E57" s="542"/>
      <c r="F57" s="542"/>
      <c r="G57"/>
      <c r="H57"/>
      <c r="I57"/>
    </row>
    <row r="58" spans="1:9" ht="13.5" thickBot="1" x14ac:dyDescent="0.25">
      <c r="A58" s="543" t="s">
        <v>16</v>
      </c>
      <c r="B58" s="543">
        <v>107</v>
      </c>
      <c r="C58" s="543">
        <v>313076480483794.62</v>
      </c>
      <c r="D58" s="543"/>
      <c r="E58" s="543"/>
      <c r="F58" s="543"/>
      <c r="G58"/>
      <c r="H58"/>
      <c r="I58"/>
    </row>
    <row r="59" spans="1:9" ht="13.5" thickBot="1" x14ac:dyDescent="0.25">
      <c r="A59"/>
      <c r="B59"/>
      <c r="C59"/>
      <c r="D59"/>
      <c r="E59"/>
      <c r="F59"/>
      <c r="G59"/>
      <c r="H59"/>
      <c r="I59"/>
    </row>
    <row r="60" spans="1:9" x14ac:dyDescent="0.2">
      <c r="A60" s="544"/>
      <c r="B60" s="544" t="s">
        <v>23</v>
      </c>
      <c r="C60" s="544" t="s">
        <v>11</v>
      </c>
      <c r="D60" s="544" t="s">
        <v>24</v>
      </c>
      <c r="E60" s="544" t="s">
        <v>25</v>
      </c>
      <c r="F60" s="544" t="s">
        <v>26</v>
      </c>
      <c r="G60" s="544" t="s">
        <v>27</v>
      </c>
      <c r="H60" s="544" t="s">
        <v>28</v>
      </c>
      <c r="I60" s="544" t="s">
        <v>29</v>
      </c>
    </row>
    <row r="61" spans="1:9" x14ac:dyDescent="0.2">
      <c r="A61" s="542" t="s">
        <v>17</v>
      </c>
      <c r="B61" s="542">
        <v>-6993310.1286625648</v>
      </c>
      <c r="C61" s="542">
        <v>3961229.279388092</v>
      </c>
      <c r="D61" s="542">
        <v>-1.7654393713213317</v>
      </c>
      <c r="E61" s="542">
        <v>8.0482518862735178E-2</v>
      </c>
      <c r="F61" s="542">
        <v>-14850389.622409303</v>
      </c>
      <c r="G61" s="542">
        <v>863769.36508417409</v>
      </c>
      <c r="H61" s="542">
        <v>-14850389.622409303</v>
      </c>
      <c r="I61" s="542">
        <v>863769.36508417409</v>
      </c>
    </row>
    <row r="62" spans="1:9" x14ac:dyDescent="0.2">
      <c r="A62" s="542" t="s">
        <v>1</v>
      </c>
      <c r="B62" s="542">
        <v>6844.0558401303242</v>
      </c>
      <c r="C62" s="542">
        <v>454.67342914424449</v>
      </c>
      <c r="D62" s="542">
        <v>15.052684853416093</v>
      </c>
      <c r="E62" s="542">
        <v>1.1617467298721609E-27</v>
      </c>
      <c r="F62" s="542">
        <v>5942.2132492281889</v>
      </c>
      <c r="G62" s="542">
        <v>7745.8984310324595</v>
      </c>
      <c r="H62" s="542">
        <v>5942.2132492281889</v>
      </c>
      <c r="I62" s="542">
        <v>7745.8984310324595</v>
      </c>
    </row>
    <row r="63" spans="1:9" x14ac:dyDescent="0.2">
      <c r="A63" s="542" t="s">
        <v>2</v>
      </c>
      <c r="B63" s="542">
        <v>39649.318696684408</v>
      </c>
      <c r="C63" s="542">
        <v>4860.9127335558251</v>
      </c>
      <c r="D63" s="542">
        <v>8.1567641449264165</v>
      </c>
      <c r="E63" s="542">
        <v>9.3307410027670517E-13</v>
      </c>
      <c r="F63" s="542">
        <v>30007.721337388495</v>
      </c>
      <c r="G63" s="542">
        <v>49290.91605598032</v>
      </c>
      <c r="H63" s="542">
        <v>30007.721337388495</v>
      </c>
      <c r="I63" s="542">
        <v>49290.91605598032</v>
      </c>
    </row>
    <row r="64" spans="1:9" x14ac:dyDescent="0.2">
      <c r="A64" s="542" t="s">
        <v>240</v>
      </c>
      <c r="B64" s="542">
        <v>362266.73658879427</v>
      </c>
      <c r="C64" s="542">
        <v>100809.76482777497</v>
      </c>
      <c r="D64" s="542">
        <v>3.5935679168352057</v>
      </c>
      <c r="E64" s="542">
        <v>5.0409970217120262E-4</v>
      </c>
      <c r="F64" s="542">
        <v>162311.04603606352</v>
      </c>
      <c r="G64" s="542">
        <v>562222.42714152508</v>
      </c>
      <c r="H64" s="542">
        <v>162311.04603606352</v>
      </c>
      <c r="I64" s="542">
        <v>562222.42714152508</v>
      </c>
    </row>
    <row r="65" spans="1:9" x14ac:dyDescent="0.2">
      <c r="A65" s="542" t="s">
        <v>262</v>
      </c>
      <c r="B65" s="542">
        <v>101571.71362341999</v>
      </c>
      <c r="C65" s="542">
        <v>18875.215993065714</v>
      </c>
      <c r="D65" s="542">
        <v>5.381221261824761</v>
      </c>
      <c r="E65" s="542">
        <v>4.7376202667247568E-7</v>
      </c>
      <c r="F65" s="542">
        <v>64132.812196823877</v>
      </c>
      <c r="G65" s="542">
        <v>139010.61505001609</v>
      </c>
      <c r="H65" s="542">
        <v>64132.812196823877</v>
      </c>
      <c r="I65" s="542">
        <v>139010.61505001609</v>
      </c>
    </row>
    <row r="66" spans="1:9" ht="13.5" thickBot="1" x14ac:dyDescent="0.25">
      <c r="A66" s="543" t="s">
        <v>265</v>
      </c>
      <c r="B66" s="543">
        <v>-590829.8948009772</v>
      </c>
      <c r="C66" s="543">
        <v>193632.88975950991</v>
      </c>
      <c r="D66" s="543">
        <v>-3.0512889392643054</v>
      </c>
      <c r="E66" s="543">
        <v>2.9046647684989684E-3</v>
      </c>
      <c r="F66" s="543">
        <v>-974899.81354079419</v>
      </c>
      <c r="G66" s="543">
        <v>-206759.97606116021</v>
      </c>
      <c r="H66" s="543">
        <v>-974899.81354079419</v>
      </c>
      <c r="I66" s="543">
        <v>-206759.97606116021</v>
      </c>
    </row>
    <row r="67" spans="1:9" x14ac:dyDescent="0.2">
      <c r="A67" s="532"/>
      <c r="B67" s="532"/>
      <c r="C67" s="532"/>
      <c r="D67" s="532"/>
      <c r="E67" s="532"/>
      <c r="F67" s="532"/>
      <c r="G67" s="532"/>
      <c r="H67" s="532"/>
      <c r="I67" s="532"/>
    </row>
    <row r="68" spans="1:9" x14ac:dyDescent="0.2">
      <c r="A68" s="532"/>
      <c r="B68" s="532"/>
      <c r="C68" s="532"/>
      <c r="D68" s="532"/>
      <c r="E68" s="532"/>
      <c r="F68" s="532"/>
      <c r="G68" s="532"/>
      <c r="H68" s="532"/>
      <c r="I68" s="532"/>
    </row>
    <row r="69" spans="1:9" x14ac:dyDescent="0.2">
      <c r="A69" s="748" t="s">
        <v>278</v>
      </c>
      <c r="B69" s="749"/>
      <c r="C69" s="749"/>
      <c r="D69" s="532"/>
      <c r="E69" s="532"/>
      <c r="F69" s="532"/>
      <c r="G69" s="532"/>
      <c r="H69" s="532"/>
      <c r="I69" s="532"/>
    </row>
    <row r="70" spans="1:9" x14ac:dyDescent="0.2">
      <c r="A70" s="532"/>
      <c r="B70" s="532"/>
      <c r="C70" s="532"/>
      <c r="D70" s="532"/>
      <c r="E70" s="532"/>
      <c r="F70" s="532"/>
      <c r="G70" s="532"/>
      <c r="H70" s="532"/>
      <c r="I70" s="532"/>
    </row>
    <row r="71" spans="1:9" x14ac:dyDescent="0.2">
      <c r="A71" t="s">
        <v>156</v>
      </c>
      <c r="B71"/>
      <c r="C71"/>
      <c r="D71"/>
      <c r="E71"/>
      <c r="F71"/>
      <c r="G71"/>
      <c r="H71"/>
      <c r="I71"/>
    </row>
    <row r="72" spans="1:9" ht="13.5" thickBot="1" x14ac:dyDescent="0.25">
      <c r="A72"/>
      <c r="B72"/>
      <c r="C72"/>
      <c r="D72"/>
      <c r="E72"/>
      <c r="F72"/>
      <c r="G72"/>
      <c r="H72"/>
      <c r="I72"/>
    </row>
    <row r="73" spans="1:9" x14ac:dyDescent="0.2">
      <c r="A73" s="545" t="s">
        <v>7</v>
      </c>
      <c r="B73" s="545"/>
      <c r="C73"/>
      <c r="D73"/>
      <c r="E73"/>
      <c r="F73"/>
      <c r="G73"/>
      <c r="H73"/>
      <c r="I73"/>
    </row>
    <row r="74" spans="1:9" x14ac:dyDescent="0.2">
      <c r="A74" s="542" t="s">
        <v>8</v>
      </c>
      <c r="B74" s="542">
        <v>0.88421238131953406</v>
      </c>
      <c r="C74"/>
      <c r="D74"/>
      <c r="E74"/>
      <c r="F74"/>
      <c r="G74"/>
      <c r="H74"/>
      <c r="I74"/>
    </row>
    <row r="75" spans="1:9" x14ac:dyDescent="0.2">
      <c r="A75" s="542" t="s">
        <v>9</v>
      </c>
      <c r="B75" s="542">
        <v>0.78183153527876104</v>
      </c>
      <c r="C75"/>
      <c r="D75"/>
      <c r="E75"/>
      <c r="F75"/>
      <c r="G75"/>
      <c r="H75"/>
      <c r="I75"/>
    </row>
    <row r="76" spans="1:9" x14ac:dyDescent="0.2">
      <c r="A76" s="542" t="s">
        <v>10</v>
      </c>
      <c r="B76" s="542">
        <v>0.77113700269438656</v>
      </c>
      <c r="C76"/>
      <c r="D76"/>
      <c r="E76"/>
      <c r="F76"/>
      <c r="G76"/>
      <c r="H76"/>
      <c r="I76"/>
    </row>
    <row r="77" spans="1:9" x14ac:dyDescent="0.2">
      <c r="A77" s="542" t="s">
        <v>11</v>
      </c>
      <c r="B77" s="542">
        <v>818316.15185516363</v>
      </c>
      <c r="C77"/>
      <c r="D77"/>
      <c r="E77"/>
      <c r="F77"/>
      <c r="G77"/>
      <c r="H77"/>
      <c r="I77"/>
    </row>
    <row r="78" spans="1:9" ht="13.5" thickBot="1" x14ac:dyDescent="0.25">
      <c r="A78" s="543" t="s">
        <v>12</v>
      </c>
      <c r="B78" s="543">
        <v>108</v>
      </c>
      <c r="C78"/>
      <c r="D78"/>
      <c r="E78"/>
      <c r="F78"/>
      <c r="G78"/>
      <c r="H78"/>
      <c r="I78"/>
    </row>
    <row r="79" spans="1:9" x14ac:dyDescent="0.2">
      <c r="A79"/>
      <c r="B79"/>
      <c r="C79"/>
      <c r="D79"/>
      <c r="E79"/>
      <c r="F79"/>
      <c r="G79"/>
      <c r="H79"/>
      <c r="I79"/>
    </row>
    <row r="80" spans="1:9" ht="13.5" thickBot="1" x14ac:dyDescent="0.25">
      <c r="A80" t="s">
        <v>13</v>
      </c>
      <c r="B80"/>
      <c r="C80"/>
      <c r="D80"/>
      <c r="E80"/>
      <c r="F80"/>
      <c r="G80"/>
      <c r="H80"/>
      <c r="I80"/>
    </row>
    <row r="81" spans="1:9" x14ac:dyDescent="0.2">
      <c r="A81" s="544"/>
      <c r="B81" s="544" t="s">
        <v>18</v>
      </c>
      <c r="C81" s="544" t="s">
        <v>19</v>
      </c>
      <c r="D81" s="544" t="s">
        <v>20</v>
      </c>
      <c r="E81" s="544" t="s">
        <v>21</v>
      </c>
      <c r="F81" s="544" t="s">
        <v>22</v>
      </c>
      <c r="G81"/>
      <c r="H81"/>
      <c r="I81"/>
    </row>
    <row r="82" spans="1:9" x14ac:dyDescent="0.2">
      <c r="A82" s="542" t="s">
        <v>14</v>
      </c>
      <c r="B82" s="542">
        <v>5</v>
      </c>
      <c r="C82" s="542">
        <v>244773065396316.22</v>
      </c>
      <c r="D82" s="542">
        <v>48954613079263.242</v>
      </c>
      <c r="E82" s="542">
        <v>73.105722864510923</v>
      </c>
      <c r="F82" s="542">
        <v>3.7586534499982228E-32</v>
      </c>
      <c r="G82"/>
      <c r="H82"/>
      <c r="I82"/>
    </row>
    <row r="83" spans="1:9" x14ac:dyDescent="0.2">
      <c r="A83" s="542" t="s">
        <v>15</v>
      </c>
      <c r="B83" s="542">
        <v>102</v>
      </c>
      <c r="C83" s="542">
        <v>68303415087478.406</v>
      </c>
      <c r="D83" s="542">
        <v>669641324387.04321</v>
      </c>
      <c r="E83" s="542"/>
      <c r="F83" s="542"/>
      <c r="G83"/>
      <c r="H83"/>
      <c r="I83"/>
    </row>
    <row r="84" spans="1:9" ht="13.5" thickBot="1" x14ac:dyDescent="0.25">
      <c r="A84" s="543" t="s">
        <v>16</v>
      </c>
      <c r="B84" s="543">
        <v>107</v>
      </c>
      <c r="C84" s="543">
        <v>313076480483794.62</v>
      </c>
      <c r="D84" s="543"/>
      <c r="E84" s="543"/>
      <c r="F84" s="543"/>
      <c r="G84"/>
      <c r="H84"/>
      <c r="I84"/>
    </row>
    <row r="85" spans="1:9" ht="13.5" thickBot="1" x14ac:dyDescent="0.25">
      <c r="A85"/>
      <c r="B85"/>
      <c r="C85"/>
      <c r="D85"/>
      <c r="E85"/>
      <c r="F85"/>
      <c r="G85"/>
      <c r="H85"/>
      <c r="I85"/>
    </row>
    <row r="86" spans="1:9" x14ac:dyDescent="0.2">
      <c r="A86" s="544"/>
      <c r="B86" s="544" t="s">
        <v>23</v>
      </c>
      <c r="C86" s="544" t="s">
        <v>11</v>
      </c>
      <c r="D86" s="544" t="s">
        <v>24</v>
      </c>
      <c r="E86" s="544" t="s">
        <v>25</v>
      </c>
      <c r="F86" s="544" t="s">
        <v>26</v>
      </c>
      <c r="G86" s="544" t="s">
        <v>27</v>
      </c>
      <c r="H86" s="544" t="s">
        <v>28</v>
      </c>
      <c r="I86" s="544" t="s">
        <v>29</v>
      </c>
    </row>
    <row r="87" spans="1:9" x14ac:dyDescent="0.2">
      <c r="A87" s="542" t="s">
        <v>17</v>
      </c>
      <c r="B87" s="542">
        <v>-2062172.1397623532</v>
      </c>
      <c r="C87" s="542">
        <v>3099898.1425584839</v>
      </c>
      <c r="D87" s="542">
        <v>-0.6652386771845189</v>
      </c>
      <c r="E87" s="542">
        <v>0.50739928055774886</v>
      </c>
      <c r="F87" s="542">
        <v>-8210805.4075549878</v>
      </c>
      <c r="G87" s="542">
        <v>4086461.1280302815</v>
      </c>
      <c r="H87" s="542">
        <v>-8210805.4075549878</v>
      </c>
      <c r="I87" s="542">
        <v>4086461.1280302815</v>
      </c>
    </row>
    <row r="88" spans="1:9" x14ac:dyDescent="0.2">
      <c r="A88" s="542" t="s">
        <v>1</v>
      </c>
      <c r="B88" s="542">
        <v>6967.7408837887087</v>
      </c>
      <c r="C88" s="542">
        <v>456.10494223328038</v>
      </c>
      <c r="D88" s="542">
        <v>15.276617810084973</v>
      </c>
      <c r="E88" s="542">
        <v>4.0742466731296317E-28</v>
      </c>
      <c r="F88" s="542">
        <v>6063.0588934619</v>
      </c>
      <c r="G88" s="542">
        <v>7872.4228741155175</v>
      </c>
      <c r="H88" s="542">
        <v>6063.0588934619</v>
      </c>
      <c r="I88" s="542">
        <v>7872.4228741155175</v>
      </c>
    </row>
    <row r="89" spans="1:9" x14ac:dyDescent="0.2">
      <c r="A89" s="542" t="s">
        <v>2</v>
      </c>
      <c r="B89" s="542">
        <v>42936.611929746228</v>
      </c>
      <c r="C89" s="542">
        <v>4748.4440233021332</v>
      </c>
      <c r="D89" s="542">
        <v>9.0422487280133339</v>
      </c>
      <c r="E89" s="542">
        <v>1.0688048388049915E-14</v>
      </c>
      <c r="F89" s="542">
        <v>33518.095723975195</v>
      </c>
      <c r="G89" s="542">
        <v>52355.128135517261</v>
      </c>
      <c r="H89" s="542">
        <v>33518.095723975195</v>
      </c>
      <c r="I89" s="542">
        <v>52355.128135517261</v>
      </c>
    </row>
    <row r="90" spans="1:9" x14ac:dyDescent="0.2">
      <c r="A90" s="542" t="s">
        <v>262</v>
      </c>
      <c r="B90" s="542">
        <v>105481.90667251049</v>
      </c>
      <c r="C90" s="542">
        <v>18880.189501156172</v>
      </c>
      <c r="D90" s="542">
        <v>5.5869093192126629</v>
      </c>
      <c r="E90" s="542">
        <v>1.9301430294492835E-7</v>
      </c>
      <c r="F90" s="542">
        <v>68033.140316198536</v>
      </c>
      <c r="G90" s="542">
        <v>142930.67302882246</v>
      </c>
      <c r="H90" s="542">
        <v>68033.140316198536</v>
      </c>
      <c r="I90" s="542">
        <v>142930.67302882246</v>
      </c>
    </row>
    <row r="91" spans="1:9" x14ac:dyDescent="0.2">
      <c r="A91" s="542" t="s">
        <v>265</v>
      </c>
      <c r="B91" s="542">
        <v>-491905.75495259132</v>
      </c>
      <c r="C91" s="542">
        <v>190712.9360909354</v>
      </c>
      <c r="D91" s="542">
        <v>-2.5792993649787959</v>
      </c>
      <c r="E91" s="542">
        <v>1.1325763419842406E-2</v>
      </c>
      <c r="F91" s="542">
        <v>-870183.95943556749</v>
      </c>
      <c r="G91" s="542">
        <v>-113627.55046961521</v>
      </c>
      <c r="H91" s="542">
        <v>-870183.95943556749</v>
      </c>
      <c r="I91" s="542">
        <v>-113627.55046961521</v>
      </c>
    </row>
    <row r="92" spans="1:9" ht="13.5" thickBot="1" x14ac:dyDescent="0.25">
      <c r="A92" s="543" t="s">
        <v>276</v>
      </c>
      <c r="B92" s="543">
        <v>16178.16753206017</v>
      </c>
      <c r="C92" s="543">
        <v>4542.9952485960148</v>
      </c>
      <c r="D92" s="543">
        <v>3.5611235862639159</v>
      </c>
      <c r="E92" s="543">
        <v>5.6279523364296722E-4</v>
      </c>
      <c r="F92" s="543">
        <v>7167.1579967962771</v>
      </c>
      <c r="G92" s="543">
        <v>25189.177067324061</v>
      </c>
      <c r="H92" s="543">
        <v>7167.1579967962771</v>
      </c>
      <c r="I92" s="543">
        <v>25189.177067324061</v>
      </c>
    </row>
    <row r="93" spans="1:9" x14ac:dyDescent="0.2">
      <c r="A93" s="532"/>
      <c r="B93" s="532"/>
      <c r="C93" s="532"/>
      <c r="D93" s="532"/>
      <c r="E93" s="532"/>
      <c r="F93" s="532"/>
      <c r="G93" s="532"/>
      <c r="H93" s="532"/>
      <c r="I93" s="532"/>
    </row>
    <row r="94" spans="1:9" x14ac:dyDescent="0.2">
      <c r="A94" s="532"/>
      <c r="B94" s="532"/>
      <c r="C94" s="532"/>
      <c r="D94" s="532"/>
      <c r="E94" s="532"/>
      <c r="F94" s="532"/>
      <c r="G94" s="532"/>
      <c r="H94" s="532"/>
      <c r="I94" s="532"/>
    </row>
    <row r="95" spans="1:9" x14ac:dyDescent="0.2">
      <c r="A95" s="748" t="s">
        <v>279</v>
      </c>
      <c r="B95" s="749"/>
      <c r="C95" s="749"/>
      <c r="D95" s="532"/>
      <c r="E95" s="532"/>
      <c r="F95" s="532"/>
      <c r="G95" s="532"/>
      <c r="H95" s="532"/>
      <c r="I95" s="532"/>
    </row>
    <row r="96" spans="1:9" x14ac:dyDescent="0.2">
      <c r="A96" s="532"/>
      <c r="B96" s="532"/>
      <c r="C96" s="532"/>
      <c r="D96" s="532"/>
      <c r="E96" s="532"/>
      <c r="F96" s="532"/>
      <c r="G96" s="532"/>
      <c r="H96" s="532"/>
      <c r="I96" s="532"/>
    </row>
    <row r="97" spans="1:9" x14ac:dyDescent="0.2">
      <c r="A97" t="s">
        <v>156</v>
      </c>
      <c r="B97"/>
      <c r="C97"/>
      <c r="D97"/>
      <c r="E97"/>
      <c r="F97"/>
      <c r="G97"/>
      <c r="H97"/>
      <c r="I97"/>
    </row>
    <row r="98" spans="1:9" ht="13.5" thickBot="1" x14ac:dyDescent="0.25">
      <c r="A98"/>
      <c r="B98"/>
      <c r="C98"/>
      <c r="D98"/>
      <c r="E98"/>
      <c r="F98"/>
      <c r="G98"/>
      <c r="H98"/>
      <c r="I98"/>
    </row>
    <row r="99" spans="1:9" x14ac:dyDescent="0.2">
      <c r="A99" s="545" t="s">
        <v>7</v>
      </c>
      <c r="B99" s="545"/>
      <c r="C99"/>
      <c r="D99"/>
      <c r="E99"/>
      <c r="F99"/>
      <c r="G99"/>
      <c r="H99"/>
      <c r="I99"/>
    </row>
    <row r="100" spans="1:9" x14ac:dyDescent="0.2">
      <c r="A100" s="542" t="s">
        <v>8</v>
      </c>
      <c r="B100" s="542">
        <v>0.88010382532177234</v>
      </c>
      <c r="C100"/>
      <c r="D100"/>
      <c r="E100"/>
      <c r="F100"/>
      <c r="G100"/>
      <c r="H100"/>
      <c r="I100"/>
    </row>
    <row r="101" spans="1:9" x14ac:dyDescent="0.2">
      <c r="A101" s="542" t="s">
        <v>9</v>
      </c>
      <c r="B101" s="542">
        <v>0.77458274334601673</v>
      </c>
      <c r="C101"/>
      <c r="D101"/>
      <c r="E101"/>
      <c r="F101"/>
      <c r="G101"/>
      <c r="H101"/>
      <c r="I101"/>
    </row>
    <row r="102" spans="1:9" x14ac:dyDescent="0.2">
      <c r="A102" s="542" t="s">
        <v>10</v>
      </c>
      <c r="B102" s="542">
        <v>0.76353287782376267</v>
      </c>
      <c r="C102"/>
      <c r="D102"/>
      <c r="E102"/>
      <c r="F102"/>
      <c r="G102"/>
      <c r="H102"/>
      <c r="I102"/>
    </row>
    <row r="103" spans="1:9" x14ac:dyDescent="0.2">
      <c r="A103" s="542" t="s">
        <v>11</v>
      </c>
      <c r="B103" s="542">
        <v>831799.61619689805</v>
      </c>
      <c r="C103"/>
      <c r="D103"/>
      <c r="E103"/>
      <c r="F103"/>
      <c r="G103"/>
      <c r="H103"/>
      <c r="I103"/>
    </row>
    <row r="104" spans="1:9" ht="13.5" thickBot="1" x14ac:dyDescent="0.25">
      <c r="A104" s="543" t="s">
        <v>12</v>
      </c>
      <c r="B104" s="543">
        <v>108</v>
      </c>
      <c r="C104"/>
      <c r="D104"/>
      <c r="E104"/>
      <c r="F104"/>
      <c r="G104"/>
      <c r="H104"/>
      <c r="I104"/>
    </row>
    <row r="105" spans="1:9" x14ac:dyDescent="0.2">
      <c r="A105"/>
      <c r="B105"/>
      <c r="C105"/>
      <c r="D105"/>
      <c r="E105"/>
      <c r="F105"/>
      <c r="G105"/>
      <c r="H105"/>
      <c r="I105"/>
    </row>
    <row r="106" spans="1:9" ht="13.5" thickBot="1" x14ac:dyDescent="0.25">
      <c r="A106" t="s">
        <v>13</v>
      </c>
      <c r="B106"/>
      <c r="C106"/>
      <c r="D106"/>
      <c r="E106"/>
      <c r="F106"/>
      <c r="G106"/>
      <c r="H106"/>
      <c r="I106"/>
    </row>
    <row r="107" spans="1:9" x14ac:dyDescent="0.2">
      <c r="A107" s="544"/>
      <c r="B107" s="544" t="s">
        <v>18</v>
      </c>
      <c r="C107" s="544" t="s">
        <v>19</v>
      </c>
      <c r="D107" s="544" t="s">
        <v>20</v>
      </c>
      <c r="E107" s="544" t="s">
        <v>21</v>
      </c>
      <c r="F107" s="544" t="s">
        <v>22</v>
      </c>
      <c r="G107"/>
      <c r="H107"/>
      <c r="I107"/>
    </row>
    <row r="108" spans="1:9" x14ac:dyDescent="0.2">
      <c r="A108" s="542" t="s">
        <v>14</v>
      </c>
      <c r="B108" s="542">
        <v>5</v>
      </c>
      <c r="C108" s="542">
        <v>242503639130253.31</v>
      </c>
      <c r="D108" s="542">
        <v>48500727826050.664</v>
      </c>
      <c r="E108" s="542">
        <v>70.098838921254895</v>
      </c>
      <c r="F108" s="542">
        <v>1.9636685092204484E-31</v>
      </c>
      <c r="G108"/>
      <c r="H108"/>
      <c r="I108"/>
    </row>
    <row r="109" spans="1:9" x14ac:dyDescent="0.2">
      <c r="A109" s="542" t="s">
        <v>15</v>
      </c>
      <c r="B109" s="542">
        <v>102</v>
      </c>
      <c r="C109" s="542">
        <v>70572841353541.297</v>
      </c>
      <c r="D109" s="542">
        <v>691890601505.30688</v>
      </c>
      <c r="E109" s="542"/>
      <c r="F109" s="542"/>
      <c r="G109"/>
      <c r="H109"/>
      <c r="I109"/>
    </row>
    <row r="110" spans="1:9" ht="13.5" thickBot="1" x14ac:dyDescent="0.25">
      <c r="A110" s="543" t="s">
        <v>16</v>
      </c>
      <c r="B110" s="543">
        <v>107</v>
      </c>
      <c r="C110" s="543">
        <v>313076480483794.62</v>
      </c>
      <c r="D110" s="543"/>
      <c r="E110" s="543"/>
      <c r="F110" s="543"/>
      <c r="G110"/>
      <c r="H110"/>
      <c r="I110"/>
    </row>
    <row r="111" spans="1:9" ht="13.5" thickBot="1" x14ac:dyDescent="0.25">
      <c r="A111"/>
      <c r="B111"/>
      <c r="C111"/>
      <c r="D111"/>
      <c r="E111"/>
      <c r="F111"/>
      <c r="G111"/>
      <c r="H111"/>
      <c r="I111"/>
    </row>
    <row r="112" spans="1:9" x14ac:dyDescent="0.2">
      <c r="A112" s="544"/>
      <c r="B112" s="544" t="s">
        <v>23</v>
      </c>
      <c r="C112" s="544" t="s">
        <v>11</v>
      </c>
      <c r="D112" s="544" t="s">
        <v>24</v>
      </c>
      <c r="E112" s="544" t="s">
        <v>25</v>
      </c>
      <c r="F112" s="544" t="s">
        <v>26</v>
      </c>
      <c r="G112" s="544" t="s">
        <v>27</v>
      </c>
      <c r="H112" s="544" t="s">
        <v>28</v>
      </c>
      <c r="I112" s="544" t="s">
        <v>29</v>
      </c>
    </row>
    <row r="113" spans="1:9" x14ac:dyDescent="0.2">
      <c r="A113" s="542" t="s">
        <v>17</v>
      </c>
      <c r="B113" s="542">
        <v>-6817478.8963431548</v>
      </c>
      <c r="C113" s="542">
        <v>4033278.8562450972</v>
      </c>
      <c r="D113" s="542">
        <v>-1.6903068543815225</v>
      </c>
      <c r="E113" s="542">
        <v>9.4023234966771327E-2</v>
      </c>
      <c r="F113" s="542">
        <v>-14817468.384167224</v>
      </c>
      <c r="G113" s="542">
        <v>1182510.5914809154</v>
      </c>
      <c r="H113" s="542">
        <v>-14817468.384167224</v>
      </c>
      <c r="I113" s="542">
        <v>1182510.5914809154</v>
      </c>
    </row>
    <row r="114" spans="1:9" x14ac:dyDescent="0.2">
      <c r="A114" s="542" t="s">
        <v>1</v>
      </c>
      <c r="B114" s="542">
        <v>7489.910820285063</v>
      </c>
      <c r="C114" s="542">
        <v>421.33364365245529</v>
      </c>
      <c r="D114" s="542">
        <v>17.77667398064051</v>
      </c>
      <c r="E114" s="542">
        <v>5.1768055849334994E-33</v>
      </c>
      <c r="F114" s="542">
        <v>6654.1975358273958</v>
      </c>
      <c r="G114" s="542">
        <v>8325.6241047427302</v>
      </c>
      <c r="H114" s="542">
        <v>6654.1975358273958</v>
      </c>
      <c r="I114" s="542">
        <v>8325.6241047427302</v>
      </c>
    </row>
    <row r="115" spans="1:9" x14ac:dyDescent="0.2">
      <c r="A115" s="542" t="s">
        <v>2</v>
      </c>
      <c r="B115" s="542">
        <v>48728.176606467154</v>
      </c>
      <c r="C115" s="542">
        <v>4039.7052336927609</v>
      </c>
      <c r="D115" s="542">
        <v>12.062309942828161</v>
      </c>
      <c r="E115" s="542">
        <v>2.3734795866422737E-21</v>
      </c>
      <c r="F115" s="542">
        <v>40715.440429445909</v>
      </c>
      <c r="G115" s="542">
        <v>56740.912783488398</v>
      </c>
      <c r="H115" s="542">
        <v>40715.440429445909</v>
      </c>
      <c r="I115" s="542">
        <v>56740.912783488398</v>
      </c>
    </row>
    <row r="116" spans="1:9" x14ac:dyDescent="0.2">
      <c r="A116" s="542" t="s">
        <v>240</v>
      </c>
      <c r="B116" s="542">
        <v>197193.22613044962</v>
      </c>
      <c r="C116" s="542">
        <v>110950.68129749697</v>
      </c>
      <c r="D116" s="542">
        <v>1.7773052298949541</v>
      </c>
      <c r="E116" s="542">
        <v>7.8498641012656939E-2</v>
      </c>
      <c r="F116" s="542">
        <v>-22876.924157456931</v>
      </c>
      <c r="G116" s="542">
        <v>417263.3764183562</v>
      </c>
      <c r="H116" s="542">
        <v>-22876.924157456931</v>
      </c>
      <c r="I116" s="542">
        <v>417263.3764183562</v>
      </c>
    </row>
    <row r="117" spans="1:9" x14ac:dyDescent="0.2">
      <c r="A117" s="542" t="s">
        <v>262</v>
      </c>
      <c r="B117" s="542">
        <v>103297.86806095006</v>
      </c>
      <c r="C117" s="542">
        <v>19218.516831403522</v>
      </c>
      <c r="D117" s="542">
        <v>5.3749136297635021</v>
      </c>
      <c r="E117" s="542">
        <v>4.8686102087342872E-7</v>
      </c>
      <c r="F117" s="542">
        <v>65178.031049250247</v>
      </c>
      <c r="G117" s="542">
        <v>141417.70507264987</v>
      </c>
      <c r="H117" s="542">
        <v>65178.031049250247</v>
      </c>
      <c r="I117" s="542">
        <v>141417.70507264987</v>
      </c>
    </row>
    <row r="118" spans="1:9" ht="13.5" thickBot="1" x14ac:dyDescent="0.25">
      <c r="A118" s="543" t="s">
        <v>276</v>
      </c>
      <c r="B118" s="543">
        <v>11919.964046274319</v>
      </c>
      <c r="C118" s="543">
        <v>5076.5495433588576</v>
      </c>
      <c r="D118" s="543">
        <v>2.3480444629695412</v>
      </c>
      <c r="E118" s="543">
        <v>2.0801703160432023E-2</v>
      </c>
      <c r="F118" s="543">
        <v>1850.652097162465</v>
      </c>
      <c r="G118" s="543">
        <v>21989.275995386175</v>
      </c>
      <c r="H118" s="543">
        <v>1850.652097162465</v>
      </c>
      <c r="I118" s="543">
        <v>21989.275995386175</v>
      </c>
    </row>
    <row r="119" spans="1:9" x14ac:dyDescent="0.2">
      <c r="A119" s="532"/>
      <c r="B119" s="532"/>
      <c r="C119" s="532"/>
      <c r="D119" s="532"/>
      <c r="E119" s="532"/>
      <c r="F119" s="532"/>
      <c r="G119" s="532"/>
      <c r="H119" s="532"/>
      <c r="I119" s="532"/>
    </row>
    <row r="120" spans="1:9" x14ac:dyDescent="0.2">
      <c r="A120" s="532"/>
      <c r="B120" s="532"/>
      <c r="C120" s="532"/>
      <c r="D120" s="532"/>
      <c r="E120" s="532"/>
      <c r="F120" s="532"/>
      <c r="G120" s="532"/>
      <c r="H120" s="532"/>
      <c r="I120" s="532"/>
    </row>
    <row r="121" spans="1:9" x14ac:dyDescent="0.2">
      <c r="A121" s="748" t="s">
        <v>280</v>
      </c>
      <c r="B121" s="749"/>
      <c r="C121" s="749"/>
      <c r="D121" s="532"/>
      <c r="E121" s="532"/>
      <c r="F121" s="532"/>
      <c r="G121" s="532"/>
      <c r="H121" s="532"/>
      <c r="I121" s="532"/>
    </row>
    <row r="122" spans="1:9" x14ac:dyDescent="0.2">
      <c r="A122" s="532"/>
      <c r="B122" s="532"/>
      <c r="C122" s="532"/>
      <c r="D122" s="532"/>
      <c r="E122" s="532"/>
      <c r="F122" s="532"/>
      <c r="G122" s="532"/>
      <c r="H122" s="532"/>
      <c r="I122" s="532"/>
    </row>
    <row r="123" spans="1:9" x14ac:dyDescent="0.2">
      <c r="A123" t="s">
        <v>156</v>
      </c>
      <c r="B123"/>
      <c r="C123"/>
      <c r="D123"/>
      <c r="E123"/>
      <c r="F123"/>
      <c r="G123"/>
      <c r="H123"/>
      <c r="I123"/>
    </row>
    <row r="124" spans="1:9" ht="13.5" thickBot="1" x14ac:dyDescent="0.25">
      <c r="A124"/>
      <c r="B124"/>
      <c r="C124"/>
      <c r="D124"/>
      <c r="E124"/>
      <c r="F124"/>
      <c r="G124"/>
      <c r="H124"/>
      <c r="I124"/>
    </row>
    <row r="125" spans="1:9" x14ac:dyDescent="0.2">
      <c r="A125" s="545" t="s">
        <v>7</v>
      </c>
      <c r="B125" s="545"/>
      <c r="C125"/>
      <c r="D125"/>
      <c r="E125"/>
      <c r="F125"/>
      <c r="G125"/>
      <c r="H125"/>
      <c r="I125"/>
    </row>
    <row r="126" spans="1:9" x14ac:dyDescent="0.2">
      <c r="A126" s="542" t="s">
        <v>8</v>
      </c>
      <c r="B126" s="542">
        <v>0.88782695820536717</v>
      </c>
      <c r="C126"/>
      <c r="D126"/>
      <c r="E126"/>
      <c r="F126"/>
      <c r="G126"/>
      <c r="H126"/>
      <c r="I126"/>
    </row>
    <row r="127" spans="1:9" x14ac:dyDescent="0.2">
      <c r="A127" s="542" t="s">
        <v>9</v>
      </c>
      <c r="B127" s="542">
        <v>0.78823670771619481</v>
      </c>
      <c r="C127"/>
      <c r="D127"/>
      <c r="E127"/>
      <c r="F127"/>
      <c r="G127"/>
      <c r="H127"/>
      <c r="I127"/>
    </row>
    <row r="128" spans="1:9" x14ac:dyDescent="0.2">
      <c r="A128" s="542" t="s">
        <v>10</v>
      </c>
      <c r="B128" s="542">
        <v>0.77565671015478066</v>
      </c>
      <c r="C128"/>
      <c r="D128"/>
      <c r="E128"/>
      <c r="F128"/>
      <c r="G128"/>
      <c r="H128"/>
      <c r="I128"/>
    </row>
    <row r="129" spans="1:9" x14ac:dyDescent="0.2">
      <c r="A129" s="542" t="s">
        <v>11</v>
      </c>
      <c r="B129" s="542">
        <v>810195.58965950401</v>
      </c>
      <c r="C129"/>
      <c r="D129"/>
      <c r="E129"/>
      <c r="F129"/>
      <c r="G129"/>
      <c r="H129"/>
      <c r="I129"/>
    </row>
    <row r="130" spans="1:9" ht="13.5" thickBot="1" x14ac:dyDescent="0.25">
      <c r="A130" s="543" t="s">
        <v>12</v>
      </c>
      <c r="B130" s="543">
        <v>108</v>
      </c>
      <c r="C130"/>
      <c r="D130"/>
      <c r="E130"/>
      <c r="F130"/>
      <c r="G130"/>
      <c r="H130"/>
      <c r="I130"/>
    </row>
    <row r="131" spans="1:9" x14ac:dyDescent="0.2">
      <c r="A131"/>
      <c r="B131"/>
      <c r="C131"/>
      <c r="D131"/>
      <c r="E131"/>
      <c r="F131"/>
      <c r="G131"/>
      <c r="H131"/>
      <c r="I131"/>
    </row>
    <row r="132" spans="1:9" ht="13.5" thickBot="1" x14ac:dyDescent="0.25">
      <c r="A132" t="s">
        <v>13</v>
      </c>
      <c r="B132"/>
      <c r="C132"/>
      <c r="D132"/>
      <c r="E132"/>
      <c r="F132"/>
      <c r="G132"/>
      <c r="H132"/>
      <c r="I132"/>
    </row>
    <row r="133" spans="1:9" x14ac:dyDescent="0.2">
      <c r="A133" s="544"/>
      <c r="B133" s="544" t="s">
        <v>18</v>
      </c>
      <c r="C133" s="544" t="s">
        <v>19</v>
      </c>
      <c r="D133" s="544" t="s">
        <v>20</v>
      </c>
      <c r="E133" s="544" t="s">
        <v>21</v>
      </c>
      <c r="F133" s="544" t="s">
        <v>22</v>
      </c>
      <c r="G133"/>
      <c r="H133"/>
      <c r="I133"/>
    </row>
    <row r="134" spans="1:9" x14ac:dyDescent="0.2">
      <c r="A134" s="542" t="s">
        <v>14</v>
      </c>
      <c r="B134" s="542">
        <v>6</v>
      </c>
      <c r="C134" s="542">
        <v>246778374239919.78</v>
      </c>
      <c r="D134" s="542">
        <v>41129729039986.633</v>
      </c>
      <c r="E134" s="542">
        <v>62.657938037595741</v>
      </c>
      <c r="F134" s="542">
        <v>7.6601936905267909E-32</v>
      </c>
      <c r="G134"/>
      <c r="H134"/>
      <c r="I134"/>
    </row>
    <row r="135" spans="1:9" x14ac:dyDescent="0.2">
      <c r="A135" s="542" t="s">
        <v>15</v>
      </c>
      <c r="B135" s="542">
        <v>101</v>
      </c>
      <c r="C135" s="542">
        <v>66298106243874.852</v>
      </c>
      <c r="D135" s="542">
        <v>656416893503.71143</v>
      </c>
      <c r="E135" s="542"/>
      <c r="F135" s="542"/>
      <c r="G135"/>
      <c r="H135"/>
      <c r="I135"/>
    </row>
    <row r="136" spans="1:9" ht="13.5" thickBot="1" x14ac:dyDescent="0.25">
      <c r="A136" s="543" t="s">
        <v>16</v>
      </c>
      <c r="B136" s="543">
        <v>107</v>
      </c>
      <c r="C136" s="543">
        <v>313076480483794.62</v>
      </c>
      <c r="D136" s="543"/>
      <c r="E136" s="543"/>
      <c r="F136" s="543"/>
      <c r="G136"/>
      <c r="H136"/>
      <c r="I136"/>
    </row>
    <row r="137" spans="1:9" ht="13.5" thickBot="1" x14ac:dyDescent="0.25">
      <c r="A137"/>
      <c r="B137"/>
      <c r="C137"/>
      <c r="D137"/>
      <c r="E137"/>
      <c r="F137"/>
      <c r="G137"/>
      <c r="H137"/>
      <c r="I137"/>
    </row>
    <row r="138" spans="1:9" x14ac:dyDescent="0.2">
      <c r="A138" s="544"/>
      <c r="B138" s="544" t="s">
        <v>23</v>
      </c>
      <c r="C138" s="544" t="s">
        <v>11</v>
      </c>
      <c r="D138" s="544" t="s">
        <v>24</v>
      </c>
      <c r="E138" s="544" t="s">
        <v>25</v>
      </c>
      <c r="F138" s="544" t="s">
        <v>26</v>
      </c>
      <c r="G138" s="544" t="s">
        <v>27</v>
      </c>
      <c r="H138" s="544" t="s">
        <v>28</v>
      </c>
      <c r="I138" s="544" t="s">
        <v>29</v>
      </c>
    </row>
    <row r="139" spans="1:9" x14ac:dyDescent="0.2">
      <c r="A139" s="542" t="s">
        <v>17</v>
      </c>
      <c r="B139" s="542">
        <v>-9683854.0954533964</v>
      </c>
      <c r="C139" s="542">
        <v>3953861.8705666508</v>
      </c>
      <c r="D139" s="542">
        <v>-2.4492140627223145</v>
      </c>
      <c r="E139" s="542">
        <v>1.6038685684420986E-2</v>
      </c>
      <c r="F139" s="542">
        <v>-17527252.469500501</v>
      </c>
      <c r="G139" s="542">
        <v>-1840455.7214062912</v>
      </c>
      <c r="H139" s="542">
        <v>-17527252.469500501</v>
      </c>
      <c r="I139" s="542">
        <v>-1840455.7214062912</v>
      </c>
    </row>
    <row r="140" spans="1:9" x14ac:dyDescent="0.2">
      <c r="A140" s="542" t="s">
        <v>1</v>
      </c>
      <c r="B140" s="542">
        <v>6839.6753373526035</v>
      </c>
      <c r="C140" s="542">
        <v>448.77399048016628</v>
      </c>
      <c r="D140" s="542">
        <v>15.240801567030399</v>
      </c>
      <c r="E140" s="542">
        <v>6.1875123821680016E-28</v>
      </c>
      <c r="F140" s="542">
        <v>5949.4284591169944</v>
      </c>
      <c r="G140" s="542">
        <v>7729.9222155882126</v>
      </c>
      <c r="H140" s="542">
        <v>5949.4284591169944</v>
      </c>
      <c r="I140" s="542">
        <v>7729.9222155882126</v>
      </c>
    </row>
    <row r="141" spans="1:9" x14ac:dyDescent="0.2">
      <c r="A141" s="542" t="s">
        <v>2</v>
      </c>
      <c r="B141" s="542">
        <v>41352.641477476209</v>
      </c>
      <c r="C141" s="542">
        <v>4884.3433534522801</v>
      </c>
      <c r="D141" s="542">
        <v>8.466366609597161</v>
      </c>
      <c r="E141" s="542">
        <v>2.0963331620697622E-13</v>
      </c>
      <c r="F141" s="542">
        <v>31663.418138152774</v>
      </c>
      <c r="G141" s="542">
        <v>51041.864816799643</v>
      </c>
      <c r="H141" s="542">
        <v>31663.418138152774</v>
      </c>
      <c r="I141" s="542">
        <v>51041.864816799643</v>
      </c>
    </row>
    <row r="142" spans="1:9" x14ac:dyDescent="0.2">
      <c r="A142" s="542" t="s">
        <v>240</v>
      </c>
      <c r="B142" s="542">
        <v>263206.72986409708</v>
      </c>
      <c r="C142" s="542">
        <v>109900.8093229159</v>
      </c>
      <c r="D142" s="542">
        <v>2.3949480580323144</v>
      </c>
      <c r="E142" s="542">
        <v>1.8465890393175741E-2</v>
      </c>
      <c r="F142" s="542">
        <v>45193.087160316471</v>
      </c>
      <c r="G142" s="542">
        <v>481220.3725678777</v>
      </c>
      <c r="H142" s="542">
        <v>45193.087160316471</v>
      </c>
      <c r="I142" s="542">
        <v>481220.3725678777</v>
      </c>
    </row>
    <row r="143" spans="1:9" x14ac:dyDescent="0.2">
      <c r="A143" s="542" t="s">
        <v>262</v>
      </c>
      <c r="B143" s="542">
        <v>112203.00496410816</v>
      </c>
      <c r="C143" s="542">
        <v>18740.020274443628</v>
      </c>
      <c r="D143" s="542">
        <v>5.9873470423680928</v>
      </c>
      <c r="E143" s="542">
        <v>3.2851266416073409E-8</v>
      </c>
      <c r="F143" s="542">
        <v>75027.845749677741</v>
      </c>
      <c r="G143" s="542">
        <v>149378.16417853857</v>
      </c>
      <c r="H143" s="542">
        <v>75027.845749677741</v>
      </c>
      <c r="I143" s="542">
        <v>149378.16417853857</v>
      </c>
    </row>
    <row r="144" spans="1:9" x14ac:dyDescent="0.2">
      <c r="A144" s="542" t="s">
        <v>265</v>
      </c>
      <c r="B144" s="542">
        <v>-554204.1802676369</v>
      </c>
      <c r="C144" s="542">
        <v>192769.99639512342</v>
      </c>
      <c r="D144" s="542">
        <v>-2.8749504104968526</v>
      </c>
      <c r="E144" s="542">
        <v>4.928317119051312E-3</v>
      </c>
      <c r="F144" s="542">
        <v>-936607.9985562833</v>
      </c>
      <c r="G144" s="542">
        <v>-171800.36197899043</v>
      </c>
      <c r="H144" s="542">
        <v>-936607.9985562833</v>
      </c>
      <c r="I144" s="542">
        <v>-171800.36197899043</v>
      </c>
    </row>
    <row r="145" spans="1:9" ht="13.5" thickBot="1" x14ac:dyDescent="0.25">
      <c r="A145" s="543" t="s">
        <v>276</v>
      </c>
      <c r="B145" s="543">
        <v>12247.095845211057</v>
      </c>
      <c r="C145" s="543">
        <v>4953.3980157439946</v>
      </c>
      <c r="D145" s="543">
        <v>2.4724635101569881</v>
      </c>
      <c r="E145" s="543">
        <v>1.508893847411142E-2</v>
      </c>
      <c r="F145" s="543">
        <v>2420.886631400921</v>
      </c>
      <c r="G145" s="543">
        <v>22073.305059021193</v>
      </c>
      <c r="H145" s="543">
        <v>2420.886631400921</v>
      </c>
      <c r="I145" s="543">
        <v>22073.305059021193</v>
      </c>
    </row>
    <row r="146" spans="1:9" x14ac:dyDescent="0.2">
      <c r="A146" s="532"/>
      <c r="B146" s="532"/>
      <c r="C146" s="532"/>
      <c r="D146" s="532"/>
      <c r="E146" s="532"/>
      <c r="F146" s="532"/>
      <c r="G146" s="532"/>
      <c r="H146" s="532"/>
      <c r="I146" s="532"/>
    </row>
    <row r="147" spans="1:9" x14ac:dyDescent="0.2">
      <c r="A147" s="532"/>
      <c r="B147" s="532"/>
      <c r="C147" s="532"/>
      <c r="D147" s="532"/>
      <c r="E147" s="532"/>
      <c r="F147" s="532"/>
      <c r="G147" s="532"/>
      <c r="H147" s="532"/>
      <c r="I147" s="532"/>
    </row>
    <row r="148" spans="1:9" x14ac:dyDescent="0.2">
      <c r="A148" s="532"/>
      <c r="B148" s="532"/>
      <c r="C148" s="532"/>
      <c r="D148" s="532"/>
      <c r="E148" s="532"/>
      <c r="F148" s="532"/>
      <c r="G148" s="532"/>
      <c r="H148" s="532"/>
      <c r="I148" s="532"/>
    </row>
    <row r="149" spans="1:9" x14ac:dyDescent="0.2">
      <c r="A149" s="750" t="s">
        <v>281</v>
      </c>
      <c r="B149" s="751"/>
      <c r="C149" s="751"/>
      <c r="D149" s="751"/>
      <c r="E149" s="751"/>
      <c r="F149" s="532"/>
      <c r="G149" s="532"/>
      <c r="H149" s="532"/>
      <c r="I149" s="532"/>
    </row>
    <row r="150" spans="1:9" x14ac:dyDescent="0.2">
      <c r="A150" s="532"/>
      <c r="B150" s="532"/>
      <c r="C150" s="532"/>
      <c r="D150" s="532"/>
      <c r="E150" s="532"/>
      <c r="F150" s="532"/>
      <c r="G150" s="532"/>
      <c r="H150" s="532"/>
      <c r="I150" s="532"/>
    </row>
    <row r="151" spans="1:9" x14ac:dyDescent="0.2">
      <c r="A151" s="532"/>
      <c r="B151" s="532"/>
      <c r="C151" s="532"/>
      <c r="D151" s="532"/>
      <c r="E151" s="532"/>
      <c r="F151" s="532"/>
      <c r="G151" s="532"/>
      <c r="H151" s="532"/>
      <c r="I151" s="532"/>
    </row>
    <row r="152" spans="1:9" x14ac:dyDescent="0.2">
      <c r="A152" s="532"/>
      <c r="B152" s="532"/>
      <c r="C152" s="532"/>
      <c r="D152" s="532"/>
      <c r="E152" s="532"/>
      <c r="F152" s="532"/>
      <c r="G152" s="532"/>
      <c r="H152" s="532"/>
      <c r="I152" s="532"/>
    </row>
    <row r="153" spans="1:9" x14ac:dyDescent="0.2">
      <c r="A153" t="s">
        <v>156</v>
      </c>
      <c r="B153"/>
      <c r="C153"/>
      <c r="D153"/>
      <c r="E153"/>
      <c r="F153"/>
      <c r="G153"/>
      <c r="H153"/>
      <c r="I153"/>
    </row>
    <row r="154" spans="1:9" ht="13.5" thickBot="1" x14ac:dyDescent="0.25">
      <c r="A154"/>
      <c r="B154"/>
      <c r="C154"/>
      <c r="D154"/>
      <c r="E154"/>
      <c r="F154"/>
      <c r="G154"/>
      <c r="H154"/>
      <c r="I154"/>
    </row>
    <row r="155" spans="1:9" x14ac:dyDescent="0.2">
      <c r="A155" s="776" t="s">
        <v>7</v>
      </c>
      <c r="B155" s="776"/>
      <c r="C155"/>
      <c r="D155"/>
      <c r="E155"/>
      <c r="F155"/>
      <c r="G155"/>
      <c r="H155"/>
      <c r="I155"/>
    </row>
    <row r="156" spans="1:9" x14ac:dyDescent="0.2">
      <c r="A156" s="542" t="s">
        <v>8</v>
      </c>
      <c r="B156" s="542">
        <v>0.93837330873939917</v>
      </c>
      <c r="C156"/>
      <c r="D156"/>
      <c r="E156"/>
      <c r="F156"/>
      <c r="G156"/>
      <c r="H156"/>
      <c r="I156"/>
    </row>
    <row r="157" spans="1:9" x14ac:dyDescent="0.2">
      <c r="A157" s="542" t="s">
        <v>9</v>
      </c>
      <c r="B157" s="542">
        <v>0.88054446655452767</v>
      </c>
      <c r="C157"/>
      <c r="D157"/>
      <c r="E157"/>
      <c r="F157"/>
      <c r="G157"/>
      <c r="H157"/>
      <c r="I157"/>
    </row>
    <row r="158" spans="1:9" x14ac:dyDescent="0.2">
      <c r="A158" s="542" t="s">
        <v>10</v>
      </c>
      <c r="B158" s="542">
        <v>0.8734480982310342</v>
      </c>
      <c r="C158"/>
      <c r="D158"/>
      <c r="E158"/>
      <c r="F158"/>
      <c r="G158"/>
      <c r="H158"/>
      <c r="I158"/>
    </row>
    <row r="159" spans="1:9" x14ac:dyDescent="0.2">
      <c r="A159" s="542" t="s">
        <v>11</v>
      </c>
      <c r="B159" s="542">
        <v>555179.07254033338</v>
      </c>
      <c r="C159"/>
      <c r="D159"/>
      <c r="E159"/>
      <c r="F159"/>
      <c r="G159"/>
      <c r="H159"/>
      <c r="I159"/>
    </row>
    <row r="160" spans="1:9" ht="13.5" thickBot="1" x14ac:dyDescent="0.25">
      <c r="A160" s="543" t="s">
        <v>12</v>
      </c>
      <c r="B160" s="543">
        <v>108</v>
      </c>
      <c r="C160"/>
      <c r="D160"/>
      <c r="E160"/>
      <c r="F160"/>
      <c r="G160"/>
      <c r="H160"/>
      <c r="I160"/>
    </row>
    <row r="161" spans="1:9" x14ac:dyDescent="0.2">
      <c r="A161"/>
      <c r="B161"/>
      <c r="C161"/>
      <c r="D161"/>
      <c r="E161"/>
      <c r="F161"/>
      <c r="G161"/>
      <c r="H161"/>
      <c r="I161"/>
    </row>
    <row r="162" spans="1:9" ht="13.5" thickBot="1" x14ac:dyDescent="0.25">
      <c r="A162" t="s">
        <v>13</v>
      </c>
      <c r="B162"/>
      <c r="C162"/>
      <c r="D162"/>
      <c r="E162"/>
      <c r="F162"/>
      <c r="G162"/>
      <c r="H162"/>
      <c r="I162"/>
    </row>
    <row r="163" spans="1:9" x14ac:dyDescent="0.2">
      <c r="A163" s="777"/>
      <c r="B163" s="777" t="s">
        <v>18</v>
      </c>
      <c r="C163" s="777" t="s">
        <v>19</v>
      </c>
      <c r="D163" s="777" t="s">
        <v>20</v>
      </c>
      <c r="E163" s="777" t="s">
        <v>21</v>
      </c>
      <c r="F163" s="777" t="s">
        <v>22</v>
      </c>
      <c r="G163"/>
      <c r="H163"/>
      <c r="I163"/>
    </row>
    <row r="164" spans="1:9" x14ac:dyDescent="0.2">
      <c r="A164" s="542" t="s">
        <v>14</v>
      </c>
      <c r="B164" s="542">
        <v>6</v>
      </c>
      <c r="C164" s="542">
        <v>229473515005951.06</v>
      </c>
      <c r="D164" s="542">
        <v>38245585834325.18</v>
      </c>
      <c r="E164" s="542">
        <v>124.08381673755247</v>
      </c>
      <c r="F164" s="542">
        <v>2.6402421874744596E-44</v>
      </c>
      <c r="G164"/>
      <c r="H164"/>
      <c r="I164"/>
    </row>
    <row r="165" spans="1:9" x14ac:dyDescent="0.2">
      <c r="A165" s="542" t="s">
        <v>15</v>
      </c>
      <c r="B165" s="542">
        <v>101</v>
      </c>
      <c r="C165" s="542">
        <v>31130604061261.215</v>
      </c>
      <c r="D165" s="542">
        <v>308223802586.74469</v>
      </c>
      <c r="E165" s="542"/>
      <c r="F165" s="542"/>
      <c r="G165"/>
      <c r="H165"/>
      <c r="I165"/>
    </row>
    <row r="166" spans="1:9" ht="13.5" thickBot="1" x14ac:dyDescent="0.25">
      <c r="A166" s="543" t="s">
        <v>16</v>
      </c>
      <c r="B166" s="543">
        <v>107</v>
      </c>
      <c r="C166" s="543">
        <v>260604119067212.28</v>
      </c>
      <c r="D166" s="543"/>
      <c r="E166" s="543"/>
      <c r="F166" s="543"/>
      <c r="G166"/>
      <c r="H166"/>
      <c r="I166"/>
    </row>
    <row r="167" spans="1:9" ht="13.5" thickBot="1" x14ac:dyDescent="0.25">
      <c r="A167"/>
      <c r="B167"/>
      <c r="C167"/>
      <c r="D167"/>
      <c r="E167"/>
      <c r="F167"/>
      <c r="G167"/>
      <c r="H167"/>
      <c r="I167"/>
    </row>
    <row r="168" spans="1:9" x14ac:dyDescent="0.2">
      <c r="A168" s="777"/>
      <c r="B168" s="777" t="s">
        <v>23</v>
      </c>
      <c r="C168" s="777" t="s">
        <v>11</v>
      </c>
      <c r="D168" s="777" t="s">
        <v>24</v>
      </c>
      <c r="E168" s="777" t="s">
        <v>25</v>
      </c>
      <c r="F168" s="777" t="s">
        <v>26</v>
      </c>
      <c r="G168" s="777" t="s">
        <v>27</v>
      </c>
      <c r="H168" s="777" t="s">
        <v>28</v>
      </c>
      <c r="I168" s="777" t="s">
        <v>29</v>
      </c>
    </row>
    <row r="169" spans="1:9" x14ac:dyDescent="0.2">
      <c r="A169" s="542" t="s">
        <v>17</v>
      </c>
      <c r="B169" s="542">
        <v>2748169.9148839433</v>
      </c>
      <c r="C169" s="542">
        <v>2709347.464081239</v>
      </c>
      <c r="D169" s="542">
        <v>1.0143290778747971</v>
      </c>
      <c r="E169" s="542">
        <v>0.31284950152103819</v>
      </c>
      <c r="F169" s="542">
        <v>-2626446.6473931568</v>
      </c>
      <c r="G169" s="542">
        <v>8122786.4771610433</v>
      </c>
      <c r="H169" s="542">
        <v>-2626446.6473931568</v>
      </c>
      <c r="I169" s="542">
        <v>8122786.4771610433</v>
      </c>
    </row>
    <row r="170" spans="1:9" x14ac:dyDescent="0.2">
      <c r="A170" s="542" t="s">
        <v>1</v>
      </c>
      <c r="B170" s="542">
        <v>6601.0454019233221</v>
      </c>
      <c r="C170" s="542">
        <v>307.51824743912988</v>
      </c>
      <c r="D170" s="542">
        <v>21.465540522859321</v>
      </c>
      <c r="E170" s="542">
        <v>2.0247311041532783E-39</v>
      </c>
      <c r="F170" s="542">
        <v>5991.0119205037472</v>
      </c>
      <c r="G170" s="542">
        <v>7211.0788833428969</v>
      </c>
      <c r="H170" s="542">
        <v>5991.0119205037472</v>
      </c>
      <c r="I170" s="542">
        <v>7211.0788833428969</v>
      </c>
    </row>
    <row r="171" spans="1:9" x14ac:dyDescent="0.2">
      <c r="A171" s="542" t="s">
        <v>2</v>
      </c>
      <c r="B171" s="542">
        <v>37782.791117058805</v>
      </c>
      <c r="C171" s="542">
        <v>3346.9513381056563</v>
      </c>
      <c r="D171" s="542">
        <v>11.288718388849812</v>
      </c>
      <c r="E171" s="542">
        <v>1.32696731501961E-19</v>
      </c>
      <c r="F171" s="542">
        <v>31143.339982274869</v>
      </c>
      <c r="G171" s="542">
        <v>44422.242251842741</v>
      </c>
      <c r="H171" s="542">
        <v>31143.339982274869</v>
      </c>
      <c r="I171" s="542">
        <v>44422.242251842741</v>
      </c>
    </row>
    <row r="172" spans="1:9" x14ac:dyDescent="0.2">
      <c r="A172" s="542" t="s">
        <v>240</v>
      </c>
      <c r="B172" s="542">
        <v>387333.98593829427</v>
      </c>
      <c r="C172" s="542">
        <v>75308.518301081742</v>
      </c>
      <c r="D172" s="542">
        <v>5.1432958007451672</v>
      </c>
      <c r="E172" s="542">
        <v>1.3281834356437105E-6</v>
      </c>
      <c r="F172" s="542">
        <v>237942.1433977889</v>
      </c>
      <c r="G172" s="542">
        <v>536725.82847879967</v>
      </c>
      <c r="H172" s="542">
        <v>237942.1433977889</v>
      </c>
      <c r="I172" s="542">
        <v>536725.82847879967</v>
      </c>
    </row>
    <row r="173" spans="1:9" x14ac:dyDescent="0.2">
      <c r="A173" s="542" t="s">
        <v>262</v>
      </c>
      <c r="B173" s="542">
        <v>5735.070043849686</v>
      </c>
      <c r="C173" s="542">
        <v>12841.426450772349</v>
      </c>
      <c r="D173" s="542">
        <v>0.44660692998827628</v>
      </c>
      <c r="E173" s="542">
        <v>0.65611501943334649</v>
      </c>
      <c r="F173" s="542">
        <v>-19738.865728721576</v>
      </c>
      <c r="G173" s="542">
        <v>31209.005816420948</v>
      </c>
      <c r="H173" s="542">
        <v>-19738.865728721576</v>
      </c>
      <c r="I173" s="542">
        <v>31209.005816420948</v>
      </c>
    </row>
    <row r="174" spans="1:9" x14ac:dyDescent="0.2">
      <c r="A174" s="542" t="s">
        <v>265</v>
      </c>
      <c r="B174" s="542">
        <v>-718068.21434530569</v>
      </c>
      <c r="C174" s="542">
        <v>132093.86619498319</v>
      </c>
      <c r="D174" s="542">
        <v>-5.436045102089512</v>
      </c>
      <c r="E174" s="542">
        <v>3.7959038277161799E-7</v>
      </c>
      <c r="F174" s="542">
        <v>-980106.91201656312</v>
      </c>
      <c r="G174" s="542">
        <v>-456029.51667404827</v>
      </c>
      <c r="H174" s="542">
        <v>-980106.91201656312</v>
      </c>
      <c r="I174" s="542">
        <v>-456029.51667404827</v>
      </c>
    </row>
    <row r="175" spans="1:9" ht="13.5" thickBot="1" x14ac:dyDescent="0.25">
      <c r="A175" s="543" t="s">
        <v>276</v>
      </c>
      <c r="B175" s="543">
        <v>7693.7935715923859</v>
      </c>
      <c r="C175" s="543">
        <v>3394.2704100124934</v>
      </c>
      <c r="D175" s="543">
        <v>2.2667002454775154</v>
      </c>
      <c r="E175" s="543">
        <v>2.554037345101583E-2</v>
      </c>
      <c r="F175" s="543">
        <v>960.47412683577113</v>
      </c>
      <c r="G175" s="543">
        <v>14427.113016349002</v>
      </c>
      <c r="H175" s="543">
        <v>960.47412683577113</v>
      </c>
      <c r="I175" s="543">
        <v>14427.113016349002</v>
      </c>
    </row>
    <row r="178" spans="1:9" x14ac:dyDescent="0.2">
      <c r="A178" s="750" t="s">
        <v>358</v>
      </c>
      <c r="B178" s="751"/>
      <c r="C178" s="751"/>
      <c r="D178" s="751"/>
      <c r="E178" s="751"/>
      <c r="F178" s="751"/>
    </row>
    <row r="180" spans="1:9" x14ac:dyDescent="0.2">
      <c r="A180" t="s">
        <v>156</v>
      </c>
      <c r="B180"/>
      <c r="C180"/>
      <c r="D180"/>
      <c r="E180"/>
      <c r="F180"/>
      <c r="G180"/>
      <c r="H180"/>
      <c r="I180"/>
    </row>
    <row r="181" spans="1:9" ht="13.5" thickBot="1" x14ac:dyDescent="0.25">
      <c r="A181"/>
      <c r="B181"/>
      <c r="C181"/>
      <c r="D181"/>
      <c r="E181"/>
      <c r="F181"/>
      <c r="G181"/>
      <c r="H181"/>
      <c r="I181"/>
    </row>
    <row r="182" spans="1:9" x14ac:dyDescent="0.2">
      <c r="A182" s="776" t="s">
        <v>7</v>
      </c>
      <c r="B182" s="776"/>
      <c r="C182"/>
      <c r="D182"/>
      <c r="E182"/>
      <c r="F182"/>
      <c r="G182"/>
      <c r="H182"/>
      <c r="I182"/>
    </row>
    <row r="183" spans="1:9" x14ac:dyDescent="0.2">
      <c r="A183" s="542" t="s">
        <v>8</v>
      </c>
      <c r="B183" s="542">
        <v>0.93612971280501212</v>
      </c>
      <c r="C183"/>
      <c r="D183"/>
      <c r="E183"/>
      <c r="F183"/>
      <c r="G183"/>
      <c r="H183"/>
      <c r="I183"/>
    </row>
    <row r="184" spans="1:9" x14ac:dyDescent="0.2">
      <c r="A184" s="542" t="s">
        <v>9</v>
      </c>
      <c r="B184" s="542">
        <v>0.87633883919639455</v>
      </c>
      <c r="C184"/>
      <c r="D184"/>
      <c r="E184"/>
      <c r="F184"/>
      <c r="G184"/>
      <c r="H184"/>
      <c r="I184"/>
    </row>
    <row r="185" spans="1:9" x14ac:dyDescent="0.2">
      <c r="A185" s="542" t="s">
        <v>10</v>
      </c>
      <c r="B185" s="542">
        <v>0.86977275986168989</v>
      </c>
      <c r="C185"/>
      <c r="D185"/>
      <c r="E185"/>
      <c r="F185"/>
      <c r="G185"/>
      <c r="H185"/>
      <c r="I185"/>
    </row>
    <row r="186" spans="1:9" x14ac:dyDescent="0.2">
      <c r="A186" s="542" t="s">
        <v>11</v>
      </c>
      <c r="B186" s="542">
        <v>562293.8466490329</v>
      </c>
      <c r="C186"/>
      <c r="D186"/>
      <c r="E186"/>
      <c r="F186"/>
      <c r="G186"/>
      <c r="H186"/>
      <c r="I186"/>
    </row>
    <row r="187" spans="1:9" ht="13.5" thickBot="1" x14ac:dyDescent="0.25">
      <c r="A187" s="543" t="s">
        <v>12</v>
      </c>
      <c r="B187" s="543">
        <v>120</v>
      </c>
      <c r="C187"/>
      <c r="D187"/>
      <c r="E187"/>
      <c r="F187"/>
      <c r="G187"/>
      <c r="H187"/>
      <c r="I187"/>
    </row>
    <row r="188" spans="1:9" x14ac:dyDescent="0.2">
      <c r="A188"/>
      <c r="B188"/>
      <c r="C188"/>
      <c r="D188"/>
      <c r="E188"/>
      <c r="F188"/>
      <c r="G188"/>
      <c r="H188"/>
      <c r="I188"/>
    </row>
    <row r="189" spans="1:9" ht="13.5" thickBot="1" x14ac:dyDescent="0.25">
      <c r="A189" t="s">
        <v>13</v>
      </c>
      <c r="B189"/>
      <c r="C189"/>
      <c r="D189"/>
      <c r="E189"/>
      <c r="F189"/>
      <c r="G189"/>
      <c r="H189"/>
      <c r="I189"/>
    </row>
    <row r="190" spans="1:9" x14ac:dyDescent="0.2">
      <c r="A190" s="777"/>
      <c r="B190" s="777" t="s">
        <v>18</v>
      </c>
      <c r="C190" s="777" t="s">
        <v>19</v>
      </c>
      <c r="D190" s="777" t="s">
        <v>20</v>
      </c>
      <c r="E190" s="777" t="s">
        <v>21</v>
      </c>
      <c r="F190" s="777" t="s">
        <v>22</v>
      </c>
      <c r="G190"/>
      <c r="H190"/>
      <c r="I190"/>
    </row>
    <row r="191" spans="1:9" x14ac:dyDescent="0.2">
      <c r="A191" s="542" t="s">
        <v>14</v>
      </c>
      <c r="B191" s="542">
        <v>6</v>
      </c>
      <c r="C191" s="542">
        <v>253188424550611.62</v>
      </c>
      <c r="D191" s="542">
        <v>42198070758435.273</v>
      </c>
      <c r="E191" s="542">
        <v>133.46455236453593</v>
      </c>
      <c r="F191" s="542">
        <v>6.6750091410471063E-49</v>
      </c>
      <c r="G191"/>
      <c r="H191"/>
      <c r="I191"/>
    </row>
    <row r="192" spans="1:9" x14ac:dyDescent="0.2">
      <c r="A192" s="542" t="s">
        <v>15</v>
      </c>
      <c r="B192" s="542">
        <v>113</v>
      </c>
      <c r="C192" s="542">
        <v>35727703807668.375</v>
      </c>
      <c r="D192" s="542">
        <v>316174369979.36615</v>
      </c>
      <c r="E192" s="542"/>
      <c r="F192" s="542"/>
      <c r="G192"/>
      <c r="H192"/>
      <c r="I192"/>
    </row>
    <row r="193" spans="1:9" ht="13.5" thickBot="1" x14ac:dyDescent="0.25">
      <c r="A193" s="543" t="s">
        <v>16</v>
      </c>
      <c r="B193" s="543">
        <v>119</v>
      </c>
      <c r="C193" s="543">
        <v>288916128358280</v>
      </c>
      <c r="D193" s="543"/>
      <c r="E193" s="543"/>
      <c r="F193" s="543"/>
      <c r="G193"/>
      <c r="H193"/>
      <c r="I193"/>
    </row>
    <row r="194" spans="1:9" ht="13.5" thickBot="1" x14ac:dyDescent="0.25">
      <c r="A194"/>
      <c r="B194"/>
      <c r="C194"/>
      <c r="D194"/>
      <c r="E194"/>
      <c r="F194"/>
      <c r="G194"/>
      <c r="H194"/>
      <c r="I194"/>
    </row>
    <row r="195" spans="1:9" x14ac:dyDescent="0.2">
      <c r="A195" s="777"/>
      <c r="B195" s="777" t="s">
        <v>23</v>
      </c>
      <c r="C195" s="777" t="s">
        <v>11</v>
      </c>
      <c r="D195" s="777" t="s">
        <v>24</v>
      </c>
      <c r="E195" s="777" t="s">
        <v>25</v>
      </c>
      <c r="F195" s="777" t="s">
        <v>26</v>
      </c>
      <c r="G195" s="777" t="s">
        <v>27</v>
      </c>
      <c r="H195" s="777" t="s">
        <v>28</v>
      </c>
      <c r="I195" s="777" t="s">
        <v>29</v>
      </c>
    </row>
    <row r="196" spans="1:9" x14ac:dyDescent="0.2">
      <c r="A196" s="542" t="s">
        <v>17</v>
      </c>
      <c r="B196" s="542">
        <v>-208229.04637622135</v>
      </c>
      <c r="C196" s="542">
        <v>2656633.6329958383</v>
      </c>
      <c r="D196" s="542">
        <v>-7.8380791310469544E-2</v>
      </c>
      <c r="E196" s="542">
        <v>0.93766378027039332</v>
      </c>
      <c r="F196" s="542">
        <v>-5471499.4222279955</v>
      </c>
      <c r="G196" s="542">
        <v>5055041.3294755537</v>
      </c>
      <c r="H196" s="542">
        <v>-5471499.4222279955</v>
      </c>
      <c r="I196" s="542">
        <v>5055041.3294755537</v>
      </c>
    </row>
    <row r="197" spans="1:9" x14ac:dyDescent="0.2">
      <c r="A197" s="542" t="s">
        <v>1</v>
      </c>
      <c r="B197" s="542">
        <v>6515.5101354611243</v>
      </c>
      <c r="C197" s="542">
        <v>286.55695155010562</v>
      </c>
      <c r="D197" s="542">
        <v>22.737225882031556</v>
      </c>
      <c r="E197" s="542">
        <v>5.6683761577781432E-44</v>
      </c>
      <c r="F197" s="542">
        <v>5947.7891311963158</v>
      </c>
      <c r="G197" s="542">
        <v>7083.2311397259327</v>
      </c>
      <c r="H197" s="542">
        <v>5947.7891311963158</v>
      </c>
      <c r="I197" s="542">
        <v>7083.2311397259327</v>
      </c>
    </row>
    <row r="198" spans="1:9" x14ac:dyDescent="0.2">
      <c r="A198" s="542" t="s">
        <v>2</v>
      </c>
      <c r="B198" s="542">
        <v>39804.224197698772</v>
      </c>
      <c r="C198" s="542">
        <v>3223.7489369966256</v>
      </c>
      <c r="D198" s="542">
        <v>12.347184900441407</v>
      </c>
      <c r="E198" s="542">
        <v>1.0857814462385689E-22</v>
      </c>
      <c r="F198" s="542">
        <v>33417.396120037163</v>
      </c>
      <c r="G198" s="542">
        <v>46191.05227536038</v>
      </c>
      <c r="H198" s="542">
        <v>33417.396120037163</v>
      </c>
      <c r="I198" s="542">
        <v>46191.05227536038</v>
      </c>
    </row>
    <row r="199" spans="1:9" x14ac:dyDescent="0.2">
      <c r="A199" s="542" t="s">
        <v>240</v>
      </c>
      <c r="B199" s="542">
        <v>379690.6454206928</v>
      </c>
      <c r="C199" s="542">
        <v>72377.53761177967</v>
      </c>
      <c r="D199" s="542">
        <v>5.245973515392115</v>
      </c>
      <c r="E199" s="542">
        <v>7.3422846936786369E-7</v>
      </c>
      <c r="F199" s="542">
        <v>236297.68944143894</v>
      </c>
      <c r="G199" s="542">
        <v>523083.60139994667</v>
      </c>
      <c r="H199" s="542">
        <v>236297.68944143894</v>
      </c>
      <c r="I199" s="542">
        <v>523083.60139994667</v>
      </c>
    </row>
    <row r="200" spans="1:9" x14ac:dyDescent="0.2">
      <c r="A200" s="542" t="s">
        <v>262</v>
      </c>
      <c r="B200" s="542">
        <v>29288.577805147012</v>
      </c>
      <c r="C200" s="542">
        <v>12989.58022095814</v>
      </c>
      <c r="D200" s="542">
        <v>2.2547747738522856</v>
      </c>
      <c r="E200" s="542">
        <v>2.6074294680364513E-2</v>
      </c>
      <c r="F200" s="542">
        <v>3553.8765943435756</v>
      </c>
      <c r="G200" s="542">
        <v>55023.279015950451</v>
      </c>
      <c r="H200" s="542">
        <v>3553.8765943435756</v>
      </c>
      <c r="I200" s="542">
        <v>55023.279015950451</v>
      </c>
    </row>
    <row r="201" spans="1:9" x14ac:dyDescent="0.2">
      <c r="A201" s="876" t="s">
        <v>361</v>
      </c>
      <c r="B201" s="542">
        <v>-666791.39084453194</v>
      </c>
      <c r="C201" s="542">
        <v>124829.37490071786</v>
      </c>
      <c r="D201" s="542">
        <v>-5.3416224456371717</v>
      </c>
      <c r="E201" s="542">
        <v>4.8285338329649991E-7</v>
      </c>
      <c r="F201" s="542">
        <v>-914100.89667584375</v>
      </c>
      <c r="G201" s="542">
        <v>-419481.88501322013</v>
      </c>
      <c r="H201" s="542">
        <v>-914100.89667584375</v>
      </c>
      <c r="I201" s="542">
        <v>-419481.88501322013</v>
      </c>
    </row>
    <row r="202" spans="1:9" ht="13.5" thickBot="1" x14ac:dyDescent="0.25">
      <c r="A202" s="543" t="s">
        <v>263</v>
      </c>
      <c r="B202" s="543">
        <v>7607.1365114655027</v>
      </c>
      <c r="C202" s="543">
        <v>3416.9211046044488</v>
      </c>
      <c r="D202" s="543">
        <v>2.226313186223281</v>
      </c>
      <c r="E202" s="543">
        <v>2.797663288489936E-2</v>
      </c>
      <c r="F202" s="543">
        <v>837.59952935371621</v>
      </c>
      <c r="G202" s="543">
        <v>14376.673493577289</v>
      </c>
      <c r="H202" s="543">
        <v>837.59952935371621</v>
      </c>
      <c r="I202" s="543">
        <v>14376.673493577289</v>
      </c>
    </row>
    <row r="203" spans="1:9" x14ac:dyDescent="0.2">
      <c r="A203"/>
      <c r="B203"/>
      <c r="C203"/>
      <c r="D203"/>
      <c r="E203"/>
      <c r="F203"/>
      <c r="G203"/>
      <c r="H203"/>
      <c r="I203"/>
    </row>
    <row r="204" spans="1:9" x14ac:dyDescent="0.2">
      <c r="A204"/>
      <c r="B204"/>
      <c r="C204"/>
      <c r="D204"/>
      <c r="E204"/>
      <c r="F204"/>
      <c r="G204"/>
      <c r="H204"/>
      <c r="I204"/>
    </row>
    <row r="205" spans="1:9" x14ac:dyDescent="0.2">
      <c r="A205"/>
      <c r="B205"/>
      <c r="C205"/>
      <c r="D205"/>
      <c r="E205"/>
      <c r="F205"/>
      <c r="G205"/>
      <c r="H205"/>
      <c r="I205"/>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6"/>
  <sheetViews>
    <sheetView showGridLines="0" topLeftCell="J9" zoomScaleNormal="100" workbookViewId="0">
      <selection activeCell="X31" sqref="X31"/>
    </sheetView>
  </sheetViews>
  <sheetFormatPr defaultColWidth="11.1640625" defaultRowHeight="12.75" x14ac:dyDescent="0.2"/>
  <cols>
    <col min="1" max="1" width="13.6640625" style="1" customWidth="1"/>
    <col min="2" max="2" width="15" style="52" customWidth="1"/>
    <col min="3" max="3" width="16" style="52" customWidth="1"/>
    <col min="4" max="7" width="15" style="52" customWidth="1"/>
    <col min="8" max="8" width="15" style="1" customWidth="1"/>
    <col min="9" max="9" width="3.33203125" style="58" customWidth="1"/>
    <col min="10" max="16" width="15" style="1" customWidth="1"/>
    <col min="17" max="17" width="3.1640625" style="58"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2" customFormat="1" x14ac:dyDescent="0.2">
      <c r="A1" s="726" t="s">
        <v>266</v>
      </c>
      <c r="B1" s="52"/>
      <c r="C1" s="52"/>
      <c r="D1" s="52"/>
      <c r="E1" s="52"/>
      <c r="F1" s="52"/>
      <c r="G1" s="52"/>
      <c r="I1" s="58"/>
      <c r="Q1" s="58"/>
    </row>
    <row r="2" spans="1:17" s="532" customFormat="1" x14ac:dyDescent="0.2">
      <c r="B2" s="52"/>
      <c r="C2" s="52"/>
      <c r="D2" s="52"/>
      <c r="E2" s="52"/>
      <c r="F2" s="52"/>
      <c r="G2" s="52"/>
      <c r="I2" s="58"/>
      <c r="Q2" s="58"/>
    </row>
    <row r="3" spans="1:17" s="532" customFormat="1" x14ac:dyDescent="0.2">
      <c r="B3" s="52"/>
      <c r="C3" s="52"/>
      <c r="D3" s="52"/>
      <c r="E3" s="52"/>
      <c r="F3" s="52"/>
      <c r="G3" s="52"/>
      <c r="I3" s="58"/>
      <c r="Q3" s="58"/>
    </row>
    <row r="4" spans="1:17" s="532" customFormat="1" x14ac:dyDescent="0.2">
      <c r="B4" s="52"/>
      <c r="C4" s="52"/>
      <c r="D4" s="52"/>
      <c r="E4" s="52"/>
      <c r="F4" s="52"/>
      <c r="G4" s="52"/>
      <c r="I4" s="58"/>
      <c r="Q4" s="58"/>
    </row>
    <row r="5" spans="1:17" s="532" customFormat="1" x14ac:dyDescent="0.2">
      <c r="B5" s="52"/>
      <c r="C5" s="52"/>
      <c r="D5" s="52"/>
      <c r="E5" s="52"/>
      <c r="F5" s="52"/>
      <c r="G5" s="52"/>
      <c r="I5" s="58"/>
      <c r="Q5" s="58"/>
    </row>
    <row r="6" spans="1:17" s="532" customFormat="1" x14ac:dyDescent="0.2">
      <c r="B6" s="52"/>
      <c r="C6" s="52"/>
      <c r="D6" s="52"/>
      <c r="E6" s="52"/>
      <c r="F6" s="52"/>
      <c r="G6" s="52"/>
      <c r="I6" s="58"/>
      <c r="Q6" s="58"/>
    </row>
    <row r="7" spans="1:17" s="532" customFormat="1" x14ac:dyDescent="0.2">
      <c r="B7" s="52"/>
      <c r="C7" s="52"/>
      <c r="D7" s="52"/>
      <c r="E7" s="52"/>
      <c r="F7" s="52"/>
      <c r="G7" s="52"/>
      <c r="I7" s="58"/>
      <c r="Q7" s="58"/>
    </row>
    <row r="8" spans="1:17" s="532" customFormat="1" x14ac:dyDescent="0.2">
      <c r="B8" s="52"/>
      <c r="C8" s="52"/>
      <c r="D8" s="52"/>
      <c r="E8" s="52"/>
      <c r="F8" s="52"/>
      <c r="G8" s="52"/>
      <c r="I8" s="58"/>
      <c r="Q8" s="58"/>
    </row>
    <row r="9" spans="1:17" s="532" customFormat="1" x14ac:dyDescent="0.2">
      <c r="B9" s="52"/>
      <c r="C9" s="52"/>
      <c r="D9" s="52"/>
      <c r="E9" s="52"/>
      <c r="F9" s="52"/>
      <c r="G9" s="52"/>
      <c r="I9" s="58"/>
      <c r="Q9" s="58"/>
    </row>
    <row r="10" spans="1:17" s="532" customFormat="1" x14ac:dyDescent="0.2">
      <c r="B10" s="52"/>
      <c r="C10" s="52"/>
      <c r="D10" s="52"/>
      <c r="E10" s="52"/>
      <c r="F10" s="52"/>
      <c r="G10" s="52"/>
      <c r="I10" s="58"/>
      <c r="Q10" s="58"/>
    </row>
    <row r="11" spans="1:17" s="58" customFormat="1" ht="15.75" customHeight="1" x14ac:dyDescent="0.2">
      <c r="B11" s="132" t="s">
        <v>44</v>
      </c>
      <c r="D11" s="3"/>
      <c r="E11" s="3"/>
      <c r="F11" s="3"/>
      <c r="G11" s="3"/>
      <c r="H11" s="3"/>
      <c r="I11" s="3"/>
    </row>
    <row r="12" spans="1:17" s="58" customFormat="1" ht="15.75" customHeight="1" x14ac:dyDescent="0.2">
      <c r="B12" s="57" t="s">
        <v>63</v>
      </c>
      <c r="D12" s="3"/>
      <c r="E12" s="3"/>
      <c r="F12" s="3"/>
      <c r="G12" s="3"/>
      <c r="H12" s="3"/>
      <c r="I12" s="3"/>
    </row>
    <row r="13" spans="1:17" s="58" customFormat="1" ht="15.75" customHeight="1" x14ac:dyDescent="0.2">
      <c r="B13" s="99" t="s">
        <v>252</v>
      </c>
      <c r="D13" s="3"/>
      <c r="E13" s="3"/>
      <c r="F13" s="3"/>
      <c r="G13" s="3"/>
      <c r="H13" s="3"/>
      <c r="I13" s="3"/>
    </row>
    <row r="14" spans="1:17" s="58" customFormat="1" ht="15.75" customHeight="1" x14ac:dyDescent="0.2">
      <c r="B14" s="99" t="s">
        <v>253</v>
      </c>
      <c r="D14" s="3"/>
      <c r="E14" s="3"/>
      <c r="F14" s="3"/>
      <c r="G14" s="3"/>
      <c r="H14" s="3"/>
      <c r="I14" s="3"/>
    </row>
    <row r="15" spans="1:17" ht="12.75" customHeight="1" thickBot="1" x14ac:dyDescent="0.25"/>
    <row r="16" spans="1:17" ht="15.75" thickBot="1" x14ac:dyDescent="0.3">
      <c r="B16" s="315" t="s">
        <v>178</v>
      </c>
      <c r="G16" s="556" t="s">
        <v>177</v>
      </c>
    </row>
    <row r="17" spans="2:40" ht="12.75" customHeight="1" x14ac:dyDescent="0.2"/>
    <row r="18" spans="2:40" ht="12.75" customHeight="1" thickBot="1" x14ac:dyDescent="0.25"/>
    <row r="19" spans="2:40" ht="14.25" customHeight="1" thickBot="1" x14ac:dyDescent="0.25">
      <c r="B19" s="926" t="s">
        <v>6</v>
      </c>
      <c r="C19" s="927"/>
      <c r="D19" s="927"/>
      <c r="E19" s="927"/>
      <c r="F19" s="927"/>
      <c r="G19" s="927"/>
      <c r="H19" s="928"/>
      <c r="I19" s="145"/>
      <c r="J19" s="926" t="s">
        <v>96</v>
      </c>
      <c r="K19" s="927"/>
      <c r="L19" s="927"/>
      <c r="M19" s="927"/>
      <c r="N19" s="927"/>
      <c r="O19" s="927"/>
      <c r="P19" s="928"/>
      <c r="Q19" s="145"/>
      <c r="R19" s="926" t="s">
        <v>103</v>
      </c>
      <c r="S19" s="927"/>
      <c r="T19" s="927"/>
      <c r="U19" s="927"/>
      <c r="V19" s="927"/>
      <c r="W19" s="927"/>
      <c r="X19" s="928"/>
      <c r="Z19" s="926"/>
      <c r="AA19" s="927"/>
      <c r="AB19" s="927"/>
      <c r="AC19" s="927"/>
      <c r="AD19" s="927"/>
      <c r="AE19" s="927"/>
      <c r="AF19" s="928"/>
      <c r="AH19" s="926"/>
      <c r="AI19" s="927"/>
      <c r="AJ19" s="927"/>
      <c r="AK19" s="927"/>
      <c r="AL19" s="927"/>
      <c r="AM19" s="927"/>
      <c r="AN19" s="928"/>
    </row>
    <row r="20" spans="2:40" ht="59.25" customHeight="1" thickBot="1" x14ac:dyDescent="0.25">
      <c r="B20" s="59" t="s">
        <v>33</v>
      </c>
      <c r="C20" s="216" t="s">
        <v>151</v>
      </c>
      <c r="D20" s="216" t="s">
        <v>149</v>
      </c>
      <c r="E20" s="216" t="s">
        <v>146</v>
      </c>
      <c r="F20" s="61" t="s">
        <v>150</v>
      </c>
      <c r="G20" s="60" t="s">
        <v>34</v>
      </c>
      <c r="H20" s="62" t="s">
        <v>38</v>
      </c>
      <c r="I20" s="146"/>
      <c r="J20" s="59" t="s">
        <v>33</v>
      </c>
      <c r="K20" s="216" t="s">
        <v>152</v>
      </c>
      <c r="L20" s="216" t="s">
        <v>149</v>
      </c>
      <c r="M20" s="216" t="s">
        <v>146</v>
      </c>
      <c r="N20" s="61" t="s">
        <v>150</v>
      </c>
      <c r="O20" s="60" t="s">
        <v>34</v>
      </c>
      <c r="P20" s="62" t="s">
        <v>38</v>
      </c>
      <c r="Q20" s="146"/>
      <c r="R20" s="59" t="s">
        <v>33</v>
      </c>
      <c r="S20" s="216" t="s">
        <v>153</v>
      </c>
      <c r="T20" s="216" t="s">
        <v>149</v>
      </c>
      <c r="U20" s="216" t="s">
        <v>146</v>
      </c>
      <c r="V20" s="61" t="s">
        <v>150</v>
      </c>
      <c r="W20" s="60" t="s">
        <v>34</v>
      </c>
      <c r="X20" s="62" t="s">
        <v>38</v>
      </c>
      <c r="Z20" s="59" t="s">
        <v>33</v>
      </c>
      <c r="AA20" s="216" t="s">
        <v>153</v>
      </c>
      <c r="AB20" s="216" t="s">
        <v>149</v>
      </c>
      <c r="AC20" s="216" t="s">
        <v>146</v>
      </c>
      <c r="AD20" s="61" t="s">
        <v>150</v>
      </c>
      <c r="AE20" s="60" t="s">
        <v>34</v>
      </c>
      <c r="AF20" s="62" t="s">
        <v>38</v>
      </c>
      <c r="AH20" s="59" t="s">
        <v>33</v>
      </c>
      <c r="AI20" s="216" t="s">
        <v>153</v>
      </c>
      <c r="AJ20" s="216" t="s">
        <v>149</v>
      </c>
      <c r="AK20" s="216" t="s">
        <v>146</v>
      </c>
      <c r="AL20" s="61" t="s">
        <v>150</v>
      </c>
      <c r="AM20" s="60" t="s">
        <v>34</v>
      </c>
      <c r="AN20" s="62" t="s">
        <v>38</v>
      </c>
    </row>
    <row r="21" spans="2:40" x14ac:dyDescent="0.2">
      <c r="B21" s="178">
        <f>'4. Customer Growth'!B17</f>
        <v>2006</v>
      </c>
      <c r="C21" s="64">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70342664</v>
      </c>
      <c r="D21" s="64">
        <f>SUM('6. WS Regression Analysis'!J20:J31)</f>
        <v>240687668</v>
      </c>
      <c r="E21" s="64">
        <f>SUM('6. WS Regression Analysis'!R20:R31)</f>
        <v>244958698.73945877</v>
      </c>
      <c r="F21" s="65">
        <f>C21/D21</f>
        <v>0.29225703412440723</v>
      </c>
      <c r="G21" s="64">
        <f>E21*F21</f>
        <v>71590902.776568398</v>
      </c>
      <c r="H21" s="64">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9292.6924684019214</v>
      </c>
      <c r="I21" s="76"/>
      <c r="J21" s="178">
        <f>B21</f>
        <v>2006</v>
      </c>
      <c r="K21" s="64">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32373170</v>
      </c>
      <c r="L21" s="64">
        <f>D21</f>
        <v>240687668</v>
      </c>
      <c r="M21" s="64">
        <f t="shared" ref="M21:M30" si="0">E21</f>
        <v>244958698.73945877</v>
      </c>
      <c r="N21" s="65">
        <f t="shared" ref="N21:N29" si="1">K21/L21</f>
        <v>0.13450281964591554</v>
      </c>
      <c r="O21" s="64">
        <f>M21*N21</f>
        <v>32947635.677251581</v>
      </c>
      <c r="P21" s="64">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31787.395732997185</v>
      </c>
      <c r="Q21" s="76"/>
      <c r="R21" s="178">
        <f>B21</f>
        <v>2006</v>
      </c>
      <c r="S21" s="64">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595250.77752402704</v>
      </c>
      <c r="T21" s="64">
        <f t="shared" ref="T21:T30" si="2">L21</f>
        <v>240687668</v>
      </c>
      <c r="U21" s="64">
        <f t="shared" ref="U21:U30" si="3">M21</f>
        <v>244958698.73945877</v>
      </c>
      <c r="V21" s="65">
        <f>S21/T21</f>
        <v>2.4731253681182664E-3</v>
      </c>
      <c r="W21" s="64">
        <f>U21*V21</f>
        <v>605813.57199379546</v>
      </c>
      <c r="X21" s="64">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8843.9937517342405</v>
      </c>
      <c r="Z21" s="178">
        <f>J21</f>
        <v>2006</v>
      </c>
      <c r="AA21" s="64">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64">
        <f t="shared" ref="AB21:AB30" si="4">T21</f>
        <v>240687668</v>
      </c>
      <c r="AC21" s="64">
        <f t="shared" ref="AC21:AC30" si="5">U21</f>
        <v>244958698.73945877</v>
      </c>
      <c r="AD21" s="65">
        <f t="shared" ref="AD21:AD30" si="6">AA21/AB21</f>
        <v>0</v>
      </c>
      <c r="AE21" s="64">
        <f>AC21*AD21</f>
        <v>0</v>
      </c>
      <c r="AF21" s="64"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64">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64">
        <f t="shared" ref="AJ21:AJ30" si="7">AB21</f>
        <v>240687668</v>
      </c>
      <c r="AK21" s="64">
        <f t="shared" ref="AK21:AK30" si="8">AC21</f>
        <v>244958698.73945877</v>
      </c>
      <c r="AL21" s="65">
        <f t="shared" ref="AL21:AL30" si="9">AI21/AJ21</f>
        <v>0</v>
      </c>
      <c r="AM21" s="64">
        <f>AK21*AL21</f>
        <v>0</v>
      </c>
      <c r="AN21" s="64"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64">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72101355</v>
      </c>
      <c r="D22" s="66">
        <f>SUM('6. WS Regression Analysis'!J32:J43)</f>
        <v>248683053.34999996</v>
      </c>
      <c r="E22" s="66">
        <f>SUM('6. WS Regression Analysis'!R32:R43)</f>
        <v>248683575.31460232</v>
      </c>
      <c r="F22" s="67">
        <f t="shared" ref="F22:F29" si="10">C22/D22</f>
        <v>0.28993272371689743</v>
      </c>
      <c r="G22" s="66">
        <f t="shared" ref="G22:G32" si="11">E22*F22</f>
        <v>72101506.334618852</v>
      </c>
      <c r="H22" s="64">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9194.2752275719013</v>
      </c>
      <c r="I22" s="76"/>
      <c r="J22" s="178">
        <f t="shared" ref="J22:J32" si="12">B22</f>
        <v>2007</v>
      </c>
      <c r="K22" s="64">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34122931</v>
      </c>
      <c r="L22" s="66">
        <f t="shared" ref="L22:L30" si="13">D22</f>
        <v>248683053.34999996</v>
      </c>
      <c r="M22" s="66">
        <f t="shared" si="0"/>
        <v>248683575.31460232</v>
      </c>
      <c r="N22" s="67">
        <f t="shared" si="1"/>
        <v>0.13721454091998345</v>
      </c>
      <c r="O22" s="66">
        <f t="shared" ref="O22:O30" si="14">M22*N22</f>
        <v>34123002.621133283</v>
      </c>
      <c r="P22" s="64">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32716.20577289864</v>
      </c>
      <c r="Q22" s="76"/>
      <c r="R22" s="178">
        <f t="shared" ref="R22:R32" si="15">B22</f>
        <v>2007</v>
      </c>
      <c r="S22" s="64">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605328</v>
      </c>
      <c r="T22" s="66">
        <f t="shared" si="2"/>
        <v>248683053.34999996</v>
      </c>
      <c r="U22" s="66">
        <f t="shared" si="3"/>
        <v>248683575.31460232</v>
      </c>
      <c r="V22" s="67">
        <f t="shared" ref="V22:V29" si="16">S22/T22</f>
        <v>2.4341345011075323E-3</v>
      </c>
      <c r="W22" s="66">
        <f t="shared" ref="W22:W30" si="17">U22*V22</f>
        <v>605329.27053204691</v>
      </c>
      <c r="X22" s="64">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7519.6182674788433</v>
      </c>
      <c r="Z22" s="178">
        <f t="shared" ref="Z22:Z32" si="18">J22</f>
        <v>2007</v>
      </c>
      <c r="AA22" s="64">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2">
        <f t="shared" si="4"/>
        <v>248683053.34999996</v>
      </c>
      <c r="AC22" s="222">
        <f t="shared" si="5"/>
        <v>248683575.31460232</v>
      </c>
      <c r="AD22" s="67">
        <f t="shared" si="6"/>
        <v>0</v>
      </c>
      <c r="AE22" s="222">
        <f t="shared" ref="AE22:AE30" si="19">AC22*AD22</f>
        <v>0</v>
      </c>
      <c r="AF22" s="64"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64">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2">
        <f t="shared" si="7"/>
        <v>248683053.34999996</v>
      </c>
      <c r="AK22" s="222">
        <f t="shared" si="8"/>
        <v>248683575.31460232</v>
      </c>
      <c r="AL22" s="67">
        <f t="shared" si="9"/>
        <v>0</v>
      </c>
      <c r="AM22" s="222">
        <f t="shared" ref="AM22:AM30" si="21">AK22*AL22</f>
        <v>0</v>
      </c>
      <c r="AN22" s="64"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64">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72186004</v>
      </c>
      <c r="D23" s="66">
        <f>SUM('6. WS Regression Analysis'!J44:J55)</f>
        <v>241507708</v>
      </c>
      <c r="E23" s="66">
        <f>SUM('6. WS Regression Analysis'!R44:R55)</f>
        <v>247069840.93236792</v>
      </c>
      <c r="F23" s="67">
        <f t="shared" si="10"/>
        <v>0.29889730890079913</v>
      </c>
      <c r="G23" s="66">
        <f t="shared" si="11"/>
        <v>73848510.565233275</v>
      </c>
      <c r="H23" s="64">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9282.1154556602905</v>
      </c>
      <c r="I23" s="76"/>
      <c r="J23" s="178">
        <f t="shared" si="12"/>
        <v>2008</v>
      </c>
      <c r="K23" s="64">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34456796</v>
      </c>
      <c r="L23" s="66">
        <f t="shared" si="13"/>
        <v>241507708</v>
      </c>
      <c r="M23" s="66">
        <f t="shared" si="0"/>
        <v>247069840.93236792</v>
      </c>
      <c r="N23" s="67">
        <f t="shared" si="1"/>
        <v>0.14267369056394671</v>
      </c>
      <c r="O23" s="66">
        <f t="shared" si="14"/>
        <v>35250366.032868199</v>
      </c>
      <c r="P23" s="64">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33651.900747368207</v>
      </c>
      <c r="Q23" s="76"/>
      <c r="R23" s="178">
        <f t="shared" si="15"/>
        <v>2008</v>
      </c>
      <c r="S23" s="64">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720399.74271798297</v>
      </c>
      <c r="T23" s="66">
        <f t="shared" si="2"/>
        <v>241507708</v>
      </c>
      <c r="U23" s="66">
        <f t="shared" si="3"/>
        <v>247069840.93236792</v>
      </c>
      <c r="V23" s="67">
        <f t="shared" si="16"/>
        <v>2.9829265023623304E-3</v>
      </c>
      <c r="W23" s="66">
        <f t="shared" si="17"/>
        <v>736991.17645160563</v>
      </c>
      <c r="X23" s="64">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8188.7908494622843</v>
      </c>
      <c r="Z23" s="178">
        <f t="shared" si="18"/>
        <v>2008</v>
      </c>
      <c r="AA23" s="64">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2">
        <f t="shared" si="4"/>
        <v>241507708</v>
      </c>
      <c r="AC23" s="222">
        <f t="shared" si="5"/>
        <v>247069840.93236792</v>
      </c>
      <c r="AD23" s="67">
        <f t="shared" si="6"/>
        <v>0</v>
      </c>
      <c r="AE23" s="222">
        <f t="shared" si="19"/>
        <v>0</v>
      </c>
      <c r="AF23" s="64"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64">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2">
        <f t="shared" si="7"/>
        <v>241507708</v>
      </c>
      <c r="AK23" s="222">
        <f t="shared" si="8"/>
        <v>247069840.93236792</v>
      </c>
      <c r="AL23" s="67">
        <f t="shared" si="9"/>
        <v>0</v>
      </c>
      <c r="AM23" s="222">
        <f t="shared" si="21"/>
        <v>0</v>
      </c>
      <c r="AN23" s="64"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64">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71936998</v>
      </c>
      <c r="D24" s="66">
        <f>SUM('6. WS Regression Analysis'!J56:J67)</f>
        <v>236526800</v>
      </c>
      <c r="E24" s="66">
        <f>SUM('6. WS Regression Analysis'!R56:R67)</f>
        <v>245470671.7507762</v>
      </c>
      <c r="F24" s="67">
        <f t="shared" si="10"/>
        <v>0.30413888827819935</v>
      </c>
      <c r="G24" s="66">
        <f t="shared" si="11"/>
        <v>74657177.211183861</v>
      </c>
      <c r="H24" s="64">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9118.4338578545176</v>
      </c>
      <c r="I24" s="76"/>
      <c r="J24" s="178">
        <f t="shared" si="12"/>
        <v>2009</v>
      </c>
      <c r="K24" s="64">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34498946.159999996</v>
      </c>
      <c r="L24" s="66">
        <f t="shared" si="13"/>
        <v>236526800</v>
      </c>
      <c r="M24" s="66">
        <f t="shared" si="0"/>
        <v>245470671.7507762</v>
      </c>
      <c r="N24" s="67">
        <f t="shared" si="1"/>
        <v>0.14585639411686116</v>
      </c>
      <c r="O24" s="66">
        <f t="shared" si="14"/>
        <v>35803467.043011874</v>
      </c>
      <c r="P24" s="64">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33697.380746364113</v>
      </c>
      <c r="Q24" s="76"/>
      <c r="R24" s="178">
        <f t="shared" si="15"/>
        <v>2009</v>
      </c>
      <c r="S24" s="64">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747874.03424722515</v>
      </c>
      <c r="T24" s="66">
        <f t="shared" si="2"/>
        <v>236526800</v>
      </c>
      <c r="U24" s="66">
        <f t="shared" si="3"/>
        <v>245470671.7507762</v>
      </c>
      <c r="V24" s="67">
        <f t="shared" si="16"/>
        <v>3.16189976885167E-3</v>
      </c>
      <c r="W24" s="66">
        <f t="shared" si="17"/>
        <v>776153.66026864341</v>
      </c>
      <c r="X24" s="64">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8127.2634583104018</v>
      </c>
      <c r="Z24" s="178">
        <f t="shared" si="18"/>
        <v>2009</v>
      </c>
      <c r="AA24" s="64">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2">
        <f t="shared" si="4"/>
        <v>236526800</v>
      </c>
      <c r="AC24" s="222">
        <f t="shared" si="5"/>
        <v>245470671.7507762</v>
      </c>
      <c r="AD24" s="67">
        <f t="shared" si="6"/>
        <v>0</v>
      </c>
      <c r="AE24" s="222">
        <f t="shared" si="19"/>
        <v>0</v>
      </c>
      <c r="AF24" s="64"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64">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2">
        <f t="shared" si="7"/>
        <v>236526800</v>
      </c>
      <c r="AK24" s="222">
        <f t="shared" si="8"/>
        <v>245470671.7507762</v>
      </c>
      <c r="AL24" s="67">
        <f t="shared" si="9"/>
        <v>0</v>
      </c>
      <c r="AM24" s="222">
        <f t="shared" si="21"/>
        <v>0</v>
      </c>
      <c r="AN24" s="64"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64">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72645801</v>
      </c>
      <c r="D25" s="66">
        <f>SUM('6. WS Regression Analysis'!J68:J79)</f>
        <v>244543390.56</v>
      </c>
      <c r="E25" s="66">
        <f>SUM('6. WS Regression Analysis'!R68:R79)</f>
        <v>247205392.77313605</v>
      </c>
      <c r="F25" s="67">
        <f>C25/D25</f>
        <v>0.29706712102765243</v>
      </c>
      <c r="G25" s="66">
        <f t="shared" si="11"/>
        <v>73436594.333625555</v>
      </c>
      <c r="H25" s="64">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8851.5150164075876</v>
      </c>
      <c r="I25" s="76"/>
      <c r="J25" s="178">
        <f t="shared" si="12"/>
        <v>2010</v>
      </c>
      <c r="K25" s="64">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34124597</v>
      </c>
      <c r="L25" s="66">
        <f t="shared" si="13"/>
        <v>244543390.56</v>
      </c>
      <c r="M25" s="66">
        <f t="shared" si="0"/>
        <v>247205392.77313605</v>
      </c>
      <c r="N25" s="67">
        <f t="shared" si="1"/>
        <v>0.13954413947502436</v>
      </c>
      <c r="O25" s="66">
        <f t="shared" si="14"/>
        <v>34496063.808112673</v>
      </c>
      <c r="P25" s="64">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32284.570714190617</v>
      </c>
      <c r="Q25" s="76"/>
      <c r="R25" s="178">
        <f t="shared" si="15"/>
        <v>2010</v>
      </c>
      <c r="S25" s="64">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716622.84621952369</v>
      </c>
      <c r="T25" s="66">
        <f t="shared" si="2"/>
        <v>244543390.56</v>
      </c>
      <c r="U25" s="66">
        <f t="shared" si="3"/>
        <v>247205392.77313605</v>
      </c>
      <c r="V25" s="67">
        <f t="shared" si="16"/>
        <v>2.9304527289757049E-3</v>
      </c>
      <c r="W25" s="66">
        <f t="shared" si="17"/>
        <v>724423.71786954754</v>
      </c>
      <c r="X25" s="64">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7625.5128196794476</v>
      </c>
      <c r="Z25" s="178">
        <f t="shared" si="18"/>
        <v>2010</v>
      </c>
      <c r="AA25" s="64">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2">
        <f t="shared" si="4"/>
        <v>244543390.56</v>
      </c>
      <c r="AC25" s="222">
        <f t="shared" si="5"/>
        <v>247205392.77313605</v>
      </c>
      <c r="AD25" s="67">
        <f t="shared" si="6"/>
        <v>0</v>
      </c>
      <c r="AE25" s="222">
        <f t="shared" si="19"/>
        <v>0</v>
      </c>
      <c r="AF25" s="64"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64">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2">
        <f t="shared" si="7"/>
        <v>244543390.56</v>
      </c>
      <c r="AK25" s="222">
        <f t="shared" si="8"/>
        <v>247205392.77313605</v>
      </c>
      <c r="AL25" s="67">
        <f t="shared" si="9"/>
        <v>0</v>
      </c>
      <c r="AM25" s="222">
        <f t="shared" si="21"/>
        <v>0</v>
      </c>
      <c r="AN25" s="64"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64">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73172117</v>
      </c>
      <c r="D26" s="66">
        <f>SUM('6. WS Regression Analysis'!J80:J91)</f>
        <v>248601682.74000001</v>
      </c>
      <c r="E26" s="66">
        <f>SUM('6. WS Regression Analysis'!R80:R91)</f>
        <v>248673994.55355757</v>
      </c>
      <c r="F26" s="67">
        <f t="shared" si="10"/>
        <v>0.29433476150894372</v>
      </c>
      <c r="G26" s="66">
        <f t="shared" si="11"/>
        <v>73193400.880397737</v>
      </c>
      <c r="H26" s="64">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8687.644021412194</v>
      </c>
      <c r="I26" s="76"/>
      <c r="J26" s="178">
        <f t="shared" si="12"/>
        <v>2011</v>
      </c>
      <c r="K26" s="64">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38803700</v>
      </c>
      <c r="L26" s="66">
        <f t="shared" si="13"/>
        <v>248601682.74000001</v>
      </c>
      <c r="M26" s="66">
        <f t="shared" si="0"/>
        <v>248673994.55355757</v>
      </c>
      <c r="N26" s="67">
        <f t="shared" si="1"/>
        <v>0.15608784129020895</v>
      </c>
      <c r="O26" s="66">
        <f t="shared" si="14"/>
        <v>38814986.994877979</v>
      </c>
      <c r="P26" s="64">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36191.130065154292</v>
      </c>
      <c r="Q26" s="76"/>
      <c r="R26" s="178">
        <f t="shared" si="15"/>
        <v>2011</v>
      </c>
      <c r="S26" s="64">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659574</v>
      </c>
      <c r="T26" s="66">
        <f t="shared" si="2"/>
        <v>248601682.74000001</v>
      </c>
      <c r="U26" s="66">
        <f t="shared" si="3"/>
        <v>248673994.55355757</v>
      </c>
      <c r="V26" s="67">
        <f t="shared" si="16"/>
        <v>2.653135701779683E-3</v>
      </c>
      <c r="W26" s="66">
        <f t="shared" si="17"/>
        <v>659765.85305421008</v>
      </c>
      <c r="X26" s="64">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6872.560969314688</v>
      </c>
      <c r="Z26" s="178">
        <f t="shared" si="18"/>
        <v>2011</v>
      </c>
      <c r="AA26" s="64">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2">
        <f t="shared" si="4"/>
        <v>248601682.74000001</v>
      </c>
      <c r="AC26" s="222">
        <f t="shared" si="5"/>
        <v>248673994.55355757</v>
      </c>
      <c r="AD26" s="67">
        <f t="shared" si="6"/>
        <v>0</v>
      </c>
      <c r="AE26" s="222">
        <f t="shared" si="19"/>
        <v>0</v>
      </c>
      <c r="AF26" s="64"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64">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2">
        <f t="shared" si="7"/>
        <v>248601682.74000001</v>
      </c>
      <c r="AK26" s="222">
        <f t="shared" si="8"/>
        <v>248673994.55355757</v>
      </c>
      <c r="AL26" s="67">
        <f t="shared" si="9"/>
        <v>0</v>
      </c>
      <c r="AM26" s="222">
        <f t="shared" si="21"/>
        <v>0</v>
      </c>
      <c r="AN26" s="64"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64">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70910271</v>
      </c>
      <c r="D27" s="66">
        <f>SUM('6. WS Regression Analysis'!J92:J103)</f>
        <v>250144401.56999999</v>
      </c>
      <c r="E27" s="66">
        <f>SUM('6. WS Regression Analysis'!R92:R103)</f>
        <v>250342774.98395351</v>
      </c>
      <c r="F27" s="67">
        <f t="shared" si="10"/>
        <v>0.28347734570488314</v>
      </c>
      <c r="G27" s="66">
        <f t="shared" si="11"/>
        <v>70966505.368845955</v>
      </c>
      <c r="H27" s="64">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8324.5167588089098</v>
      </c>
      <c r="I27" s="76"/>
      <c r="J27" s="178">
        <f t="shared" si="12"/>
        <v>2012</v>
      </c>
      <c r="K27" s="64">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33174074</v>
      </c>
      <c r="L27" s="66">
        <f t="shared" si="13"/>
        <v>250144401.56999999</v>
      </c>
      <c r="M27" s="66">
        <f t="shared" si="0"/>
        <v>250342774.98395351</v>
      </c>
      <c r="N27" s="67">
        <f t="shared" si="1"/>
        <v>0.13261969403187551</v>
      </c>
      <c r="O27" s="66">
        <f t="shared" si="14"/>
        <v>33200382.221462574</v>
      </c>
      <c r="P27" s="64">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31115.634696778419</v>
      </c>
      <c r="Q27" s="76"/>
      <c r="R27" s="178">
        <f t="shared" si="15"/>
        <v>2012</v>
      </c>
      <c r="S27" s="64">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627467</v>
      </c>
      <c r="T27" s="66">
        <f t="shared" si="2"/>
        <v>250144401.56999999</v>
      </c>
      <c r="U27" s="66">
        <f t="shared" si="3"/>
        <v>250342774.98395351</v>
      </c>
      <c r="V27" s="67">
        <f t="shared" si="16"/>
        <v>2.5084191213626287E-3</v>
      </c>
      <c r="W27" s="66">
        <f t="shared" si="17"/>
        <v>627964.60366473091</v>
      </c>
      <c r="X27" s="64">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6645.1280811082634</v>
      </c>
      <c r="Z27" s="178">
        <f t="shared" si="18"/>
        <v>2012</v>
      </c>
      <c r="AA27" s="64">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2">
        <f t="shared" si="4"/>
        <v>250144401.56999999</v>
      </c>
      <c r="AC27" s="222">
        <f t="shared" si="5"/>
        <v>250342774.98395351</v>
      </c>
      <c r="AD27" s="67">
        <f t="shared" si="6"/>
        <v>0</v>
      </c>
      <c r="AE27" s="222">
        <f t="shared" si="19"/>
        <v>0</v>
      </c>
      <c r="AF27" s="64"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64">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2">
        <f t="shared" si="7"/>
        <v>250144401.56999999</v>
      </c>
      <c r="AK27" s="222">
        <f t="shared" si="8"/>
        <v>250342774.98395351</v>
      </c>
      <c r="AL27" s="67">
        <f t="shared" si="9"/>
        <v>0</v>
      </c>
      <c r="AM27" s="222">
        <f t="shared" si="21"/>
        <v>0</v>
      </c>
      <c r="AN27" s="64"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64">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73387300</v>
      </c>
      <c r="D28" s="66">
        <f>SUM('6. WS Regression Analysis'!J104:J115)</f>
        <v>246166626.33000001</v>
      </c>
      <c r="E28" s="66">
        <f>SUM('6. WS Regression Analysis'!R104:R115)</f>
        <v>249342246.0888707</v>
      </c>
      <c r="F28" s="67">
        <f t="shared" si="10"/>
        <v>0.29812042799668648</v>
      </c>
      <c r="G28" s="66">
        <f t="shared" si="11"/>
        <v>74334017.121669263</v>
      </c>
      <c r="H28" s="64">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8616.4387529464784</v>
      </c>
      <c r="I28" s="76"/>
      <c r="J28" s="178">
        <f t="shared" si="12"/>
        <v>2013</v>
      </c>
      <c r="K28" s="64">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32912921</v>
      </c>
      <c r="L28" s="66">
        <f t="shared" si="13"/>
        <v>246166626.33000001</v>
      </c>
      <c r="M28" s="66">
        <f t="shared" si="0"/>
        <v>249342246.0888707</v>
      </c>
      <c r="N28" s="67">
        <f t="shared" si="1"/>
        <v>0.13370179983649938</v>
      </c>
      <c r="O28" s="66">
        <f t="shared" si="14"/>
        <v>33337507.077357363</v>
      </c>
      <c r="P28" s="64">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31509.93107500696</v>
      </c>
      <c r="Q28" s="76"/>
      <c r="R28" s="178">
        <f t="shared" si="15"/>
        <v>2013</v>
      </c>
      <c r="S28" s="64">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668402</v>
      </c>
      <c r="T28" s="66">
        <f t="shared" si="2"/>
        <v>246166626.33000001</v>
      </c>
      <c r="U28" s="66">
        <f t="shared" si="3"/>
        <v>249342246.0888707</v>
      </c>
      <c r="V28" s="67">
        <f t="shared" si="16"/>
        <v>2.7152421510784732E-3</v>
      </c>
      <c r="W28" s="66">
        <f t="shared" si="17"/>
        <v>677024.57662508334</v>
      </c>
      <c r="X28" s="64">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7240.9045628351159</v>
      </c>
      <c r="Z28" s="178">
        <f t="shared" si="18"/>
        <v>2013</v>
      </c>
      <c r="AA28" s="64">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2">
        <f t="shared" si="4"/>
        <v>246166626.33000001</v>
      </c>
      <c r="AC28" s="222">
        <f t="shared" si="5"/>
        <v>249342246.0888707</v>
      </c>
      <c r="AD28" s="67">
        <f t="shared" si="6"/>
        <v>0</v>
      </c>
      <c r="AE28" s="222">
        <f t="shared" si="19"/>
        <v>0</v>
      </c>
      <c r="AF28" s="64"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64">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2">
        <f t="shared" si="7"/>
        <v>246166626.33000001</v>
      </c>
      <c r="AK28" s="222">
        <f t="shared" si="8"/>
        <v>249342246.0888707</v>
      </c>
      <c r="AL28" s="67">
        <f t="shared" si="9"/>
        <v>0</v>
      </c>
      <c r="AM28" s="222">
        <f t="shared" si="21"/>
        <v>0</v>
      </c>
      <c r="AN28" s="64"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64">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73600211</v>
      </c>
      <c r="D29" s="66">
        <f>SUM('6. WS Regression Analysis'!J116:J127)</f>
        <v>242535263.39000002</v>
      </c>
      <c r="E29" s="66">
        <f>SUM('6. WS Regression Analysis'!R116:R127)</f>
        <v>249658428.47991201</v>
      </c>
      <c r="F29" s="67">
        <f t="shared" si="10"/>
        <v>0.30346189651461059</v>
      </c>
      <c r="G29" s="66">
        <f t="shared" si="11"/>
        <v>75761820.187371373</v>
      </c>
      <c r="H29" s="64">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8648.1159965037805</v>
      </c>
      <c r="I29" s="76"/>
      <c r="J29" s="178">
        <f t="shared" si="12"/>
        <v>2014</v>
      </c>
      <c r="K29" s="64">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31500702</v>
      </c>
      <c r="L29" s="66">
        <f t="shared" si="13"/>
        <v>242535263.39000002</v>
      </c>
      <c r="M29" s="66">
        <f t="shared" si="0"/>
        <v>249658428.47991201</v>
      </c>
      <c r="N29" s="67">
        <f t="shared" si="1"/>
        <v>0.12988091529332146</v>
      </c>
      <c r="O29" s="66">
        <f t="shared" si="14"/>
        <v>32425865.201663207</v>
      </c>
      <c r="P29" s="64">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30347.089566367064</v>
      </c>
      <c r="Q29" s="76"/>
      <c r="R29" s="178">
        <f t="shared" si="15"/>
        <v>2014</v>
      </c>
      <c r="S29" s="64">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555548</v>
      </c>
      <c r="T29" s="66">
        <f t="shared" si="2"/>
        <v>242535263.39000002</v>
      </c>
      <c r="U29" s="66">
        <f t="shared" si="3"/>
        <v>249658428.47991201</v>
      </c>
      <c r="V29" s="67">
        <f t="shared" si="16"/>
        <v>2.2905864996079816E-3</v>
      </c>
      <c r="W29" s="66">
        <f t="shared" si="17"/>
        <v>571864.22578943125</v>
      </c>
      <c r="X29" s="64">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6149.0776966605508</v>
      </c>
      <c r="Z29" s="178">
        <f t="shared" si="18"/>
        <v>2014</v>
      </c>
      <c r="AA29" s="64">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2">
        <f t="shared" si="4"/>
        <v>242535263.39000002</v>
      </c>
      <c r="AC29" s="222">
        <f t="shared" si="5"/>
        <v>249658428.47991201</v>
      </c>
      <c r="AD29" s="67">
        <f t="shared" si="6"/>
        <v>0</v>
      </c>
      <c r="AE29" s="222">
        <f t="shared" si="19"/>
        <v>0</v>
      </c>
      <c r="AF29" s="64"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64">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2">
        <f t="shared" si="7"/>
        <v>242535263.39000002</v>
      </c>
      <c r="AK29" s="222">
        <f t="shared" si="8"/>
        <v>249658428.47991201</v>
      </c>
      <c r="AL29" s="67">
        <f t="shared" si="9"/>
        <v>0</v>
      </c>
      <c r="AM29" s="222">
        <f t="shared" si="21"/>
        <v>0</v>
      </c>
      <c r="AN29" s="64"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64">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77095510</v>
      </c>
      <c r="D30" s="66">
        <f>SUM('6. WS Regression Analysis'!J128:J139)</f>
        <v>239401282.51999998</v>
      </c>
      <c r="E30" s="66">
        <f>SUM('6. WS Regression Analysis'!R128:R139)</f>
        <v>247399736.29403827</v>
      </c>
      <c r="F30" s="67">
        <f>C30/D30</f>
        <v>0.32203465741065657</v>
      </c>
      <c r="G30" s="66">
        <f>E30*F30</f>
        <v>79671289.320937395</v>
      </c>
      <c r="H30" s="64">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8966.9430862056724</v>
      </c>
      <c r="I30" s="76"/>
      <c r="J30" s="178">
        <f t="shared" si="12"/>
        <v>2015</v>
      </c>
      <c r="K30" s="64">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31866049</v>
      </c>
      <c r="L30" s="66">
        <f t="shared" si="13"/>
        <v>239401282.51999998</v>
      </c>
      <c r="M30" s="66">
        <f t="shared" si="0"/>
        <v>247399736.29403827</v>
      </c>
      <c r="N30" s="67">
        <f>K30/L30</f>
        <v>0.13310726101618883</v>
      </c>
      <c r="O30" s="66">
        <f t="shared" si="14"/>
        <v>32930701.274226837</v>
      </c>
      <c r="P30" s="64">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30562.135753342773</v>
      </c>
      <c r="Q30" s="76"/>
      <c r="R30" s="178">
        <f t="shared" si="15"/>
        <v>2015</v>
      </c>
      <c r="S30" s="64">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602228</v>
      </c>
      <c r="T30" s="66">
        <f t="shared" si="2"/>
        <v>239401282.51999998</v>
      </c>
      <c r="U30" s="66">
        <f t="shared" si="3"/>
        <v>247399736.29403827</v>
      </c>
      <c r="V30" s="67">
        <f>S30/T30</f>
        <v>2.515558787575371E-3</v>
      </c>
      <c r="W30" s="66">
        <f t="shared" si="17"/>
        <v>622348.58067829744</v>
      </c>
      <c r="X30" s="64">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6914.9842297588602</v>
      </c>
      <c r="Z30" s="178">
        <f t="shared" si="18"/>
        <v>2015</v>
      </c>
      <c r="AA30" s="64">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2">
        <f t="shared" si="4"/>
        <v>239401282.51999998</v>
      </c>
      <c r="AC30" s="222">
        <f t="shared" si="5"/>
        <v>247399736.29403827</v>
      </c>
      <c r="AD30" s="67">
        <f t="shared" si="6"/>
        <v>0</v>
      </c>
      <c r="AE30" s="222">
        <f t="shared" si="19"/>
        <v>0</v>
      </c>
      <c r="AF30" s="64"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64">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2">
        <f t="shared" si="7"/>
        <v>239401282.51999998</v>
      </c>
      <c r="AK30" s="222">
        <f t="shared" si="8"/>
        <v>247399736.29403827</v>
      </c>
      <c r="AL30" s="67">
        <f t="shared" si="9"/>
        <v>0</v>
      </c>
      <c r="AM30" s="222">
        <f t="shared" si="21"/>
        <v>0</v>
      </c>
      <c r="AN30" s="64"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69"/>
      <c r="D31" s="69"/>
      <c r="E31" s="163">
        <f>SUM('6. WS Regression Analysis'!R140:R151)</f>
        <v>249817975.81562376</v>
      </c>
      <c r="F31" s="70">
        <f>F30</f>
        <v>0.32203465741065657</v>
      </c>
      <c r="G31" s="163">
        <f>E31*F31</f>
        <v>80450046.256808087</v>
      </c>
      <c r="H31" s="64">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9054.5915877105326</v>
      </c>
      <c r="I31" s="76"/>
      <c r="J31" s="179" t="str">
        <f t="shared" si="12"/>
        <v>2016</v>
      </c>
      <c r="K31" s="69"/>
      <c r="L31" s="69"/>
      <c r="M31" s="163">
        <f>E31</f>
        <v>249817975.81562376</v>
      </c>
      <c r="N31" s="70">
        <f>N30</f>
        <v>0.13310726101618883</v>
      </c>
      <c r="O31" s="163">
        <f>M31*N31</f>
        <v>33252586.513426181</v>
      </c>
      <c r="P31" s="64">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30860.869153991815</v>
      </c>
      <c r="Q31" s="76"/>
      <c r="R31" s="179" t="str">
        <f t="shared" si="15"/>
        <v>2016</v>
      </c>
      <c r="S31" s="69"/>
      <c r="T31" s="69"/>
      <c r="U31" s="130">
        <f>M31</f>
        <v>249817975.81562376</v>
      </c>
      <c r="V31" s="70">
        <f>V30</f>
        <v>2.515558787575371E-3</v>
      </c>
      <c r="W31" s="130">
        <f>U31*V31</f>
        <v>628431.80435728387</v>
      </c>
      <c r="X31" s="64">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6982.5756039698208</v>
      </c>
      <c r="Z31" s="179" t="str">
        <f t="shared" si="18"/>
        <v>2016</v>
      </c>
      <c r="AA31" s="69"/>
      <c r="AB31" s="69"/>
      <c r="AC31" s="278">
        <f>U31</f>
        <v>249817975.81562376</v>
      </c>
      <c r="AD31" s="70">
        <f>AD30</f>
        <v>0</v>
      </c>
      <c r="AE31" s="278">
        <f>AC31*AD31</f>
        <v>0</v>
      </c>
      <c r="AF31" s="64"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69"/>
      <c r="AJ31" s="69"/>
      <c r="AK31" s="278">
        <f>AC31</f>
        <v>249817975.81562376</v>
      </c>
      <c r="AL31" s="70">
        <f>AL30</f>
        <v>0</v>
      </c>
      <c r="AM31" s="278">
        <f>AK31*AL31</f>
        <v>0</v>
      </c>
      <c r="AN31" s="64"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1"/>
      <c r="D32" s="71"/>
      <c r="E32" s="164">
        <f>SUM('6. WS Regression Analysis'!R152:R163)</f>
        <v>250282670.81650454</v>
      </c>
      <c r="F32" s="72">
        <f>F31</f>
        <v>0.32203465741065657</v>
      </c>
      <c r="G32" s="164">
        <f t="shared" si="11"/>
        <v>80599694.152217165</v>
      </c>
      <c r="H32" s="64">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9071.4343446502153</v>
      </c>
      <c r="I32" s="76"/>
      <c r="J32" s="180" t="str">
        <f t="shared" si="12"/>
        <v>2017</v>
      </c>
      <c r="K32" s="71"/>
      <c r="L32" s="71"/>
      <c r="M32" s="164">
        <f>E32</f>
        <v>250282670.81650454</v>
      </c>
      <c r="N32" s="72">
        <f>N31</f>
        <v>0.13310726101618883</v>
      </c>
      <c r="O32" s="164">
        <f>M32*N32</f>
        <v>33314440.792201336</v>
      </c>
      <c r="P32" s="64">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30918.27451712421</v>
      </c>
      <c r="Q32" s="76"/>
      <c r="R32" s="179" t="str">
        <f t="shared" si="15"/>
        <v>2017</v>
      </c>
      <c r="S32" s="71"/>
      <c r="T32" s="71"/>
      <c r="U32" s="131">
        <f>M32</f>
        <v>250282670.81650454</v>
      </c>
      <c r="V32" s="72">
        <f>V31</f>
        <v>2.515558787575371E-3</v>
      </c>
      <c r="W32" s="131">
        <f>U32*V32</f>
        <v>629600.77195029182</v>
      </c>
      <c r="X32" s="64">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6995.5641327810199</v>
      </c>
      <c r="Z32" s="179" t="str">
        <f t="shared" si="18"/>
        <v>2017</v>
      </c>
      <c r="AA32" s="71"/>
      <c r="AB32" s="71"/>
      <c r="AC32" s="277">
        <f>U32</f>
        <v>250282670.81650454</v>
      </c>
      <c r="AD32" s="72">
        <f>AD31</f>
        <v>0</v>
      </c>
      <c r="AE32" s="277">
        <f>AC32*AD32</f>
        <v>0</v>
      </c>
      <c r="AF32" s="64"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1"/>
      <c r="AJ32" s="71"/>
      <c r="AK32" s="277">
        <f>AC32</f>
        <v>250282670.81650454</v>
      </c>
      <c r="AL32" s="72">
        <f>AL31</f>
        <v>0</v>
      </c>
      <c r="AM32" s="277">
        <f>AK32*AL32</f>
        <v>0</v>
      </c>
      <c r="AN32" s="64"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933" t="s">
        <v>154</v>
      </c>
      <c r="C33" s="933"/>
      <c r="D33" s="933"/>
      <c r="E33" s="933"/>
      <c r="F33" s="933"/>
      <c r="G33" s="933"/>
      <c r="H33" s="933"/>
      <c r="I33" s="24"/>
      <c r="J33" s="933" t="s">
        <v>154</v>
      </c>
      <c r="K33" s="933"/>
      <c r="L33" s="933"/>
      <c r="M33" s="933"/>
      <c r="N33" s="933"/>
      <c r="O33" s="933"/>
      <c r="P33" s="933"/>
      <c r="R33" s="933" t="s">
        <v>154</v>
      </c>
      <c r="S33" s="933"/>
      <c r="T33" s="933"/>
      <c r="U33" s="933"/>
      <c r="V33" s="933"/>
      <c r="W33" s="933"/>
      <c r="X33" s="933"/>
      <c r="Z33" s="933" t="s">
        <v>154</v>
      </c>
      <c r="AA33" s="933"/>
      <c r="AB33" s="933"/>
      <c r="AC33" s="933"/>
      <c r="AD33" s="933"/>
      <c r="AE33" s="933"/>
      <c r="AF33" s="933"/>
      <c r="AH33" s="933" t="s">
        <v>154</v>
      </c>
      <c r="AI33" s="933"/>
      <c r="AJ33" s="933"/>
      <c r="AK33" s="933"/>
      <c r="AL33" s="933"/>
      <c r="AM33" s="933"/>
      <c r="AN33" s="933"/>
    </row>
    <row r="34" spans="2:40" x14ac:dyDescent="0.2">
      <c r="B34" s="148"/>
      <c r="C34" s="148"/>
      <c r="D34" s="148"/>
      <c r="E34" s="149"/>
      <c r="F34" s="150"/>
      <c r="G34" s="151"/>
      <c r="H34" s="153"/>
      <c r="I34" s="24"/>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24"/>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24"/>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24"/>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932" t="s">
        <v>174</v>
      </c>
      <c r="C38" s="932"/>
      <c r="D38" s="932"/>
      <c r="E38" s="932"/>
      <c r="F38" s="932"/>
      <c r="G38" s="932"/>
      <c r="H38" s="932"/>
      <c r="I38" s="76"/>
      <c r="J38" s="932" t="s">
        <v>174</v>
      </c>
      <c r="K38" s="932"/>
      <c r="L38" s="932"/>
      <c r="M38" s="932"/>
      <c r="N38" s="932"/>
      <c r="O38" s="932"/>
      <c r="P38" s="932"/>
      <c r="Q38" s="76"/>
      <c r="R38" s="932" t="s">
        <v>174</v>
      </c>
      <c r="S38" s="932"/>
      <c r="T38" s="932"/>
      <c r="U38" s="932"/>
      <c r="V38" s="932"/>
      <c r="W38" s="932"/>
      <c r="X38" s="932"/>
      <c r="Z38" s="932" t="s">
        <v>174</v>
      </c>
      <c r="AA38" s="932"/>
      <c r="AB38" s="932"/>
      <c r="AC38" s="932"/>
      <c r="AD38" s="932"/>
      <c r="AE38" s="932"/>
      <c r="AF38" s="932"/>
      <c r="AH38" s="932" t="s">
        <v>174</v>
      </c>
      <c r="AI38" s="932"/>
      <c r="AJ38" s="932"/>
      <c r="AK38" s="932"/>
      <c r="AL38" s="932"/>
      <c r="AM38" s="932"/>
      <c r="AN38" s="932"/>
    </row>
    <row r="39" spans="2:40" ht="13.5" thickBot="1" x14ac:dyDescent="0.25">
      <c r="B39" s="73"/>
      <c r="C39" s="74"/>
      <c r="D39" s="74"/>
      <c r="E39" s="74"/>
      <c r="F39" s="74"/>
      <c r="G39" s="74"/>
      <c r="H39" s="76"/>
      <c r="I39" s="76"/>
      <c r="J39" s="73"/>
      <c r="K39" s="74"/>
      <c r="L39" s="74"/>
      <c r="M39" s="74"/>
      <c r="N39" s="74"/>
      <c r="O39" s="74"/>
      <c r="P39" s="76"/>
      <c r="Q39" s="76"/>
      <c r="R39" s="73"/>
      <c r="S39" s="74"/>
      <c r="T39" s="74"/>
      <c r="U39" s="74"/>
      <c r="V39" s="74"/>
      <c r="W39" s="74"/>
      <c r="X39" s="76"/>
      <c r="Z39" s="73"/>
      <c r="AA39" s="74"/>
      <c r="AB39" s="74"/>
      <c r="AC39" s="74"/>
      <c r="AD39" s="74"/>
      <c r="AE39" s="74"/>
      <c r="AF39" s="76"/>
      <c r="AH39" s="73"/>
      <c r="AI39" s="74"/>
      <c r="AJ39" s="74"/>
      <c r="AK39" s="74"/>
      <c r="AL39" s="74"/>
      <c r="AM39" s="74"/>
      <c r="AN39" s="76"/>
    </row>
    <row r="40" spans="2:40" ht="14.25" customHeight="1" thickBot="1" x14ac:dyDescent="0.25">
      <c r="B40" s="929" t="str">
        <f>B19</f>
        <v>Residential</v>
      </c>
      <c r="C40" s="930"/>
      <c r="D40" s="930"/>
      <c r="E40" s="930"/>
      <c r="F40" s="930"/>
      <c r="G40" s="930"/>
      <c r="H40" s="931"/>
      <c r="I40" s="145"/>
      <c r="J40" s="929" t="str">
        <f>J19</f>
        <v>General Service &lt; 50 kW</v>
      </c>
      <c r="K40" s="930"/>
      <c r="L40" s="930"/>
      <c r="M40" s="930"/>
      <c r="N40" s="930"/>
      <c r="O40" s="930"/>
      <c r="P40" s="931"/>
      <c r="Q40" s="145"/>
      <c r="R40" s="929" t="str">
        <f>R19</f>
        <v>Unmetered Scattered Load</v>
      </c>
      <c r="S40" s="930"/>
      <c r="T40" s="930"/>
      <c r="U40" s="930"/>
      <c r="V40" s="930"/>
      <c r="W40" s="930"/>
      <c r="X40" s="931"/>
      <c r="Z40" s="929">
        <f>Z19</f>
        <v>0</v>
      </c>
      <c r="AA40" s="930"/>
      <c r="AB40" s="930"/>
      <c r="AC40" s="930"/>
      <c r="AD40" s="930"/>
      <c r="AE40" s="930"/>
      <c r="AF40" s="931"/>
      <c r="AH40" s="929">
        <f>AH19</f>
        <v>0</v>
      </c>
      <c r="AI40" s="930"/>
      <c r="AJ40" s="930"/>
      <c r="AK40" s="930"/>
      <c r="AL40" s="930"/>
      <c r="AM40" s="930"/>
      <c r="AN40" s="931"/>
    </row>
    <row r="41" spans="2:40" ht="42" customHeight="1" x14ac:dyDescent="0.2">
      <c r="B41" s="63" t="s">
        <v>33</v>
      </c>
      <c r="C41" s="280" t="s">
        <v>40</v>
      </c>
      <c r="D41" s="922" t="s">
        <v>158</v>
      </c>
      <c r="E41" s="922"/>
      <c r="F41" s="924" t="s">
        <v>39</v>
      </c>
      <c r="G41" s="925"/>
      <c r="H41" s="75" t="s">
        <v>16</v>
      </c>
      <c r="I41" s="146"/>
      <c r="J41" s="63" t="s">
        <v>33</v>
      </c>
      <c r="K41" s="280" t="s">
        <v>40</v>
      </c>
      <c r="L41" s="922" t="s">
        <v>158</v>
      </c>
      <c r="M41" s="922"/>
      <c r="N41" s="918" t="s">
        <v>39</v>
      </c>
      <c r="O41" s="919"/>
      <c r="P41" s="75" t="s">
        <v>16</v>
      </c>
      <c r="Q41" s="146"/>
      <c r="R41" s="63" t="s">
        <v>33</v>
      </c>
      <c r="S41" s="280" t="s">
        <v>40</v>
      </c>
      <c r="T41" s="922" t="s">
        <v>158</v>
      </c>
      <c r="U41" s="922"/>
      <c r="V41" s="918" t="s">
        <v>39</v>
      </c>
      <c r="W41" s="919"/>
      <c r="X41" s="75" t="s">
        <v>16</v>
      </c>
      <c r="Z41" s="63" t="s">
        <v>33</v>
      </c>
      <c r="AA41" s="280" t="s">
        <v>40</v>
      </c>
      <c r="AB41" s="922" t="s">
        <v>158</v>
      </c>
      <c r="AC41" s="922"/>
      <c r="AD41" s="918" t="s">
        <v>39</v>
      </c>
      <c r="AE41" s="919"/>
      <c r="AF41" s="75" t="s">
        <v>16</v>
      </c>
      <c r="AH41" s="355" t="s">
        <v>33</v>
      </c>
      <c r="AI41" s="356" t="s">
        <v>40</v>
      </c>
      <c r="AJ41" s="934" t="s">
        <v>158</v>
      </c>
      <c r="AK41" s="934"/>
      <c r="AL41" s="935" t="s">
        <v>39</v>
      </c>
      <c r="AM41" s="936"/>
      <c r="AN41" s="335" t="s">
        <v>16</v>
      </c>
    </row>
    <row r="42" spans="2:40" x14ac:dyDescent="0.2">
      <c r="B42" s="181" t="str">
        <f>B31</f>
        <v>2016</v>
      </c>
      <c r="C42" s="64">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141.92393754079603</v>
      </c>
      <c r="D42" s="923">
        <f>IF(F30&gt;0,+H31,0)</f>
        <v>9054.5915877105326</v>
      </c>
      <c r="E42" s="923"/>
      <c r="F42" s="920">
        <f>IF(+$G$16="yes",+C42*D42,0)</f>
        <v>0</v>
      </c>
      <c r="G42" s="921"/>
      <c r="H42" s="77">
        <f>G31+F42</f>
        <v>80450046.256808087</v>
      </c>
      <c r="I42" s="147"/>
      <c r="J42" s="181" t="str">
        <f>B42</f>
        <v>2016</v>
      </c>
      <c r="K42" s="64">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4.6545150107601785</v>
      </c>
      <c r="L42" s="923">
        <f>IF(N30&gt;0,+P31,0)</f>
        <v>30860.869153991815</v>
      </c>
      <c r="M42" s="923"/>
      <c r="N42" s="920">
        <f>IF(+$G$16="yes",+K42*L42,0)</f>
        <v>0</v>
      </c>
      <c r="O42" s="921"/>
      <c r="P42" s="77">
        <f>O31+N42</f>
        <v>33252586.513426181</v>
      </c>
      <c r="Q42" s="147"/>
      <c r="R42" s="181" t="str">
        <f>B42</f>
        <v>2016</v>
      </c>
      <c r="S42" s="64">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2.7715786810153986</v>
      </c>
      <c r="T42" s="923">
        <f>IF(V30&gt;0,+X31,0)</f>
        <v>6982.5756039698208</v>
      </c>
      <c r="U42" s="923"/>
      <c r="V42" s="920">
        <f>IF(+$G$16="yes",+S42*T42,0)</f>
        <v>0</v>
      </c>
      <c r="W42" s="921"/>
      <c r="X42" s="77">
        <f>W31+V42</f>
        <v>628431.80435728387</v>
      </c>
      <c r="Z42" s="181" t="str">
        <f>J42</f>
        <v>2016</v>
      </c>
      <c r="AA42" s="64">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923">
        <f>IF(AD30&gt;0,+AF31,0)</f>
        <v>0</v>
      </c>
      <c r="AC42" s="923"/>
      <c r="AD42" s="920">
        <f>IF(+$G$16="yes",+AA42*AB42,0)</f>
        <v>0</v>
      </c>
      <c r="AE42" s="921"/>
      <c r="AF42" s="77">
        <f>AE31+AD42</f>
        <v>0</v>
      </c>
      <c r="AH42" s="181" t="str">
        <f>R42</f>
        <v>2016</v>
      </c>
      <c r="AI42" s="64">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923">
        <f>IF(AL30&gt;0,+AN31,0)</f>
        <v>0</v>
      </c>
      <c r="AK42" s="923"/>
      <c r="AL42" s="920">
        <f>IF(+$G$16="yes",+AI42*AJ42,0)</f>
        <v>0</v>
      </c>
      <c r="AM42" s="921"/>
      <c r="AN42" s="77">
        <f>AM31+AL42</f>
        <v>0</v>
      </c>
    </row>
    <row r="43" spans="2:40" ht="13.5" thickBot="1" x14ac:dyDescent="0.25">
      <c r="B43" s="305" t="str">
        <f>B32</f>
        <v>2017</v>
      </c>
      <c r="C43" s="306">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286.11488735475905</v>
      </c>
      <c r="D43" s="915">
        <f>IF(F30&gt;0,+H32,0)</f>
        <v>9071.4343446502153</v>
      </c>
      <c r="E43" s="915"/>
      <c r="F43" s="916">
        <f>IF(+$G$16="yes",+C43*D43,0)</f>
        <v>0</v>
      </c>
      <c r="G43" s="917"/>
      <c r="H43" s="78">
        <f>G32+F43</f>
        <v>80599694.152217165</v>
      </c>
      <c r="I43" s="147"/>
      <c r="J43" s="305" t="str">
        <f>B43</f>
        <v>2017</v>
      </c>
      <c r="K43" s="306">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9.3291362952888903</v>
      </c>
      <c r="L43" s="915">
        <f>IF(N30&gt;0,+P32,0)</f>
        <v>30918.27451712421</v>
      </c>
      <c r="M43" s="915"/>
      <c r="N43" s="916">
        <f>IF(+$G$16="yes",+K43*L43,0)</f>
        <v>0</v>
      </c>
      <c r="O43" s="917"/>
      <c r="P43" s="78">
        <f>O32+N43</f>
        <v>33314440.792201336</v>
      </c>
      <c r="Q43" s="147"/>
      <c r="R43" s="305" t="str">
        <f>B43</f>
        <v>2017</v>
      </c>
      <c r="S43" s="306">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5.6285090107536746</v>
      </c>
      <c r="T43" s="915">
        <f>IF(V30&gt;0,+X32,0)</f>
        <v>6995.5641327810199</v>
      </c>
      <c r="U43" s="915"/>
      <c r="V43" s="916">
        <f>IF(+$G$16="yes",+S43*T43,0)</f>
        <v>0</v>
      </c>
      <c r="W43" s="917"/>
      <c r="X43" s="78">
        <f>W32+V43</f>
        <v>629600.77195029182</v>
      </c>
      <c r="Z43" s="305" t="str">
        <f>J43</f>
        <v>2017</v>
      </c>
      <c r="AA43" s="306">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915">
        <f>IF(AD30&gt;0,+AF32,0)</f>
        <v>0</v>
      </c>
      <c r="AC43" s="915"/>
      <c r="AD43" s="916">
        <f>IF(+$G$16="yes",+AA43*AB43,0)</f>
        <v>0</v>
      </c>
      <c r="AE43" s="917"/>
      <c r="AF43" s="78">
        <f>AE32+AD43</f>
        <v>0</v>
      </c>
      <c r="AG43" s="307"/>
      <c r="AH43" s="305" t="str">
        <f>R43</f>
        <v>2017</v>
      </c>
      <c r="AI43" s="306">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915">
        <f>IF(AL30&gt;0,+AN32,0)</f>
        <v>0</v>
      </c>
      <c r="AK43" s="915"/>
      <c r="AL43" s="916">
        <f>IF(+$G$16="yes",+AI43*AJ43,0)</f>
        <v>0</v>
      </c>
      <c r="AM43" s="917"/>
      <c r="AN43" s="78">
        <f>AM32+AL43</f>
        <v>0</v>
      </c>
    </row>
    <row r="44" spans="2:40" x14ac:dyDescent="0.2">
      <c r="B44" s="1"/>
      <c r="C44" s="1"/>
      <c r="D44" s="1"/>
      <c r="E44" s="1"/>
      <c r="F44" s="1"/>
      <c r="G44" s="1"/>
    </row>
    <row r="46" spans="2:40" x14ac:dyDescent="0.2">
      <c r="X46" s="275"/>
    </row>
    <row r="47" spans="2:40" x14ac:dyDescent="0.2">
      <c r="G47" s="235"/>
    </row>
    <row r="54" spans="2:3" x14ac:dyDescent="0.2">
      <c r="B54" s="914" t="s">
        <v>175</v>
      </c>
      <c r="C54" s="914"/>
    </row>
    <row r="55" spans="2:3" x14ac:dyDescent="0.2">
      <c r="B55" s="557" t="s">
        <v>176</v>
      </c>
      <c r="C55" s="558"/>
    </row>
    <row r="56" spans="2:3" x14ac:dyDescent="0.2">
      <c r="B56" s="557" t="s">
        <v>177</v>
      </c>
      <c r="C56" s="55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opLeftCell="AF10" workbookViewId="0">
      <selection activeCell="AR21" sqref="AR21"/>
    </sheetView>
  </sheetViews>
  <sheetFormatPr defaultColWidth="11.1640625" defaultRowHeight="12.75" x14ac:dyDescent="0.2"/>
  <cols>
    <col min="1" max="1" width="13.6640625" style="1" customWidth="1"/>
    <col min="2" max="6" width="15.1640625" style="52" customWidth="1"/>
    <col min="7" max="7" width="17" style="52" customWidth="1"/>
    <col min="8" max="8" width="16.6640625" style="52" customWidth="1"/>
    <col min="9" max="9" width="17.83203125" style="52" customWidth="1"/>
    <col min="10" max="10" width="16.1640625" style="52" customWidth="1"/>
    <col min="11" max="12" width="4.33203125" style="52" customWidth="1"/>
    <col min="13" max="15" width="15.1640625" style="145" customWidth="1"/>
    <col min="16" max="16" width="15.1640625" style="52" customWidth="1"/>
    <col min="17" max="21" width="15.1640625" style="1" customWidth="1"/>
    <col min="22" max="22" width="4.33203125" style="1" customWidth="1"/>
    <col min="23" max="29" width="15.1640625" style="1" customWidth="1"/>
    <col min="30" max="30" width="13.83203125" style="58"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32" customFormat="1" x14ac:dyDescent="0.2">
      <c r="A1" s="726" t="s">
        <v>266</v>
      </c>
      <c r="B1" s="52"/>
      <c r="C1" s="52"/>
      <c r="D1" s="52"/>
      <c r="E1" s="52"/>
      <c r="F1" s="52"/>
      <c r="G1" s="52"/>
      <c r="H1" s="52"/>
      <c r="I1" s="52"/>
      <c r="J1" s="52"/>
      <c r="K1" s="52"/>
      <c r="L1" s="52"/>
      <c r="M1" s="145"/>
      <c r="N1" s="145"/>
      <c r="O1" s="145"/>
      <c r="P1" s="52"/>
      <c r="AD1" s="58"/>
    </row>
    <row r="2" spans="1:30" s="532" customFormat="1" x14ac:dyDescent="0.2">
      <c r="B2" s="52"/>
      <c r="C2" s="52"/>
      <c r="D2" s="52"/>
      <c r="E2" s="52"/>
      <c r="F2" s="52"/>
      <c r="G2" s="52"/>
      <c r="H2" s="52"/>
      <c r="I2" s="52"/>
      <c r="J2" s="52"/>
      <c r="K2" s="52"/>
      <c r="L2" s="52"/>
      <c r="M2" s="145"/>
      <c r="N2" s="145"/>
      <c r="O2" s="145"/>
      <c r="P2" s="52"/>
      <c r="AD2" s="58"/>
    </row>
    <row r="3" spans="1:30" s="532" customFormat="1" x14ac:dyDescent="0.2">
      <c r="B3" s="52"/>
      <c r="C3" s="52"/>
      <c r="D3" s="52"/>
      <c r="E3" s="52"/>
      <c r="F3" s="52"/>
      <c r="G3" s="52"/>
      <c r="H3" s="52"/>
      <c r="I3" s="52"/>
      <c r="J3" s="52"/>
      <c r="K3" s="52"/>
      <c r="L3" s="52"/>
      <c r="M3" s="145"/>
      <c r="N3" s="145"/>
      <c r="O3" s="145"/>
      <c r="P3" s="52"/>
      <c r="AD3" s="58"/>
    </row>
    <row r="4" spans="1:30" s="532" customFormat="1" x14ac:dyDescent="0.2">
      <c r="B4" s="52"/>
      <c r="C4" s="52"/>
      <c r="D4" s="52"/>
      <c r="E4" s="52"/>
      <c r="F4" s="52"/>
      <c r="G4" s="52"/>
      <c r="H4" s="52"/>
      <c r="I4" s="52"/>
      <c r="J4" s="52"/>
      <c r="K4" s="52"/>
      <c r="L4" s="52"/>
      <c r="M4" s="145"/>
      <c r="N4" s="145"/>
      <c r="O4" s="145"/>
      <c r="P4" s="52"/>
      <c r="AD4" s="58"/>
    </row>
    <row r="5" spans="1:30" s="532" customFormat="1" x14ac:dyDescent="0.2">
      <c r="B5" s="52"/>
      <c r="C5" s="52"/>
      <c r="D5" s="52"/>
      <c r="E5" s="52"/>
      <c r="F5" s="52"/>
      <c r="G5" s="52"/>
      <c r="H5" s="52"/>
      <c r="I5" s="52"/>
      <c r="J5" s="52"/>
      <c r="K5" s="52"/>
      <c r="L5" s="52"/>
      <c r="M5" s="145"/>
      <c r="N5" s="145"/>
      <c r="O5" s="145"/>
      <c r="P5" s="52"/>
      <c r="AD5" s="58"/>
    </row>
    <row r="6" spans="1:30" s="532" customFormat="1" x14ac:dyDescent="0.2">
      <c r="B6" s="52"/>
      <c r="C6" s="52"/>
      <c r="D6" s="52"/>
      <c r="E6" s="52"/>
      <c r="F6" s="52"/>
      <c r="G6" s="52"/>
      <c r="H6" s="52"/>
      <c r="I6" s="52"/>
      <c r="J6" s="52"/>
      <c r="K6" s="52"/>
      <c r="L6" s="52"/>
      <c r="M6" s="145"/>
      <c r="N6" s="145"/>
      <c r="O6" s="145"/>
      <c r="P6" s="52"/>
      <c r="AD6" s="58"/>
    </row>
    <row r="7" spans="1:30" s="532" customFormat="1" x14ac:dyDescent="0.2">
      <c r="B7" s="52"/>
      <c r="C7" s="52"/>
      <c r="D7" s="52"/>
      <c r="E7" s="52"/>
      <c r="F7" s="52"/>
      <c r="G7" s="52"/>
      <c r="H7" s="52"/>
      <c r="I7" s="52"/>
      <c r="J7" s="52"/>
      <c r="K7" s="52"/>
      <c r="L7" s="52"/>
      <c r="M7" s="145"/>
      <c r="N7" s="145"/>
      <c r="O7" s="145"/>
      <c r="P7" s="52"/>
      <c r="AD7" s="58"/>
    </row>
    <row r="8" spans="1:30" s="532" customFormat="1" x14ac:dyDescent="0.2">
      <c r="B8" s="52"/>
      <c r="C8" s="52"/>
      <c r="D8" s="52"/>
      <c r="E8" s="52"/>
      <c r="F8" s="52"/>
      <c r="G8" s="52"/>
      <c r="H8" s="52"/>
      <c r="I8" s="52"/>
      <c r="J8" s="52"/>
      <c r="K8" s="52"/>
      <c r="L8" s="52"/>
      <c r="M8" s="145"/>
      <c r="N8" s="145"/>
      <c r="O8" s="145"/>
      <c r="P8" s="52"/>
      <c r="AD8" s="58"/>
    </row>
    <row r="9" spans="1:30" s="532" customFormat="1" x14ac:dyDescent="0.2">
      <c r="B9" s="52"/>
      <c r="C9" s="52"/>
      <c r="D9" s="52"/>
      <c r="E9" s="52"/>
      <c r="F9" s="52"/>
      <c r="G9" s="52"/>
      <c r="H9" s="52"/>
      <c r="I9" s="52"/>
      <c r="J9" s="52"/>
      <c r="K9" s="52"/>
      <c r="L9" s="52"/>
      <c r="M9" s="145"/>
      <c r="N9" s="145"/>
      <c r="O9" s="145"/>
      <c r="P9" s="52"/>
      <c r="AD9" s="58"/>
    </row>
    <row r="11" spans="1:30" ht="23.25" x14ac:dyDescent="0.2">
      <c r="B11" s="132" t="s">
        <v>98</v>
      </c>
      <c r="C11" s="132"/>
      <c r="D11" s="132"/>
      <c r="Z11" s="58"/>
      <c r="AD11" s="1"/>
    </row>
    <row r="12" spans="1:30" ht="15" customHeight="1" x14ac:dyDescent="0.2">
      <c r="B12" s="57" t="s">
        <v>63</v>
      </c>
      <c r="C12" s="132"/>
      <c r="D12" s="132"/>
    </row>
    <row r="13" spans="1:30" ht="15" customHeight="1" x14ac:dyDescent="0.2">
      <c r="B13" s="99" t="s">
        <v>254</v>
      </c>
      <c r="C13" s="132"/>
      <c r="D13" s="132"/>
    </row>
    <row r="14" spans="1:30" ht="15" customHeight="1" x14ac:dyDescent="0.2">
      <c r="B14" s="99" t="s">
        <v>255</v>
      </c>
      <c r="C14" s="132"/>
      <c r="D14" s="132"/>
    </row>
    <row r="15" spans="1:30" ht="15" customHeight="1" x14ac:dyDescent="0.2">
      <c r="B15" s="99" t="s">
        <v>256</v>
      </c>
      <c r="C15" s="132"/>
      <c r="D15" s="132"/>
    </row>
    <row r="16" spans="1:30" ht="14.25" x14ac:dyDescent="0.2">
      <c r="B16" s="99" t="s">
        <v>257</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4"/>
      <c r="AD16" s="24"/>
    </row>
    <row r="17" spans="2:51" s="532" customFormat="1" ht="15" thickBot="1" x14ac:dyDescent="0.25">
      <c r="B17" s="99"/>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24"/>
      <c r="AD17" s="24"/>
    </row>
    <row r="18" spans="2:51" ht="12.75" customHeight="1" thickBot="1" x14ac:dyDescent="0.25">
      <c r="B18" s="926" t="s">
        <v>274</v>
      </c>
      <c r="C18" s="927"/>
      <c r="D18" s="927"/>
      <c r="E18" s="927"/>
      <c r="F18" s="927"/>
      <c r="G18" s="927"/>
      <c r="H18" s="927"/>
      <c r="I18" s="927"/>
      <c r="J18" s="928"/>
      <c r="K18" s="185"/>
      <c r="L18" s="185"/>
      <c r="M18" s="926" t="s">
        <v>102</v>
      </c>
      <c r="N18" s="927"/>
      <c r="O18" s="927"/>
      <c r="P18" s="927"/>
      <c r="Q18" s="927"/>
      <c r="R18" s="927"/>
      <c r="S18" s="927"/>
      <c r="T18" s="927"/>
      <c r="U18" s="928"/>
      <c r="V18" s="185"/>
      <c r="W18" s="926" t="s">
        <v>85</v>
      </c>
      <c r="X18" s="927"/>
      <c r="Y18" s="927"/>
      <c r="Z18" s="927"/>
      <c r="AA18" s="927"/>
      <c r="AB18" s="927"/>
      <c r="AC18" s="927"/>
      <c r="AD18" s="927"/>
      <c r="AE18" s="928"/>
      <c r="AG18" s="926" t="s">
        <v>273</v>
      </c>
      <c r="AH18" s="927"/>
      <c r="AI18" s="927"/>
      <c r="AJ18" s="927"/>
      <c r="AK18" s="927"/>
      <c r="AL18" s="927"/>
      <c r="AM18" s="927"/>
      <c r="AN18" s="927"/>
      <c r="AO18" s="928"/>
      <c r="AQ18" s="926" t="s">
        <v>103</v>
      </c>
      <c r="AR18" s="927"/>
      <c r="AS18" s="927"/>
      <c r="AT18" s="927"/>
      <c r="AU18" s="927"/>
      <c r="AV18" s="927"/>
      <c r="AW18" s="927"/>
      <c r="AX18" s="927"/>
      <c r="AY18" s="928"/>
    </row>
    <row r="19" spans="2:51" ht="46.5" customHeight="1" x14ac:dyDescent="0.2">
      <c r="B19" s="401" t="s">
        <v>33</v>
      </c>
      <c r="C19" s="487" t="s">
        <v>36</v>
      </c>
      <c r="D19" s="487" t="s">
        <v>232</v>
      </c>
      <c r="E19" s="399" t="s">
        <v>36</v>
      </c>
      <c r="F19" s="399" t="s">
        <v>37</v>
      </c>
      <c r="G19" s="399" t="s">
        <v>181</v>
      </c>
      <c r="H19" s="399" t="s">
        <v>179</v>
      </c>
      <c r="I19" s="399" t="s">
        <v>180</v>
      </c>
      <c r="J19" s="400" t="s">
        <v>41</v>
      </c>
      <c r="K19" s="186"/>
      <c r="L19" s="186"/>
      <c r="M19" s="401" t="s">
        <v>33</v>
      </c>
      <c r="N19" s="487" t="s">
        <v>36</v>
      </c>
      <c r="O19" s="487" t="s">
        <v>232</v>
      </c>
      <c r="P19" s="399" t="s">
        <v>36</v>
      </c>
      <c r="Q19" s="399" t="s">
        <v>37</v>
      </c>
      <c r="R19" s="399" t="s">
        <v>181</v>
      </c>
      <c r="S19" s="399" t="s">
        <v>179</v>
      </c>
      <c r="T19" s="399" t="s">
        <v>180</v>
      </c>
      <c r="U19" s="400" t="s">
        <v>41</v>
      </c>
      <c r="V19" s="58"/>
      <c r="W19" s="377" t="s">
        <v>33</v>
      </c>
      <c r="X19" s="487" t="s">
        <v>36</v>
      </c>
      <c r="Y19" s="487" t="s">
        <v>232</v>
      </c>
      <c r="Z19" s="372" t="s">
        <v>36</v>
      </c>
      <c r="AA19" s="372" t="s">
        <v>37</v>
      </c>
      <c r="AB19" s="372" t="s">
        <v>181</v>
      </c>
      <c r="AC19" s="372" t="s">
        <v>179</v>
      </c>
      <c r="AD19" s="372" t="s">
        <v>180</v>
      </c>
      <c r="AE19" s="333" t="s">
        <v>41</v>
      </c>
      <c r="AG19" s="401" t="s">
        <v>33</v>
      </c>
      <c r="AH19" s="487" t="s">
        <v>36</v>
      </c>
      <c r="AI19" s="487" t="s">
        <v>232</v>
      </c>
      <c r="AJ19" s="372" t="s">
        <v>36</v>
      </c>
      <c r="AK19" s="399" t="s">
        <v>37</v>
      </c>
      <c r="AL19" s="399" t="s">
        <v>181</v>
      </c>
      <c r="AM19" s="399" t="s">
        <v>179</v>
      </c>
      <c r="AN19" s="399" t="s">
        <v>180</v>
      </c>
      <c r="AO19" s="400" t="s">
        <v>41</v>
      </c>
      <c r="AQ19" s="401" t="s">
        <v>33</v>
      </c>
      <c r="AR19" s="487" t="s">
        <v>36</v>
      </c>
      <c r="AS19" s="487" t="s">
        <v>232</v>
      </c>
      <c r="AT19" s="372" t="s">
        <v>36</v>
      </c>
      <c r="AU19" s="399" t="s">
        <v>37</v>
      </c>
      <c r="AV19" s="399" t="s">
        <v>181</v>
      </c>
      <c r="AW19" s="399" t="s">
        <v>179</v>
      </c>
      <c r="AX19" s="399" t="s">
        <v>180</v>
      </c>
      <c r="AY19" s="400" t="s">
        <v>41</v>
      </c>
    </row>
    <row r="20" spans="2:51" x14ac:dyDescent="0.2">
      <c r="B20" s="91" t="s">
        <v>30</v>
      </c>
      <c r="C20" s="488"/>
      <c r="D20" s="488"/>
      <c r="E20" s="92"/>
      <c r="F20" s="92"/>
      <c r="G20" s="327"/>
      <c r="H20" s="327"/>
      <c r="I20" s="222"/>
      <c r="J20" s="374"/>
      <c r="K20" s="146"/>
      <c r="L20" s="146"/>
      <c r="M20" s="91" t="s">
        <v>30</v>
      </c>
      <c r="N20" s="488"/>
      <c r="O20" s="488"/>
      <c r="P20" s="92"/>
      <c r="Q20" s="92"/>
      <c r="R20" s="92"/>
      <c r="S20" s="92"/>
      <c r="T20" s="92"/>
      <c r="U20" s="93"/>
      <c r="V20" s="58"/>
      <c r="W20" s="91" t="s">
        <v>30</v>
      </c>
      <c r="X20" s="488"/>
      <c r="Y20" s="488"/>
      <c r="Z20" s="92"/>
      <c r="AA20" s="92"/>
      <c r="AB20" s="92"/>
      <c r="AC20" s="92"/>
      <c r="AD20" s="92"/>
      <c r="AE20" s="239"/>
      <c r="AG20" s="91" t="s">
        <v>30</v>
      </c>
      <c r="AH20" s="488"/>
      <c r="AI20" s="488"/>
      <c r="AJ20" s="92"/>
      <c r="AK20" s="92"/>
      <c r="AL20" s="92"/>
      <c r="AM20" s="92"/>
      <c r="AN20" s="92"/>
      <c r="AO20" s="239"/>
      <c r="AQ20" s="91" t="s">
        <v>30</v>
      </c>
      <c r="AR20" s="488"/>
      <c r="AS20" s="488"/>
      <c r="AT20" s="92"/>
      <c r="AU20" s="92"/>
      <c r="AV20" s="92"/>
      <c r="AW20" s="92"/>
      <c r="AX20" s="92"/>
      <c r="AY20" s="239"/>
    </row>
    <row r="21" spans="2:51" ht="12.75" customHeight="1" x14ac:dyDescent="0.2">
      <c r="B21" s="192">
        <f>'4. Customer Growth'!B17</f>
        <v>2006</v>
      </c>
      <c r="C21" s="64">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120975702</v>
      </c>
      <c r="D21" s="442"/>
      <c r="E21" s="64">
        <f>+D21+C21</f>
        <v>120975702</v>
      </c>
      <c r="F21" s="64">
        <f>+IF($B$18='2. Customer Classes'!$B$18,+SUM('3. Consumption by Rate Class'!$M$25:$M$36),+IF($B$18='2. Customer Classes'!$B$19,+SUM('3. Consumption by Rate Class'!$P$25:$P$36),IF($B$18='2. Customer Classes'!$B$20,+SUM('3. Consumption by Rate Class'!$S$25:$S$36),0)))</f>
        <v>297477.3</v>
      </c>
      <c r="G21" s="64">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145.5</v>
      </c>
      <c r="H21" s="373">
        <f>IF(F21&gt;0,+E21/G21,0)</f>
        <v>831448.12371134025</v>
      </c>
      <c r="I21" s="376">
        <f>IF(F21&gt;0,+F21/G21,0)</f>
        <v>2044.5175257731958</v>
      </c>
      <c r="J21" s="339">
        <f>IF(F21&gt;0,+F21/E21,0)</f>
        <v>2.4589838709925403E-3</v>
      </c>
      <c r="K21" s="183"/>
      <c r="L21" s="183"/>
      <c r="M21" s="192">
        <f t="shared" ref="M21:M32" si="0">B21</f>
        <v>2006</v>
      </c>
      <c r="N21" s="64">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1923289.8225330669</v>
      </c>
      <c r="O21" s="442"/>
      <c r="P21" s="64">
        <f>+N21+O21</f>
        <v>1923289.8225330669</v>
      </c>
      <c r="Q21" s="222">
        <f>+IF($M$18='2. Customer Classes'!$B$18,+SUM('3. Consumption by Rate Class'!$M$25:$M$36),+IF($M$18='2. Customer Classes'!$B$19,+SUM('3. Consumption by Rate Class'!$P$25:$P$36),IF($M$18='2. Customer Classes'!$B$20,+SUM('3. Consumption by Rate Class'!$S$25:$S$36),0)))</f>
        <v>5221.5</v>
      </c>
      <c r="R21" s="22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2671</v>
      </c>
      <c r="S21" s="373">
        <f>IF(Q21&gt;0,+P21/R21,0)</f>
        <v>720.06358013218528</v>
      </c>
      <c r="T21" s="376">
        <f>IF(Q21&gt;0,+Q21/R21,0)</f>
        <v>1.9548858105578435</v>
      </c>
      <c r="U21" s="339">
        <f>IF(Q21&gt;0,+Q21/P21,0)</f>
        <v>2.7148794418945287E-3</v>
      </c>
      <c r="V21" s="58"/>
      <c r="W21" s="192">
        <f t="shared" ref="W21:W32" si="1">B21</f>
        <v>2006</v>
      </c>
      <c r="X21" s="64">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76063.696059073991</v>
      </c>
      <c r="Y21" s="442"/>
      <c r="Z21" s="64">
        <f>+X21+Y21</f>
        <v>76063.696059073991</v>
      </c>
      <c r="AA21" s="222">
        <f>+IF($W$18='2. Customer Classes'!$B$18,+SUM('3. Consumption by Rate Class'!$M$25:$M$36),+IF($W$18='2. Customer Classes'!$B$19,+SUM('3. Consumption by Rate Class'!$P$25:$P$36),IF($W$18='2. Customer Classes'!$B$20,+SUM('3. Consumption by Rate Class'!$S$25:$S$36),0)))</f>
        <v>211.35349632855065</v>
      </c>
      <c r="AB21" s="22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55</v>
      </c>
      <c r="AC21" s="373">
        <f>IF(AA21&gt;0,+Z21/AB21,0)</f>
        <v>1382.9762919831635</v>
      </c>
      <c r="AD21" s="376">
        <f>IF(AA21&gt;0,+AA21/AB21,0)</f>
        <v>3.8427908423372843</v>
      </c>
      <c r="AE21" s="339">
        <f>IF(AA21&gt;0,+AA21/Z21,0)</f>
        <v>2.7786382634418052E-3</v>
      </c>
      <c r="AG21" s="354">
        <f>+B21</f>
        <v>2006</v>
      </c>
      <c r="AH21" s="64">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23443190</v>
      </c>
      <c r="AI21" s="442"/>
      <c r="AJ21" s="64">
        <f>+AH21+AI21</f>
        <v>23443190</v>
      </c>
      <c r="AK21" s="222">
        <f>+IF($AG$18='2. Customer Classes'!$B$18,+SUM('3. Consumption by Rate Class'!$M$25:$M$36),+IF($AG$18='2. Customer Classes'!$B$19,+SUM('3. Consumption by Rate Class'!$P$25:$P$36),IF($AG$18='2. Customer Classes'!$B$20,+SUM('3. Consumption by Rate Class'!$S$25:$S$36),IF($AG$18='2. Customer Classes'!$B$21,+SUM('3. Consumption by Rate Class'!$V$25:$V$36),0))))</f>
        <v>48478.95</v>
      </c>
      <c r="AL21" s="22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73">
        <f>IF(AK21&gt;0,+AJ21/AL21,0)</f>
        <v>23443190</v>
      </c>
      <c r="AN21" s="376">
        <f>IF(AK21&gt;0,+AK21/AL21,0)</f>
        <v>48478.95</v>
      </c>
      <c r="AO21" s="339">
        <f>IF(AK21&gt;0,+AK21/AJ21,0)</f>
        <v>2.0679331609733996E-3</v>
      </c>
      <c r="AQ21" s="354">
        <f>+B21</f>
        <v>2006</v>
      </c>
      <c r="AR21" s="64">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595250.77752402704</v>
      </c>
      <c r="AS21" s="442"/>
      <c r="AT21" s="64">
        <f>+AR21+AS21</f>
        <v>595250.77752402704</v>
      </c>
      <c r="AU21" s="222">
        <f>+IF($AQ$18='2. Customer Classes'!$B$18,+SUM('3. Consumption by Rate Class'!$M$25:$M$36),+IF($AQ$18='2. Customer Classes'!$B$19,+SUM('3. Consumption by Rate Class'!$P$25:$P$36),IF($AQ$18='2. Customer Classes'!$B$20,+SUM('3. Consumption by Rate Class'!$S$25:$S$36),0)))</f>
        <v>0</v>
      </c>
      <c r="AV21" s="22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68.5</v>
      </c>
      <c r="AW21" s="373">
        <f>IF(AV21&gt;0,+AT21/AV21,0)</f>
        <v>8689.7923726135341</v>
      </c>
      <c r="AX21" s="376">
        <f>IF(AU21&gt;0,+AU21/AV21,0)</f>
        <v>0</v>
      </c>
      <c r="AY21" s="339">
        <f>IF(AU21&gt;0,+AU21/AT21,0)</f>
        <v>0</v>
      </c>
    </row>
    <row r="22" spans="2:51" ht="12.75" customHeight="1" x14ac:dyDescent="0.2">
      <c r="B22" s="192">
        <f>'4. Customer Growth'!B18</f>
        <v>2007</v>
      </c>
      <c r="C22" s="64">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122417181</v>
      </c>
      <c r="D22" s="442"/>
      <c r="E22" s="64">
        <f t="shared" ref="E22:E32" si="2">+D22+C22</f>
        <v>122417181</v>
      </c>
      <c r="F22" s="64">
        <f>+IF($B$18='2. Customer Classes'!$B$18,+SUM('3. Consumption by Rate Class'!$M$37:$M$48),+IF($B$18='2. Customer Classes'!$B$19,+SUM('3. Consumption by Rate Class'!$P$37:$P$48),IF($B$18='2. Customer Classes'!$B$20,+SUM('3. Consumption by Rate Class'!$S$37:$S$48),0)))</f>
        <v>300809.10000000003</v>
      </c>
      <c r="G22" s="64">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147.5</v>
      </c>
      <c r="H22" s="373">
        <f t="shared" ref="H22:H32" si="3">IF(F22&gt;0,+E22/G22,0)</f>
        <v>829946.98983050848</v>
      </c>
      <c r="I22" s="376">
        <f t="shared" ref="I22:I32" si="4">IF(F22&gt;0,+F22/G22,0)</f>
        <v>2039.3837288135596</v>
      </c>
      <c r="J22" s="339">
        <f t="shared" ref="J22:J30" si="5">IF(F22&gt;0,+F22/E22,0)</f>
        <v>2.457245768467745E-3</v>
      </c>
      <c r="K22" s="183"/>
      <c r="L22" s="183"/>
      <c r="M22" s="192">
        <f t="shared" si="0"/>
        <v>2007</v>
      </c>
      <c r="N22" s="64">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1931928</v>
      </c>
      <c r="O22" s="442"/>
      <c r="P22" s="64">
        <f t="shared" ref="P22:P32" si="6">+N22+O22</f>
        <v>1931928</v>
      </c>
      <c r="Q22" s="222">
        <f>+IF($M$18='2. Customer Classes'!$B$18,+SUM('3. Consumption by Rate Class'!$M$37:$M$48),+IF($M$18='2. Customer Classes'!$B$19,+SUM('3. Consumption by Rate Class'!$P$37:$P$48),IF($M$18='2. Customer Classes'!$B$20,+SUM('3. Consumption by Rate Class'!$S$37:$S$48),0)))</f>
        <v>5239.8999999999996</v>
      </c>
      <c r="R22" s="22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2743</v>
      </c>
      <c r="S22" s="373">
        <f t="shared" ref="S22:S32" si="7">IF(Q22&gt;0,+P22/R22,0)</f>
        <v>704.31206707983961</v>
      </c>
      <c r="T22" s="376">
        <f t="shared" ref="T22:T32" si="8">IF(Q22&gt;0,+Q22/R22,0)</f>
        <v>1.9102807145461174</v>
      </c>
      <c r="U22" s="339">
        <f t="shared" ref="U22:U32" si="9">IF(Q22&gt;0,+Q22/P22,0)</f>
        <v>2.7122646392619184E-3</v>
      </c>
      <c r="V22" s="58"/>
      <c r="W22" s="192">
        <f t="shared" si="1"/>
        <v>2007</v>
      </c>
      <c r="X22" s="64">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76442.150921409208</v>
      </c>
      <c r="Y22" s="442"/>
      <c r="Z22" s="64">
        <f t="shared" ref="Z22:Z32" si="10">+X22+Y22</f>
        <v>76442.150921409208</v>
      </c>
      <c r="AA22" s="222">
        <f>+IF($W$18='2. Customer Classes'!$B$18,+SUM('3. Consumption by Rate Class'!$M$37:$M$48),+IF($W$18='2. Customer Classes'!$B$19,+SUM('3. Consumption by Rate Class'!$P$37:$P$48),IF($W$18='2. Customer Classes'!$B$20,+SUM('3. Consumption by Rate Class'!$S$37:$S$48),0)))</f>
        <v>212.33930811502557</v>
      </c>
      <c r="AB22" s="22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55</v>
      </c>
      <c r="AC22" s="373">
        <f t="shared" ref="AC22:AC32" si="11">IF(AA22&gt;0,+Z22/AB22,0)</f>
        <v>1389.8572894801673</v>
      </c>
      <c r="AD22" s="376">
        <f t="shared" ref="AD22:AD32" si="12">IF(AA22&gt;0,+AA22/AB22,0)</f>
        <v>3.8607146930004648</v>
      </c>
      <c r="AE22" s="339">
        <f t="shared" ref="AE22:AE32" si="13">IF(AA22&gt;0,+AA22/Z22,0)</f>
        <v>2.7777777777777779E-3</v>
      </c>
      <c r="AG22" s="354">
        <f t="shared" ref="AG22:AG32" si="14">+B22</f>
        <v>2007</v>
      </c>
      <c r="AH22" s="64">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20583615.100000001</v>
      </c>
      <c r="AI22" s="442"/>
      <c r="AJ22" s="64">
        <f t="shared" ref="AJ22:AJ32" si="15">+AH22+AI22</f>
        <v>20583615.100000001</v>
      </c>
      <c r="AK22" s="222">
        <f>+IF($AG$18='2. Customer Classes'!$B$18,+SUM('3. Consumption by Rate Class'!$M$37:$M$48),+IF($AG$18='2. Customer Classes'!$B$19,+SUM('3. Consumption by Rate Class'!$P$37:$P$48),IF($AG$18='2. Customer Classes'!$B$20,+SUM('3. Consumption by Rate Class'!$S$37:$S$48),IF($AG$18='2. Customer Classes'!$B$21,+SUM('3. Consumption by Rate Class'!$V$37:$V$48),0))))</f>
        <v>46226.600000000006</v>
      </c>
      <c r="AL22" s="22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73">
        <f>IF(AK22&gt;0,+AJ22/AL22,0)</f>
        <v>20583615.100000001</v>
      </c>
      <c r="AN22" s="376">
        <f t="shared" ref="AN22:AN32" si="16">IF(AK22&gt;0,+AK22/AL22,0)</f>
        <v>46226.600000000006</v>
      </c>
      <c r="AO22" s="339">
        <f t="shared" ref="AO22:AO32" si="17">IF(AK22&gt;0,+AK22/AJ22,0)</f>
        <v>2.2457959777920644E-3</v>
      </c>
      <c r="AQ22" s="354">
        <f t="shared" ref="AQ22:AQ32" si="18">+B22</f>
        <v>2007</v>
      </c>
      <c r="AR22" s="64">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605328</v>
      </c>
      <c r="AS22" s="442"/>
      <c r="AT22" s="64">
        <f t="shared" ref="AT22:AT32" si="19">+AR22+AS22</f>
        <v>605328</v>
      </c>
      <c r="AU22" s="222">
        <f>+IF($AQ$18='2. Customer Classes'!$B$18,+SUM('3. Consumption by Rate Class'!$M$37:$M$48),+IF($AQ$18='2. Customer Classes'!$B$19,+SUM('3. Consumption by Rate Class'!$P$37:$P$48),IF($AQ$18='2. Customer Classes'!$B$20,+SUM('3. Consumption by Rate Class'!$S$37:$S$48),0)))</f>
        <v>0</v>
      </c>
      <c r="AV22" s="22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80.5</v>
      </c>
      <c r="AW22" s="373">
        <f t="shared" ref="AW22:AW32" si="20">IF(AV22&gt;0,+AT22/AV22,0)</f>
        <v>7519.6024844720496</v>
      </c>
      <c r="AX22" s="376">
        <f t="shared" ref="AX22:AX32" si="21">IF(AU22&gt;0,+AU22/AV22,0)</f>
        <v>0</v>
      </c>
      <c r="AY22" s="339">
        <f t="shared" ref="AY22:AY30" si="22">IF(AU22&gt;0,+AU22/AT22,0)</f>
        <v>0</v>
      </c>
    </row>
    <row r="23" spans="2:51" ht="12.75" customHeight="1" x14ac:dyDescent="0.2">
      <c r="B23" s="192">
        <f>'4. Customer Growth'!B19</f>
        <v>2008</v>
      </c>
      <c r="C23" s="64">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121003376</v>
      </c>
      <c r="D23" s="442"/>
      <c r="E23" s="64">
        <f t="shared" si="2"/>
        <v>121003376</v>
      </c>
      <c r="F23" s="64">
        <f>+IF($B$18='2. Customer Classes'!$B$18,+SUM('3. Consumption by Rate Class'!$M$49:$M$60),+IF($B$18='2. Customer Classes'!$B$19,+SUM('3. Consumption by Rate Class'!$P$49:$P$60),IF($B$18='2. Customer Classes'!$B$20,+SUM('3. Consumption by Rate Class'!$S$49:$S$60),0)))</f>
        <v>298912.40000000002</v>
      </c>
      <c r="G23" s="64">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133</v>
      </c>
      <c r="H23" s="373">
        <f t="shared" si="3"/>
        <v>909799.81954887218</v>
      </c>
      <c r="I23" s="376">
        <f t="shared" si="4"/>
        <v>2247.4616541353384</v>
      </c>
      <c r="J23" s="339">
        <f t="shared" si="5"/>
        <v>2.4702814903280056E-3</v>
      </c>
      <c r="K23" s="183"/>
      <c r="L23" s="183"/>
      <c r="M23" s="192">
        <f t="shared" si="0"/>
        <v>2008</v>
      </c>
      <c r="N23" s="64">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1867799.5215356699</v>
      </c>
      <c r="O23" s="442"/>
      <c r="P23" s="64">
        <f t="shared" si="6"/>
        <v>1867799.5215356699</v>
      </c>
      <c r="Q23" s="222">
        <f>+IF($M$18='2. Customer Classes'!$B$18,+SUM('3. Consumption by Rate Class'!$M$49:$M$60),+IF($M$18='2. Customer Classes'!$B$19,+SUM('3. Consumption by Rate Class'!$P$49:$P$60),IF($M$18='2. Customer Classes'!$B$20,+SUM('3. Consumption by Rate Class'!$S$49:$S$60),0)))</f>
        <v>5091.2000000000007</v>
      </c>
      <c r="R23" s="22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2793</v>
      </c>
      <c r="S23" s="373">
        <f t="shared" si="7"/>
        <v>668.74311548001072</v>
      </c>
      <c r="T23" s="376">
        <f t="shared" si="8"/>
        <v>1.8228428213390622</v>
      </c>
      <c r="U23" s="339">
        <f t="shared" si="9"/>
        <v>2.7257743356814391E-3</v>
      </c>
      <c r="V23" s="58"/>
      <c r="W23" s="192">
        <f t="shared" si="1"/>
        <v>2008</v>
      </c>
      <c r="X23" s="64">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81053.799492218415</v>
      </c>
      <c r="Y23" s="442"/>
      <c r="Z23" s="64">
        <f t="shared" si="10"/>
        <v>81053.799492218415</v>
      </c>
      <c r="AA23" s="222">
        <f>+IF($W$18='2. Customer Classes'!$B$18,+SUM('3. Consumption by Rate Class'!$M$49:$M$60),+IF($W$18='2. Customer Classes'!$B$19,+SUM('3. Consumption by Rate Class'!$P$49:$P$60),IF($W$18='2. Customer Classes'!$B$20,+SUM('3. Consumption by Rate Class'!$S$49:$S$60),0)))</f>
        <v>225.03441398199672</v>
      </c>
      <c r="AB23" s="22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58</v>
      </c>
      <c r="AC23" s="373">
        <f t="shared" si="11"/>
        <v>1397.4793015899727</v>
      </c>
      <c r="AD23" s="376">
        <f t="shared" si="12"/>
        <v>3.8799036893447711</v>
      </c>
      <c r="AE23" s="339">
        <f t="shared" si="13"/>
        <v>2.7763586086251416E-3</v>
      </c>
      <c r="AG23" s="354">
        <f t="shared" si="14"/>
        <v>2008</v>
      </c>
      <c r="AH23" s="64">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18805505.400000002</v>
      </c>
      <c r="AI23" s="442"/>
      <c r="AJ23" s="64">
        <f t="shared" si="15"/>
        <v>18805505.400000002</v>
      </c>
      <c r="AK23" s="222">
        <f>+IF($AG$18='2. Customer Classes'!$B$18,+SUM('3. Consumption by Rate Class'!$M$49:$M$60),+IF($AG$18='2. Customer Classes'!$B$19,+SUM('3. Consumption by Rate Class'!$P$49:$P$60),IF($AG$18='2. Customer Classes'!$B$20,+SUM('3. Consumption by Rate Class'!$S$49:$S$60),IF($AG$18='2. Customer Classes'!$B$21,+SUM('3. Consumption by Rate Class'!$V$49:$V$60),0))))</f>
        <v>40463.800000000003</v>
      </c>
      <c r="AL23" s="22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73">
        <f t="shared" ref="AM23:AM32" si="23">IF(AK23&gt;0,+AJ23/AL23,0)</f>
        <v>18805505.400000002</v>
      </c>
      <c r="AN23" s="376">
        <f t="shared" si="16"/>
        <v>40463.800000000003</v>
      </c>
      <c r="AO23" s="339">
        <f t="shared" si="17"/>
        <v>2.1516996825833778E-3</v>
      </c>
      <c r="AQ23" s="354">
        <f t="shared" si="18"/>
        <v>2008</v>
      </c>
      <c r="AR23" s="64">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720399.74271798297</v>
      </c>
      <c r="AS23" s="442"/>
      <c r="AT23" s="64">
        <f t="shared" si="19"/>
        <v>720399.74271798297</v>
      </c>
      <c r="AU23" s="222">
        <f>+IF($AQ$18='2. Customer Classes'!$B$18,+SUM('3. Consumption by Rate Class'!$M$49:$M$60),+IF($AQ$18='2. Customer Classes'!$B$19,+SUM('3. Consumption by Rate Class'!$P$49:$P$60),IF($AQ$18='2. Customer Classes'!$B$20,+SUM('3. Consumption by Rate Class'!$S$49:$S$60),0)))</f>
        <v>0</v>
      </c>
      <c r="AV23" s="22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90</v>
      </c>
      <c r="AW23" s="373">
        <f t="shared" si="20"/>
        <v>8004.4415857553668</v>
      </c>
      <c r="AX23" s="376">
        <f t="shared" si="21"/>
        <v>0</v>
      </c>
      <c r="AY23" s="339">
        <f t="shared" si="22"/>
        <v>0</v>
      </c>
    </row>
    <row r="24" spans="2:51" ht="12.75" customHeight="1" x14ac:dyDescent="0.2">
      <c r="B24" s="192">
        <f>'4. Customer Growth'!B20</f>
        <v>2009</v>
      </c>
      <c r="C24" s="64">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114875960</v>
      </c>
      <c r="D24" s="442"/>
      <c r="E24" s="64">
        <f t="shared" si="2"/>
        <v>114875960</v>
      </c>
      <c r="F24" s="64">
        <f>+IF($B$18='2. Customer Classes'!$B$18,+SUM('3. Consumption by Rate Class'!$M$61:$M$72),+IF($B$18='2. Customer Classes'!$B$19,+SUM('3. Consumption by Rate Class'!$P$61:$P$72),IF($B$18='2. Customer Classes'!$B$20,+SUM('3. Consumption by Rate Class'!$S$61:$S$72),0)))</f>
        <v>290142.59999999992</v>
      </c>
      <c r="G24" s="64">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129.5</v>
      </c>
      <c r="H24" s="373">
        <f t="shared" si="3"/>
        <v>887073.05019305018</v>
      </c>
      <c r="I24" s="376">
        <f t="shared" si="4"/>
        <v>2240.483397683397</v>
      </c>
      <c r="J24" s="339">
        <f t="shared" si="5"/>
        <v>2.5257033760588371E-3</v>
      </c>
      <c r="K24" s="183"/>
      <c r="L24" s="183"/>
      <c r="M24" s="192">
        <f t="shared" si="0"/>
        <v>2009</v>
      </c>
      <c r="N24" s="64">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1350901.1708566549</v>
      </c>
      <c r="O24" s="442"/>
      <c r="P24" s="64">
        <f t="shared" si="6"/>
        <v>1350901.1708566549</v>
      </c>
      <c r="Q24" s="222">
        <f>+IF($M$18='2. Customer Classes'!$B$18,+SUM('3. Consumption by Rate Class'!$M$61:$M$72),+IF($M$18='2. Customer Classes'!$B$19,+SUM('3. Consumption by Rate Class'!$P$61:$P$72),IF($M$18='2. Customer Classes'!$B$20,+SUM('3. Consumption by Rate Class'!$S$61:$S$72),0)))</f>
        <v>3654.0999999999995</v>
      </c>
      <c r="R24" s="22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2815.5</v>
      </c>
      <c r="S24" s="373">
        <f t="shared" si="7"/>
        <v>479.80862044278274</v>
      </c>
      <c r="T24" s="376">
        <f t="shared" si="8"/>
        <v>1.2978511809625286</v>
      </c>
      <c r="U24" s="339">
        <f t="shared" si="9"/>
        <v>2.7049351046774233E-3</v>
      </c>
      <c r="V24" s="58"/>
      <c r="W24" s="192">
        <f t="shared" si="1"/>
        <v>2009</v>
      </c>
      <c r="X24" s="64">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78799.687128734338</v>
      </c>
      <c r="Y24" s="442"/>
      <c r="Z24" s="64">
        <f t="shared" si="10"/>
        <v>78799.687128734338</v>
      </c>
      <c r="AA24" s="536">
        <f>+IF($W$18='2. Customer Classes'!$B$18,+SUM('3. Consumption by Rate Class'!$M$61:$M$72),+IF($W$18='2. Customer Classes'!$B$19,+SUM('3. Consumption by Rate Class'!$P$61:$P$72),IF($W$18='2. Customer Classes'!$B$20,+SUM('3. Consumption by Rate Class'!$S$61:$S$72),0)))</f>
        <v>222.10830015479695</v>
      </c>
      <c r="AB24" s="22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59.5</v>
      </c>
      <c r="AC24" s="373">
        <f t="shared" si="11"/>
        <v>1324.3644895585603</v>
      </c>
      <c r="AD24" s="376">
        <f t="shared" si="12"/>
        <v>3.7329126076436463</v>
      </c>
      <c r="AE24" s="339">
        <f t="shared" si="13"/>
        <v>2.8186444419752662E-3</v>
      </c>
      <c r="AG24" s="354">
        <f t="shared" si="14"/>
        <v>2009</v>
      </c>
      <c r="AH24" s="64">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19554366.59</v>
      </c>
      <c r="AI24" s="442"/>
      <c r="AJ24" s="64">
        <f t="shared" si="15"/>
        <v>19554366.59</v>
      </c>
      <c r="AK24" s="222">
        <f>+IF($AG$18='2. Customer Classes'!$B$18,+SUM('3. Consumption by Rate Class'!$M$61:$M$72),+IF($AG$18='2. Customer Classes'!$B$19,+SUM('3. Consumption by Rate Class'!$P$61:$P$72),IF($AG$18='2. Customer Classes'!$B$20,+SUM('3. Consumption by Rate Class'!$S$61:$S$72),IF($AG$18='2. Customer Classes'!$B$21,+SUM('3. Consumption by Rate Class'!$V$61:$V$72),0))))</f>
        <v>49628.899999999994</v>
      </c>
      <c r="AL24" s="22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73">
        <f t="shared" si="23"/>
        <v>19554366.59</v>
      </c>
      <c r="AN24" s="376">
        <f t="shared" si="16"/>
        <v>49628.899999999994</v>
      </c>
      <c r="AO24" s="339">
        <f t="shared" si="17"/>
        <v>2.537995785830258E-3</v>
      </c>
      <c r="AQ24" s="354">
        <f t="shared" si="18"/>
        <v>2009</v>
      </c>
      <c r="AR24" s="64">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747874.03424722515</v>
      </c>
      <c r="AS24" s="442"/>
      <c r="AT24" s="64">
        <f t="shared" si="19"/>
        <v>747874.03424722515</v>
      </c>
      <c r="AU24" s="222">
        <f>+IF($AQ$18='2. Customer Classes'!$B$18,+SUM('3. Consumption by Rate Class'!$M$61:$M$72),+IF($AQ$18='2. Customer Classes'!$B$19,+SUM('3. Consumption by Rate Class'!$P$61:$P$72),IF($AQ$18='2. Customer Classes'!$B$20,+SUM('3. Consumption by Rate Class'!$S$61:$S$72),0)))</f>
        <v>0</v>
      </c>
      <c r="AV24" s="22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95.5</v>
      </c>
      <c r="AW24" s="373">
        <f t="shared" si="20"/>
        <v>7831.1417198662321</v>
      </c>
      <c r="AX24" s="376">
        <f t="shared" si="21"/>
        <v>0</v>
      </c>
      <c r="AY24" s="339">
        <f t="shared" si="22"/>
        <v>0</v>
      </c>
    </row>
    <row r="25" spans="2:51" ht="12.75" customHeight="1" x14ac:dyDescent="0.2">
      <c r="B25" s="192">
        <f>'4. Customer Growth'!B21</f>
        <v>2010</v>
      </c>
      <c r="C25" s="64">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120290733</v>
      </c>
      <c r="D25" s="442"/>
      <c r="E25" s="64">
        <f t="shared" si="2"/>
        <v>120290733</v>
      </c>
      <c r="F25" s="64">
        <f>+IF($B$18='2. Customer Classes'!$B$18,+SUM('3. Consumption by Rate Class'!$M$73:$M$84),+IF($B$18='2. Customer Classes'!$B$19,+SUM('3. Consumption by Rate Class'!$P$73:$P$84),IF($B$18='2. Customer Classes'!$B$20,+SUM('3. Consumption by Rate Class'!$S$73:$S$84),0)))</f>
        <v>299040.51</v>
      </c>
      <c r="G25" s="64">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131</v>
      </c>
      <c r="H25" s="373">
        <f t="shared" si="3"/>
        <v>918249.87022900768</v>
      </c>
      <c r="I25" s="376">
        <f t="shared" si="4"/>
        <v>2282.7519847328244</v>
      </c>
      <c r="J25" s="339">
        <f t="shared" si="5"/>
        <v>2.4859812767123136E-3</v>
      </c>
      <c r="K25" s="183"/>
      <c r="L25" s="183"/>
      <c r="M25" s="192">
        <f t="shared" si="0"/>
        <v>2010</v>
      </c>
      <c r="N25" s="64">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1194281.7307655821</v>
      </c>
      <c r="O25" s="442"/>
      <c r="P25" s="64">
        <f t="shared" si="6"/>
        <v>1194281.7307655821</v>
      </c>
      <c r="Q25" s="222">
        <f>+IF($M$18='2. Customer Classes'!$B$18,+SUM('3. Consumption by Rate Class'!$M$73:$M$84),+IF($M$18='2. Customer Classes'!$B$19,+SUM('3. Consumption by Rate Class'!$P$73:$P$84),IF($M$18='2. Customer Classes'!$B$20,+SUM('3. Consumption by Rate Class'!$S$73:$S$84),0)))</f>
        <v>3301.8999999999992</v>
      </c>
      <c r="R25" s="22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2752</v>
      </c>
      <c r="S25" s="373">
        <f t="shared" si="7"/>
        <v>433.96865216772602</v>
      </c>
      <c r="T25" s="376">
        <f t="shared" si="8"/>
        <v>1.1998183139534881</v>
      </c>
      <c r="U25" s="339">
        <f t="shared" si="9"/>
        <v>2.7647580256321513E-3</v>
      </c>
      <c r="V25" s="58"/>
      <c r="W25" s="192">
        <f t="shared" si="1"/>
        <v>2010</v>
      </c>
      <c r="X25" s="64">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54122.065561244759</v>
      </c>
      <c r="Y25" s="442"/>
      <c r="Z25" s="64">
        <f t="shared" si="10"/>
        <v>54122.065561244759</v>
      </c>
      <c r="AA25" s="222">
        <f>+IF($W$18='2. Customer Classes'!$B$18,+SUM('3. Consumption by Rate Class'!$M$73:$M$84),+IF($W$18='2. Customer Classes'!$B$19,+SUM('3. Consumption by Rate Class'!$P$73:$P$84),IF($W$18='2. Customer Classes'!$B$20,+SUM('3. Consumption by Rate Class'!$S$73:$S$84),0)))</f>
        <v>219.09108054779566</v>
      </c>
      <c r="AB25" s="22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55</v>
      </c>
      <c r="AC25" s="373">
        <f t="shared" si="11"/>
        <v>984.03755565899564</v>
      </c>
      <c r="AD25" s="376">
        <f t="shared" si="12"/>
        <v>3.9834741917781029</v>
      </c>
      <c r="AE25" s="339">
        <f t="shared" si="13"/>
        <v>4.0480916290948146E-3</v>
      </c>
      <c r="AG25" s="354">
        <f t="shared" si="14"/>
        <v>2010</v>
      </c>
      <c r="AH25" s="64">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19036344.470000003</v>
      </c>
      <c r="AI25" s="442"/>
      <c r="AJ25" s="64">
        <f t="shared" si="15"/>
        <v>19036344.470000003</v>
      </c>
      <c r="AK25" s="222">
        <f>+IF($AG$18='2. Customer Classes'!$B$18,+SUM('3. Consumption by Rate Class'!$M$73:$M$84),+IF($AG$18='2. Customer Classes'!$B$19,+SUM('3. Consumption by Rate Class'!$P$73:$P$84),IF($AG$18='2. Customer Classes'!$B$20,+SUM('3. Consumption by Rate Class'!$S$73:$S$84),IF($AG$18='2. Customer Classes'!$B$21,+SUM('3. Consumption by Rate Class'!$V$73:$V$84),0))))</f>
        <v>45255.720000000008</v>
      </c>
      <c r="AL25" s="22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73">
        <f t="shared" si="23"/>
        <v>19036344.470000003</v>
      </c>
      <c r="AN25" s="376">
        <f t="shared" si="16"/>
        <v>45255.720000000008</v>
      </c>
      <c r="AO25" s="339">
        <f t="shared" si="17"/>
        <v>2.3773324795272528E-3</v>
      </c>
      <c r="AQ25" s="354">
        <f t="shared" si="18"/>
        <v>2010</v>
      </c>
      <c r="AR25" s="64">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716622.84621952369</v>
      </c>
      <c r="AS25" s="442"/>
      <c r="AT25" s="64">
        <f t="shared" si="19"/>
        <v>716622.84621952369</v>
      </c>
      <c r="AU25" s="222">
        <f>+IF($AQ$18='2. Customer Classes'!$B$18,+SUM('3. Consumption by Rate Class'!$M$73:$M$84),+IF($AQ$18='2. Customer Classes'!$B$19,+SUM('3. Consumption by Rate Class'!$P$73:$P$84),IF($AQ$18='2. Customer Classes'!$B$20,+SUM('3. Consumption by Rate Class'!$S$73:$S$84),0)))</f>
        <v>0</v>
      </c>
      <c r="AV25" s="22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95</v>
      </c>
      <c r="AW25" s="373">
        <f t="shared" si="20"/>
        <v>7543.3983812581446</v>
      </c>
      <c r="AX25" s="376">
        <f t="shared" si="21"/>
        <v>0</v>
      </c>
      <c r="AY25" s="339">
        <f t="shared" si="22"/>
        <v>0</v>
      </c>
    </row>
    <row r="26" spans="2:51" ht="12.75" customHeight="1" x14ac:dyDescent="0.2">
      <c r="B26" s="192">
        <f>'4. Customer Growth'!B22</f>
        <v>2011</v>
      </c>
      <c r="C26" s="64">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120834914</v>
      </c>
      <c r="D26" s="442"/>
      <c r="E26" s="64">
        <f t="shared" si="2"/>
        <v>120834914</v>
      </c>
      <c r="F26" s="64">
        <f>+IF($B$18='2. Customer Classes'!$B$18,+SUM('3. Consumption by Rate Class'!$M$85:$M$96),+IF($B$18='2. Customer Classes'!$B$19,+SUM('3. Consumption by Rate Class'!$P$85:$P$96),IF($B$18='2. Customer Classes'!$B$20,+SUM('3. Consumption by Rate Class'!$S$85:$S$96),0)))</f>
        <v>300129.30000000005</v>
      </c>
      <c r="G26" s="64">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131.5</v>
      </c>
      <c r="H26" s="373">
        <f t="shared" si="3"/>
        <v>918896.68441064644</v>
      </c>
      <c r="I26" s="376">
        <f t="shared" si="4"/>
        <v>2282.3520912547533</v>
      </c>
      <c r="J26" s="339">
        <f t="shared" si="5"/>
        <v>2.483796198174975E-3</v>
      </c>
      <c r="K26" s="183"/>
      <c r="L26" s="183"/>
      <c r="M26" s="192">
        <f t="shared" si="0"/>
        <v>2011</v>
      </c>
      <c r="N26" s="64">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1222967</v>
      </c>
      <c r="O26" s="442"/>
      <c r="P26" s="64">
        <f t="shared" si="6"/>
        <v>1222967</v>
      </c>
      <c r="Q26" s="222">
        <f>+IF($M$18='2. Customer Classes'!$B$18,+SUM('3. Consumption by Rate Class'!$M$85:$M$96),+IF($M$18='2. Customer Classes'!$B$19,+SUM('3. Consumption by Rate Class'!$P$85:$P$96),IF($M$18='2. Customer Classes'!$B$20,+SUM('3. Consumption by Rate Class'!$S$85:$S$96),0)))</f>
        <v>3321</v>
      </c>
      <c r="R26" s="22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2759</v>
      </c>
      <c r="S26" s="373">
        <f t="shared" si="7"/>
        <v>443.26458861906485</v>
      </c>
      <c r="T26" s="376">
        <f t="shared" si="8"/>
        <v>1.2036969916636462</v>
      </c>
      <c r="U26" s="339">
        <f t="shared" si="9"/>
        <v>2.7155270747289176E-3</v>
      </c>
      <c r="V26" s="58"/>
      <c r="W26" s="192">
        <f t="shared" si="1"/>
        <v>2011</v>
      </c>
      <c r="X26" s="64">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43758</v>
      </c>
      <c r="Y26" s="442"/>
      <c r="Z26" s="64">
        <f t="shared" si="10"/>
        <v>43758</v>
      </c>
      <c r="AA26" s="222">
        <f>+IF($W$18='2. Customer Classes'!$B$18,+SUM('3. Consumption by Rate Class'!$M$85:$M$96),+IF($W$18='2. Customer Classes'!$B$19,+SUM('3. Consumption by Rate Class'!$P$85:$P$96),IF($W$18='2. Customer Classes'!$B$20,+SUM('3. Consumption by Rate Class'!$S$85:$S$96),0)))</f>
        <v>132</v>
      </c>
      <c r="AB26" s="22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53</v>
      </c>
      <c r="AC26" s="373">
        <f t="shared" si="11"/>
        <v>825.62264150943395</v>
      </c>
      <c r="AD26" s="376">
        <f t="shared" si="12"/>
        <v>2.4905660377358489</v>
      </c>
      <c r="AE26" s="339">
        <f t="shared" si="13"/>
        <v>3.0165912518853697E-3</v>
      </c>
      <c r="AG26" s="354">
        <f t="shared" si="14"/>
        <v>2011</v>
      </c>
      <c r="AH26" s="64">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15051682</v>
      </c>
      <c r="AI26" s="442"/>
      <c r="AJ26" s="64">
        <f t="shared" si="15"/>
        <v>15051682</v>
      </c>
      <c r="AK26" s="222">
        <f>+IF($AG$18='2. Customer Classes'!$B$18,+SUM('3. Consumption by Rate Class'!$M$85:$M$96),+IF($AG$18='2. Customer Classes'!$B$19,+SUM('3. Consumption by Rate Class'!$P$85:$P$96),IF($AG$18='2. Customer Classes'!$B$20,+SUM('3. Consumption by Rate Class'!$S$85:$S$96),IF($AG$18='2. Customer Classes'!$B$21,+SUM('3. Consumption by Rate Class'!$V$85:$V$96),0))))</f>
        <v>42335.9</v>
      </c>
      <c r="AL26" s="22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73">
        <f t="shared" si="23"/>
        <v>15051682</v>
      </c>
      <c r="AN26" s="376">
        <f t="shared" si="16"/>
        <v>42335.9</v>
      </c>
      <c r="AO26" s="339">
        <f t="shared" si="17"/>
        <v>2.8127022614482557E-3</v>
      </c>
      <c r="AQ26" s="354">
        <f t="shared" si="18"/>
        <v>2011</v>
      </c>
      <c r="AR26" s="64">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659574</v>
      </c>
      <c r="AS26" s="442"/>
      <c r="AT26" s="64">
        <f t="shared" si="19"/>
        <v>659574</v>
      </c>
      <c r="AU26" s="222">
        <f>+IF($AQ$18='2. Customer Classes'!$B$18,+SUM('3. Consumption by Rate Class'!$M$85:$M$96),+IF($AQ$18='2. Customer Classes'!$B$19,+SUM('3. Consumption by Rate Class'!$P$85:$P$96),IF($AQ$18='2. Customer Classes'!$B$20,+SUM('3. Consumption by Rate Class'!$S$85:$S$96),0)))</f>
        <v>0</v>
      </c>
      <c r="AV26" s="22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96</v>
      </c>
      <c r="AW26" s="373">
        <f t="shared" si="20"/>
        <v>6870.5625</v>
      </c>
      <c r="AX26" s="376">
        <f t="shared" si="21"/>
        <v>0</v>
      </c>
      <c r="AY26" s="339">
        <f t="shared" si="22"/>
        <v>0</v>
      </c>
    </row>
    <row r="27" spans="2:51" ht="12.75" customHeight="1" x14ac:dyDescent="0.2">
      <c r="B27" s="192">
        <f>'4. Customer Growth'!B23</f>
        <v>2012</v>
      </c>
      <c r="C27" s="64">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128532327</v>
      </c>
      <c r="D27" s="442"/>
      <c r="E27" s="64">
        <f t="shared" si="2"/>
        <v>128532327</v>
      </c>
      <c r="F27" s="64">
        <f>+IF($B$18='2. Customer Classes'!$B$18,+SUM('3. Consumption by Rate Class'!$M$97:$M$108),+IF($B$18='2. Customer Classes'!$B$19,+SUM('3. Consumption by Rate Class'!$P$97:$P$108),IF($B$18='2. Customer Classes'!$B$20,+SUM('3. Consumption by Rate Class'!$S$97:$S$108),0)))</f>
        <v>322335</v>
      </c>
      <c r="G27" s="64">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137</v>
      </c>
      <c r="H27" s="373">
        <f t="shared" si="3"/>
        <v>938192.16788321163</v>
      </c>
      <c r="I27" s="376">
        <f t="shared" si="4"/>
        <v>2352.8102189781021</v>
      </c>
      <c r="J27" s="339">
        <f t="shared" si="5"/>
        <v>2.507812684352941E-3</v>
      </c>
      <c r="K27" s="183"/>
      <c r="L27" s="183"/>
      <c r="M27" s="192">
        <f t="shared" si="0"/>
        <v>2012</v>
      </c>
      <c r="N27" s="64">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1222128</v>
      </c>
      <c r="O27" s="442"/>
      <c r="P27" s="64">
        <f t="shared" si="6"/>
        <v>1222128</v>
      </c>
      <c r="Q27" s="222">
        <f>+IF($M$18='2. Customer Classes'!$B$18,+SUM('3. Consumption by Rate Class'!$M$97:$M$108),+IF($M$18='2. Customer Classes'!$B$19,+SUM('3. Consumption by Rate Class'!$P$97:$P$108),IF($M$18='2. Customer Classes'!$B$20,+SUM('3. Consumption by Rate Class'!$S$97:$S$108),0)))</f>
        <v>3340</v>
      </c>
      <c r="R27" s="22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2802</v>
      </c>
      <c r="S27" s="373">
        <f t="shared" si="7"/>
        <v>436.16274089935763</v>
      </c>
      <c r="T27" s="376">
        <f t="shared" si="8"/>
        <v>1.192005710206995</v>
      </c>
      <c r="U27" s="339">
        <f t="shared" si="9"/>
        <v>2.7329379573988975E-3</v>
      </c>
      <c r="V27" s="58"/>
      <c r="W27" s="192">
        <f t="shared" si="1"/>
        <v>2012</v>
      </c>
      <c r="X27" s="64">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41938</v>
      </c>
      <c r="Y27" s="442"/>
      <c r="Z27" s="64">
        <f t="shared" si="10"/>
        <v>41938</v>
      </c>
      <c r="AA27" s="222">
        <f>+IF($W$18='2. Customer Classes'!$B$18,+SUM('3. Consumption by Rate Class'!$M$97:$M$108),+IF($W$18='2. Customer Classes'!$B$19,+SUM('3. Consumption by Rate Class'!$P$97:$P$108),IF($W$18='2. Customer Classes'!$B$20,+SUM('3. Consumption by Rate Class'!$S$97:$S$108),0)))</f>
        <v>132</v>
      </c>
      <c r="AB27" s="22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54</v>
      </c>
      <c r="AC27" s="373">
        <f t="shared" si="11"/>
        <v>776.62962962962968</v>
      </c>
      <c r="AD27" s="376">
        <f t="shared" si="12"/>
        <v>2.4444444444444446</v>
      </c>
      <c r="AE27" s="339">
        <f t="shared" si="13"/>
        <v>3.1475034574848584E-3</v>
      </c>
      <c r="AG27" s="354">
        <f t="shared" si="14"/>
        <v>2012</v>
      </c>
      <c r="AH27" s="64">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15193348</v>
      </c>
      <c r="AI27" s="442"/>
      <c r="AJ27" s="64">
        <f t="shared" si="15"/>
        <v>15193348</v>
      </c>
      <c r="AK27" s="222">
        <f>+IF($AG$18='2. Customer Classes'!$B$18,+SUM('3. Consumption by Rate Class'!$M$97:$M$108),+IF($AG$18='2. Customer Classes'!$B$19,+SUM('3. Consumption by Rate Class'!$P$97:$P$108),IF($AG$18='2. Customer Classes'!$B$20,+SUM('3. Consumption by Rate Class'!$S$97:$S$108),IF($AG$18='2. Customer Classes'!$B$21,+SUM('3. Consumption by Rate Class'!$V$97:$V$108),0))))</f>
        <v>39662.6</v>
      </c>
      <c r="AL27" s="22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73">
        <f t="shared" si="23"/>
        <v>15193348</v>
      </c>
      <c r="AN27" s="376">
        <f t="shared" si="16"/>
        <v>39662.6</v>
      </c>
      <c r="AO27" s="339">
        <f t="shared" si="17"/>
        <v>2.6105240266990526E-3</v>
      </c>
      <c r="AQ27" s="354">
        <f t="shared" si="18"/>
        <v>2012</v>
      </c>
      <c r="AR27" s="64">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627467</v>
      </c>
      <c r="AS27" s="442"/>
      <c r="AT27" s="64">
        <f t="shared" si="19"/>
        <v>627467</v>
      </c>
      <c r="AU27" s="222">
        <f>+IF($AQ$18='2. Customer Classes'!$B$18,+SUM('3. Consumption by Rate Class'!$M$97:$M$108),+IF($AQ$18='2. Customer Classes'!$B$19,+SUM('3. Consumption by Rate Class'!$P$97:$P$108),IF($AQ$18='2. Customer Classes'!$B$20,+SUM('3. Consumption by Rate Class'!$S$97:$S$108),0)))</f>
        <v>0</v>
      </c>
      <c r="AV27" s="22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94.5</v>
      </c>
      <c r="AW27" s="373">
        <f t="shared" si="20"/>
        <v>6639.862433862434</v>
      </c>
      <c r="AX27" s="376">
        <f t="shared" si="21"/>
        <v>0</v>
      </c>
      <c r="AY27" s="339">
        <f t="shared" si="22"/>
        <v>0</v>
      </c>
    </row>
    <row r="28" spans="2:51" ht="12.75" customHeight="1" x14ac:dyDescent="0.2">
      <c r="B28" s="192">
        <f>'4. Customer Growth'!B24</f>
        <v>2013</v>
      </c>
      <c r="C28" s="64">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125354819</v>
      </c>
      <c r="D28" s="442"/>
      <c r="E28" s="64">
        <f t="shared" si="2"/>
        <v>125354819</v>
      </c>
      <c r="F28" s="64">
        <f>+IF($B$18='2. Customer Classes'!$B$18,+SUM('3. Consumption by Rate Class'!$M$109:$M$120),+IF($B$18='2. Customer Classes'!$B$19,+SUM('3. Consumption by Rate Class'!$P$109:$P$120),IF($B$18='2. Customer Classes'!$B$20,+SUM('3. Consumption by Rate Class'!$S$109:$S$120),0)))</f>
        <v>323427</v>
      </c>
      <c r="G28" s="64">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141.5</v>
      </c>
      <c r="H28" s="373">
        <f t="shared" si="3"/>
        <v>885899.78091872786</v>
      </c>
      <c r="I28" s="376">
        <f t="shared" si="4"/>
        <v>2285.7031802120141</v>
      </c>
      <c r="J28" s="339">
        <f t="shared" si="5"/>
        <v>2.5800922739156922E-3</v>
      </c>
      <c r="K28" s="183"/>
      <c r="L28" s="183"/>
      <c r="M28" s="192">
        <f t="shared" si="0"/>
        <v>2013</v>
      </c>
      <c r="N28" s="64">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1249953</v>
      </c>
      <c r="O28" s="442"/>
      <c r="P28" s="64">
        <f t="shared" si="6"/>
        <v>1249953</v>
      </c>
      <c r="Q28" s="222">
        <f>+IF($M$18='2. Customer Classes'!$B$18,+SUM('3. Consumption by Rate Class'!$M$109:$M$120),+IF($M$18='2. Customer Classes'!$B$19,+SUM('3. Consumption by Rate Class'!$P$109:$P$120),IF($M$18='2. Customer Classes'!$B$20,+SUM('3. Consumption by Rate Class'!$S$109:$S$120),0)))</f>
        <v>3386</v>
      </c>
      <c r="R28" s="22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2862</v>
      </c>
      <c r="S28" s="373">
        <f t="shared" si="7"/>
        <v>436.74109014675054</v>
      </c>
      <c r="T28" s="376">
        <f t="shared" si="8"/>
        <v>1.183088749126485</v>
      </c>
      <c r="U28" s="339">
        <f t="shared" si="9"/>
        <v>2.7089018547097371E-3</v>
      </c>
      <c r="V28" s="58"/>
      <c r="W28" s="192">
        <f t="shared" si="1"/>
        <v>2013</v>
      </c>
      <c r="X28" s="64">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44355</v>
      </c>
      <c r="Y28" s="442"/>
      <c r="Z28" s="64">
        <f t="shared" si="10"/>
        <v>44355</v>
      </c>
      <c r="AA28" s="222">
        <f>+IF($W$18='2. Customer Classes'!$B$18,+SUM('3. Consumption by Rate Class'!$M$109:$M$120),+IF($W$18='2. Customer Classes'!$B$19,+SUM('3. Consumption by Rate Class'!$P$109:$P$120),IF($W$18='2. Customer Classes'!$B$20,+SUM('3. Consumption by Rate Class'!$S$109:$S$120),0)))</f>
        <v>132</v>
      </c>
      <c r="AB28" s="22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54</v>
      </c>
      <c r="AC28" s="373">
        <f t="shared" si="11"/>
        <v>821.38888888888891</v>
      </c>
      <c r="AD28" s="376">
        <f t="shared" si="12"/>
        <v>2.4444444444444446</v>
      </c>
      <c r="AE28" s="339">
        <f t="shared" si="13"/>
        <v>2.9759891782211701E-3</v>
      </c>
      <c r="AG28" s="354">
        <f t="shared" si="14"/>
        <v>2013</v>
      </c>
      <c r="AH28" s="64">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13952451</v>
      </c>
      <c r="AI28" s="442"/>
      <c r="AJ28" s="64">
        <f t="shared" si="15"/>
        <v>13952451</v>
      </c>
      <c r="AK28" s="536">
        <f>+IF($AG$18='2. Customer Classes'!$B$18,+SUM('3. Consumption by Rate Class'!$M$109:$M$120),+IF($AG$18='2. Customer Classes'!$B$19,+SUM('3. Consumption by Rate Class'!$P$109:$P$120),IF($AG$18='2. Customer Classes'!$B$20,+SUM('3. Consumption by Rate Class'!$S$109:$S$120),IF($AG$18='2. Customer Classes'!$B$21,+SUM('3. Consumption by Rate Class'!$V$109:$V$120),0))))</f>
        <v>37942.600000000006</v>
      </c>
      <c r="AL28" s="22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73">
        <f t="shared" si="23"/>
        <v>13952451</v>
      </c>
      <c r="AN28" s="376">
        <f t="shared" si="16"/>
        <v>37942.600000000006</v>
      </c>
      <c r="AO28" s="339">
        <f t="shared" si="17"/>
        <v>2.7194218420835167E-3</v>
      </c>
      <c r="AQ28" s="354">
        <f t="shared" si="18"/>
        <v>2013</v>
      </c>
      <c r="AR28" s="64">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668402</v>
      </c>
      <c r="AS28" s="442"/>
      <c r="AT28" s="64">
        <f t="shared" si="19"/>
        <v>668402</v>
      </c>
      <c r="AU28" s="222">
        <f>+IF($AQ$18='2. Customer Classes'!$B$18,+SUM('3. Consumption by Rate Class'!$M$109:$M$120),+IF($AQ$18='2. Customer Classes'!$B$19,+SUM('3. Consumption by Rate Class'!$P$109:$P$120),IF($AQ$18='2. Customer Classes'!$B$20,+SUM('3. Consumption by Rate Class'!$S$109:$S$120),0)))</f>
        <v>0</v>
      </c>
      <c r="AV28" s="22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93.5</v>
      </c>
      <c r="AW28" s="373">
        <f t="shared" si="20"/>
        <v>7148.6844919786099</v>
      </c>
      <c r="AX28" s="376">
        <f t="shared" si="21"/>
        <v>0</v>
      </c>
      <c r="AY28" s="339">
        <f t="shared" si="22"/>
        <v>0</v>
      </c>
    </row>
    <row r="29" spans="2:51" ht="12.75" customHeight="1" x14ac:dyDescent="0.2">
      <c r="B29" s="192">
        <f>'4. Customer Growth'!B25</f>
        <v>2014</v>
      </c>
      <c r="C29" s="64">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119336146</v>
      </c>
      <c r="D29" s="442"/>
      <c r="E29" s="64">
        <f t="shared" si="2"/>
        <v>119336146</v>
      </c>
      <c r="F29" s="64">
        <f>+IF($B$18='2. Customer Classes'!$B$18,+SUM('3. Consumption by Rate Class'!$M$121:$M$132),+IF($B$18='2. Customer Classes'!$B$19,+SUM('3. Consumption by Rate Class'!$P$121:$P$132),IF($B$18='2. Customer Classes'!$B$20,+SUM('3. Consumption by Rate Class'!$S$121:$S$132),0)))</f>
        <v>314352.19999999995</v>
      </c>
      <c r="G29" s="64">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138</v>
      </c>
      <c r="H29" s="373">
        <f t="shared" si="3"/>
        <v>864754.68115942029</v>
      </c>
      <c r="I29" s="376">
        <f t="shared" si="4"/>
        <v>2277.9144927536227</v>
      </c>
      <c r="J29" s="339">
        <f t="shared" si="5"/>
        <v>2.634174225804141E-3</v>
      </c>
      <c r="K29" s="183"/>
      <c r="L29" s="183"/>
      <c r="M29" s="192">
        <f t="shared" si="0"/>
        <v>2014</v>
      </c>
      <c r="N29" s="64">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1258253</v>
      </c>
      <c r="O29" s="442"/>
      <c r="P29" s="64">
        <f t="shared" si="6"/>
        <v>1258253</v>
      </c>
      <c r="Q29" s="222">
        <f>+IF($M$18='2. Customer Classes'!$B$18,+SUM('3. Consumption by Rate Class'!$M$121:$M$132),+IF($M$18='2. Customer Classes'!$B$19,+SUM('3. Consumption by Rate Class'!$P$121:$P$132),IF($M$18='2. Customer Classes'!$B$20,+SUM('3. Consumption by Rate Class'!$S$121:$S$132),0)))</f>
        <v>3408.5999999999995</v>
      </c>
      <c r="R29" s="22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2634</v>
      </c>
      <c r="S29" s="373">
        <f t="shared" si="7"/>
        <v>477.69665907365226</v>
      </c>
      <c r="T29" s="376">
        <f t="shared" si="8"/>
        <v>1.2940774487471525</v>
      </c>
      <c r="U29" s="339">
        <f t="shared" si="9"/>
        <v>2.7089941371091501E-3</v>
      </c>
      <c r="V29" s="58"/>
      <c r="W29" s="192">
        <f t="shared" si="1"/>
        <v>2014</v>
      </c>
      <c r="X29" s="64">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42943</v>
      </c>
      <c r="Y29" s="442"/>
      <c r="Z29" s="64">
        <f t="shared" si="10"/>
        <v>42943</v>
      </c>
      <c r="AA29" s="222">
        <f>+IF($W$18='2. Customer Classes'!$B$18,+SUM('3. Consumption by Rate Class'!$M$121:$M$132),+IF($W$18='2. Customer Classes'!$B$19,+SUM('3. Consumption by Rate Class'!$P$121:$P$132),IF($W$18='2. Customer Classes'!$B$20,+SUM('3. Consumption by Rate Class'!$S$121:$S$132),0)))</f>
        <v>132</v>
      </c>
      <c r="AB29" s="22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54</v>
      </c>
      <c r="AC29" s="373">
        <f t="shared" si="11"/>
        <v>795.24074074074076</v>
      </c>
      <c r="AD29" s="376">
        <f t="shared" si="12"/>
        <v>2.4444444444444446</v>
      </c>
      <c r="AE29" s="339">
        <f t="shared" si="13"/>
        <v>3.073842069720327E-3</v>
      </c>
      <c r="AG29" s="354">
        <f t="shared" si="14"/>
        <v>2014</v>
      </c>
      <c r="AH29" s="64">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12584229</v>
      </c>
      <c r="AI29" s="442"/>
      <c r="AJ29" s="64">
        <f t="shared" si="15"/>
        <v>12584229</v>
      </c>
      <c r="AK29" s="222">
        <f>+IF($AG$18='2. Customer Classes'!$B$18,+SUM('3. Consumption by Rate Class'!$M$121:$M$132),+IF($AG$18='2. Customer Classes'!$B$19,+SUM('3. Consumption by Rate Class'!$P$121:$P$132),IF($AG$18='2. Customer Classes'!$B$20,+SUM('3. Consumption by Rate Class'!$S$121:$S$132),IF($AG$18='2. Customer Classes'!$B$21,+SUM('3. Consumption by Rate Class'!$V$121:$V$132),0))))</f>
        <v>36603.599999999999</v>
      </c>
      <c r="AL29" s="22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73">
        <f t="shared" si="23"/>
        <v>12584229</v>
      </c>
      <c r="AN29" s="376">
        <f t="shared" si="16"/>
        <v>36603.599999999999</v>
      </c>
      <c r="AO29" s="339">
        <f t="shared" si="17"/>
        <v>2.9086883272705861E-3</v>
      </c>
      <c r="AQ29" s="354">
        <f t="shared" si="18"/>
        <v>2014</v>
      </c>
      <c r="AR29" s="64">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555548</v>
      </c>
      <c r="AS29" s="442"/>
      <c r="AT29" s="64">
        <f t="shared" si="19"/>
        <v>555548</v>
      </c>
      <c r="AU29" s="222">
        <f>+IF($AQ$18='2. Customer Classes'!$B$18,+SUM('3. Consumption by Rate Class'!$M$121:$M$132),+IF($AQ$18='2. Customer Classes'!$B$19,+SUM('3. Consumption by Rate Class'!$P$121:$P$132),IF($AQ$18='2. Customer Classes'!$B$20,+SUM('3. Consumption by Rate Class'!$S$121:$S$132),0)))</f>
        <v>0</v>
      </c>
      <c r="AV29" s="22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93</v>
      </c>
      <c r="AW29" s="373">
        <f t="shared" si="20"/>
        <v>5973.6344086021509</v>
      </c>
      <c r="AX29" s="376">
        <f t="shared" si="21"/>
        <v>0</v>
      </c>
      <c r="AY29" s="339">
        <f t="shared" si="22"/>
        <v>0</v>
      </c>
    </row>
    <row r="30" spans="2:51" ht="12.75" customHeight="1" x14ac:dyDescent="0.2">
      <c r="B30" s="192">
        <f>'4. Customer Growth'!B26</f>
        <v>2015</v>
      </c>
      <c r="C30" s="64">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115685946</v>
      </c>
      <c r="D30" s="442"/>
      <c r="E30" s="64">
        <f t="shared" si="2"/>
        <v>115685946</v>
      </c>
      <c r="F30" s="64">
        <f>+IF($B$18='2. Customer Classes'!$B$18,+SUM('3. Consumption by Rate Class'!$M$133:$M$144),+IF($B$18='2. Customer Classes'!$B$19,+SUM('3. Consumption by Rate Class'!$P$133:$P$144),IF($B$18='2. Customer Classes'!$B$20,+SUM('3. Consumption by Rate Class'!$S$133:$S$144),0)))</f>
        <v>306814.40000000002</v>
      </c>
      <c r="G30" s="64">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134</v>
      </c>
      <c r="H30" s="373">
        <f t="shared" si="3"/>
        <v>863327.95522388059</v>
      </c>
      <c r="I30" s="376">
        <f t="shared" si="4"/>
        <v>2289.6597014925374</v>
      </c>
      <c r="J30" s="339">
        <f t="shared" si="5"/>
        <v>2.6521320057321398E-3</v>
      </c>
      <c r="K30" s="183"/>
      <c r="L30" s="183"/>
      <c r="M30" s="192">
        <f t="shared" si="0"/>
        <v>2015</v>
      </c>
      <c r="N30" s="64">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1439933</v>
      </c>
      <c r="O30" s="442"/>
      <c r="P30" s="64">
        <f t="shared" si="6"/>
        <v>1439933</v>
      </c>
      <c r="Q30" s="222">
        <f>+IF($M$18='2. Customer Classes'!$B$18,+SUM('3. Consumption by Rate Class'!$M$133:$M$144),+IF($M$18='2. Customer Classes'!$B$19,+SUM('3. Consumption by Rate Class'!$P$133:$P$144),IF($M$18='2. Customer Classes'!$B$20,+SUM('3. Consumption by Rate Class'!$S$133:$S$144),0)))</f>
        <v>3416</v>
      </c>
      <c r="R30" s="22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2694</v>
      </c>
      <c r="S30" s="373">
        <f t="shared" si="7"/>
        <v>534.49628804751296</v>
      </c>
      <c r="T30" s="376">
        <f t="shared" si="8"/>
        <v>1.2680029695619897</v>
      </c>
      <c r="U30" s="339">
        <f t="shared" si="9"/>
        <v>2.3723326015863237E-3</v>
      </c>
      <c r="V30" s="58"/>
      <c r="W30" s="192">
        <f t="shared" si="1"/>
        <v>2015</v>
      </c>
      <c r="X30" s="64">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43818</v>
      </c>
      <c r="Y30" s="442"/>
      <c r="Z30" s="64">
        <f t="shared" si="10"/>
        <v>43818</v>
      </c>
      <c r="AA30" s="222">
        <f>+IF($W$18='2. Customer Classes'!$B$18,+SUM('3. Consumption by Rate Class'!$M$133:$M$144),+IF($W$18='2. Customer Classes'!$B$19,+SUM('3. Consumption by Rate Class'!$P$133:$P$144),IF($W$18='2. Customer Classes'!$B$20,+SUM('3. Consumption by Rate Class'!$S$133:$S$144),0)))</f>
        <v>132</v>
      </c>
      <c r="AB30" s="22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54</v>
      </c>
      <c r="AC30" s="373">
        <f t="shared" si="11"/>
        <v>811.44444444444446</v>
      </c>
      <c r="AD30" s="376">
        <f t="shared" si="12"/>
        <v>2.4444444444444446</v>
      </c>
      <c r="AE30" s="339">
        <f t="shared" si="13"/>
        <v>3.0124606326167327E-3</v>
      </c>
      <c r="AG30" s="354">
        <f t="shared" si="14"/>
        <v>2015</v>
      </c>
      <c r="AH30" s="64">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14943860</v>
      </c>
      <c r="AI30" s="442"/>
      <c r="AJ30" s="64">
        <f t="shared" si="15"/>
        <v>14943860</v>
      </c>
      <c r="AK30" s="222">
        <f>+IF($AG$18='2. Customer Classes'!$B$18,+SUM('3. Consumption by Rate Class'!$M$133:$M$144),+IF($AG$18='2. Customer Classes'!$B$19,+SUM('3. Consumption by Rate Class'!$P$133:$P$144),IF($AG$18='2. Customer Classes'!$B$20,+SUM('3. Consumption by Rate Class'!$S$133:$S$144),IF($AG$18='2. Customer Classes'!$B$21,+SUM('3. Consumption by Rate Class'!$V$133:$V$144),0))))</f>
        <v>33867.5</v>
      </c>
      <c r="AL30" s="22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73">
        <f t="shared" si="23"/>
        <v>14943860</v>
      </c>
      <c r="AN30" s="376">
        <f t="shared" si="16"/>
        <v>33867.5</v>
      </c>
      <c r="AO30" s="339">
        <f t="shared" si="17"/>
        <v>2.2663153964236817E-3</v>
      </c>
      <c r="AQ30" s="354">
        <f t="shared" si="18"/>
        <v>2015</v>
      </c>
      <c r="AR30" s="64">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602228</v>
      </c>
      <c r="AS30" s="442"/>
      <c r="AT30" s="64">
        <f t="shared" si="19"/>
        <v>602228</v>
      </c>
      <c r="AU30" s="222">
        <f>+IF($AQ$18='2. Customer Classes'!$B$18,+SUM('3. Consumption by Rate Class'!$M$133:$M$144),+IF($AQ$18='2. Customer Classes'!$B$19,+SUM('3. Consumption by Rate Class'!$P$133:$P$144),IF($AQ$18='2. Customer Classes'!$B$20,+SUM('3. Consumption by Rate Class'!$S$133:$S$144),0)))</f>
        <v>0</v>
      </c>
      <c r="AV30" s="22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90</v>
      </c>
      <c r="AW30" s="373">
        <f t="shared" si="20"/>
        <v>6691.4222222222224</v>
      </c>
      <c r="AX30" s="376">
        <f t="shared" si="21"/>
        <v>0</v>
      </c>
      <c r="AY30" s="339">
        <f t="shared" si="22"/>
        <v>0</v>
      </c>
    </row>
    <row r="31" spans="2:51" ht="12.75" customHeight="1" x14ac:dyDescent="0.2">
      <c r="B31" s="192" t="str">
        <f>'4. Customer Growth'!B30</f>
        <v>2016</v>
      </c>
      <c r="C31" s="304">
        <f>+C30/'6. WS Regression Analysis'!$S$139*'6. WS Regression Analysis'!$S$151</f>
        <v>116816732.68110102</v>
      </c>
      <c r="D31" s="442"/>
      <c r="E31" s="64">
        <f t="shared" si="2"/>
        <v>116816732.68110102</v>
      </c>
      <c r="F31" s="281">
        <f>+E31*J34</f>
        <v>295034.71343124693</v>
      </c>
      <c r="G31" s="22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132.77969465471912</v>
      </c>
      <c r="H31" s="373">
        <f t="shared" si="3"/>
        <v>879778.59103285149</v>
      </c>
      <c r="I31" s="376">
        <f t="shared" si="4"/>
        <v>2221.9866840216528</v>
      </c>
      <c r="J31" s="339">
        <f>IF(F31&gt;0,+F31/E31,0)</f>
        <v>2.5256203170539331E-3</v>
      </c>
      <c r="K31" s="74"/>
      <c r="L31" s="74"/>
      <c r="M31" s="192" t="str">
        <f t="shared" si="0"/>
        <v>2016</v>
      </c>
      <c r="N31" s="304">
        <f>+N30/'6. WS Regression Analysis'!$S$139*'6. WS Regression Analysis'!$S$151</f>
        <v>1454007.8043680072</v>
      </c>
      <c r="O31" s="442"/>
      <c r="P31" s="496">
        <f t="shared" si="6"/>
        <v>1454007.8043680072</v>
      </c>
      <c r="Q31" s="281">
        <f>P31*$U$34</f>
        <v>3905.6547356588153</v>
      </c>
      <c r="R31" s="22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2696.567749993425</v>
      </c>
      <c r="S31" s="373">
        <f t="shared" si="7"/>
        <v>539.20685077226506</v>
      </c>
      <c r="T31" s="376">
        <f t="shared" si="8"/>
        <v>1.4483799769793799</v>
      </c>
      <c r="U31" s="339">
        <f t="shared" si="9"/>
        <v>2.6861305172680488E-3</v>
      </c>
      <c r="V31" s="58"/>
      <c r="W31" s="192" t="str">
        <f t="shared" si="1"/>
        <v>2016</v>
      </c>
      <c r="X31" s="304">
        <f>+X30/'6. WS Regression Analysis'!$S$139*'6. WS Regression Analysis'!$S$151</f>
        <v>44246.304495971228</v>
      </c>
      <c r="Y31" s="442"/>
      <c r="Z31" s="64">
        <f t="shared" si="10"/>
        <v>44246.304495971228</v>
      </c>
      <c r="AA31" s="281">
        <f>Z31*$AE$34</f>
        <v>134.62335169787229</v>
      </c>
      <c r="AB31" s="22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53.890017322054852</v>
      </c>
      <c r="AC31" s="373">
        <f t="shared" si="11"/>
        <v>821.04825150729971</v>
      </c>
      <c r="AD31" s="376">
        <f t="shared" si="12"/>
        <v>2.4981129787608509</v>
      </c>
      <c r="AE31" s="339">
        <f t="shared" si="13"/>
        <v>3.0425897310843259E-3</v>
      </c>
      <c r="AG31" s="354" t="str">
        <f t="shared" si="14"/>
        <v>2016</v>
      </c>
      <c r="AH31" s="304">
        <f>+AH30/'6. WS Regression Analysis'!$S$139*'6. WS Regression Analysis'!$S$151</f>
        <v>15089930.619954463</v>
      </c>
      <c r="AI31" s="442"/>
      <c r="AJ31" s="496">
        <f t="shared" si="15"/>
        <v>15089930.619954463</v>
      </c>
      <c r="AK31" s="304">
        <f>AJ31*$AO$34</f>
        <v>37269.727733739157</v>
      </c>
      <c r="AL31" s="22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73">
        <f t="shared" si="23"/>
        <v>15089930.619954463</v>
      </c>
      <c r="AN31" s="376">
        <f t="shared" si="16"/>
        <v>37269.727733739157</v>
      </c>
      <c r="AO31" s="339">
        <f>IF(AK31&gt;0,+AK31/AJ31,0)</f>
        <v>2.4698408940631448E-3</v>
      </c>
      <c r="AQ31" s="354" t="str">
        <f t="shared" si="18"/>
        <v>2016</v>
      </c>
      <c r="AR31" s="304">
        <f>+AR30/'6. WS Regression Analysis'!$S$139*'6. WS Regression Analysis'!$S$151</f>
        <v>608114.55255830393</v>
      </c>
      <c r="AS31" s="442"/>
      <c r="AT31" s="496">
        <f t="shared" si="19"/>
        <v>608114.55255830393</v>
      </c>
      <c r="AU31" s="304">
        <f>AT31*$AY$34</f>
        <v>0</v>
      </c>
      <c r="AV31" s="22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92.771578681015399</v>
      </c>
      <c r="AW31" s="373">
        <f t="shared" si="20"/>
        <v>6554.9660920316683</v>
      </c>
      <c r="AX31" s="376">
        <f t="shared" si="21"/>
        <v>0</v>
      </c>
      <c r="AY31" s="79"/>
    </row>
    <row r="32" spans="2:51" x14ac:dyDescent="0.2">
      <c r="B32" s="192" t="str">
        <f>'4. Customer Growth'!B31</f>
        <v>2017</v>
      </c>
      <c r="C32" s="304">
        <f>+C30/'6. WS Regression Analysis'!$S$139*'6. WS Regression Analysis'!$S$163</f>
        <v>117034027.49953394</v>
      </c>
      <c r="D32" s="442"/>
      <c r="E32" s="64">
        <f t="shared" si="2"/>
        <v>117034027.49953394</v>
      </c>
      <c r="F32" s="281">
        <f>+E32*J34</f>
        <v>295583.51763947163</v>
      </c>
      <c r="G32" s="22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131.57050233283914</v>
      </c>
      <c r="H32" s="373">
        <f t="shared" si="3"/>
        <v>889515.70013366896</v>
      </c>
      <c r="I32" s="376">
        <f t="shared" si="4"/>
        <v>2246.5789245960482</v>
      </c>
      <c r="J32" s="339">
        <f>IF(F32&gt;0,+F32/E32,0)</f>
        <v>2.5256203170539331E-3</v>
      </c>
      <c r="K32" s="74"/>
      <c r="L32" s="74"/>
      <c r="M32" s="192" t="str">
        <f t="shared" si="0"/>
        <v>2017</v>
      </c>
      <c r="N32" s="304">
        <f>+N30/'6. WS Regression Analysis'!$S$139*'6. WS Regression Analysis'!$S$163</f>
        <v>1456712.4542464858</v>
      </c>
      <c r="O32" s="442"/>
      <c r="P32" s="496">
        <f t="shared" si="6"/>
        <v>1456712.4542464858</v>
      </c>
      <c r="Q32" s="281">
        <f>P32*$U$34</f>
        <v>3912.919778235922</v>
      </c>
      <c r="R32" s="22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2699.1379474033415</v>
      </c>
      <c r="S32" s="373">
        <f t="shared" si="7"/>
        <v>539.69544448363251</v>
      </c>
      <c r="T32" s="376">
        <f t="shared" si="8"/>
        <v>1.4496924034580292</v>
      </c>
      <c r="U32" s="339">
        <f t="shared" si="9"/>
        <v>2.6861305172680488E-3</v>
      </c>
      <c r="V32" s="58"/>
      <c r="W32" s="192" t="str">
        <f t="shared" si="1"/>
        <v>2017</v>
      </c>
      <c r="X32" s="304">
        <f>+X30/'6. WS Regression Analysis'!$S$139*'6. WS Regression Analysis'!$S$163</f>
        <v>44328.608567323972</v>
      </c>
      <c r="Y32" s="442"/>
      <c r="Z32" s="64">
        <f t="shared" si="10"/>
        <v>44328.608567323972</v>
      </c>
      <c r="AA32" s="281">
        <f>Z32*$AE$34</f>
        <v>134.87376922019658</v>
      </c>
      <c r="AB32" s="22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53.780258647617998</v>
      </c>
      <c r="AC32" s="373">
        <f t="shared" si="11"/>
        <v>824.25428367268273</v>
      </c>
      <c r="AD32" s="376">
        <f t="shared" si="12"/>
        <v>2.5078676193047711</v>
      </c>
      <c r="AE32" s="339">
        <f t="shared" si="13"/>
        <v>3.0425897310843255E-3</v>
      </c>
      <c r="AG32" s="354" t="str">
        <f t="shared" si="14"/>
        <v>2017</v>
      </c>
      <c r="AH32" s="304">
        <f>+AH30/'6. WS Regression Analysis'!$S$139*'6. WS Regression Analysis'!$S$163</f>
        <v>15117999.918410014</v>
      </c>
      <c r="AI32" s="442"/>
      <c r="AJ32" s="496">
        <f t="shared" si="15"/>
        <v>15117999.918410014</v>
      </c>
      <c r="AK32" s="304">
        <f>AJ32*$AO$34</f>
        <v>37339.054434932339</v>
      </c>
      <c r="AL32" s="22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73">
        <f t="shared" si="23"/>
        <v>15117999.918410014</v>
      </c>
      <c r="AN32" s="376">
        <f t="shared" si="16"/>
        <v>37339.054434932339</v>
      </c>
      <c r="AO32" s="339">
        <f t="shared" si="17"/>
        <v>2.4698408940631448E-3</v>
      </c>
      <c r="AQ32" s="354" t="str">
        <f t="shared" si="18"/>
        <v>2017</v>
      </c>
      <c r="AR32" s="304">
        <f>+AR30/'6. WS Regression Analysis'!$S$139*'6. WS Regression Analysis'!$S$163</f>
        <v>609245.72733311378</v>
      </c>
      <c r="AS32" s="442"/>
      <c r="AT32" s="496">
        <f t="shared" si="19"/>
        <v>609245.72733311378</v>
      </c>
      <c r="AU32" s="304">
        <f>AT32*$AY$34</f>
        <v>0</v>
      </c>
      <c r="AV32" s="22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95.628509010753675</v>
      </c>
      <c r="AW32" s="373">
        <f t="shared" si="20"/>
        <v>6370.9633626579134</v>
      </c>
      <c r="AX32" s="376">
        <f t="shared" si="21"/>
        <v>0</v>
      </c>
      <c r="AY32" s="79"/>
    </row>
    <row r="33" spans="2:51" x14ac:dyDescent="0.2">
      <c r="B33" s="68"/>
      <c r="C33" s="489"/>
      <c r="D33" s="489"/>
      <c r="E33" s="222"/>
      <c r="F33" s="281"/>
      <c r="G33" s="279"/>
      <c r="H33" s="279"/>
      <c r="I33" s="281"/>
      <c r="J33" s="374"/>
      <c r="K33" s="74"/>
      <c r="L33" s="74"/>
      <c r="M33" s="68"/>
      <c r="N33" s="489"/>
      <c r="O33" s="489"/>
      <c r="P33" s="222"/>
      <c r="Q33" s="281"/>
      <c r="R33" s="281"/>
      <c r="S33" s="281"/>
      <c r="T33" s="281"/>
      <c r="U33" s="80"/>
      <c r="V33" s="58"/>
      <c r="W33" s="68"/>
      <c r="X33" s="489"/>
      <c r="Y33" s="489"/>
      <c r="Z33" s="281"/>
      <c r="AA33" s="281"/>
      <c r="AB33" s="281"/>
      <c r="AC33" s="281"/>
      <c r="AD33" s="281"/>
      <c r="AE33" s="239"/>
      <c r="AG33" s="68"/>
      <c r="AH33" s="489"/>
      <c r="AI33" s="489"/>
      <c r="AJ33" s="281"/>
      <c r="AK33" s="281"/>
      <c r="AL33" s="281"/>
      <c r="AM33" s="281"/>
      <c r="AN33" s="281"/>
      <c r="AO33" s="239"/>
      <c r="AQ33" s="68"/>
      <c r="AR33" s="489"/>
      <c r="AS33" s="489"/>
      <c r="AT33" s="304"/>
      <c r="AU33" s="304"/>
      <c r="AV33" s="304"/>
      <c r="AW33" s="304"/>
      <c r="AX33" s="304"/>
      <c r="AY33" s="239"/>
    </row>
    <row r="34" spans="2:51" ht="16.5" customHeight="1" x14ac:dyDescent="0.2">
      <c r="B34" s="232" t="s">
        <v>160</v>
      </c>
      <c r="C34" s="490"/>
      <c r="D34" s="490"/>
      <c r="E34" s="729">
        <v>10</v>
      </c>
      <c r="F34" s="191"/>
      <c r="G34" s="328"/>
      <c r="H34" s="334">
        <f>IF($E$34=1,+AVERAGE(H30:H30),+IF($E$34=2,+AVERAGE(H29:H30),+IF($E$34=3,+AVERAGE(H28:H30),+IF($E$34=4,+AVERAGE(H27:H30),+IF($E$34=5,+AVERAGE(H26:H30),+IF($E$34=6,+AVERAGE(H25:H30),+IF($E$34=7,+AVERAGE(H24:H30),+IF($E$34=8,+AVERAGE(H23:H30),+IF($E$34=9,+AVERAGE(H22:H30),+IF($E$34=10,+AVERAGE(H21:H30),0))))))))))</f>
        <v>884758.91231086641</v>
      </c>
      <c r="I34" s="380">
        <f>IF($E$34=1,+AVERAGE(I30:I30),+IF($E$34=2,+AVERAGE(I29:I30),+IF($E$34=3,+AVERAGE(I28:I30),+IF($E$34=4,+AVERAGE(I27:I30),+IF($E$34=5,+AVERAGE(I26:I30),+IF($E$34=6,+AVERAGE(I25:I30),+IF($E$34=7,+AVERAGE(I24:I30),+IF($E$34=8,+AVERAGE(I23:I30),+IF($E$34=9,+AVERAGE(I22:I30),+IF($E$34=10,+AVERAGE(I21:I30),0))))))))))</f>
        <v>2234.3037975829343</v>
      </c>
      <c r="J34" s="311">
        <f>IF($E$34=1,+AVERAGE(J30:J30),+IF($E$34=2,+AVERAGE(J29:J30),+IF($E$34=3,+AVERAGE(J28:J30),+IF($E$34=4,+AVERAGE(J27:J30),+IF($E$34=5,+AVERAGE(J26:J30),+IF($E$34=6,+AVERAGE(J25:J30),+IF($E$34=7,+AVERAGE(J24:J30),+IF($E$34=8,+AVERAGE(J23:J30),+IF($E$34=9,+AVERAGE(J22:J30),+IF($E$34=10,+AVERAGE(J21:J30),0))))))))))</f>
        <v>2.5256203170539331E-3</v>
      </c>
      <c r="K34" s="184"/>
      <c r="L34" s="184"/>
      <c r="M34" s="232" t="s">
        <v>160</v>
      </c>
      <c r="N34" s="495"/>
      <c r="O34" s="495"/>
      <c r="P34" s="743">
        <v>10</v>
      </c>
      <c r="Q34" s="191"/>
      <c r="R34" s="191"/>
      <c r="S34" s="334">
        <f>IF($P$34=1,+AVERAGE(S30:S30),+IF($P$34=2,+AVERAGE(S29:S30),+IF($P$34=3,+AVERAGE(S28:S30),+IF($P$34=4,+AVERAGE(S27:S30),+IF($P$34=5,+AVERAGE(S26:S30),+IF($P$34=6,+AVERAGE(S25:S30),+IF($P$34=7,+AVERAGE(S24:S30),+IF($P$34=8,+AVERAGE(S23:S30),+IF($P$34=9,+AVERAGE(S22:S30),+IF($P$34=10,+AVERAGE(S21:S30),0))))))))))</f>
        <v>533.52574020888824</v>
      </c>
      <c r="T34" s="379">
        <f>IF($P$34=1,+AVERAGE(T30:T30),+IF($P$34=2,+AVERAGE(T29:T30),+IF($P$34=3,+AVERAGE(T28:T30),+IF($P$34=4,+AVERAGE(T27:T30),+IF($P$34=5,+AVERAGE(T26:T30),+IF($P$34=6,+AVERAGE(T25:T30),+IF($P$34=7,+AVERAGE(T24:T30),+IF($P$34=8,+AVERAGE(T23:T30),+IF($P$34=9,+AVERAGE(T22:T30),+IF($P$34=10,+AVERAGE(T21:T30),0))))))))))</f>
        <v>1.4326550710665307</v>
      </c>
      <c r="U34" s="193">
        <f>IF($P$34=1,+AVERAGE(U30:U30),+IF($P$34=2,+AVERAGE(U29:U30),+IF($P$34=3,+AVERAGE(U28:U30),+IF($P$34=4,+AVERAGE(U27:U30),+IF($P$34=5,+AVERAGE(U26:U30),+IF($P$34=6,+AVERAGE(U25:U30),+IF($P$34=7,+AVERAGE(U24:U30),+IF($P$34=8,+AVERAGE(U23:U30),+IF($P$34=9,+AVERAGE(U22:U30),+IF($P$34=10,+AVERAGE(U21:U30),0))))))))))</f>
        <v>2.6861305172680488E-3</v>
      </c>
      <c r="V34" s="58"/>
      <c r="W34" s="232" t="s">
        <v>160</v>
      </c>
      <c r="X34" s="495"/>
      <c r="Y34" s="495"/>
      <c r="Z34" s="743">
        <v>10</v>
      </c>
      <c r="AA34" s="191"/>
      <c r="AB34" s="191"/>
      <c r="AC34" s="334">
        <f>IF($Z$34=1,+AVERAGE(AC30:AC30),+IF($Z$34=2,+AVERAGE(AC29:AC30),+IF($Z$34=3,+AVERAGE(AC28:AC30),+IF($Z$34=4,+AVERAGE(AC27:AC30),+IF($Z$34=5,+AVERAGE(AC26:AC30),+IF($Z$34=6,+AVERAGE(AC25:AC30),+IF($Z$34=7,+AVERAGE(AC24:AC30),+IF($Z$34=8,+AVERAGE(AC23:AC30),+IF($Z$34=9,+AVERAGE(AC22:AC30),+IF($Z$34=10,+AVERAGE(AC21:AC30),0))))))))))</f>
        <v>1050.9041273483999</v>
      </c>
      <c r="AD34" s="379">
        <f>IF($Z$34=1,+AVERAGE(AD30:AD30),+IF($Z$34=2,+AVERAGE(AD29:AD30),+IF($Z$34=3,+AVERAGE(AD28:AD30),+IF($Z$34=4,+AVERAGE(AD27:AD30),+IF($Z$34=5,+AVERAGE(AD26:AD30),+IF($Z$34=6,+AVERAGE(AD25:AD30),+IF($Z$34=7,+AVERAGE(AD24:AD30),+IF($Z$34=8,+AVERAGE(AD23:AD30),+IF($Z$34=9,+AVERAGE(AD22:AD30),+IF($Z$34=10,+AVERAGE(AD21:AD30),0))))))))))</f>
        <v>3.156813983961789</v>
      </c>
      <c r="AE34" s="193">
        <f>IF($Z$34=1,+AVERAGE(AE30:AE30),+IF($Z$34=2,+AVERAGE(AE29:AE30),+IF($Z$34=3,+AVERAGE(AE28:AE30),+IF($Z$34=4,+AVERAGE(AE27:AE30),+IF($Z$34=5,+AVERAGE(AE26:AE30),+IF($Z$34=6,+AVERAGE(AE25:AE30),+IF($Z$34=7,+AVERAGE(AE24:AE30),+IF($Z$34=8,+AVERAGE(AE23:AE30),+IF($Z$34=9,+AVERAGE(AE22:AE30),+IF($Z$34=10,+AVERAGE(AE21:AE30),0))))))))))</f>
        <v>3.0425897310843259E-3</v>
      </c>
      <c r="AG34" s="232" t="s">
        <v>160</v>
      </c>
      <c r="AH34" s="495"/>
      <c r="AI34" s="495"/>
      <c r="AJ34" s="743">
        <v>10</v>
      </c>
      <c r="AK34" s="191"/>
      <c r="AL34" s="191"/>
      <c r="AM34" s="334">
        <f>IF($AJ$34=1,+AVERAGE(AM30:AM30),+IF($AJ$34=2,+AVERAGE(AM29:AM30),+IF($AJ$34=3,+AVERAGE(AM28:AM30),+IF($AJ$34=4,+AVERAGE(AM27:AM30),+IF($AJ$34=5,+AVERAGE(AM26:AM30),+IF($AJ$34=6,+AVERAGE(AM25:AM30),+IF($AJ$34=7,+AVERAGE(AM24:AM30),+IF($AJ$34=8,+AVERAGE(AM23:AM30),+IF($AJ$34=9,+AVERAGE(AM22:AM30),+IF($AJ$34=10,+AVERAGE(AM21:AM30),0))))))))))</f>
        <v>17314859.155999999</v>
      </c>
      <c r="AN34" s="379">
        <f>IF($AJ$34=1,+AVERAGE(AN30:AN30),+IF($AJ$34=2,+AVERAGE(AN29:AN30),+IF($AJ$34=3,+AVERAGE(AN28:AN30),+IF($AJ$34=4,+AVERAGE(AN27:AN30),+IF($AJ$34=5,+AVERAGE(AN26:AN30),+IF($AJ$34=6,+AVERAGE(AN25:AN30),+IF($AJ$34=7,+AVERAGE(AN24:AN30),+IF($AJ$34=8,+AVERAGE(AN23:AN30),+IF($AJ$34=9,+AVERAGE(AN22:AN30),+IF($AJ$34=10,+AVERAGE(AN21:AN30),0))))))))))</f>
        <v>42046.616999999991</v>
      </c>
      <c r="AO34" s="193">
        <f>IF($AJ$34=1,+AVERAGE(AO30:AO30),+IF($AJ$34=2,+AVERAGE(AO29:AO30),+IF($AJ$34=3,+AVERAGE(AO28:AO30),+IF($AJ$34=4,+AVERAGE(AO27:AO30),+IF($AJ$34=5,+AVERAGE(AO26:AO30),+IF($AJ$34=6,+AVERAGE(AO25:AO30),+IF($AJ$34=7,+AVERAGE(AO24:AO30),+IF($AJ$34=8,+AVERAGE(AO23:AO30),+IF($AJ$34=9,+AVERAGE(AO22:AO30),+IF($AJ$34=10,+AVERAGE(AO21:AO30),0))))))))))</f>
        <v>2.4698408940631448E-3</v>
      </c>
      <c r="AQ34" s="232" t="s">
        <v>160</v>
      </c>
      <c r="AR34" s="495"/>
      <c r="AS34" s="495"/>
      <c r="AT34" s="743">
        <v>4</v>
      </c>
      <c r="AU34" s="191"/>
      <c r="AV34" s="191"/>
      <c r="AW34" s="334">
        <f>IF($AT$34=1,+AVERAGE(AW30:AW30),+IF($AT$34=2,+AVERAGE(AW29:AW30),+IF($AT$34=3,+AVERAGE(AW28:AW30),+IF($AT$34=4,+AVERAGE(AW27:AW30),+IF($AT$34=5,+AVERAGE(AW26:AW30),+IF($AT$34=6,+AVERAGE(AW25:AW30),+IF($AT$34=7,+AVERAGE(AW24:AW30),+IF($AT$34=8,+AVERAGE(AW23:AW30),+IF($AT$34=9,+AVERAGE(AW22:AW30),+IF($AT$34=10,+AVERAGE(AW21:AW30),0))))))))))</f>
        <v>6613.4008891663543</v>
      </c>
      <c r="AX34" s="379">
        <f>IF($AT$34=1,+AVERAGE(AX30:AX30),+IF($AT$34=2,+AVERAGE(AX29:AX30),+IF($AT$34=3,+AVERAGE(AX28:AX30),+IF($AT$34=4,+AVERAGE(AX27:AX30),+IF($AT$34=5,+AVERAGE(AX26:AX30),+IF($AT$34=6,+AVERAGE(AX25:AX30),+IF($AT$34=7,+AVERAGE(AX24:AX30),+IF($AT$34=8,+AVERAGE(AX23:AX30),+IF($AT$34=9,+AVERAGE(AX22:AX30),+IF($AT$34=10,+AVERAGE(AX21:AX30),0))))))))))</f>
        <v>0</v>
      </c>
      <c r="AY34" s="193">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4"/>
      <c r="C35" s="491"/>
      <c r="D35" s="491"/>
      <c r="E35" s="195"/>
      <c r="F35" s="195"/>
      <c r="G35" s="329"/>
      <c r="H35" s="329"/>
      <c r="I35" s="195"/>
      <c r="J35" s="378"/>
      <c r="M35" s="194"/>
      <c r="N35" s="491"/>
      <c r="O35" s="491"/>
      <c r="P35" s="195"/>
      <c r="Q35" s="90"/>
      <c r="R35" s="90"/>
      <c r="S35" s="90"/>
      <c r="T35" s="90"/>
      <c r="U35" s="196"/>
      <c r="W35" s="89"/>
      <c r="X35" s="467"/>
      <c r="Y35" s="467"/>
      <c r="Z35" s="90"/>
      <c r="AA35" s="90"/>
      <c r="AB35" s="90"/>
      <c r="AC35" s="90"/>
      <c r="AD35" s="90"/>
      <c r="AE35" s="196"/>
      <c r="AG35" s="89"/>
      <c r="AH35" s="467"/>
      <c r="AI35" s="467"/>
      <c r="AJ35" s="90"/>
      <c r="AK35" s="90"/>
      <c r="AL35" s="90"/>
      <c r="AM35" s="90"/>
      <c r="AN35" s="90"/>
      <c r="AO35" s="196"/>
      <c r="AQ35" s="89"/>
      <c r="AR35" s="467"/>
      <c r="AS35" s="467"/>
      <c r="AT35" s="90"/>
      <c r="AU35" s="90"/>
      <c r="AV35" s="90"/>
      <c r="AW35" s="90"/>
      <c r="AX35" s="90"/>
      <c r="AY35" s="196"/>
    </row>
    <row r="36" spans="2:51" x14ac:dyDescent="0.2">
      <c r="B36" s="945" t="s">
        <v>154</v>
      </c>
      <c r="C36" s="945"/>
      <c r="D36" s="945"/>
      <c r="E36" s="945"/>
      <c r="F36" s="945"/>
      <c r="G36" s="945"/>
      <c r="H36" s="945"/>
      <c r="I36" s="945"/>
      <c r="J36" s="945"/>
      <c r="M36" s="945" t="s">
        <v>154</v>
      </c>
      <c r="N36" s="945"/>
      <c r="O36" s="945"/>
      <c r="P36" s="945"/>
      <c r="Q36" s="945"/>
      <c r="R36" s="945"/>
      <c r="S36" s="945"/>
      <c r="T36" s="945"/>
      <c r="U36" s="945"/>
      <c r="W36" s="933" t="s">
        <v>154</v>
      </c>
      <c r="X36" s="933"/>
      <c r="Y36" s="933"/>
      <c r="Z36" s="933"/>
      <c r="AA36" s="933"/>
      <c r="AB36" s="933"/>
      <c r="AC36" s="933"/>
      <c r="AD36" s="933"/>
      <c r="AE36" s="933"/>
      <c r="AG36" s="945" t="s">
        <v>154</v>
      </c>
      <c r="AH36" s="945"/>
      <c r="AI36" s="945"/>
      <c r="AJ36" s="945"/>
      <c r="AK36" s="945"/>
      <c r="AL36" s="945"/>
      <c r="AM36" s="945"/>
      <c r="AN36" s="945"/>
      <c r="AO36" s="945"/>
      <c r="AQ36" s="945" t="s">
        <v>154</v>
      </c>
      <c r="AR36" s="945"/>
      <c r="AS36" s="945"/>
      <c r="AT36" s="945"/>
      <c r="AU36" s="945"/>
      <c r="AV36" s="945"/>
      <c r="AW36" s="945"/>
      <c r="AX36" s="945"/>
      <c r="AY36" s="945"/>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932" t="s">
        <v>174</v>
      </c>
      <c r="C41" s="932"/>
      <c r="D41" s="932"/>
      <c r="E41" s="932"/>
      <c r="F41" s="932"/>
      <c r="G41" s="932"/>
      <c r="H41" s="932"/>
      <c r="I41" s="932"/>
      <c r="J41" s="932"/>
      <c r="M41" s="932" t="s">
        <v>174</v>
      </c>
      <c r="N41" s="932"/>
      <c r="O41" s="932"/>
      <c r="P41" s="932"/>
      <c r="Q41" s="932"/>
      <c r="R41" s="932"/>
      <c r="S41" s="932"/>
      <c r="T41" s="932"/>
      <c r="U41" s="932"/>
      <c r="W41" s="932" t="s">
        <v>174</v>
      </c>
      <c r="X41" s="932"/>
      <c r="Y41" s="932"/>
      <c r="Z41" s="932"/>
      <c r="AA41" s="932"/>
      <c r="AB41" s="932"/>
      <c r="AC41" s="932"/>
      <c r="AD41" s="932"/>
      <c r="AE41" s="932"/>
      <c r="AG41" s="932" t="s">
        <v>174</v>
      </c>
      <c r="AH41" s="932"/>
      <c r="AI41" s="932"/>
      <c r="AJ41" s="932"/>
      <c r="AK41" s="932"/>
      <c r="AL41" s="932"/>
      <c r="AM41" s="932"/>
      <c r="AN41" s="932"/>
      <c r="AO41" s="932"/>
      <c r="AQ41" s="932" t="s">
        <v>174</v>
      </c>
      <c r="AR41" s="932"/>
      <c r="AS41" s="932"/>
      <c r="AT41" s="932"/>
      <c r="AU41" s="932"/>
      <c r="AV41" s="932"/>
      <c r="AW41" s="932"/>
      <c r="AX41" s="932"/>
      <c r="AY41" s="932"/>
    </row>
    <row r="42" spans="2:51" x14ac:dyDescent="0.2">
      <c r="J42" s="316"/>
    </row>
    <row r="43" spans="2:51" x14ac:dyDescent="0.2">
      <c r="J43" s="316"/>
    </row>
    <row r="44" spans="2:51" x14ac:dyDescent="0.2">
      <c r="J44" s="316"/>
    </row>
    <row r="45" spans="2:51" x14ac:dyDescent="0.2">
      <c r="J45" s="316"/>
    </row>
    <row r="46" spans="2:51" ht="13.5" thickBot="1" x14ac:dyDescent="0.25">
      <c r="J46" s="316"/>
    </row>
    <row r="47" spans="2:51" ht="13.5" thickBot="1" x14ac:dyDescent="0.25">
      <c r="B47" s="937" t="str">
        <f>+B18</f>
        <v>General Service &gt; 50 kW - 2999 kW</v>
      </c>
      <c r="C47" s="938"/>
      <c r="D47" s="938"/>
      <c r="E47" s="938"/>
      <c r="F47" s="938"/>
      <c r="G47" s="938"/>
      <c r="H47" s="938"/>
      <c r="I47" s="938"/>
      <c r="J47" s="939"/>
      <c r="M47" s="937" t="str">
        <f>+M18</f>
        <v>Streetlighting</v>
      </c>
      <c r="N47" s="938"/>
      <c r="O47" s="938"/>
      <c r="P47" s="938"/>
      <c r="Q47" s="938"/>
      <c r="R47" s="938"/>
      <c r="S47" s="938"/>
      <c r="T47" s="938"/>
      <c r="U47" s="939"/>
      <c r="W47" s="937" t="str">
        <f>+W18</f>
        <v>Sentinel Lighting</v>
      </c>
      <c r="X47" s="938"/>
      <c r="Y47" s="938"/>
      <c r="Z47" s="938"/>
      <c r="AA47" s="938"/>
      <c r="AB47" s="938"/>
      <c r="AC47" s="938"/>
      <c r="AD47" s="938"/>
      <c r="AE47" s="939"/>
      <c r="AG47" s="937" t="str">
        <f>+AG18</f>
        <v>General Service 3000-4999 kW</v>
      </c>
      <c r="AH47" s="938"/>
      <c r="AI47" s="938"/>
      <c r="AJ47" s="938"/>
      <c r="AK47" s="938"/>
      <c r="AL47" s="938"/>
      <c r="AM47" s="938"/>
      <c r="AN47" s="938"/>
      <c r="AO47" s="939"/>
      <c r="AQ47" s="937" t="str">
        <f>+AQ18</f>
        <v>Unmetered Scattered Load</v>
      </c>
      <c r="AR47" s="938"/>
      <c r="AS47" s="938"/>
      <c r="AT47" s="938"/>
      <c r="AU47" s="938"/>
      <c r="AV47" s="938"/>
      <c r="AW47" s="938"/>
      <c r="AX47" s="938"/>
      <c r="AY47" s="939"/>
    </row>
    <row r="48" spans="2:51" ht="29.25" customHeight="1" thickBot="1" x14ac:dyDescent="0.25">
      <c r="B48" s="344" t="s">
        <v>33</v>
      </c>
      <c r="C48" s="492"/>
      <c r="D48" s="492"/>
      <c r="E48" s="345" t="s">
        <v>40</v>
      </c>
      <c r="F48" s="345" t="s">
        <v>182</v>
      </c>
      <c r="G48" s="345" t="s">
        <v>183</v>
      </c>
      <c r="H48" s="351" t="s">
        <v>186</v>
      </c>
      <c r="I48" s="345" t="s">
        <v>184</v>
      </c>
      <c r="J48" s="346" t="s">
        <v>185</v>
      </c>
      <c r="K48" s="314"/>
      <c r="L48" s="314"/>
      <c r="M48" s="344" t="s">
        <v>33</v>
      </c>
      <c r="N48" s="492"/>
      <c r="O48" s="492"/>
      <c r="P48" s="345" t="s">
        <v>40</v>
      </c>
      <c r="Q48" s="345" t="s">
        <v>182</v>
      </c>
      <c r="R48" s="345" t="s">
        <v>183</v>
      </c>
      <c r="S48" s="351" t="s">
        <v>186</v>
      </c>
      <c r="T48" s="345" t="s">
        <v>184</v>
      </c>
      <c r="U48" s="346" t="s">
        <v>185</v>
      </c>
      <c r="W48" s="344" t="s">
        <v>33</v>
      </c>
      <c r="X48" s="492"/>
      <c r="Y48" s="492"/>
      <c r="Z48" s="345" t="s">
        <v>40</v>
      </c>
      <c r="AA48" s="345" t="s">
        <v>182</v>
      </c>
      <c r="AB48" s="345" t="s">
        <v>183</v>
      </c>
      <c r="AC48" s="351" t="s">
        <v>186</v>
      </c>
      <c r="AD48" s="345" t="s">
        <v>184</v>
      </c>
      <c r="AE48" s="346" t="s">
        <v>185</v>
      </c>
      <c r="AG48" s="344" t="s">
        <v>33</v>
      </c>
      <c r="AH48" s="492"/>
      <c r="AI48" s="492"/>
      <c r="AJ48" s="345" t="s">
        <v>40</v>
      </c>
      <c r="AK48" s="345" t="s">
        <v>182</v>
      </c>
      <c r="AL48" s="345" t="s">
        <v>183</v>
      </c>
      <c r="AM48" s="351" t="s">
        <v>186</v>
      </c>
      <c r="AN48" s="345" t="s">
        <v>184</v>
      </c>
      <c r="AO48" s="346" t="s">
        <v>185</v>
      </c>
      <c r="AQ48" s="344" t="s">
        <v>33</v>
      </c>
      <c r="AR48" s="492"/>
      <c r="AS48" s="492"/>
      <c r="AT48" s="345" t="s">
        <v>40</v>
      </c>
      <c r="AU48" s="345" t="s">
        <v>182</v>
      </c>
      <c r="AV48" s="345" t="s">
        <v>183</v>
      </c>
      <c r="AW48" s="351" t="s">
        <v>186</v>
      </c>
      <c r="AX48" s="345" t="s">
        <v>184</v>
      </c>
      <c r="AY48" s="346" t="s">
        <v>185</v>
      </c>
    </row>
    <row r="49" spans="2:51" ht="12.75" customHeight="1" x14ac:dyDescent="0.2">
      <c r="B49" s="6" t="str">
        <f>+B31</f>
        <v>2016</v>
      </c>
      <c r="C49" s="493"/>
      <c r="D49" s="493"/>
      <c r="E49" s="340">
        <f>+G31-G30</f>
        <v>-1.2203053452808774</v>
      </c>
      <c r="F49" s="341">
        <f>+H34</f>
        <v>884758.91231086641</v>
      </c>
      <c r="G49" s="347">
        <f>+I34</f>
        <v>2234.3037975829343</v>
      </c>
      <c r="H49" s="943" t="s">
        <v>177</v>
      </c>
      <c r="I49" s="349">
        <f>IF(H49="Yes",+F49*E49+$E$31,$E$31)</f>
        <v>116816732.68110102</v>
      </c>
      <c r="J49" s="342">
        <f>IF(H49="Yes",+G49*E49+$F$31,$F$31)</f>
        <v>295034.71343124693</v>
      </c>
      <c r="M49" s="6" t="str">
        <f>+M31</f>
        <v>2016</v>
      </c>
      <c r="N49" s="493"/>
      <c r="O49" s="493"/>
      <c r="P49" s="340">
        <f>+R31-R30</f>
        <v>2.5677499934249681</v>
      </c>
      <c r="Q49" s="341">
        <f>+S34</f>
        <v>533.52574020888824</v>
      </c>
      <c r="R49" s="347">
        <f>+T34</f>
        <v>1.4326550710665307</v>
      </c>
      <c r="S49" s="943" t="s">
        <v>177</v>
      </c>
      <c r="T49" s="349">
        <f>IF(S49="Yes",+Q49*P49+$P$31,$P$31)</f>
        <v>1454007.8043680072</v>
      </c>
      <c r="U49" s="342">
        <f>IF(S49="Yes",+R49*P49+$Q$31,$Q$31)</f>
        <v>3905.6547356588153</v>
      </c>
      <c r="W49" s="6" t="str">
        <f>+W31</f>
        <v>2016</v>
      </c>
      <c r="X49" s="493"/>
      <c r="Y49" s="493"/>
      <c r="Z49" s="340">
        <f>+AB31-AB30</f>
        <v>-0.1099826779451476</v>
      </c>
      <c r="AA49" s="341">
        <f>+AC34</f>
        <v>1050.9041273483999</v>
      </c>
      <c r="AB49" s="347">
        <f>+AD34</f>
        <v>3.156813983961789</v>
      </c>
      <c r="AC49" s="943" t="s">
        <v>177</v>
      </c>
      <c r="AD49" s="349">
        <f>IF(AC49="Yes",+AA49*Z49+$Z$31,$Z$31)</f>
        <v>44246.304495971228</v>
      </c>
      <c r="AE49" s="342">
        <f>IF(AC49="Yes",+AB49*Z49+$AA$31,$AA$31)</f>
        <v>134.62335169787229</v>
      </c>
      <c r="AG49" s="6" t="str">
        <f>+AG31</f>
        <v>2016</v>
      </c>
      <c r="AH49" s="493"/>
      <c r="AI49" s="493"/>
      <c r="AJ49" s="340">
        <f>+AL31-AL30</f>
        <v>0</v>
      </c>
      <c r="AK49" s="341">
        <f>+AM34</f>
        <v>17314859.155999999</v>
      </c>
      <c r="AL49" s="347">
        <f>+AN34</f>
        <v>42046.616999999991</v>
      </c>
      <c r="AM49" s="943" t="s">
        <v>177</v>
      </c>
      <c r="AN49" s="349">
        <f>IF(AM49="Yes",+AK49*AJ49+$AJ$31,$AJ$31)</f>
        <v>15089930.619954463</v>
      </c>
      <c r="AO49" s="342">
        <f>IF(AM49="Yes",+AL49*AJ49+$AK$31,$AK$31)</f>
        <v>37269.727733739157</v>
      </c>
      <c r="AQ49" s="6" t="str">
        <f>+AQ31</f>
        <v>2016</v>
      </c>
      <c r="AR49" s="493"/>
      <c r="AS49" s="493"/>
      <c r="AT49" s="340">
        <f>+AV31-AV30</f>
        <v>2.7715786810153986</v>
      </c>
      <c r="AU49" s="341">
        <f>+AW34</f>
        <v>6613.4008891663543</v>
      </c>
      <c r="AV49" s="347">
        <f>+AX34</f>
        <v>0</v>
      </c>
      <c r="AW49" s="943" t="s">
        <v>177</v>
      </c>
      <c r="AX49" s="349">
        <f>IF(AW49="Yes",+AU49*AT49+$AT$31,$AT$31)</f>
        <v>608114.55255830393</v>
      </c>
      <c r="AY49" s="342">
        <f>IF(AW49="Yes",+AV49*AT49+$AU$31,$AU$31)</f>
        <v>0</v>
      </c>
    </row>
    <row r="50" spans="2:51" ht="13.5" customHeight="1" thickBot="1" x14ac:dyDescent="0.25">
      <c r="B50" s="17" t="str">
        <f>+B32</f>
        <v>2017</v>
      </c>
      <c r="C50" s="494"/>
      <c r="D50" s="494"/>
      <c r="E50" s="336">
        <f>+G32-G30</f>
        <v>-2.4294976671608595</v>
      </c>
      <c r="F50" s="375">
        <f>+H34</f>
        <v>884758.91231086641</v>
      </c>
      <c r="G50" s="348">
        <f>+I34</f>
        <v>2234.3037975829343</v>
      </c>
      <c r="H50" s="944"/>
      <c r="I50" s="350">
        <f>IF(H49="Yes",+F50*E50+$E$32,$E$32)</f>
        <v>117034027.49953394</v>
      </c>
      <c r="J50" s="343">
        <f>IF(H49="Yes",+G50*E50+$F$32,$F$32)</f>
        <v>295583.51763947163</v>
      </c>
      <c r="M50" s="17" t="str">
        <f>+M32</f>
        <v>2017</v>
      </c>
      <c r="N50" s="494"/>
      <c r="O50" s="494"/>
      <c r="P50" s="336">
        <f>+R32-R30</f>
        <v>5.1379474033415136</v>
      </c>
      <c r="Q50" s="375">
        <f>+S34</f>
        <v>533.52574020888824</v>
      </c>
      <c r="R50" s="348">
        <f>+T34</f>
        <v>1.4326550710665307</v>
      </c>
      <c r="S50" s="944"/>
      <c r="T50" s="350">
        <f>IF(S49="Yes",+Q50*P50+$P$32,$P$32)</f>
        <v>1456712.4542464858</v>
      </c>
      <c r="U50" s="343">
        <f>IF(S49="Yes",+R50*P50+$Q$32,$Q$32)</f>
        <v>3912.919778235922</v>
      </c>
      <c r="W50" s="17" t="str">
        <f>+W32</f>
        <v>2017</v>
      </c>
      <c r="X50" s="494"/>
      <c r="Y50" s="494"/>
      <c r="Z50" s="336">
        <f>+AB32-AB30</f>
        <v>-0.21974135238200176</v>
      </c>
      <c r="AA50" s="375">
        <f>+AC34</f>
        <v>1050.9041273483999</v>
      </c>
      <c r="AB50" s="348">
        <f>+AD34</f>
        <v>3.156813983961789</v>
      </c>
      <c r="AC50" s="944"/>
      <c r="AD50" s="350">
        <f>IF(AC49="Yes",+AA50*Z50+$Z$32,$Z$32)</f>
        <v>44328.608567323972</v>
      </c>
      <c r="AE50" s="343">
        <f>IF(AC49="Yes",+AB50*Z50+$AA$32,$AA$32)</f>
        <v>134.87376922019658</v>
      </c>
      <c r="AG50" s="17" t="str">
        <f>+AG32</f>
        <v>2017</v>
      </c>
      <c r="AH50" s="494"/>
      <c r="AI50" s="494"/>
      <c r="AJ50" s="336">
        <f>+AL32-AL30</f>
        <v>0</v>
      </c>
      <c r="AK50" s="375">
        <f>+AM34</f>
        <v>17314859.155999999</v>
      </c>
      <c r="AL50" s="348">
        <f>+AN34</f>
        <v>42046.616999999991</v>
      </c>
      <c r="AM50" s="944"/>
      <c r="AN50" s="350">
        <f>IF(AM49="Yes",+AK50*AJ50+$AJ$32,$AJ$32)</f>
        <v>15117999.918410014</v>
      </c>
      <c r="AO50" s="343">
        <f>IF(AM49="Yes",+AL50*AJ50+$AK$32,$AK$32)</f>
        <v>37339.054434932339</v>
      </c>
      <c r="AQ50" s="17" t="str">
        <f>+AQ32</f>
        <v>2017</v>
      </c>
      <c r="AR50" s="494"/>
      <c r="AS50" s="494"/>
      <c r="AT50" s="336">
        <f>+AV32-AV30</f>
        <v>5.6285090107536746</v>
      </c>
      <c r="AU50" s="375">
        <f>+AW34</f>
        <v>6613.4008891663543</v>
      </c>
      <c r="AV50" s="348">
        <f>+AX34</f>
        <v>0</v>
      </c>
      <c r="AW50" s="944"/>
      <c r="AX50" s="350">
        <f>IF(AW49="Yes",+AU50*AT50+$AT$32,$AT$32)</f>
        <v>609245.72733311378</v>
      </c>
      <c r="AY50" s="343">
        <f>IF(AW49="Yes",+AV50*AT50+$AU$32,$AU$32)</f>
        <v>0</v>
      </c>
    </row>
    <row r="51" spans="2:51" x14ac:dyDescent="0.2">
      <c r="J51" s="316"/>
    </row>
    <row r="52" spans="2:51" x14ac:dyDescent="0.2">
      <c r="B52" s="353" t="s">
        <v>188</v>
      </c>
      <c r="C52" s="353"/>
      <c r="D52" s="353"/>
    </row>
    <row r="54" spans="2:51" x14ac:dyDescent="0.2">
      <c r="H54" s="352"/>
    </row>
    <row r="57" spans="2:51" ht="26.25" hidden="1" thickBot="1" x14ac:dyDescent="0.25">
      <c r="B57" s="940" t="s">
        <v>161</v>
      </c>
      <c r="C57" s="941"/>
      <c r="D57" s="941"/>
      <c r="E57" s="942"/>
      <c r="H57" s="317" t="s">
        <v>149</v>
      </c>
      <c r="I57" s="318" t="s">
        <v>146</v>
      </c>
    </row>
    <row r="58" spans="2:51" hidden="1" x14ac:dyDescent="0.2">
      <c r="B58" s="312">
        <v>1</v>
      </c>
      <c r="C58" s="321"/>
      <c r="D58" s="321"/>
      <c r="E58" s="321"/>
      <c r="F58" s="326">
        <f>+B21</f>
        <v>2006</v>
      </c>
      <c r="G58" s="330"/>
      <c r="H58" s="323">
        <f>SUM('6. WS Regression Analysis'!J20:K31)</f>
        <v>240691332.09999999</v>
      </c>
      <c r="I58" s="319">
        <f>SUM('6. WS Regression Analysis'!R20:R31)</f>
        <v>244958698.73945877</v>
      </c>
    </row>
    <row r="59" spans="2:51" hidden="1" x14ac:dyDescent="0.2">
      <c r="B59" s="312">
        <v>2</v>
      </c>
      <c r="C59" s="321"/>
      <c r="D59" s="321"/>
      <c r="E59" s="321"/>
      <c r="F59" s="326">
        <f t="shared" ref="F59:F67" si="24">+B22</f>
        <v>2007</v>
      </c>
      <c r="G59" s="331"/>
      <c r="H59" s="324">
        <f>SUM('6. WS Regression Analysis'!J32:J43)</f>
        <v>248683053.34999996</v>
      </c>
      <c r="I59" s="320">
        <f>SUM('6. WS Regression Analysis'!R32:R43)</f>
        <v>248683575.31460232</v>
      </c>
    </row>
    <row r="60" spans="2:51" hidden="1" x14ac:dyDescent="0.2">
      <c r="B60" s="312">
        <v>3</v>
      </c>
      <c r="C60" s="321"/>
      <c r="D60" s="321"/>
      <c r="E60" s="321"/>
      <c r="F60" s="326">
        <f t="shared" si="24"/>
        <v>2008</v>
      </c>
      <c r="G60" s="331"/>
      <c r="H60" s="324">
        <f>SUM('6. WS Regression Analysis'!J44:J55)</f>
        <v>241507708</v>
      </c>
      <c r="I60" s="320">
        <f>SUM('6. WS Regression Analysis'!R44:R55)</f>
        <v>247069840.93236792</v>
      </c>
    </row>
    <row r="61" spans="2:51" hidden="1" x14ac:dyDescent="0.2">
      <c r="B61" s="312">
        <v>4</v>
      </c>
      <c r="C61" s="321"/>
      <c r="D61" s="321"/>
      <c r="E61" s="321"/>
      <c r="F61" s="326">
        <f t="shared" si="24"/>
        <v>2009</v>
      </c>
      <c r="G61" s="331"/>
      <c r="H61" s="324">
        <f>SUM('6. WS Regression Analysis'!J56:J67)</f>
        <v>236526800</v>
      </c>
      <c r="I61" s="320">
        <f>SUM('6. WS Regression Analysis'!R56:R67)</f>
        <v>245470671.7507762</v>
      </c>
    </row>
    <row r="62" spans="2:51" hidden="1" x14ac:dyDescent="0.2">
      <c r="B62" s="312">
        <v>5</v>
      </c>
      <c r="C62" s="321"/>
      <c r="D62" s="321"/>
      <c r="E62" s="321"/>
      <c r="F62" s="326">
        <f t="shared" si="24"/>
        <v>2010</v>
      </c>
      <c r="G62" s="331"/>
      <c r="H62" s="324">
        <f>SUM('6. WS Regression Analysis'!J68:J79)</f>
        <v>244543390.56</v>
      </c>
      <c r="I62" s="320">
        <f>SUM('6. WS Regression Analysis'!R68:R79)</f>
        <v>247205392.77313605</v>
      </c>
    </row>
    <row r="63" spans="2:51" hidden="1" x14ac:dyDescent="0.2">
      <c r="B63" s="312">
        <v>6</v>
      </c>
      <c r="C63" s="321"/>
      <c r="D63" s="321"/>
      <c r="E63" s="321"/>
      <c r="F63" s="326">
        <f t="shared" si="24"/>
        <v>2011</v>
      </c>
      <c r="G63" s="331"/>
      <c r="H63" s="324">
        <f>SUM('6. WS Regression Analysis'!J80:J91)</f>
        <v>248601682.74000001</v>
      </c>
      <c r="I63" s="320">
        <f>SUM('6. WS Regression Analysis'!R80:R91)</f>
        <v>248673994.55355757</v>
      </c>
    </row>
    <row r="64" spans="2:51" hidden="1" x14ac:dyDescent="0.2">
      <c r="B64" s="312">
        <v>7</v>
      </c>
      <c r="C64" s="321"/>
      <c r="D64" s="321"/>
      <c r="E64" s="321"/>
      <c r="F64" s="326">
        <f t="shared" si="24"/>
        <v>2012</v>
      </c>
      <c r="G64" s="331"/>
      <c r="H64" s="324">
        <f>SUM('6. WS Regression Analysis'!J92:J103)</f>
        <v>250144401.56999999</v>
      </c>
      <c r="I64" s="320">
        <f>SUM('6. WS Regression Analysis'!R92:R103)</f>
        <v>250342774.98395351</v>
      </c>
    </row>
    <row r="65" spans="2:10" hidden="1" x14ac:dyDescent="0.2">
      <c r="B65" s="312">
        <v>8</v>
      </c>
      <c r="C65" s="321"/>
      <c r="D65" s="321"/>
      <c r="E65" s="321"/>
      <c r="F65" s="326">
        <f t="shared" si="24"/>
        <v>2013</v>
      </c>
      <c r="G65" s="331"/>
      <c r="H65" s="324">
        <f>SUM('6. WS Regression Analysis'!J104:J115)</f>
        <v>246166626.33000001</v>
      </c>
      <c r="I65" s="338">
        <f>SUM('6. WS Regression Analysis'!R104:R115)</f>
        <v>249342246.0888707</v>
      </c>
      <c r="J65" s="310" t="s">
        <v>187</v>
      </c>
    </row>
    <row r="66" spans="2:10" hidden="1" x14ac:dyDescent="0.2">
      <c r="B66" s="312">
        <v>9</v>
      </c>
      <c r="C66" s="321"/>
      <c r="D66" s="321"/>
      <c r="E66" s="321"/>
      <c r="F66" s="326">
        <f t="shared" si="24"/>
        <v>2014</v>
      </c>
      <c r="G66" s="331"/>
      <c r="H66" s="324">
        <f>SUM('6. WS Regression Analysis'!J116:J127)</f>
        <v>242535263.39000002</v>
      </c>
      <c r="I66" s="338">
        <f>SUM('6. WS Regression Analysis'!R116:R117)</f>
        <v>45408216.045223445</v>
      </c>
      <c r="J66" s="310" t="s">
        <v>176</v>
      </c>
    </row>
    <row r="67" spans="2:10" ht="13.5" hidden="1" thickBot="1" x14ac:dyDescent="0.25">
      <c r="B67" s="313">
        <v>10</v>
      </c>
      <c r="C67" s="322"/>
      <c r="D67" s="322"/>
      <c r="E67" s="322"/>
      <c r="F67" s="326">
        <f t="shared" si="24"/>
        <v>2015</v>
      </c>
      <c r="G67" s="332"/>
      <c r="H67" s="325">
        <f>SUM('6. WS Regression Analysis'!J128:J139)</f>
        <v>239401282.51999998</v>
      </c>
      <c r="I67" s="337">
        <f>SUM('6. WS Regression Analysis'!R128:R139)</f>
        <v>247399736.29403827</v>
      </c>
      <c r="J67" s="310" t="s">
        <v>177</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10.1 CDM Allocation</vt:lpstr>
      <vt:lpstr>11. Final Load Forecast</vt:lpstr>
      <vt:lpstr>12. Analysis_ Avg Per Cust</vt:lpstr>
      <vt:lpstr>13. Analysis_Weather adj LF</vt:lpstr>
      <vt:lpstr>A - CDM Adjustment</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2016-04-15T15:55:54Z</dcterms:modified>
</cp:coreProperties>
</file>