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7675" windowHeight="13020" tabRatio="799" firstSheet="7" activeTab="10"/>
  </bookViews>
  <sheets>
    <sheet name="1. LDC Info" sheetId="45" r:id="rId1"/>
    <sheet name="2. Customer Classes" sheetId="44" r:id="rId2"/>
    <sheet name="3. Consumption by Rate Class" sheetId="30" r:id="rId3"/>
    <sheet name="4. Customer Growth" sheetId="6" r:id="rId4"/>
    <sheet name="5.Variables" sheetId="52" r:id="rId5"/>
    <sheet name="6. WS Regression Analysis" sheetId="4" r:id="rId6"/>
    <sheet name="6.1 Regression Scenarios" sheetId="17" r:id="rId7"/>
    <sheet name="7. Weather Senstive Class" sheetId="29" r:id="rId8"/>
    <sheet name="8. KW and Non-Weather Sensitive" sheetId="46" r:id="rId9"/>
    <sheet name="9. Weather Adj LF" sheetId="32" r:id="rId10"/>
    <sheet name="10. CDM Adjustment" sheetId="42" r:id="rId11"/>
    <sheet name="10.1 CDM Allocation" sheetId="53" r:id="rId12"/>
    <sheet name="11. Final Load Forecast" sheetId="51" r:id="rId13"/>
    <sheet name="12. Analysis_ Avg Per Cust" sheetId="38" r:id="rId14"/>
    <sheet name="13. Analysis_Weather adj LF" sheetId="47" r:id="rId15"/>
    <sheet name="A - CDM Adjustment" sheetId="54" r:id="rId16"/>
  </sheets>
  <definedNames>
    <definedName name="_xlnm._FilterDatabase" localSheetId="5" hidden="1">'6. WS Regression Analysis'!$A$20:$F$163</definedName>
    <definedName name="AllVariables">'5.Variables'!$B$120:$B$125</definedName>
    <definedName name="_xlnm.Print_Area" localSheetId="4">'5.Variables'!$A$10:$Z$132</definedName>
    <definedName name="_xlnm.Print_Area" localSheetId="5">'6. WS Regression Analysis'!$C$127:$J$139</definedName>
    <definedName name="Variable1">'5.Variables'!$B$16</definedName>
    <definedName name="Variable2">'5.Variables'!$B$39</definedName>
    <definedName name="Variable3">'5.Variables'!$B$62</definedName>
    <definedName name="Variable5">'5.Variables'!$B$90</definedName>
    <definedName name="Variable6">'5.Variables'!$B$104</definedName>
  </definedNames>
  <calcPr calcId="152511"/>
</workbook>
</file>

<file path=xl/calcChain.xml><?xml version="1.0" encoding="utf-8"?>
<calcChain xmlns="http://schemas.openxmlformats.org/spreadsheetml/2006/main">
  <c r="I54" i="42" l="1"/>
  <c r="G95" i="42" l="1"/>
  <c r="R20" i="4" l="1"/>
  <c r="F95" i="42" l="1"/>
  <c r="G29" i="42" l="1"/>
  <c r="G27" i="42"/>
  <c r="G28" i="42"/>
  <c r="G26" i="42"/>
  <c r="AC144" i="30" l="1"/>
  <c r="AC132" i="30"/>
  <c r="AC120" i="30"/>
  <c r="AC108" i="30"/>
  <c r="AB100" i="30"/>
  <c r="AB101" i="30"/>
  <c r="AB102" i="30"/>
  <c r="AB103" i="30"/>
  <c r="AB104" i="30"/>
  <c r="AB105" i="30"/>
  <c r="AB106" i="30"/>
  <c r="AB107" i="30"/>
  <c r="AB108" i="30"/>
  <c r="AB109" i="30"/>
  <c r="AB110" i="30"/>
  <c r="AB111" i="30"/>
  <c r="AB112" i="30"/>
  <c r="AB113" i="30"/>
  <c r="AB114" i="30"/>
  <c r="AB115" i="30"/>
  <c r="AB116" i="30"/>
  <c r="AB117" i="30"/>
  <c r="AB118" i="30"/>
  <c r="AB119" i="30"/>
  <c r="AB120" i="30"/>
  <c r="AB121" i="30"/>
  <c r="AB122" i="30"/>
  <c r="AB123" i="30"/>
  <c r="AB124" i="30"/>
  <c r="AB125" i="30"/>
  <c r="AB126" i="30"/>
  <c r="AB127" i="30"/>
  <c r="AB128" i="30"/>
  <c r="AB129" i="30"/>
  <c r="AB130" i="30"/>
  <c r="AB131" i="30"/>
  <c r="AB132" i="30"/>
  <c r="AB133" i="30"/>
  <c r="AB134" i="30"/>
  <c r="AB135" i="30"/>
  <c r="AB136" i="30"/>
  <c r="AB137" i="30"/>
  <c r="AB138" i="30"/>
  <c r="AB139" i="30"/>
  <c r="AB140" i="30"/>
  <c r="AB141" i="30"/>
  <c r="AB142" i="30"/>
  <c r="AB143" i="30"/>
  <c r="AB144" i="30"/>
  <c r="AC96" i="30"/>
  <c r="AC84" i="30"/>
  <c r="AB85" i="30"/>
  <c r="AB86" i="30"/>
  <c r="AB87" i="30"/>
  <c r="AB88" i="30"/>
  <c r="AB89" i="30"/>
  <c r="AB90" i="30"/>
  <c r="AB91" i="30"/>
  <c r="AB92" i="30"/>
  <c r="AB93" i="30"/>
  <c r="AB94" i="30"/>
  <c r="AB95" i="30"/>
  <c r="AB96" i="30"/>
  <c r="AB97" i="30"/>
  <c r="AB98" i="30"/>
  <c r="AB99" i="30"/>
  <c r="AB74" i="30"/>
  <c r="AB75" i="30"/>
  <c r="AB76" i="30"/>
  <c r="AB77" i="30"/>
  <c r="AB78" i="30"/>
  <c r="AB79" i="30"/>
  <c r="AB80" i="30"/>
  <c r="AB81" i="30"/>
  <c r="AB82" i="30"/>
  <c r="AB83" i="30"/>
  <c r="AB84" i="30"/>
  <c r="AB73" i="30"/>
  <c r="C128" i="4"/>
  <c r="F29" i="42" l="1"/>
  <c r="F28" i="42"/>
  <c r="F27" i="42"/>
  <c r="F26" i="42"/>
  <c r="E29" i="42"/>
  <c r="E28" i="42"/>
  <c r="E27" i="42"/>
  <c r="E26" i="42"/>
  <c r="D27" i="42"/>
  <c r="D26" i="42"/>
  <c r="C27" i="42"/>
  <c r="C26" i="42"/>
  <c r="B18" i="42"/>
  <c r="F21" i="29" l="1"/>
  <c r="G129" i="4" l="1"/>
  <c r="G130" i="4"/>
  <c r="G131" i="4"/>
  <c r="G132" i="4"/>
  <c r="G133" i="4"/>
  <c r="G134" i="4"/>
  <c r="G135" i="4"/>
  <c r="G136" i="4"/>
  <c r="G137" i="4"/>
  <c r="G138" i="4"/>
  <c r="G139" i="4"/>
  <c r="G128" i="4"/>
  <c r="G117" i="4"/>
  <c r="G118" i="4"/>
  <c r="G119" i="4"/>
  <c r="G120" i="4"/>
  <c r="G121" i="4"/>
  <c r="G122" i="4"/>
  <c r="G123" i="4"/>
  <c r="G124" i="4"/>
  <c r="G125" i="4"/>
  <c r="G126" i="4"/>
  <c r="G127" i="4"/>
  <c r="G116" i="4"/>
  <c r="G105" i="4"/>
  <c r="G106" i="4"/>
  <c r="G107" i="4"/>
  <c r="G108" i="4"/>
  <c r="G109" i="4"/>
  <c r="G110" i="4"/>
  <c r="G111" i="4"/>
  <c r="G112" i="4"/>
  <c r="G113" i="4"/>
  <c r="G114" i="4"/>
  <c r="G115" i="4"/>
  <c r="G104" i="4"/>
  <c r="G93" i="4"/>
  <c r="G94" i="4"/>
  <c r="G95" i="4"/>
  <c r="G96" i="4"/>
  <c r="G97" i="4"/>
  <c r="G98" i="4"/>
  <c r="G99" i="4"/>
  <c r="G100" i="4"/>
  <c r="G101" i="4"/>
  <c r="G102" i="4"/>
  <c r="G103" i="4"/>
  <c r="G92" i="4"/>
  <c r="J80" i="4"/>
  <c r="G81" i="4"/>
  <c r="G82" i="4"/>
  <c r="G83" i="4"/>
  <c r="G84" i="4"/>
  <c r="G85" i="4"/>
  <c r="G86" i="4"/>
  <c r="G87" i="4"/>
  <c r="G88" i="4"/>
  <c r="G89" i="4"/>
  <c r="G90" i="4"/>
  <c r="G91" i="4"/>
  <c r="G80" i="4"/>
  <c r="C73" i="54"/>
  <c r="C74" i="54" s="1"/>
  <c r="C72" i="54"/>
  <c r="C71" i="54"/>
  <c r="E20" i="54"/>
  <c r="E21" i="54"/>
  <c r="E22" i="54"/>
  <c r="E23" i="54"/>
  <c r="E24" i="54"/>
  <c r="E25" i="54"/>
  <c r="E26" i="54"/>
  <c r="E27" i="54"/>
  <c r="E28" i="54"/>
  <c r="E29" i="54"/>
  <c r="E30" i="54"/>
  <c r="E32" i="54"/>
  <c r="E33" i="54"/>
  <c r="E34" i="54"/>
  <c r="E35" i="54"/>
  <c r="E36" i="54"/>
  <c r="E37" i="54"/>
  <c r="E38" i="54"/>
  <c r="E39" i="54"/>
  <c r="E40" i="54"/>
  <c r="E41" i="54"/>
  <c r="E42" i="54"/>
  <c r="E43" i="54"/>
  <c r="E45" i="54"/>
  <c r="E46" i="54"/>
  <c r="E47" i="54"/>
  <c r="E48" i="54"/>
  <c r="E49" i="54"/>
  <c r="E50" i="54"/>
  <c r="E51" i="54"/>
  <c r="E52" i="54"/>
  <c r="E53" i="54"/>
  <c r="E54" i="54"/>
  <c r="E55" i="54"/>
  <c r="E56" i="54"/>
  <c r="E58" i="54"/>
  <c r="E59" i="54"/>
  <c r="E60" i="54"/>
  <c r="E61" i="54"/>
  <c r="E62" i="54"/>
  <c r="E63" i="54"/>
  <c r="E64" i="54"/>
  <c r="E65" i="54"/>
  <c r="E66" i="54"/>
  <c r="E67" i="54"/>
  <c r="E68" i="54"/>
  <c r="E69" i="54"/>
  <c r="E71" i="54"/>
  <c r="E72" i="54"/>
  <c r="E19" i="54"/>
  <c r="C13" i="54"/>
  <c r="C12" i="54"/>
  <c r="C11" i="54"/>
  <c r="C10" i="54"/>
  <c r="C14" i="54"/>
  <c r="C75" i="54" l="1"/>
  <c r="E74" i="54"/>
  <c r="E73" i="54"/>
  <c r="C76" i="54" l="1"/>
  <c r="E75" i="54"/>
  <c r="E76" i="54" l="1"/>
  <c r="C77" i="54"/>
  <c r="C78" i="54" l="1"/>
  <c r="E77" i="54"/>
  <c r="C79" i="54" l="1"/>
  <c r="E78" i="54"/>
  <c r="C58" i="54"/>
  <c r="C45" i="54"/>
  <c r="C32" i="54"/>
  <c r="C33" i="54"/>
  <c r="C34" i="54" s="1"/>
  <c r="C35" i="54" s="1"/>
  <c r="C36" i="54" s="1"/>
  <c r="C37" i="54" s="1"/>
  <c r="C38" i="54" s="1"/>
  <c r="C39" i="54" s="1"/>
  <c r="C40" i="54" s="1"/>
  <c r="C41" i="54" s="1"/>
  <c r="C42" i="54" s="1"/>
  <c r="C43" i="54" s="1"/>
  <c r="C19" i="54"/>
  <c r="C20" i="54"/>
  <c r="C80" i="54" l="1"/>
  <c r="E79" i="54"/>
  <c r="C59" i="54"/>
  <c r="C60" i="54" s="1"/>
  <c r="C61" i="54" s="1"/>
  <c r="C62" i="54" s="1"/>
  <c r="C63" i="54" s="1"/>
  <c r="C64" i="54" s="1"/>
  <c r="C65" i="54" s="1"/>
  <c r="C66" i="54" s="1"/>
  <c r="C67" i="54" s="1"/>
  <c r="C68" i="54" s="1"/>
  <c r="C69" i="54" s="1"/>
  <c r="C46" i="54"/>
  <c r="C47" i="54" s="1"/>
  <c r="C48" i="54" s="1"/>
  <c r="C49" i="54" s="1"/>
  <c r="C50" i="54" s="1"/>
  <c r="C51" i="54" s="1"/>
  <c r="C52" i="54" s="1"/>
  <c r="C53" i="54" s="1"/>
  <c r="C54" i="54" s="1"/>
  <c r="C55" i="54" s="1"/>
  <c r="C56" i="54" s="1"/>
  <c r="C21" i="54"/>
  <c r="C22" i="54" s="1"/>
  <c r="C23" i="54" s="1"/>
  <c r="C24" i="54" s="1"/>
  <c r="C25" i="54" s="1"/>
  <c r="C26" i="54" s="1"/>
  <c r="C27" i="54" s="1"/>
  <c r="C28" i="54" s="1"/>
  <c r="C29" i="54" s="1"/>
  <c r="C30" i="54" s="1"/>
  <c r="D43" i="54"/>
  <c r="S17" i="54"/>
  <c r="E80" i="54" l="1"/>
  <c r="C81" i="54"/>
  <c r="D69" i="54"/>
  <c r="D56" i="54"/>
  <c r="D30" i="54"/>
  <c r="J128" i="4"/>
  <c r="C82" i="54" l="1"/>
  <c r="E81" i="54"/>
  <c r="K128" i="4"/>
  <c r="K127" i="4"/>
  <c r="C139" i="4"/>
  <c r="J129" i="4"/>
  <c r="J130" i="4"/>
  <c r="J131" i="4"/>
  <c r="J132" i="4"/>
  <c r="J133" i="4"/>
  <c r="J134" i="4"/>
  <c r="J135" i="4"/>
  <c r="J136" i="4"/>
  <c r="J137" i="4"/>
  <c r="J138" i="4"/>
  <c r="J139" i="4"/>
  <c r="E82" i="54" l="1"/>
  <c r="D82" i="54"/>
  <c r="C138" i="4"/>
  <c r="C137" i="4"/>
  <c r="C136" i="4"/>
  <c r="C135" i="4"/>
  <c r="C134" i="4"/>
  <c r="C133" i="4"/>
  <c r="C132" i="4"/>
  <c r="C131" i="4"/>
  <c r="C130" i="4"/>
  <c r="C12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N144" i="30" l="1"/>
  <c r="N143" i="30"/>
  <c r="N142" i="30"/>
  <c r="N141" i="30"/>
  <c r="N140" i="30"/>
  <c r="N139" i="30"/>
  <c r="G144" i="30"/>
  <c r="G143" i="30"/>
  <c r="G142" i="30"/>
  <c r="G141" i="30"/>
  <c r="G140" i="30"/>
  <c r="G139" i="30"/>
  <c r="E144" i="30"/>
  <c r="E143" i="30"/>
  <c r="E142" i="30"/>
  <c r="E141" i="30"/>
  <c r="E140" i="30"/>
  <c r="E139" i="30"/>
  <c r="P144" i="30"/>
  <c r="P143" i="30"/>
  <c r="P142" i="30"/>
  <c r="P141" i="30"/>
  <c r="P140" i="30"/>
  <c r="P139" i="30"/>
  <c r="O144" i="30"/>
  <c r="O143" i="30"/>
  <c r="O142" i="30"/>
  <c r="O141" i="30"/>
  <c r="O140" i="30"/>
  <c r="O139" i="30"/>
  <c r="M144" i="30"/>
  <c r="M143" i="30"/>
  <c r="M142" i="30"/>
  <c r="M141" i="30"/>
  <c r="M140" i="30"/>
  <c r="M139" i="30"/>
  <c r="L144" i="30"/>
  <c r="L143" i="30"/>
  <c r="L142" i="30"/>
  <c r="L141" i="30"/>
  <c r="L140" i="30"/>
  <c r="L139" i="30"/>
  <c r="F144" i="30"/>
  <c r="F143" i="30"/>
  <c r="F142" i="30"/>
  <c r="F141" i="30"/>
  <c r="F140" i="30"/>
  <c r="F139" i="30"/>
  <c r="D144" i="30"/>
  <c r="D143" i="30"/>
  <c r="D142" i="30"/>
  <c r="D141" i="30"/>
  <c r="D140" i="30"/>
  <c r="D139" i="30"/>
  <c r="I21" i="46" l="1"/>
  <c r="F42" i="29" l="1"/>
  <c r="C30" i="29" l="1"/>
  <c r="B120" i="52"/>
  <c r="R19" i="6"/>
  <c r="R20" i="6"/>
  <c r="R21" i="6"/>
  <c r="R22" i="6"/>
  <c r="R23" i="6"/>
  <c r="R24" i="6"/>
  <c r="R25" i="6"/>
  <c r="R26" i="6"/>
  <c r="R18" i="6"/>
  <c r="V46" i="4"/>
  <c r="V59" i="4" s="1"/>
  <c r="R28" i="6"/>
  <c r="Q30" i="6" s="1"/>
  <c r="Q31" i="6" s="1"/>
  <c r="W37" i="6" l="1"/>
  <c r="R37" i="6"/>
  <c r="C18" i="6"/>
  <c r="C19" i="6"/>
  <c r="I15" i="6"/>
  <c r="AK28" i="46" l="1"/>
  <c r="AK30" i="46"/>
  <c r="AK29" i="46"/>
  <c r="AK27" i="46"/>
  <c r="AK26" i="46"/>
  <c r="AK25" i="46"/>
  <c r="AK24" i="46"/>
  <c r="AK23" i="46"/>
  <c r="AK22" i="46"/>
  <c r="AK21" i="46"/>
  <c r="G24" i="6"/>
  <c r="G23" i="6"/>
  <c r="AH30" i="46"/>
  <c r="AH29" i="46"/>
  <c r="AH28" i="46"/>
  <c r="AH27" i="46"/>
  <c r="AH26" i="46"/>
  <c r="AH25" i="46"/>
  <c r="AH24" i="46"/>
  <c r="AH23" i="46"/>
  <c r="AH22" i="46"/>
  <c r="AH21" i="46"/>
  <c r="AA24" i="46"/>
  <c r="U20" i="30"/>
  <c r="K139" i="4"/>
  <c r="K138" i="4"/>
  <c r="K137" i="4"/>
  <c r="K136" i="4"/>
  <c r="K135" i="4"/>
  <c r="K134" i="4"/>
  <c r="K133" i="4"/>
  <c r="K132" i="4"/>
  <c r="K131" i="4"/>
  <c r="K130" i="4"/>
  <c r="K129" i="4"/>
  <c r="K126" i="4"/>
  <c r="K125" i="4"/>
  <c r="K124" i="4"/>
  <c r="K123" i="4"/>
  <c r="K122" i="4"/>
  <c r="K121" i="4"/>
  <c r="K120" i="4"/>
  <c r="K119" i="4"/>
  <c r="K118" i="4"/>
  <c r="K117" i="4"/>
  <c r="K116" i="4"/>
  <c r="K115" i="4"/>
  <c r="K114" i="4"/>
  <c r="K113" i="4"/>
  <c r="K112" i="4"/>
  <c r="K111" i="4"/>
  <c r="K110" i="4"/>
  <c r="K109" i="4"/>
  <c r="K108" i="4"/>
  <c r="K107" i="4"/>
  <c r="K106" i="4"/>
  <c r="K105" i="4"/>
  <c r="K104"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B40" i="52"/>
  <c r="L20" i="4"/>
  <c r="L21" i="4"/>
  <c r="L22" i="4"/>
  <c r="L23" i="4"/>
  <c r="L24" i="4"/>
  <c r="L25" i="4"/>
  <c r="L26" i="4"/>
  <c r="L27" i="4"/>
  <c r="L28" i="4"/>
  <c r="L29" i="4"/>
  <c r="L30" i="4"/>
  <c r="L31" i="4"/>
  <c r="B18" i="52"/>
  <c r="K140" i="4" l="1"/>
  <c r="A21" i="4"/>
  <c r="X21" i="46"/>
  <c r="Z21" i="46" s="1"/>
  <c r="AR30" i="46"/>
  <c r="AR29" i="46"/>
  <c r="AT29" i="46" s="1"/>
  <c r="AR28" i="46"/>
  <c r="AT28" i="46" s="1"/>
  <c r="AR27" i="46"/>
  <c r="AT27" i="46" s="1"/>
  <c r="AR26" i="46"/>
  <c r="AT26" i="46" s="1"/>
  <c r="AR25" i="46"/>
  <c r="AT25" i="46" s="1"/>
  <c r="AR24" i="46"/>
  <c r="AT24" i="46" s="1"/>
  <c r="AR23" i="46"/>
  <c r="AT23" i="46" s="1"/>
  <c r="AR22" i="46"/>
  <c r="AT22" i="46" s="1"/>
  <c r="AR21" i="46"/>
  <c r="AT21" i="46" s="1"/>
  <c r="AJ29" i="46"/>
  <c r="AJ28" i="46"/>
  <c r="AJ27" i="46"/>
  <c r="AJ26" i="46"/>
  <c r="AJ25" i="46"/>
  <c r="AJ24" i="46"/>
  <c r="AJ23" i="46"/>
  <c r="AJ22" i="46"/>
  <c r="AJ21" i="46"/>
  <c r="X30" i="46"/>
  <c r="X29" i="46"/>
  <c r="Z29" i="46" s="1"/>
  <c r="X28" i="46"/>
  <c r="Z28" i="46" s="1"/>
  <c r="X27" i="46"/>
  <c r="Z27" i="46" s="1"/>
  <c r="X26" i="46"/>
  <c r="Z26" i="46" s="1"/>
  <c r="X25" i="46"/>
  <c r="Z25" i="46" s="1"/>
  <c r="X24" i="46"/>
  <c r="Z24" i="46" s="1"/>
  <c r="X23" i="46"/>
  <c r="Z23" i="46" s="1"/>
  <c r="X22" i="46"/>
  <c r="Z22" i="46" s="1"/>
  <c r="N30" i="46"/>
  <c r="N29" i="46"/>
  <c r="P29" i="46" s="1"/>
  <c r="N28" i="46"/>
  <c r="P28" i="46" s="1"/>
  <c r="N27" i="46"/>
  <c r="P27" i="46" s="1"/>
  <c r="N26" i="46"/>
  <c r="P26" i="46" s="1"/>
  <c r="N25" i="46"/>
  <c r="P25" i="46" s="1"/>
  <c r="N24" i="46"/>
  <c r="P24" i="46" s="1"/>
  <c r="N23" i="46"/>
  <c r="P23" i="46" s="1"/>
  <c r="N22" i="46"/>
  <c r="P22" i="46" s="1"/>
  <c r="N21" i="46"/>
  <c r="P21" i="46" s="1"/>
  <c r="C30" i="46"/>
  <c r="C29" i="46"/>
  <c r="E29" i="46" s="1"/>
  <c r="C28" i="46"/>
  <c r="E28" i="46" s="1"/>
  <c r="C27" i="46"/>
  <c r="E27" i="46" s="1"/>
  <c r="C26" i="46"/>
  <c r="E26" i="46" s="1"/>
  <c r="C25" i="46"/>
  <c r="E25" i="46" s="1"/>
  <c r="C24" i="46"/>
  <c r="E24" i="46" s="1"/>
  <c r="C23" i="46"/>
  <c r="E23" i="46" s="1"/>
  <c r="C22" i="46"/>
  <c r="E22" i="46" s="1"/>
  <c r="C21" i="46"/>
  <c r="E21" i="46" s="1"/>
  <c r="N34" i="53"/>
  <c r="I19" i="53"/>
  <c r="I37" i="53" s="1"/>
  <c r="H19" i="53"/>
  <c r="H37" i="53" s="1"/>
  <c r="G19" i="53"/>
  <c r="G37" i="53" s="1"/>
  <c r="F19" i="53"/>
  <c r="F37" i="53" s="1"/>
  <c r="E19" i="53"/>
  <c r="E37" i="53" s="1"/>
  <c r="B73" i="32"/>
  <c r="F73" i="32" s="1"/>
  <c r="AU30" i="46"/>
  <c r="AU29" i="46"/>
  <c r="AU28" i="46"/>
  <c r="AU27" i="46"/>
  <c r="AU26" i="46"/>
  <c r="AU25" i="46"/>
  <c r="AU24" i="46"/>
  <c r="AU23" i="46"/>
  <c r="AU22" i="46"/>
  <c r="AU21" i="46"/>
  <c r="AQ47" i="46"/>
  <c r="AY23" i="46" l="1"/>
  <c r="AY27" i="46"/>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Z30" i="46"/>
  <c r="AJ30" i="46"/>
  <c r="P30" i="46"/>
  <c r="E30" i="46"/>
  <c r="AT30" i="46"/>
  <c r="AY28" i="46"/>
  <c r="AY29" i="46"/>
  <c r="AY25" i="46"/>
  <c r="AY26" i="46"/>
  <c r="AY21" i="46"/>
  <c r="AY24" i="46"/>
  <c r="AY22" i="46"/>
  <c r="AY30" i="46"/>
  <c r="AY34" i="46" l="1"/>
  <c r="F89" i="42"/>
  <c r="E89" i="42"/>
  <c r="D89" i="42"/>
  <c r="E87" i="42"/>
  <c r="D87" i="42"/>
  <c r="C87" i="42"/>
  <c r="E71" i="42"/>
  <c r="G71" i="42" s="1"/>
  <c r="D71" i="42"/>
  <c r="B53" i="42"/>
  <c r="B52" i="42"/>
  <c r="B51" i="42"/>
  <c r="B50" i="42"/>
  <c r="B49" i="42"/>
  <c r="C48" i="42"/>
  <c r="G91" i="42" s="1"/>
  <c r="B48" i="42"/>
  <c r="E30" i="42"/>
  <c r="D30" i="42"/>
  <c r="C30" i="42"/>
  <c r="H91" i="42" l="1"/>
  <c r="H95" i="42" s="1"/>
  <c r="I95" i="42" s="1"/>
  <c r="D95" i="42"/>
  <c r="F71" i="42"/>
  <c r="C54" i="42"/>
  <c r="C40" i="42"/>
  <c r="C46" i="42" s="1"/>
  <c r="D49" i="42"/>
  <c r="F87" i="42"/>
  <c r="F30" i="42"/>
  <c r="G30" i="42"/>
  <c r="C20" i="42" s="1"/>
  <c r="I91" i="42"/>
  <c r="I48" i="42"/>
  <c r="I49" i="42" l="1"/>
  <c r="L34" i="53"/>
  <c r="I40" i="42"/>
  <c r="E50" i="42"/>
  <c r="D41" i="42"/>
  <c r="D46" i="42" s="1"/>
  <c r="D54" i="42"/>
  <c r="F20" i="42"/>
  <c r="E20" i="42"/>
  <c r="D21" i="42"/>
  <c r="D20" i="42"/>
  <c r="F22" i="42"/>
  <c r="F21" i="42"/>
  <c r="E22" i="42"/>
  <c r="E21" i="42"/>
  <c r="F23" i="42"/>
  <c r="G23" i="42" s="1"/>
  <c r="D24" i="42" l="1"/>
  <c r="I41" i="42"/>
  <c r="E42" i="42"/>
  <c r="F51" i="42"/>
  <c r="I50" i="42"/>
  <c r="E54" i="42"/>
  <c r="G21" i="42"/>
  <c r="E24" i="42"/>
  <c r="G22" i="42"/>
  <c r="C24" i="42"/>
  <c r="G20" i="42"/>
  <c r="F24" i="42"/>
  <c r="G24" i="42" l="1"/>
  <c r="F43" i="42"/>
  <c r="I51" i="42"/>
  <c r="F54" i="42"/>
  <c r="G52" i="42"/>
  <c r="E46" i="42"/>
  <c r="I42" i="42"/>
  <c r="B64" i="32"/>
  <c r="F64" i="32" s="1"/>
  <c r="C16" i="32" s="1"/>
  <c r="B65" i="32"/>
  <c r="F65" i="32" s="1"/>
  <c r="B66" i="32"/>
  <c r="F66" i="32" s="1"/>
  <c r="B67" i="32"/>
  <c r="F67" i="32" s="1"/>
  <c r="B68" i="32"/>
  <c r="F68" i="32" s="1"/>
  <c r="B69" i="32"/>
  <c r="F69" i="32" s="1"/>
  <c r="B70" i="32"/>
  <c r="F70" i="32" s="1"/>
  <c r="B71" i="32"/>
  <c r="F71" i="32" s="1"/>
  <c r="B72" i="32"/>
  <c r="F72" i="32" s="1"/>
  <c r="AA30" i="46"/>
  <c r="AA29" i="46"/>
  <c r="AA28" i="46"/>
  <c r="AA27" i="46"/>
  <c r="AA26" i="46"/>
  <c r="AA25" i="46"/>
  <c r="AE25" i="46" s="1"/>
  <c r="AA23" i="46"/>
  <c r="AE23" i="46" s="1"/>
  <c r="AA22" i="46"/>
  <c r="AE22" i="46" s="1"/>
  <c r="AA21" i="46"/>
  <c r="AE21" i="46" s="1"/>
  <c r="AE24" i="46"/>
  <c r="AO22" i="46"/>
  <c r="AO24" i="46"/>
  <c r="AO25" i="46"/>
  <c r="AO23" i="46"/>
  <c r="AO21" i="46"/>
  <c r="AO26" i="46"/>
  <c r="AG47" i="46"/>
  <c r="W47" i="46"/>
  <c r="M47" i="46"/>
  <c r="B47" i="46"/>
  <c r="V37" i="6"/>
  <c r="V36" i="6"/>
  <c r="M41" i="32" l="1"/>
  <c r="E41" i="32"/>
  <c r="D39" i="51" s="1"/>
  <c r="G37" i="32"/>
  <c r="F35" i="51" s="1"/>
  <c r="I33" i="32"/>
  <c r="H31" i="51" s="1"/>
  <c r="K29" i="32"/>
  <c r="J27" i="51" s="1"/>
  <c r="K41" i="32"/>
  <c r="J39" i="51" s="1"/>
  <c r="E37" i="32"/>
  <c r="D35" i="51" s="1"/>
  <c r="I29" i="32"/>
  <c r="H27" i="51" s="1"/>
  <c r="H37" i="32"/>
  <c r="G35" i="51" s="1"/>
  <c r="L41" i="32"/>
  <c r="N37" i="32"/>
  <c r="F37" i="32"/>
  <c r="E35" i="51" s="1"/>
  <c r="H33" i="32"/>
  <c r="G31" i="51" s="1"/>
  <c r="J29" i="32"/>
  <c r="I27" i="51" s="1"/>
  <c r="M37" i="32"/>
  <c r="G33" i="32"/>
  <c r="F31" i="51" s="1"/>
  <c r="F41" i="32"/>
  <c r="E39" i="51" s="1"/>
  <c r="L29" i="32"/>
  <c r="J41" i="32"/>
  <c r="I39" i="51" s="1"/>
  <c r="L37" i="32"/>
  <c r="N33" i="32"/>
  <c r="F33" i="32"/>
  <c r="E31" i="51" s="1"/>
  <c r="H29" i="32"/>
  <c r="G27" i="51" s="1"/>
  <c r="I41" i="32"/>
  <c r="H39" i="51" s="1"/>
  <c r="K37" i="32"/>
  <c r="J35" i="51" s="1"/>
  <c r="M33" i="32"/>
  <c r="E33" i="32"/>
  <c r="D31" i="51" s="1"/>
  <c r="G29" i="32"/>
  <c r="F27" i="51" s="1"/>
  <c r="H41" i="32"/>
  <c r="G39" i="51" s="1"/>
  <c r="J37" i="32"/>
  <c r="I35" i="51" s="1"/>
  <c r="L33" i="32"/>
  <c r="N29" i="32"/>
  <c r="F29" i="32"/>
  <c r="E27" i="51" s="1"/>
  <c r="G41" i="32"/>
  <c r="F39" i="51" s="1"/>
  <c r="I37" i="32"/>
  <c r="H35" i="51" s="1"/>
  <c r="K33" i="32"/>
  <c r="J31" i="51" s="1"/>
  <c r="M29" i="32"/>
  <c r="E29" i="32"/>
  <c r="D27" i="51" s="1"/>
  <c r="N41" i="32"/>
  <c r="J33" i="32"/>
  <c r="I31" i="51" s="1"/>
  <c r="H42" i="32"/>
  <c r="G40" i="51" s="1"/>
  <c r="L38" i="32"/>
  <c r="L22" i="32"/>
  <c r="P18" i="32"/>
  <c r="H18" i="32"/>
  <c r="G16" i="51" s="1"/>
  <c r="N42" i="32"/>
  <c r="E42" i="32"/>
  <c r="D40" i="51" s="1"/>
  <c r="H38" i="32"/>
  <c r="G36" i="51" s="1"/>
  <c r="J22" i="32"/>
  <c r="I20" i="51" s="1"/>
  <c r="M18" i="32"/>
  <c r="M42" i="32"/>
  <c r="G38" i="32"/>
  <c r="F36" i="51" s="1"/>
  <c r="I22" i="32"/>
  <c r="H20" i="51" s="1"/>
  <c r="L18" i="32"/>
  <c r="L42" i="32"/>
  <c r="F38" i="32"/>
  <c r="E36" i="51" s="1"/>
  <c r="H22" i="32"/>
  <c r="G20" i="51" s="1"/>
  <c r="K18" i="32"/>
  <c r="J16" i="51" s="1"/>
  <c r="J42" i="32"/>
  <c r="I40" i="51" s="1"/>
  <c r="M38" i="32"/>
  <c r="O22" i="32"/>
  <c r="F22" i="32"/>
  <c r="E20" i="51" s="1"/>
  <c r="I18" i="32"/>
  <c r="H16" i="51" s="1"/>
  <c r="J38" i="32"/>
  <c r="I36" i="51" s="1"/>
  <c r="O18" i="32"/>
  <c r="E38" i="32"/>
  <c r="D36" i="51" s="1"/>
  <c r="P22" i="32"/>
  <c r="I40" i="53" s="1"/>
  <c r="G42" i="32"/>
  <c r="F40" i="51" s="1"/>
  <c r="F18" i="32"/>
  <c r="E16" i="51" s="1"/>
  <c r="E18" i="32"/>
  <c r="I38" i="32"/>
  <c r="H36" i="51" s="1"/>
  <c r="N18" i="32"/>
  <c r="K42" i="32"/>
  <c r="J40" i="51" s="1"/>
  <c r="J18" i="32"/>
  <c r="I16" i="51" s="1"/>
  <c r="F42" i="32"/>
  <c r="E40" i="51" s="1"/>
  <c r="K22" i="32"/>
  <c r="J20" i="51" s="1"/>
  <c r="I42" i="32"/>
  <c r="H40" i="51" s="1"/>
  <c r="N22" i="32"/>
  <c r="G18" i="32"/>
  <c r="M22" i="32"/>
  <c r="N38" i="32"/>
  <c r="G22" i="32"/>
  <c r="F20" i="51" s="1"/>
  <c r="K38" i="32"/>
  <c r="J36" i="51" s="1"/>
  <c r="E22" i="32"/>
  <c r="D20" i="51" s="1"/>
  <c r="AE30" i="46"/>
  <c r="C28" i="32"/>
  <c r="C20" i="32"/>
  <c r="C36" i="32"/>
  <c r="C32" i="32"/>
  <c r="E32" i="32" s="1"/>
  <c r="C24" i="32"/>
  <c r="C40" i="32"/>
  <c r="AE28" i="46"/>
  <c r="AE29" i="46"/>
  <c r="AO28" i="46"/>
  <c r="AO27" i="46"/>
  <c r="AO29" i="46"/>
  <c r="AO30" i="46"/>
  <c r="G44" i="42"/>
  <c r="H53" i="42"/>
  <c r="G54" i="42"/>
  <c r="I52" i="42"/>
  <c r="I43" i="42"/>
  <c r="F46" i="42"/>
  <c r="AE26" i="46"/>
  <c r="AE27" i="46"/>
  <c r="Q30" i="46"/>
  <c r="Q29" i="46"/>
  <c r="Q28" i="46"/>
  <c r="Q27" i="46"/>
  <c r="Q26" i="46"/>
  <c r="Q25" i="46"/>
  <c r="Q24" i="46"/>
  <c r="Q23" i="46"/>
  <c r="Q22" i="46"/>
  <c r="Q21" i="46"/>
  <c r="E30" i="32" s="1"/>
  <c r="D28" i="51" s="1"/>
  <c r="F30" i="46"/>
  <c r="N26" i="32" s="1"/>
  <c r="F29" i="46"/>
  <c r="M26" i="32" s="1"/>
  <c r="F28" i="46"/>
  <c r="L26" i="32" s="1"/>
  <c r="F27" i="46"/>
  <c r="K26" i="32" s="1"/>
  <c r="J24" i="51" s="1"/>
  <c r="F26" i="46"/>
  <c r="J26" i="32" s="1"/>
  <c r="I24" i="51" s="1"/>
  <c r="F25" i="46"/>
  <c r="I26" i="32" s="1"/>
  <c r="H24" i="51" s="1"/>
  <c r="F24" i="46"/>
  <c r="H26" i="32" s="1"/>
  <c r="G24" i="51" s="1"/>
  <c r="F23" i="46"/>
  <c r="G26" i="32" s="1"/>
  <c r="F24" i="51" s="1"/>
  <c r="F22" i="46"/>
  <c r="F26" i="32" s="1"/>
  <c r="E24" i="51" s="1"/>
  <c r="F21" i="46"/>
  <c r="E26" i="32" s="1"/>
  <c r="D24" i="51" s="1"/>
  <c r="AI30" i="29"/>
  <c r="AI29" i="29"/>
  <c r="AI28" i="29"/>
  <c r="AI27" i="29"/>
  <c r="AI26" i="29"/>
  <c r="AI25" i="29"/>
  <c r="AI24" i="29"/>
  <c r="AI23" i="29"/>
  <c r="AI22" i="29"/>
  <c r="AI21" i="29"/>
  <c r="AA21" i="29"/>
  <c r="AH40" i="29"/>
  <c r="N37" i="6"/>
  <c r="P37" i="6"/>
  <c r="L37" i="6"/>
  <c r="H37" i="6"/>
  <c r="F37" i="6"/>
  <c r="D37" i="6"/>
  <c r="J37" i="6"/>
  <c r="AA30" i="29"/>
  <c r="AA29" i="29"/>
  <c r="AA28" i="29"/>
  <c r="AA27" i="29"/>
  <c r="AA26" i="29"/>
  <c r="AA25" i="29"/>
  <c r="AA24" i="29"/>
  <c r="AA23" i="29"/>
  <c r="AA22" i="29"/>
  <c r="S30" i="29"/>
  <c r="S29" i="29"/>
  <c r="S28" i="29"/>
  <c r="S27" i="29"/>
  <c r="S26" i="29"/>
  <c r="S25" i="29"/>
  <c r="S24" i="29"/>
  <c r="S23" i="29"/>
  <c r="S22" i="29"/>
  <c r="S21" i="29"/>
  <c r="K30" i="29"/>
  <c r="K29" i="29"/>
  <c r="K28" i="29"/>
  <c r="K26" i="29"/>
  <c r="K27" i="29"/>
  <c r="K25" i="29"/>
  <c r="K24" i="29"/>
  <c r="K23" i="29"/>
  <c r="K22" i="29"/>
  <c r="K21" i="29"/>
  <c r="C29" i="29"/>
  <c r="C28" i="29"/>
  <c r="C27" i="29"/>
  <c r="C26" i="29"/>
  <c r="C25" i="29"/>
  <c r="C24" i="29"/>
  <c r="C23" i="29"/>
  <c r="C22" i="29"/>
  <c r="C21" i="29"/>
  <c r="M26" i="6"/>
  <c r="M25" i="6"/>
  <c r="R29" i="46" s="1"/>
  <c r="M24" i="6"/>
  <c r="R28" i="46" s="1"/>
  <c r="M23" i="6"/>
  <c r="R27" i="46" s="1"/>
  <c r="M22" i="6"/>
  <c r="R26" i="46" s="1"/>
  <c r="M21" i="6"/>
  <c r="R25" i="46" s="1"/>
  <c r="M20" i="6"/>
  <c r="R24" i="46" s="1"/>
  <c r="M19" i="6"/>
  <c r="R23" i="46" s="1"/>
  <c r="M18" i="6"/>
  <c r="R22" i="46" s="1"/>
  <c r="M17" i="6"/>
  <c r="R21" i="46" s="1"/>
  <c r="O26" i="6"/>
  <c r="AB30" i="46" s="1"/>
  <c r="AD30" i="46" s="1"/>
  <c r="O25" i="6"/>
  <c r="AB29" i="46" s="1"/>
  <c r="AC29" i="46" s="1"/>
  <c r="O24" i="6"/>
  <c r="AB28" i="46" s="1"/>
  <c r="AC28" i="46" s="1"/>
  <c r="O23" i="6"/>
  <c r="AB27" i="46" s="1"/>
  <c r="AC27" i="46" s="1"/>
  <c r="O22" i="6"/>
  <c r="AB26" i="46" s="1"/>
  <c r="AD26" i="46" s="1"/>
  <c r="O21" i="6"/>
  <c r="AB25" i="46" s="1"/>
  <c r="AC25" i="46" s="1"/>
  <c r="O20" i="6"/>
  <c r="AB24" i="46" s="1"/>
  <c r="AC24" i="46" s="1"/>
  <c r="O19" i="6"/>
  <c r="AB23" i="46" s="1"/>
  <c r="AC23" i="46" s="1"/>
  <c r="O18" i="6"/>
  <c r="AB22" i="46" s="1"/>
  <c r="AC22" i="46" s="1"/>
  <c r="O17" i="6"/>
  <c r="AB21" i="46" s="1"/>
  <c r="AD21" i="46" s="1"/>
  <c r="K26" i="6"/>
  <c r="K25" i="6"/>
  <c r="G29" i="46" s="1"/>
  <c r="K24" i="6"/>
  <c r="G28" i="46" s="1"/>
  <c r="K23" i="6"/>
  <c r="G27" i="46" s="1"/>
  <c r="K22" i="6"/>
  <c r="G26" i="46" s="1"/>
  <c r="K21" i="6"/>
  <c r="G25" i="46" s="1"/>
  <c r="K20" i="6"/>
  <c r="G24" i="46" s="1"/>
  <c r="K19" i="6"/>
  <c r="G23" i="46" s="1"/>
  <c r="K18" i="6"/>
  <c r="G22" i="46" s="1"/>
  <c r="K17" i="6"/>
  <c r="G21" i="46" s="1"/>
  <c r="G17" i="6"/>
  <c r="AV21" i="46" s="1"/>
  <c r="G18" i="6"/>
  <c r="AV22" i="46" s="1"/>
  <c r="G19" i="6"/>
  <c r="AV23" i="46" s="1"/>
  <c r="G20" i="6"/>
  <c r="AV24" i="46" s="1"/>
  <c r="G21" i="6"/>
  <c r="AV25" i="46" s="1"/>
  <c r="G22" i="6"/>
  <c r="AV26" i="46" s="1"/>
  <c r="AV27" i="46"/>
  <c r="AV28" i="46"/>
  <c r="G25" i="6"/>
  <c r="AV29" i="46" s="1"/>
  <c r="G26" i="6"/>
  <c r="AV30" i="46" s="1"/>
  <c r="O15" i="6"/>
  <c r="M15" i="6"/>
  <c r="H36" i="32" l="1"/>
  <c r="L36" i="32"/>
  <c r="P36" i="32"/>
  <c r="O36" i="32"/>
  <c r="I36" i="32"/>
  <c r="M36" i="32"/>
  <c r="E36" i="32"/>
  <c r="K36" i="32"/>
  <c r="F36" i="32"/>
  <c r="J36" i="32"/>
  <c r="N36" i="32"/>
  <c r="G36" i="32"/>
  <c r="H30" i="32"/>
  <c r="G28" i="51" s="1"/>
  <c r="L30" i="32"/>
  <c r="K28" i="51" s="1"/>
  <c r="I30" i="32"/>
  <c r="H28" i="51" s="1"/>
  <c r="M30" i="32"/>
  <c r="L28" i="51" s="1"/>
  <c r="F30" i="32"/>
  <c r="E28" i="51" s="1"/>
  <c r="J30" i="32"/>
  <c r="I28" i="51" s="1"/>
  <c r="N30" i="32"/>
  <c r="G44" i="53" s="1"/>
  <c r="G30" i="32"/>
  <c r="F28" i="51" s="1"/>
  <c r="K30" i="32"/>
  <c r="J28" i="51" s="1"/>
  <c r="K34" i="32"/>
  <c r="J32" i="51" s="1"/>
  <c r="G34" i="32"/>
  <c r="F32" i="51" s="1"/>
  <c r="E34" i="32"/>
  <c r="D32" i="51" s="1"/>
  <c r="F34" i="32"/>
  <c r="E32" i="51" s="1"/>
  <c r="N34" i="32"/>
  <c r="G46" i="53" s="1"/>
  <c r="I34" i="32"/>
  <c r="H32" i="51" s="1"/>
  <c r="M34" i="32"/>
  <c r="L32" i="51" s="1"/>
  <c r="L34" i="32"/>
  <c r="K32" i="51" s="1"/>
  <c r="J34" i="32"/>
  <c r="I32" i="51" s="1"/>
  <c r="H34" i="32"/>
  <c r="G32" i="51" s="1"/>
  <c r="AW30" i="46"/>
  <c r="AX30" i="46"/>
  <c r="AW22" i="46"/>
  <c r="AX22" i="46"/>
  <c r="AW29" i="46"/>
  <c r="AX29" i="46"/>
  <c r="AW21" i="46"/>
  <c r="AX21" i="46"/>
  <c r="AW28" i="46"/>
  <c r="AX28" i="46"/>
  <c r="AW24" i="46"/>
  <c r="AX24" i="46"/>
  <c r="AW26" i="46"/>
  <c r="AX26" i="46"/>
  <c r="AW25" i="46"/>
  <c r="AX25" i="46"/>
  <c r="AW27" i="46"/>
  <c r="AW34" i="46" s="1"/>
  <c r="AU49" i="46" s="1"/>
  <c r="AX27" i="46"/>
  <c r="AW23" i="46"/>
  <c r="AX23" i="46"/>
  <c r="AE34" i="46"/>
  <c r="AD24" i="46"/>
  <c r="H21" i="46"/>
  <c r="N36" i="6"/>
  <c r="R30" i="46"/>
  <c r="T30" i="46" s="1"/>
  <c r="N21" i="6"/>
  <c r="N23" i="6"/>
  <c r="N19" i="6"/>
  <c r="AC26" i="46"/>
  <c r="AD25" i="46"/>
  <c r="AD28" i="46"/>
  <c r="AD29" i="46"/>
  <c r="N25" i="6"/>
  <c r="AC30" i="46"/>
  <c r="N18" i="6"/>
  <c r="AD27" i="46"/>
  <c r="AD22" i="46"/>
  <c r="AC21" i="46"/>
  <c r="N24" i="6"/>
  <c r="AD23" i="46"/>
  <c r="N20" i="6"/>
  <c r="N22" i="6"/>
  <c r="L36" i="6"/>
  <c r="G30" i="46"/>
  <c r="I30" i="46" s="1"/>
  <c r="G54" i="47"/>
  <c r="F42" i="53"/>
  <c r="L24" i="51"/>
  <c r="G49" i="47"/>
  <c r="G50" i="47"/>
  <c r="G64" i="47"/>
  <c r="G52" i="47"/>
  <c r="G53" i="47"/>
  <c r="E70" i="47"/>
  <c r="B26" i="53"/>
  <c r="B44" i="53" s="1"/>
  <c r="B26" i="51"/>
  <c r="E98" i="47"/>
  <c r="E100" i="47"/>
  <c r="G21" i="47"/>
  <c r="G114" i="47"/>
  <c r="H38" i="53"/>
  <c r="N16" i="51"/>
  <c r="K39" i="51"/>
  <c r="E32" i="53"/>
  <c r="F48" i="53"/>
  <c r="L36" i="51"/>
  <c r="G32" i="53"/>
  <c r="M39" i="51"/>
  <c r="F38" i="53"/>
  <c r="L16" i="51"/>
  <c r="G50" i="53"/>
  <c r="M40" i="51"/>
  <c r="E80" i="47"/>
  <c r="E118" i="47"/>
  <c r="F32" i="53"/>
  <c r="L39" i="51"/>
  <c r="F40" i="53"/>
  <c r="L20" i="51"/>
  <c r="G100" i="47"/>
  <c r="G20" i="47"/>
  <c r="G117" i="47"/>
  <c r="G22" i="47"/>
  <c r="K40" i="51"/>
  <c r="E50" i="53"/>
  <c r="E38" i="53"/>
  <c r="K16" i="51"/>
  <c r="F50" i="53"/>
  <c r="L40" i="51"/>
  <c r="G37" i="47"/>
  <c r="G19" i="47"/>
  <c r="E48" i="53"/>
  <c r="K36" i="51"/>
  <c r="F28" i="53"/>
  <c r="L31" i="51"/>
  <c r="B14" i="51"/>
  <c r="B20" i="53"/>
  <c r="B38" i="53" s="1"/>
  <c r="G32" i="47"/>
  <c r="G34" i="47"/>
  <c r="G116" i="47"/>
  <c r="G118" i="47"/>
  <c r="O15" i="38"/>
  <c r="C112" i="47"/>
  <c r="E112" i="47"/>
  <c r="G33" i="47"/>
  <c r="E84" i="47"/>
  <c r="G35" i="47"/>
  <c r="E86" i="47"/>
  <c r="G36" i="47"/>
  <c r="I38" i="53"/>
  <c r="G115" i="47"/>
  <c r="E81" i="47"/>
  <c r="B38" i="51"/>
  <c r="B32" i="53"/>
  <c r="B50" i="53" s="1"/>
  <c r="G38" i="47"/>
  <c r="G101" i="47"/>
  <c r="H40" i="53"/>
  <c r="N20" i="51"/>
  <c r="G48" i="47"/>
  <c r="E67" i="47"/>
  <c r="E40" i="53"/>
  <c r="K20" i="51"/>
  <c r="G28" i="53"/>
  <c r="M31" i="51"/>
  <c r="G113" i="47"/>
  <c r="D16" i="51"/>
  <c r="E42" i="53"/>
  <c r="K24" i="51"/>
  <c r="E66" i="47"/>
  <c r="E83" i="47"/>
  <c r="B28" i="53"/>
  <c r="B46" i="53" s="1"/>
  <c r="B30" i="51"/>
  <c r="G102" i="47"/>
  <c r="G48" i="53"/>
  <c r="M36" i="51"/>
  <c r="G30" i="53"/>
  <c r="M35" i="51"/>
  <c r="E26" i="53"/>
  <c r="K27" i="51"/>
  <c r="E28" i="53"/>
  <c r="K31" i="51"/>
  <c r="B30" i="53"/>
  <c r="B48" i="53" s="1"/>
  <c r="B34" i="51"/>
  <c r="E68" i="47"/>
  <c r="L35" i="51"/>
  <c r="F30" i="53"/>
  <c r="F16" i="51"/>
  <c r="G38" i="53"/>
  <c r="M16" i="51"/>
  <c r="E97" i="47"/>
  <c r="E99" i="47"/>
  <c r="E101" i="47"/>
  <c r="E102" i="47"/>
  <c r="E115" i="47"/>
  <c r="G99" i="47"/>
  <c r="B24" i="53"/>
  <c r="B42" i="53" s="1"/>
  <c r="B22" i="51"/>
  <c r="E96" i="47"/>
  <c r="G96" i="47"/>
  <c r="E65" i="47"/>
  <c r="G42" i="53"/>
  <c r="M24" i="51"/>
  <c r="G51" i="47"/>
  <c r="E82" i="47"/>
  <c r="E116" i="47"/>
  <c r="G26" i="53"/>
  <c r="M27" i="51"/>
  <c r="E30" i="53"/>
  <c r="K35" i="51"/>
  <c r="B22" i="53"/>
  <c r="B40" i="53" s="1"/>
  <c r="B18" i="51"/>
  <c r="E64" i="47"/>
  <c r="G40" i="53"/>
  <c r="M20" i="51"/>
  <c r="L27" i="51"/>
  <c r="F26" i="53"/>
  <c r="G17" i="47"/>
  <c r="E117" i="47"/>
  <c r="E113" i="47"/>
  <c r="G97" i="47"/>
  <c r="E114" i="47"/>
  <c r="G98" i="47"/>
  <c r="G112" i="47"/>
  <c r="P15" i="38"/>
  <c r="E85" i="47"/>
  <c r="H45" i="42"/>
  <c r="I53" i="42"/>
  <c r="H54" i="42"/>
  <c r="G46" i="42"/>
  <c r="I44" i="42"/>
  <c r="U21" i="46"/>
  <c r="T21" i="46"/>
  <c r="S21" i="46"/>
  <c r="U29" i="46"/>
  <c r="T29" i="46"/>
  <c r="S29" i="46"/>
  <c r="U22" i="46"/>
  <c r="T22" i="46"/>
  <c r="S22" i="46"/>
  <c r="U30" i="46"/>
  <c r="U23" i="46"/>
  <c r="T23" i="46"/>
  <c r="S23" i="46"/>
  <c r="U24" i="46"/>
  <c r="S24" i="46"/>
  <c r="T24" i="46"/>
  <c r="U25" i="46"/>
  <c r="T25" i="46"/>
  <c r="S25" i="46"/>
  <c r="U26" i="46"/>
  <c r="T26" i="46"/>
  <c r="S26" i="46"/>
  <c r="U27" i="46"/>
  <c r="T27" i="46"/>
  <c r="S27" i="46"/>
  <c r="U28" i="46"/>
  <c r="S28" i="46"/>
  <c r="T28" i="46"/>
  <c r="J28" i="46"/>
  <c r="H28" i="46"/>
  <c r="I28" i="46"/>
  <c r="J29" i="46"/>
  <c r="H29" i="46"/>
  <c r="I29" i="46"/>
  <c r="J22" i="46"/>
  <c r="I22" i="46"/>
  <c r="H22" i="46"/>
  <c r="J30" i="46"/>
  <c r="J23" i="46"/>
  <c r="I23" i="46"/>
  <c r="H23" i="46"/>
  <c r="J24" i="46"/>
  <c r="I24" i="46"/>
  <c r="H24" i="46"/>
  <c r="J25" i="46"/>
  <c r="I25" i="46"/>
  <c r="H25" i="46"/>
  <c r="J26" i="46"/>
  <c r="H26" i="46"/>
  <c r="I26" i="46"/>
  <c r="J27" i="46"/>
  <c r="H27" i="46"/>
  <c r="I27" i="46"/>
  <c r="J21" i="46"/>
  <c r="AO34" i="46"/>
  <c r="N26" i="6"/>
  <c r="R20" i="30"/>
  <c r="O20" i="30"/>
  <c r="L20" i="30"/>
  <c r="J20" i="30"/>
  <c r="H20" i="30"/>
  <c r="Z40" i="29"/>
  <c r="G85" i="47" l="1"/>
  <c r="E44" i="53"/>
  <c r="G69" i="47"/>
  <c r="G81" i="47"/>
  <c r="G70" i="47"/>
  <c r="G65" i="47"/>
  <c r="G67" i="47"/>
  <c r="G80" i="47"/>
  <c r="G66" i="47"/>
  <c r="G83" i="47"/>
  <c r="G84" i="47"/>
  <c r="G82" i="47"/>
  <c r="H82" i="47" s="1"/>
  <c r="G68" i="47"/>
  <c r="G86" i="47"/>
  <c r="H86" i="47" s="1"/>
  <c r="M28" i="51"/>
  <c r="M32" i="51"/>
  <c r="F44" i="53"/>
  <c r="G57" i="32"/>
  <c r="F46" i="53"/>
  <c r="F57" i="32"/>
  <c r="AX34" i="46"/>
  <c r="AV49" i="46" s="1"/>
  <c r="E46" i="53"/>
  <c r="E52" i="53" s="1"/>
  <c r="E57" i="32"/>
  <c r="S30" i="46"/>
  <c r="AU50" i="46"/>
  <c r="AD34" i="46"/>
  <c r="AB49" i="46" s="1"/>
  <c r="AC34" i="46"/>
  <c r="AA49" i="46" s="1"/>
  <c r="H30" i="46"/>
  <c r="H34" i="46" s="1"/>
  <c r="F50" i="46" s="1"/>
  <c r="N28" i="6"/>
  <c r="M30" i="6" s="1"/>
  <c r="M31" i="6" s="1"/>
  <c r="M43" i="6" s="1"/>
  <c r="H22" i="47"/>
  <c r="H115" i="47"/>
  <c r="H20" i="47"/>
  <c r="F99" i="47"/>
  <c r="H118" i="47"/>
  <c r="F113" i="47"/>
  <c r="H101" i="47"/>
  <c r="F82" i="47"/>
  <c r="H97" i="47"/>
  <c r="F101" i="47"/>
  <c r="H85" i="47"/>
  <c r="F83" i="47"/>
  <c r="H113" i="47"/>
  <c r="H116" i="47"/>
  <c r="H98" i="47"/>
  <c r="F100" i="47"/>
  <c r="F115" i="47"/>
  <c r="H38" i="47"/>
  <c r="H36" i="47"/>
  <c r="H34" i="47"/>
  <c r="E103" i="47"/>
  <c r="F103" i="47" s="1"/>
  <c r="G57" i="47"/>
  <c r="G103" i="47"/>
  <c r="G23" i="47"/>
  <c r="H23" i="47" s="1"/>
  <c r="G40" i="47"/>
  <c r="E105" i="47"/>
  <c r="L57" i="32"/>
  <c r="F117" i="47"/>
  <c r="E89" i="47"/>
  <c r="F84" i="47"/>
  <c r="E72" i="47"/>
  <c r="H99" i="47"/>
  <c r="H102" i="47"/>
  <c r="G42" i="47"/>
  <c r="E88" i="47"/>
  <c r="G120" i="47"/>
  <c r="G24" i="47"/>
  <c r="G56" i="47"/>
  <c r="J57" i="32"/>
  <c r="G41" i="47"/>
  <c r="F97" i="47"/>
  <c r="E104" i="47"/>
  <c r="G87" i="47"/>
  <c r="B78" i="47"/>
  <c r="K13" i="38"/>
  <c r="O13" i="38"/>
  <c r="B110" i="47"/>
  <c r="H35" i="47"/>
  <c r="H117" i="47"/>
  <c r="E119" i="47"/>
  <c r="F119" i="47" s="1"/>
  <c r="I57" i="32"/>
  <c r="G55" i="47"/>
  <c r="N38" i="53"/>
  <c r="M38" i="53"/>
  <c r="F116" i="47"/>
  <c r="E87" i="47"/>
  <c r="F87" i="47" s="1"/>
  <c r="G26" i="47"/>
  <c r="G13" i="38"/>
  <c r="B46" i="47"/>
  <c r="G25" i="47"/>
  <c r="E120" i="47"/>
  <c r="E121" i="47"/>
  <c r="G52" i="53"/>
  <c r="G119" i="47"/>
  <c r="H119" i="47" s="1"/>
  <c r="K57" i="32"/>
  <c r="F114" i="47"/>
  <c r="E73" i="47"/>
  <c r="F102" i="47"/>
  <c r="B94" i="47"/>
  <c r="M13" i="38"/>
  <c r="G39" i="47"/>
  <c r="H39" i="47" s="1"/>
  <c r="F81" i="47"/>
  <c r="H33" i="47"/>
  <c r="G88" i="47"/>
  <c r="H100" i="47"/>
  <c r="G121" i="47"/>
  <c r="G104" i="47"/>
  <c r="H114" i="47"/>
  <c r="F98" i="47"/>
  <c r="G72" i="47"/>
  <c r="N57" i="32"/>
  <c r="M57" i="32"/>
  <c r="F85" i="47"/>
  <c r="B30" i="47"/>
  <c r="E13" i="38"/>
  <c r="G105" i="47"/>
  <c r="G16" i="47"/>
  <c r="H17" i="47" s="1"/>
  <c r="G71" i="47"/>
  <c r="G18" i="47"/>
  <c r="H18" i="47" s="1"/>
  <c r="E71" i="47"/>
  <c r="F86" i="47"/>
  <c r="B14" i="47"/>
  <c r="C13" i="38"/>
  <c r="H37" i="47"/>
  <c r="F118" i="47"/>
  <c r="H21" i="47"/>
  <c r="B62" i="47"/>
  <c r="I13" i="38"/>
  <c r="H57" i="32"/>
  <c r="H46" i="42"/>
  <c r="I46" i="42" s="1"/>
  <c r="I45" i="42"/>
  <c r="I34" i="46"/>
  <c r="G49" i="46" s="1"/>
  <c r="U34" i="46"/>
  <c r="T34" i="46"/>
  <c r="J34" i="46"/>
  <c r="B125" i="52"/>
  <c r="B123" i="52"/>
  <c r="F52" i="53" l="1"/>
  <c r="H83" i="47"/>
  <c r="H81" i="47"/>
  <c r="H87" i="47"/>
  <c r="H84" i="47"/>
  <c r="G89" i="47"/>
  <c r="H89" i="47" s="1"/>
  <c r="G73" i="47"/>
  <c r="N42" i="6"/>
  <c r="AV50" i="46"/>
  <c r="M42" i="6"/>
  <c r="N43" i="6"/>
  <c r="AB50" i="46"/>
  <c r="AA42" i="29"/>
  <c r="R31" i="46"/>
  <c r="P49" i="46" s="1"/>
  <c r="AA43" i="29"/>
  <c r="R32" i="46"/>
  <c r="P50" i="46" s="1"/>
  <c r="AA50" i="46"/>
  <c r="F104" i="47"/>
  <c r="H121" i="47"/>
  <c r="F120" i="47"/>
  <c r="H88" i="47"/>
  <c r="H24" i="47"/>
  <c r="H19" i="47"/>
  <c r="H42" i="47"/>
  <c r="F89" i="47"/>
  <c r="H40" i="47"/>
  <c r="O38" i="53"/>
  <c r="O16" i="51" s="1"/>
  <c r="H120" i="47"/>
  <c r="H26" i="47"/>
  <c r="H105" i="47"/>
  <c r="F121" i="47"/>
  <c r="F88" i="47"/>
  <c r="F105" i="47"/>
  <c r="H25" i="47"/>
  <c r="H41" i="47"/>
  <c r="H104" i="47"/>
  <c r="H103" i="47"/>
  <c r="F49" i="46"/>
  <c r="R49" i="46"/>
  <c r="R50" i="46"/>
  <c r="G50" i="46"/>
  <c r="G27" i="47" l="1"/>
  <c r="H27" i="47" s="1"/>
  <c r="M20" i="4" l="1"/>
  <c r="N20" i="4"/>
  <c r="M21" i="4"/>
  <c r="N21" i="4"/>
  <c r="M22" i="4"/>
  <c r="N22" i="4"/>
  <c r="M23" i="4"/>
  <c r="N23" i="4"/>
  <c r="M24" i="4"/>
  <c r="N24" i="4"/>
  <c r="M25" i="4"/>
  <c r="N25" i="4"/>
  <c r="M26" i="4"/>
  <c r="N26" i="4"/>
  <c r="M27" i="4"/>
  <c r="N27" i="4"/>
  <c r="M28" i="4"/>
  <c r="N28" i="4"/>
  <c r="M29" i="4"/>
  <c r="N29" i="4"/>
  <c r="M30" i="4"/>
  <c r="N30" i="4"/>
  <c r="M31" i="4"/>
  <c r="N31" i="4"/>
  <c r="M32" i="4"/>
  <c r="N32" i="4"/>
  <c r="M33" i="4"/>
  <c r="N33" i="4"/>
  <c r="M34" i="4"/>
  <c r="N34" i="4"/>
  <c r="M35" i="4"/>
  <c r="N35" i="4"/>
  <c r="M36" i="4"/>
  <c r="N36" i="4"/>
  <c r="M37" i="4"/>
  <c r="N37" i="4"/>
  <c r="M38" i="4"/>
  <c r="N38" i="4"/>
  <c r="M39" i="4"/>
  <c r="N39" i="4"/>
  <c r="M40" i="4"/>
  <c r="N40" i="4"/>
  <c r="M41" i="4"/>
  <c r="N41" i="4"/>
  <c r="M42" i="4"/>
  <c r="N42" i="4"/>
  <c r="M43" i="4"/>
  <c r="N43" i="4"/>
  <c r="M44" i="4"/>
  <c r="N44" i="4"/>
  <c r="M45" i="4"/>
  <c r="N45" i="4"/>
  <c r="M46" i="4"/>
  <c r="N46" i="4"/>
  <c r="M47" i="4"/>
  <c r="N47" i="4"/>
  <c r="M48" i="4"/>
  <c r="N48" i="4"/>
  <c r="M49" i="4"/>
  <c r="N49" i="4"/>
  <c r="M50" i="4"/>
  <c r="N50" i="4"/>
  <c r="M51" i="4"/>
  <c r="N51" i="4"/>
  <c r="M52" i="4"/>
  <c r="N52" i="4"/>
  <c r="M53" i="4"/>
  <c r="N53" i="4"/>
  <c r="M54" i="4"/>
  <c r="N54" i="4"/>
  <c r="M55" i="4"/>
  <c r="N55" i="4"/>
  <c r="M56" i="4"/>
  <c r="N56" i="4"/>
  <c r="M57" i="4"/>
  <c r="N57" i="4"/>
  <c r="M58" i="4"/>
  <c r="N58" i="4"/>
  <c r="M59" i="4"/>
  <c r="N59" i="4"/>
  <c r="M60" i="4"/>
  <c r="N60" i="4"/>
  <c r="M61" i="4"/>
  <c r="N61" i="4"/>
  <c r="M62" i="4"/>
  <c r="N62" i="4"/>
  <c r="M63" i="4"/>
  <c r="N63" i="4"/>
  <c r="M64" i="4"/>
  <c r="N64" i="4"/>
  <c r="M65" i="4"/>
  <c r="N65" i="4"/>
  <c r="M66" i="4"/>
  <c r="N66" i="4"/>
  <c r="M67" i="4"/>
  <c r="N67" i="4"/>
  <c r="M68" i="4"/>
  <c r="N68" i="4"/>
  <c r="M69" i="4"/>
  <c r="N69" i="4"/>
  <c r="M70" i="4"/>
  <c r="N70" i="4"/>
  <c r="M71" i="4"/>
  <c r="N71" i="4"/>
  <c r="M72" i="4"/>
  <c r="N72" i="4"/>
  <c r="M73" i="4"/>
  <c r="N73" i="4"/>
  <c r="M74" i="4"/>
  <c r="N74" i="4"/>
  <c r="M75" i="4"/>
  <c r="N75" i="4"/>
  <c r="M76" i="4"/>
  <c r="N76" i="4"/>
  <c r="M77" i="4"/>
  <c r="N77" i="4"/>
  <c r="M78" i="4"/>
  <c r="N78" i="4"/>
  <c r="M79" i="4"/>
  <c r="N79" i="4"/>
  <c r="M80" i="4"/>
  <c r="N80" i="4"/>
  <c r="M81" i="4"/>
  <c r="N81" i="4"/>
  <c r="M82" i="4"/>
  <c r="N82" i="4"/>
  <c r="M83" i="4"/>
  <c r="N83" i="4"/>
  <c r="M84" i="4"/>
  <c r="N84" i="4"/>
  <c r="M85" i="4"/>
  <c r="N85" i="4"/>
  <c r="M86" i="4"/>
  <c r="N86" i="4"/>
  <c r="M87" i="4"/>
  <c r="N87" i="4"/>
  <c r="M88" i="4"/>
  <c r="N88" i="4"/>
  <c r="M89" i="4"/>
  <c r="N89" i="4"/>
  <c r="M90" i="4"/>
  <c r="N90" i="4"/>
  <c r="M91" i="4"/>
  <c r="N91" i="4"/>
  <c r="M92" i="4"/>
  <c r="N92" i="4"/>
  <c r="M93" i="4"/>
  <c r="N93" i="4"/>
  <c r="M94" i="4"/>
  <c r="N94" i="4"/>
  <c r="M95" i="4"/>
  <c r="N95" i="4"/>
  <c r="M96" i="4"/>
  <c r="N96" i="4"/>
  <c r="M97" i="4"/>
  <c r="N97" i="4"/>
  <c r="M98" i="4"/>
  <c r="N98" i="4"/>
  <c r="M99" i="4"/>
  <c r="N99" i="4"/>
  <c r="M100" i="4"/>
  <c r="N100" i="4"/>
  <c r="M101" i="4"/>
  <c r="N101" i="4"/>
  <c r="M102" i="4"/>
  <c r="N102" i="4"/>
  <c r="M103" i="4"/>
  <c r="N103" i="4"/>
  <c r="M104" i="4"/>
  <c r="N104" i="4"/>
  <c r="M105" i="4"/>
  <c r="N105" i="4"/>
  <c r="M106" i="4"/>
  <c r="N106" i="4"/>
  <c r="M107" i="4"/>
  <c r="N107" i="4"/>
  <c r="M108" i="4"/>
  <c r="N108" i="4"/>
  <c r="M109" i="4"/>
  <c r="N109" i="4"/>
  <c r="M110" i="4"/>
  <c r="N110" i="4"/>
  <c r="M111" i="4"/>
  <c r="N111" i="4"/>
  <c r="M112" i="4"/>
  <c r="N112" i="4"/>
  <c r="M113" i="4"/>
  <c r="N113" i="4"/>
  <c r="M114" i="4"/>
  <c r="N114" i="4"/>
  <c r="M115" i="4"/>
  <c r="N115" i="4"/>
  <c r="M116" i="4"/>
  <c r="N116" i="4"/>
  <c r="M117" i="4"/>
  <c r="N117" i="4"/>
  <c r="M118" i="4"/>
  <c r="N118" i="4"/>
  <c r="M119" i="4"/>
  <c r="N119" i="4"/>
  <c r="M120" i="4"/>
  <c r="N120" i="4"/>
  <c r="M121" i="4"/>
  <c r="N121" i="4"/>
  <c r="M122" i="4"/>
  <c r="N122" i="4"/>
  <c r="M123" i="4"/>
  <c r="N123" i="4"/>
  <c r="M124" i="4"/>
  <c r="N124" i="4"/>
  <c r="M125" i="4"/>
  <c r="N125" i="4"/>
  <c r="M126" i="4"/>
  <c r="N126" i="4"/>
  <c r="M127" i="4"/>
  <c r="N127" i="4"/>
  <c r="M128" i="4"/>
  <c r="N128" i="4"/>
  <c r="M129" i="4"/>
  <c r="N129" i="4"/>
  <c r="M130" i="4"/>
  <c r="N130" i="4"/>
  <c r="M131" i="4"/>
  <c r="N131" i="4"/>
  <c r="M132" i="4"/>
  <c r="N132" i="4"/>
  <c r="M133" i="4"/>
  <c r="N133" i="4"/>
  <c r="M134" i="4"/>
  <c r="N134" i="4"/>
  <c r="M135" i="4"/>
  <c r="N135" i="4"/>
  <c r="M136" i="4"/>
  <c r="N136" i="4"/>
  <c r="M137" i="4"/>
  <c r="N137" i="4"/>
  <c r="M138" i="4"/>
  <c r="N138" i="4"/>
  <c r="M139" i="4"/>
  <c r="N139"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C177" i="4" l="1"/>
  <c r="D177" i="4"/>
  <c r="D179" i="4"/>
  <c r="C179" i="4"/>
  <c r="C178" i="4"/>
  <c r="D178" i="4"/>
  <c r="J36" i="6"/>
  <c r="L148" i="4" l="1"/>
  <c r="L160" i="4" s="1"/>
  <c r="L146" i="4"/>
  <c r="L158" i="4" s="1"/>
  <c r="L141" i="4"/>
  <c r="L153" i="4" s="1"/>
  <c r="L142" i="4"/>
  <c r="L154" i="4" s="1"/>
  <c r="L143" i="4"/>
  <c r="L155" i="4" s="1"/>
  <c r="L147" i="4"/>
  <c r="L159" i="4" s="1"/>
  <c r="L140" i="4"/>
  <c r="L152" i="4" s="1"/>
  <c r="L145" i="4"/>
  <c r="L157" i="4" s="1"/>
  <c r="L150" i="4"/>
  <c r="L162" i="4" s="1"/>
  <c r="L149" i="4"/>
  <c r="L161" i="4" s="1"/>
  <c r="L144" i="4"/>
  <c r="L156" i="4" s="1"/>
  <c r="L151" i="4"/>
  <c r="L163" i="4" s="1"/>
  <c r="N146" i="4"/>
  <c r="N158" i="4" s="1"/>
  <c r="N142" i="4"/>
  <c r="N154" i="4" s="1"/>
  <c r="N150" i="4"/>
  <c r="N162" i="4" s="1"/>
  <c r="N144" i="4"/>
  <c r="N156" i="4" s="1"/>
  <c r="N141" i="4"/>
  <c r="N153" i="4" s="1"/>
  <c r="N143" i="4"/>
  <c r="N155" i="4" s="1"/>
  <c r="N151" i="4"/>
  <c r="N163" i="4" s="1"/>
  <c r="N148" i="4"/>
  <c r="N145" i="4"/>
  <c r="N157" i="4" s="1"/>
  <c r="N140" i="4"/>
  <c r="N152" i="4" s="1"/>
  <c r="N147" i="4"/>
  <c r="N159" i="4" s="1"/>
  <c r="N160" i="4"/>
  <c r="N149" i="4"/>
  <c r="N161" i="4" s="1"/>
  <c r="M143" i="4"/>
  <c r="M155" i="4" s="1"/>
  <c r="M151" i="4"/>
  <c r="M163" i="4" s="1"/>
  <c r="M150" i="4"/>
  <c r="M162" i="4" s="1"/>
  <c r="M141" i="4"/>
  <c r="M153" i="4" s="1"/>
  <c r="M148" i="4"/>
  <c r="M160" i="4" s="1"/>
  <c r="M145" i="4"/>
  <c r="M157" i="4" s="1"/>
  <c r="M142" i="4"/>
  <c r="M154" i="4" s="1"/>
  <c r="M147" i="4"/>
  <c r="M159" i="4" s="1"/>
  <c r="M144" i="4"/>
  <c r="M156" i="4" s="1"/>
  <c r="M140" i="4"/>
  <c r="M152" i="4" s="1"/>
  <c r="M149" i="4"/>
  <c r="M161" i="4" s="1"/>
  <c r="M146" i="4"/>
  <c r="M158" i="4" s="1"/>
  <c r="E22" i="6" l="1"/>
  <c r="C22" i="6"/>
  <c r="J43" i="6" l="1"/>
  <c r="J42" i="6"/>
  <c r="S42" i="29"/>
  <c r="S43" i="29"/>
  <c r="AI42" i="29"/>
  <c r="AI43" i="29"/>
  <c r="S34" i="46" l="1"/>
  <c r="B124" i="52"/>
  <c r="B122" i="52"/>
  <c r="B121" i="52"/>
  <c r="B36" i="52"/>
  <c r="B59" i="52" s="1"/>
  <c r="B73" i="52" s="1"/>
  <c r="B87" i="52" s="1"/>
  <c r="B101" i="52" s="1"/>
  <c r="B115" i="52" s="1"/>
  <c r="B20" i="52"/>
  <c r="B43" i="52" s="1"/>
  <c r="B41" i="52"/>
  <c r="B25" i="52"/>
  <c r="B48" i="52" s="1"/>
  <c r="B23" i="52"/>
  <c r="B46" i="52" s="1"/>
  <c r="B22" i="52"/>
  <c r="B45" i="52" s="1"/>
  <c r="B19" i="52"/>
  <c r="B42" i="52" s="1"/>
  <c r="B21" i="52"/>
  <c r="B44" i="52" s="1"/>
  <c r="B24" i="52"/>
  <c r="B47" i="52" s="1"/>
  <c r="B26" i="52"/>
  <c r="B49" i="52" s="1"/>
  <c r="B32" i="52"/>
  <c r="B55" i="52" s="1"/>
  <c r="B69" i="52" s="1"/>
  <c r="B83" i="52" s="1"/>
  <c r="B97" i="52" s="1"/>
  <c r="B111" i="52" s="1"/>
  <c r="B34" i="52"/>
  <c r="B57" i="52" s="1"/>
  <c r="B71" i="52" s="1"/>
  <c r="B85" i="52" s="1"/>
  <c r="B99" i="52" s="1"/>
  <c r="B113" i="52" s="1"/>
  <c r="B33" i="52"/>
  <c r="B56" i="52" s="1"/>
  <c r="B70" i="52" s="1"/>
  <c r="B84" i="52" s="1"/>
  <c r="B98" i="52" s="1"/>
  <c r="B112" i="52" s="1"/>
  <c r="B35" i="52"/>
  <c r="B58" i="52" s="1"/>
  <c r="B72" i="52" s="1"/>
  <c r="B86" i="52" s="1"/>
  <c r="B100" i="52" s="1"/>
  <c r="B114" i="52" s="1"/>
  <c r="B31" i="52"/>
  <c r="B54" i="52" s="1"/>
  <c r="B68" i="52" s="1"/>
  <c r="B82" i="52" s="1"/>
  <c r="B96" i="52" s="1"/>
  <c r="B110" i="52" s="1"/>
  <c r="B30" i="52"/>
  <c r="B53" i="52" s="1"/>
  <c r="B67" i="52" s="1"/>
  <c r="B81" i="52" s="1"/>
  <c r="B95" i="52" s="1"/>
  <c r="B109" i="52" s="1"/>
  <c r="B29" i="52"/>
  <c r="B52" i="52" s="1"/>
  <c r="B66" i="52" s="1"/>
  <c r="B80" i="52" s="1"/>
  <c r="B94" i="52" s="1"/>
  <c r="B108" i="52" s="1"/>
  <c r="B28" i="52"/>
  <c r="B51" i="52" s="1"/>
  <c r="B65" i="52" s="1"/>
  <c r="B79" i="52" s="1"/>
  <c r="B93" i="52" s="1"/>
  <c r="B107" i="52" s="1"/>
  <c r="B27" i="52"/>
  <c r="B50" i="52" s="1"/>
  <c r="B64" i="52" s="1"/>
  <c r="B78" i="52" s="1"/>
  <c r="Z27" i="52"/>
  <c r="Z28" i="52"/>
  <c r="Z29" i="52"/>
  <c r="Z30" i="52"/>
  <c r="Z31" i="52"/>
  <c r="H65" i="46" l="1"/>
  <c r="H61" i="46"/>
  <c r="H63" i="46"/>
  <c r="H59" i="46"/>
  <c r="H67" i="46"/>
  <c r="H66" i="46"/>
  <c r="H64" i="46"/>
  <c r="H62" i="46"/>
  <c r="H60" i="46"/>
  <c r="Q50" i="46"/>
  <c r="Q49" i="46"/>
  <c r="B92" i="52"/>
  <c r="B106" i="52" s="1"/>
  <c r="D21" i="29"/>
  <c r="L21" i="29" l="1"/>
  <c r="B42" i="51"/>
  <c r="B46" i="51"/>
  <c r="B50" i="51"/>
  <c r="B43" i="32"/>
  <c r="B47" i="32"/>
  <c r="B51" i="32"/>
  <c r="B40" i="29"/>
  <c r="J40" i="29"/>
  <c r="R40" i="29"/>
  <c r="O20" i="4"/>
  <c r="P20" i="4"/>
  <c r="O21" i="4"/>
  <c r="P21" i="4"/>
  <c r="O22" i="4"/>
  <c r="P22" i="4"/>
  <c r="O23" i="4"/>
  <c r="P23" i="4"/>
  <c r="O24" i="4"/>
  <c r="P24" i="4"/>
  <c r="O25" i="4"/>
  <c r="P25" i="4"/>
  <c r="O26" i="4"/>
  <c r="P26" i="4"/>
  <c r="O27" i="4"/>
  <c r="P27" i="4"/>
  <c r="O28" i="4"/>
  <c r="P28" i="4"/>
  <c r="O29" i="4"/>
  <c r="P29" i="4"/>
  <c r="O30" i="4"/>
  <c r="P30" i="4"/>
  <c r="O31" i="4"/>
  <c r="P31" i="4"/>
  <c r="O32" i="4"/>
  <c r="P32" i="4"/>
  <c r="O33" i="4"/>
  <c r="P33" i="4"/>
  <c r="O34" i="4"/>
  <c r="P34" i="4"/>
  <c r="O35" i="4"/>
  <c r="P35" i="4"/>
  <c r="O36" i="4"/>
  <c r="P36" i="4"/>
  <c r="O37" i="4"/>
  <c r="P37" i="4"/>
  <c r="O38" i="4"/>
  <c r="P38" i="4"/>
  <c r="O39" i="4"/>
  <c r="P39" i="4"/>
  <c r="O40" i="4"/>
  <c r="P40" i="4"/>
  <c r="O41" i="4"/>
  <c r="P41" i="4"/>
  <c r="O42" i="4"/>
  <c r="P42" i="4"/>
  <c r="O43" i="4"/>
  <c r="P43" i="4"/>
  <c r="O44" i="4"/>
  <c r="P44" i="4"/>
  <c r="O45" i="4"/>
  <c r="P45" i="4"/>
  <c r="O46" i="4"/>
  <c r="P46" i="4"/>
  <c r="O47" i="4"/>
  <c r="P47" i="4"/>
  <c r="V47" i="4"/>
  <c r="V60" i="4" s="1"/>
  <c r="O48" i="4"/>
  <c r="P48" i="4"/>
  <c r="O49" i="4"/>
  <c r="P49" i="4"/>
  <c r="O50" i="4"/>
  <c r="P50" i="4"/>
  <c r="O51" i="4"/>
  <c r="P51" i="4"/>
  <c r="V48" i="4"/>
  <c r="O52" i="4"/>
  <c r="P52" i="4"/>
  <c r="O53" i="4"/>
  <c r="P53" i="4"/>
  <c r="O54" i="4"/>
  <c r="P54" i="4"/>
  <c r="O55" i="4"/>
  <c r="P55" i="4"/>
  <c r="O56" i="4"/>
  <c r="P56" i="4"/>
  <c r="O57" i="4"/>
  <c r="P57" i="4"/>
  <c r="O58" i="4"/>
  <c r="P58" i="4"/>
  <c r="O59" i="4"/>
  <c r="P59" i="4"/>
  <c r="O60" i="4"/>
  <c r="P60" i="4"/>
  <c r="O61" i="4"/>
  <c r="P61" i="4"/>
  <c r="O62" i="4"/>
  <c r="P62" i="4"/>
  <c r="O63" i="4"/>
  <c r="P63" i="4"/>
  <c r="O64" i="4"/>
  <c r="P64" i="4"/>
  <c r="O65" i="4"/>
  <c r="P65" i="4"/>
  <c r="O66" i="4"/>
  <c r="P66" i="4"/>
  <c r="O67" i="4"/>
  <c r="P67" i="4"/>
  <c r="O68" i="4"/>
  <c r="P68" i="4"/>
  <c r="O69" i="4"/>
  <c r="P69" i="4"/>
  <c r="O70" i="4"/>
  <c r="P70" i="4"/>
  <c r="O71" i="4"/>
  <c r="P71" i="4"/>
  <c r="O72" i="4"/>
  <c r="P72" i="4"/>
  <c r="O73" i="4"/>
  <c r="P73" i="4"/>
  <c r="O74" i="4"/>
  <c r="P74" i="4"/>
  <c r="O75" i="4"/>
  <c r="P75" i="4"/>
  <c r="O76" i="4"/>
  <c r="P76" i="4"/>
  <c r="O77" i="4"/>
  <c r="P77" i="4"/>
  <c r="O78" i="4"/>
  <c r="P78" i="4"/>
  <c r="O79" i="4"/>
  <c r="P79" i="4"/>
  <c r="V51" i="4"/>
  <c r="O80" i="4"/>
  <c r="P80" i="4"/>
  <c r="O81" i="4"/>
  <c r="P81" i="4"/>
  <c r="O82" i="4"/>
  <c r="P82" i="4"/>
  <c r="O83" i="4"/>
  <c r="P83" i="4"/>
  <c r="O84" i="4"/>
  <c r="P84" i="4"/>
  <c r="O85" i="4"/>
  <c r="P85" i="4"/>
  <c r="O86" i="4"/>
  <c r="P86" i="4"/>
  <c r="O87" i="4"/>
  <c r="P87" i="4"/>
  <c r="O88" i="4"/>
  <c r="P88" i="4"/>
  <c r="O89" i="4"/>
  <c r="P89" i="4"/>
  <c r="O90" i="4"/>
  <c r="P90" i="4"/>
  <c r="O91" i="4"/>
  <c r="P91" i="4"/>
  <c r="O92" i="4"/>
  <c r="P92" i="4"/>
  <c r="O93" i="4"/>
  <c r="P93" i="4"/>
  <c r="O94" i="4"/>
  <c r="P94" i="4"/>
  <c r="O95" i="4"/>
  <c r="P95" i="4"/>
  <c r="O96" i="4"/>
  <c r="P96" i="4"/>
  <c r="O97" i="4"/>
  <c r="P97" i="4"/>
  <c r="O98" i="4"/>
  <c r="P98" i="4"/>
  <c r="O99" i="4"/>
  <c r="P99" i="4"/>
  <c r="O100" i="4"/>
  <c r="P100" i="4"/>
  <c r="O101" i="4"/>
  <c r="P101" i="4"/>
  <c r="O102" i="4"/>
  <c r="P102" i="4"/>
  <c r="O103" i="4"/>
  <c r="P103" i="4"/>
  <c r="O104" i="4"/>
  <c r="P104" i="4"/>
  <c r="O105" i="4"/>
  <c r="P105" i="4"/>
  <c r="O106" i="4"/>
  <c r="P106" i="4"/>
  <c r="O107" i="4"/>
  <c r="P107" i="4"/>
  <c r="O108" i="4"/>
  <c r="P108" i="4"/>
  <c r="O109" i="4"/>
  <c r="P109" i="4"/>
  <c r="O110" i="4"/>
  <c r="P110" i="4"/>
  <c r="O111" i="4"/>
  <c r="P111" i="4"/>
  <c r="O112" i="4"/>
  <c r="P112" i="4"/>
  <c r="O113" i="4"/>
  <c r="P113" i="4"/>
  <c r="O114" i="4"/>
  <c r="P114" i="4"/>
  <c r="O115" i="4"/>
  <c r="P115" i="4"/>
  <c r="O116" i="4"/>
  <c r="P116" i="4"/>
  <c r="O117" i="4"/>
  <c r="P117" i="4"/>
  <c r="O118" i="4"/>
  <c r="P118" i="4"/>
  <c r="O119" i="4"/>
  <c r="P119" i="4"/>
  <c r="O120" i="4"/>
  <c r="P120" i="4"/>
  <c r="O121" i="4"/>
  <c r="P121" i="4"/>
  <c r="O122" i="4"/>
  <c r="P122" i="4"/>
  <c r="O123" i="4"/>
  <c r="P123" i="4"/>
  <c r="O124" i="4"/>
  <c r="P124" i="4"/>
  <c r="O125" i="4"/>
  <c r="P125" i="4"/>
  <c r="O126" i="4"/>
  <c r="P126" i="4"/>
  <c r="O127" i="4"/>
  <c r="P127" i="4"/>
  <c r="V55" i="4"/>
  <c r="O128" i="4"/>
  <c r="P128" i="4"/>
  <c r="O129" i="4"/>
  <c r="P129" i="4"/>
  <c r="O130" i="4"/>
  <c r="P130" i="4"/>
  <c r="O131" i="4"/>
  <c r="P131" i="4"/>
  <c r="O132" i="4"/>
  <c r="P132" i="4"/>
  <c r="O133" i="4"/>
  <c r="P133" i="4"/>
  <c r="O134" i="4"/>
  <c r="P134" i="4"/>
  <c r="O135" i="4"/>
  <c r="P135" i="4"/>
  <c r="O136" i="4"/>
  <c r="P136" i="4"/>
  <c r="O137" i="4"/>
  <c r="P137" i="4"/>
  <c r="O138" i="4"/>
  <c r="P138" i="4"/>
  <c r="O139" i="4"/>
  <c r="P139" i="4"/>
  <c r="C15" i="6"/>
  <c r="E15" i="6"/>
  <c r="G15" i="6"/>
  <c r="K15" i="6"/>
  <c r="Q15" i="6"/>
  <c r="S15" i="6"/>
  <c r="B17" i="6"/>
  <c r="B21" i="29" s="1"/>
  <c r="C17" i="6"/>
  <c r="E17" i="6"/>
  <c r="AL21" i="46"/>
  <c r="B18" i="6"/>
  <c r="E18" i="6"/>
  <c r="H18" i="6"/>
  <c r="AL22" i="46"/>
  <c r="B19" i="6"/>
  <c r="E19" i="6"/>
  <c r="P19" i="6"/>
  <c r="AL23" i="46"/>
  <c r="B20" i="6"/>
  <c r="U62" i="4" s="1"/>
  <c r="C20" i="6"/>
  <c r="E20" i="6"/>
  <c r="AL24" i="46"/>
  <c r="B21" i="6"/>
  <c r="B25" i="29" s="1"/>
  <c r="C21" i="6"/>
  <c r="E21" i="6"/>
  <c r="L22" i="6"/>
  <c r="AL25" i="46"/>
  <c r="B22" i="6"/>
  <c r="B23" i="6"/>
  <c r="C23" i="6"/>
  <c r="E23" i="6"/>
  <c r="AL27" i="46"/>
  <c r="B24" i="6"/>
  <c r="C24" i="6"/>
  <c r="E24" i="6"/>
  <c r="AL28" i="46"/>
  <c r="B25" i="6"/>
  <c r="B29" i="46" s="1"/>
  <c r="C25" i="6"/>
  <c r="E25" i="6"/>
  <c r="AL29" i="46"/>
  <c r="B26" i="6"/>
  <c r="U55" i="4" s="1"/>
  <c r="C26" i="6"/>
  <c r="E26" i="6"/>
  <c r="AL30" i="46"/>
  <c r="B30" i="6"/>
  <c r="B31" i="6"/>
  <c r="B36" i="6"/>
  <c r="B37" i="6"/>
  <c r="D20" i="30"/>
  <c r="F20" i="30"/>
  <c r="X20" i="30"/>
  <c r="Z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133" i="30"/>
  <c r="B128" i="4" s="1"/>
  <c r="B134" i="30"/>
  <c r="B129" i="4" s="1"/>
  <c r="B135" i="30"/>
  <c r="B130" i="4" s="1"/>
  <c r="B136" i="30"/>
  <c r="B131" i="4" s="1"/>
  <c r="B137" i="30"/>
  <c r="B132" i="4" s="1"/>
  <c r="B138" i="30"/>
  <c r="B133" i="4" s="1"/>
  <c r="B139" i="30"/>
  <c r="B134" i="4" s="1"/>
  <c r="B140" i="30"/>
  <c r="B135" i="4" s="1"/>
  <c r="B141" i="30"/>
  <c r="B136" i="4" s="1"/>
  <c r="B142" i="30"/>
  <c r="B137" i="4" s="1"/>
  <c r="B143" i="30"/>
  <c r="B138" i="4" s="1"/>
  <c r="B144" i="30"/>
  <c r="B139" i="4" s="1"/>
  <c r="B145" i="30"/>
  <c r="B140" i="4" s="1"/>
  <c r="B146" i="30"/>
  <c r="B141" i="4" s="1"/>
  <c r="B147" i="30"/>
  <c r="B142" i="4" s="1"/>
  <c r="B148" i="30"/>
  <c r="B143" i="4" s="1"/>
  <c r="B149" i="30"/>
  <c r="B144" i="4" s="1"/>
  <c r="B150" i="30"/>
  <c r="B145" i="4" s="1"/>
  <c r="B151" i="30"/>
  <c r="B146" i="4" s="1"/>
  <c r="B152" i="30"/>
  <c r="B147" i="4" s="1"/>
  <c r="B153" i="30"/>
  <c r="B148" i="4" s="1"/>
  <c r="B154" i="30"/>
  <c r="B149" i="4" s="1"/>
  <c r="B155" i="30"/>
  <c r="B150" i="4" s="1"/>
  <c r="B156" i="30"/>
  <c r="B151" i="4" s="1"/>
  <c r="B157" i="30"/>
  <c r="B152" i="4" s="1"/>
  <c r="B158" i="30"/>
  <c r="B153" i="4" s="1"/>
  <c r="B159" i="30"/>
  <c r="B154" i="4" s="1"/>
  <c r="B160" i="30"/>
  <c r="B155" i="4" s="1"/>
  <c r="B161" i="30"/>
  <c r="B156" i="4" s="1"/>
  <c r="B162" i="30"/>
  <c r="B157" i="4" s="1"/>
  <c r="B163" i="30"/>
  <c r="B158" i="4" s="1"/>
  <c r="B164" i="30"/>
  <c r="B159" i="4" s="1"/>
  <c r="B165" i="30"/>
  <c r="B160" i="4" s="1"/>
  <c r="B166" i="30"/>
  <c r="B161" i="4" s="1"/>
  <c r="B167" i="30"/>
  <c r="B162" i="4" s="1"/>
  <c r="B168" i="30"/>
  <c r="B163" i="4" s="1"/>
  <c r="C30" i="6" l="1"/>
  <c r="V25" i="6"/>
  <c r="V23" i="6"/>
  <c r="AN25" i="46"/>
  <c r="AM25" i="46"/>
  <c r="V19" i="6"/>
  <c r="M40" i="32"/>
  <c r="L38" i="51" s="1"/>
  <c r="L40" i="32"/>
  <c r="K38" i="51" s="1"/>
  <c r="I40" i="32"/>
  <c r="H38" i="51" s="1"/>
  <c r="H40" i="32"/>
  <c r="G38" i="51" s="1"/>
  <c r="K40" i="32"/>
  <c r="J38" i="51" s="1"/>
  <c r="J40" i="32"/>
  <c r="I38" i="51" s="1"/>
  <c r="F40" i="32"/>
  <c r="E38" i="51" s="1"/>
  <c r="E40" i="32"/>
  <c r="D38" i="51" s="1"/>
  <c r="N40" i="32"/>
  <c r="M38" i="51" s="1"/>
  <c r="G40" i="32"/>
  <c r="F38" i="51" s="1"/>
  <c r="AN30" i="46"/>
  <c r="AM30" i="46"/>
  <c r="AM24" i="46"/>
  <c r="AN24" i="46"/>
  <c r="AM23" i="46"/>
  <c r="AN23" i="46"/>
  <c r="AN29" i="46"/>
  <c r="AM29" i="46"/>
  <c r="AN28" i="46"/>
  <c r="AM28" i="46"/>
  <c r="AN27" i="46"/>
  <c r="AM27" i="46"/>
  <c r="V22" i="6"/>
  <c r="AL26" i="46"/>
  <c r="AM22" i="46"/>
  <c r="AN22" i="46"/>
  <c r="AM21" i="46"/>
  <c r="AN21" i="46"/>
  <c r="V20" i="6"/>
  <c r="V17" i="6"/>
  <c r="V24" i="6"/>
  <c r="V18" i="6"/>
  <c r="V26" i="6"/>
  <c r="V21" i="6"/>
  <c r="C176" i="4"/>
  <c r="D180" i="4"/>
  <c r="C180" i="4"/>
  <c r="H58" i="46"/>
  <c r="C181" i="4"/>
  <c r="D181" i="4"/>
  <c r="D176" i="4"/>
  <c r="U66" i="4"/>
  <c r="L15" i="32"/>
  <c r="E16" i="32"/>
  <c r="F16" i="32"/>
  <c r="L16" i="32"/>
  <c r="K14" i="51" s="1"/>
  <c r="M16" i="32"/>
  <c r="L14" i="51" s="1"/>
  <c r="H16" i="32"/>
  <c r="G14" i="51" s="1"/>
  <c r="I16" i="32"/>
  <c r="H14" i="51" s="1"/>
  <c r="G16" i="32"/>
  <c r="F14" i="51" s="1"/>
  <c r="J16" i="32"/>
  <c r="I14" i="51" s="1"/>
  <c r="K16" i="32"/>
  <c r="J14" i="51" s="1"/>
  <c r="N16" i="32"/>
  <c r="M14" i="51" s="1"/>
  <c r="H28" i="32"/>
  <c r="G26" i="51" s="1"/>
  <c r="I32" i="32"/>
  <c r="H30" i="51" s="1"/>
  <c r="G34" i="51"/>
  <c r="E34" i="51"/>
  <c r="K20" i="32"/>
  <c r="L24" i="32"/>
  <c r="K22" i="51" s="1"/>
  <c r="E28" i="32"/>
  <c r="D26" i="51" s="1"/>
  <c r="F34" i="51"/>
  <c r="L34" i="51"/>
  <c r="K28" i="32"/>
  <c r="J26" i="51" s="1"/>
  <c r="F28" i="32"/>
  <c r="E26" i="51" s="1"/>
  <c r="F24" i="32"/>
  <c r="E22" i="51" s="1"/>
  <c r="K32" i="32"/>
  <c r="J30" i="51" s="1"/>
  <c r="I34" i="51"/>
  <c r="H34" i="51"/>
  <c r="J20" i="32"/>
  <c r="I24" i="32"/>
  <c r="H22" i="51" s="1"/>
  <c r="D30" i="51"/>
  <c r="K24" i="32"/>
  <c r="J22" i="51" s="1"/>
  <c r="E20" i="32"/>
  <c r="J24" i="32"/>
  <c r="I22" i="51" s="1"/>
  <c r="N20" i="32"/>
  <c r="L20" i="32"/>
  <c r="G28" i="32"/>
  <c r="F26" i="51" s="1"/>
  <c r="M24" i="32"/>
  <c r="L22" i="51" s="1"/>
  <c r="G32" i="32"/>
  <c r="F30" i="51" s="1"/>
  <c r="M34" i="51"/>
  <c r="H24" i="32"/>
  <c r="G22" i="51" s="1"/>
  <c r="I20" i="32"/>
  <c r="N24" i="32"/>
  <c r="M22" i="51" s="1"/>
  <c r="F20" i="32"/>
  <c r="M28" i="32"/>
  <c r="L26" i="51" s="1"/>
  <c r="M32" i="32"/>
  <c r="L30" i="51" s="1"/>
  <c r="G20" i="32"/>
  <c r="J32" i="32"/>
  <c r="I30" i="51" s="1"/>
  <c r="L32" i="32"/>
  <c r="K30" i="51" s="1"/>
  <c r="K34" i="51"/>
  <c r="I28" i="32"/>
  <c r="H26" i="51" s="1"/>
  <c r="J28" i="32"/>
  <c r="I26" i="51" s="1"/>
  <c r="G24" i="32"/>
  <c r="F22" i="51" s="1"/>
  <c r="N32" i="32"/>
  <c r="M30" i="51" s="1"/>
  <c r="F32" i="32"/>
  <c r="E30" i="51" s="1"/>
  <c r="J34" i="51"/>
  <c r="M20" i="32"/>
  <c r="L28" i="32"/>
  <c r="K26" i="51" s="1"/>
  <c r="N28" i="32"/>
  <c r="M26" i="51" s="1"/>
  <c r="D34" i="51"/>
  <c r="H20" i="32"/>
  <c r="E24" i="32"/>
  <c r="D22" i="51" s="1"/>
  <c r="H32" i="32"/>
  <c r="G30" i="51" s="1"/>
  <c r="F66" i="46"/>
  <c r="AQ29" i="46"/>
  <c r="AG29" i="46"/>
  <c r="D22" i="6"/>
  <c r="L26" i="6"/>
  <c r="P24" i="6"/>
  <c r="D25" i="6"/>
  <c r="P18" i="6"/>
  <c r="F20" i="6"/>
  <c r="D36" i="6"/>
  <c r="D20" i="6"/>
  <c r="H24" i="6"/>
  <c r="D26" i="6"/>
  <c r="D28" i="6" s="1"/>
  <c r="H20" i="6"/>
  <c r="F18" i="6"/>
  <c r="H36" i="6"/>
  <c r="P20" i="6"/>
  <c r="F36" i="6"/>
  <c r="R136" i="4"/>
  <c r="R128" i="4"/>
  <c r="R91" i="4"/>
  <c r="R83" i="4"/>
  <c r="R78" i="4"/>
  <c r="R70" i="4"/>
  <c r="R49" i="4"/>
  <c r="R39" i="4"/>
  <c r="R123" i="4"/>
  <c r="R115" i="4"/>
  <c r="R107" i="4"/>
  <c r="R99" i="4"/>
  <c r="R62" i="4"/>
  <c r="R54" i="4"/>
  <c r="R31" i="4"/>
  <c r="R23" i="4"/>
  <c r="R122" i="4"/>
  <c r="R106" i="4"/>
  <c r="R98" i="4"/>
  <c r="R90" i="4"/>
  <c r="R82" i="4"/>
  <c r="R77" i="4"/>
  <c r="R61" i="4"/>
  <c r="R53" i="4"/>
  <c r="R46" i="4"/>
  <c r="R30" i="4"/>
  <c r="R22" i="4"/>
  <c r="R135" i="4"/>
  <c r="R114" i="4"/>
  <c r="R69" i="4"/>
  <c r="R48" i="4"/>
  <c r="R38" i="4"/>
  <c r="R131" i="4"/>
  <c r="R126" i="4"/>
  <c r="R118" i="4"/>
  <c r="R110" i="4"/>
  <c r="R102" i="4"/>
  <c r="R94" i="4"/>
  <c r="R86" i="4"/>
  <c r="R73" i="4"/>
  <c r="R65" i="4"/>
  <c r="R57" i="4"/>
  <c r="R42" i="4"/>
  <c r="R34" i="4"/>
  <c r="R26" i="4"/>
  <c r="R132" i="4"/>
  <c r="R119" i="4"/>
  <c r="R111" i="4"/>
  <c r="R95" i="4"/>
  <c r="R87" i="4"/>
  <c r="R74" i="4"/>
  <c r="R35" i="4"/>
  <c r="R27" i="4"/>
  <c r="R137" i="4"/>
  <c r="R129" i="4"/>
  <c r="R124" i="4"/>
  <c r="R116" i="4"/>
  <c r="R108" i="4"/>
  <c r="R100" i="4"/>
  <c r="R92" i="4"/>
  <c r="R84" i="4"/>
  <c r="R79" i="4"/>
  <c r="R71" i="4"/>
  <c r="R63" i="4"/>
  <c r="R55" i="4"/>
  <c r="R50" i="4"/>
  <c r="R40" i="4"/>
  <c r="R32" i="4"/>
  <c r="R24" i="4"/>
  <c r="R134" i="4"/>
  <c r="R121" i="4"/>
  <c r="R113" i="4"/>
  <c r="R105" i="4"/>
  <c r="R97" i="4"/>
  <c r="R89" i="4"/>
  <c r="R81" i="4"/>
  <c r="R76" i="4"/>
  <c r="R68" i="4"/>
  <c r="R60" i="4"/>
  <c r="R52" i="4"/>
  <c r="R45" i="4"/>
  <c r="R37" i="4"/>
  <c r="R29" i="4"/>
  <c r="R21" i="4"/>
  <c r="R127" i="4"/>
  <c r="R103" i="4"/>
  <c r="R66" i="4"/>
  <c r="R58" i="4"/>
  <c r="R43" i="4"/>
  <c r="R47" i="4"/>
  <c r="R133" i="4"/>
  <c r="R120" i="4"/>
  <c r="R112" i="4"/>
  <c r="R104" i="4"/>
  <c r="R96" i="4"/>
  <c r="R88" i="4"/>
  <c r="R80" i="4"/>
  <c r="R75" i="4"/>
  <c r="R67" i="4"/>
  <c r="R59" i="4"/>
  <c r="R44" i="4"/>
  <c r="R36" i="4"/>
  <c r="R28" i="4"/>
  <c r="R138" i="4"/>
  <c r="R130" i="4"/>
  <c r="R125" i="4"/>
  <c r="R117" i="4"/>
  <c r="R109" i="4"/>
  <c r="R101" i="4"/>
  <c r="R93" i="4"/>
  <c r="R85" i="4"/>
  <c r="R72" i="4"/>
  <c r="R64" i="4"/>
  <c r="R56" i="4"/>
  <c r="R51" i="4"/>
  <c r="R41" i="4"/>
  <c r="R33" i="4"/>
  <c r="R25" i="4"/>
  <c r="R139" i="4"/>
  <c r="H22" i="6"/>
  <c r="H26" i="6"/>
  <c r="F23" i="6"/>
  <c r="P22" i="6"/>
  <c r="R36" i="6"/>
  <c r="R42" i="6" s="1"/>
  <c r="D24" i="6"/>
  <c r="I42" i="6"/>
  <c r="D21" i="6"/>
  <c r="L20" i="6"/>
  <c r="H21" i="6"/>
  <c r="F24" i="6"/>
  <c r="L24" i="6"/>
  <c r="F22" i="6"/>
  <c r="P26" i="6"/>
  <c r="F26" i="6"/>
  <c r="W47" i="4"/>
  <c r="L25" i="6"/>
  <c r="M29" i="46"/>
  <c r="W29" i="46"/>
  <c r="P23" i="6"/>
  <c r="D23" i="6"/>
  <c r="B20" i="38"/>
  <c r="I13" i="51"/>
  <c r="J15" i="32"/>
  <c r="B26" i="46"/>
  <c r="B26" i="29"/>
  <c r="U51" i="4"/>
  <c r="U64" i="4"/>
  <c r="F21" i="6"/>
  <c r="H19" i="6"/>
  <c r="F13" i="51"/>
  <c r="B17" i="38"/>
  <c r="B23" i="46"/>
  <c r="G15" i="32"/>
  <c r="U48" i="4"/>
  <c r="U61" i="4"/>
  <c r="B23" i="29"/>
  <c r="B16" i="38"/>
  <c r="E13" i="51"/>
  <c r="F15" i="32"/>
  <c r="B22" i="46"/>
  <c r="B22" i="29"/>
  <c r="U47" i="4"/>
  <c r="U60" i="4"/>
  <c r="B24" i="38"/>
  <c r="M13" i="51"/>
  <c r="N15" i="32"/>
  <c r="B30" i="29"/>
  <c r="B30" i="46"/>
  <c r="U68" i="4"/>
  <c r="F25" i="6"/>
  <c r="H23" i="6"/>
  <c r="J13" i="51"/>
  <c r="B21" i="38"/>
  <c r="B27" i="46"/>
  <c r="K15" i="32"/>
  <c r="U52" i="4"/>
  <c r="U65" i="4"/>
  <c r="B27" i="29"/>
  <c r="L19" i="6"/>
  <c r="F19" i="6"/>
  <c r="L18" i="6"/>
  <c r="D18" i="6"/>
  <c r="V61" i="4"/>
  <c r="W48" i="4"/>
  <c r="B26" i="38"/>
  <c r="O13" i="51"/>
  <c r="P15" i="32"/>
  <c r="B32" i="46"/>
  <c r="B32" i="29"/>
  <c r="L23" i="6"/>
  <c r="P21" i="6"/>
  <c r="J21" i="29"/>
  <c r="Z21" i="29" s="1"/>
  <c r="R21" i="29"/>
  <c r="AH21" i="29" s="1"/>
  <c r="P36" i="6"/>
  <c r="N13" i="51"/>
  <c r="B25" i="38"/>
  <c r="B31" i="46"/>
  <c r="O15" i="32"/>
  <c r="B31" i="29"/>
  <c r="P25" i="6"/>
  <c r="H25" i="6"/>
  <c r="L21" i="6"/>
  <c r="J25" i="29"/>
  <c r="Z25" i="29" s="1"/>
  <c r="R25" i="29"/>
  <c r="AH25" i="29" s="1"/>
  <c r="D19" i="6"/>
  <c r="V68" i="4"/>
  <c r="V64" i="4"/>
  <c r="U54" i="4"/>
  <c r="U50" i="4"/>
  <c r="B29" i="29"/>
  <c r="B22" i="38"/>
  <c r="K13" i="51"/>
  <c r="B28" i="46"/>
  <c r="B18" i="38"/>
  <c r="G13" i="51"/>
  <c r="H15" i="32"/>
  <c r="B24" i="46"/>
  <c r="B15" i="38"/>
  <c r="D13" i="51"/>
  <c r="B21" i="46"/>
  <c r="E15" i="32"/>
  <c r="D30" i="29"/>
  <c r="F30" i="29" s="1"/>
  <c r="D29" i="29"/>
  <c r="L29" i="29" s="1"/>
  <c r="D28" i="29"/>
  <c r="D27" i="29"/>
  <c r="L27" i="29" s="1"/>
  <c r="T27" i="29" s="1"/>
  <c r="D26" i="29"/>
  <c r="L26" i="29" s="1"/>
  <c r="T26" i="29" s="1"/>
  <c r="D25" i="29"/>
  <c r="D24" i="29"/>
  <c r="L24" i="29" s="1"/>
  <c r="T24" i="29" s="1"/>
  <c r="V52" i="4"/>
  <c r="B28" i="29"/>
  <c r="B23" i="38"/>
  <c r="L13" i="51"/>
  <c r="M15" i="32"/>
  <c r="B19" i="38"/>
  <c r="H13" i="51"/>
  <c r="I15" i="32"/>
  <c r="U67" i="4"/>
  <c r="U63" i="4"/>
  <c r="U59" i="4"/>
  <c r="V53" i="4"/>
  <c r="V49" i="4"/>
  <c r="D23" i="29"/>
  <c r="L23" i="29" s="1"/>
  <c r="T23" i="29" s="1"/>
  <c r="D22" i="29"/>
  <c r="L22" i="29" s="1"/>
  <c r="T22" i="29" s="1"/>
  <c r="T21" i="29"/>
  <c r="V21" i="29" s="1"/>
  <c r="B24" i="29"/>
  <c r="B25" i="46"/>
  <c r="V54" i="4"/>
  <c r="U53" i="4"/>
  <c r="V50" i="4"/>
  <c r="U49" i="4"/>
  <c r="U46" i="4"/>
  <c r="F65" i="47"/>
  <c r="G18" i="51" l="1"/>
  <c r="L18" i="51"/>
  <c r="E18" i="51"/>
  <c r="K18" i="51"/>
  <c r="F18" i="51"/>
  <c r="M18" i="51"/>
  <c r="I18" i="51"/>
  <c r="H18" i="51"/>
  <c r="J18" i="51"/>
  <c r="F21" i="38" s="1"/>
  <c r="D14" i="51"/>
  <c r="I20" i="38"/>
  <c r="I21" i="38"/>
  <c r="W23" i="6"/>
  <c r="AM26" i="46"/>
  <c r="AM34" i="46" s="1"/>
  <c r="AN26" i="46"/>
  <c r="AN34" i="46" s="1"/>
  <c r="E14" i="51"/>
  <c r="F55" i="32"/>
  <c r="K150" i="4"/>
  <c r="K162" i="4" s="1"/>
  <c r="P141" i="4"/>
  <c r="P153" i="4" s="1"/>
  <c r="P149" i="4"/>
  <c r="P161" i="4" s="1"/>
  <c r="P145" i="4"/>
  <c r="P157" i="4" s="1"/>
  <c r="P142" i="4"/>
  <c r="P154" i="4" s="1"/>
  <c r="P150" i="4"/>
  <c r="P162" i="4" s="1"/>
  <c r="P147" i="4"/>
  <c r="P159" i="4" s="1"/>
  <c r="P144" i="4"/>
  <c r="P156" i="4" s="1"/>
  <c r="P146" i="4"/>
  <c r="P158" i="4" s="1"/>
  <c r="P143" i="4"/>
  <c r="P155" i="4" s="1"/>
  <c r="P151" i="4"/>
  <c r="P163" i="4" s="1"/>
  <c r="P148" i="4"/>
  <c r="P160" i="4" s="1"/>
  <c r="P140" i="4"/>
  <c r="P152" i="4" s="1"/>
  <c r="K147" i="4"/>
  <c r="K159" i="4" s="1"/>
  <c r="I63" i="46"/>
  <c r="I66" i="46"/>
  <c r="K149" i="4"/>
  <c r="K161" i="4" s="1"/>
  <c r="K148" i="4"/>
  <c r="K160" i="4" s="1"/>
  <c r="K145" i="4"/>
  <c r="K157" i="4" s="1"/>
  <c r="K141" i="4"/>
  <c r="K153" i="4" s="1"/>
  <c r="K151" i="4"/>
  <c r="K163" i="4" s="1"/>
  <c r="K152" i="4"/>
  <c r="K143" i="4"/>
  <c r="K155" i="4" s="1"/>
  <c r="K144" i="4"/>
  <c r="K156" i="4" s="1"/>
  <c r="K142" i="4"/>
  <c r="K154" i="4" s="1"/>
  <c r="K146" i="4"/>
  <c r="K158" i="4" s="1"/>
  <c r="I67" i="46"/>
  <c r="I61" i="46"/>
  <c r="I58" i="46"/>
  <c r="E21" i="29"/>
  <c r="I62" i="46"/>
  <c r="I60" i="46"/>
  <c r="I65" i="46"/>
  <c r="I59" i="46"/>
  <c r="I64" i="46"/>
  <c r="C18" i="47"/>
  <c r="D17" i="38"/>
  <c r="C20" i="47"/>
  <c r="D19" i="38"/>
  <c r="C19" i="47"/>
  <c r="D18" i="38"/>
  <c r="C25" i="47"/>
  <c r="D24" i="38"/>
  <c r="C23" i="47"/>
  <c r="D22" i="38"/>
  <c r="C24" i="47"/>
  <c r="D23" i="38"/>
  <c r="D21" i="38"/>
  <c r="C22" i="47"/>
  <c r="C21" i="47"/>
  <c r="D20" i="38"/>
  <c r="C16" i="47"/>
  <c r="D15" i="38"/>
  <c r="C36" i="47"/>
  <c r="C97" i="47"/>
  <c r="N16" i="38"/>
  <c r="M16" i="38"/>
  <c r="C83" i="47"/>
  <c r="L18" i="38"/>
  <c r="K18" i="38"/>
  <c r="C117" i="47"/>
  <c r="O20" i="38"/>
  <c r="P20" i="38"/>
  <c r="C68" i="47"/>
  <c r="J19" i="38"/>
  <c r="I19" i="38"/>
  <c r="F16" i="38"/>
  <c r="C33" i="47"/>
  <c r="C82" i="47"/>
  <c r="L17" i="38"/>
  <c r="K17" i="38"/>
  <c r="C54" i="47"/>
  <c r="H21" i="38"/>
  <c r="C101" i="47"/>
  <c r="N20" i="38"/>
  <c r="M20" i="38"/>
  <c r="C119" i="47"/>
  <c r="O22" i="38"/>
  <c r="P22" i="38"/>
  <c r="C115" i="47"/>
  <c r="P18" i="38"/>
  <c r="O18" i="38"/>
  <c r="C103" i="47"/>
  <c r="N22" i="38"/>
  <c r="M22" i="38"/>
  <c r="C57" i="47"/>
  <c r="H24" i="38"/>
  <c r="C120" i="47"/>
  <c r="P23" i="38"/>
  <c r="O23" i="38"/>
  <c r="C86" i="47"/>
  <c r="K21" i="38"/>
  <c r="L21" i="38"/>
  <c r="C104" i="47"/>
  <c r="N23" i="38"/>
  <c r="M23" i="38"/>
  <c r="C38" i="47"/>
  <c r="C48" i="47"/>
  <c r="H15" i="38"/>
  <c r="C85" i="47"/>
  <c r="L20" i="38"/>
  <c r="K20" i="38"/>
  <c r="C65" i="47"/>
  <c r="I16" i="38"/>
  <c r="J16" i="38"/>
  <c r="C96" i="47"/>
  <c r="N15" i="38"/>
  <c r="M15" i="38"/>
  <c r="C89" i="47"/>
  <c r="K24" i="38"/>
  <c r="L24" i="38"/>
  <c r="C41" i="47"/>
  <c r="F24" i="38"/>
  <c r="C114" i="47"/>
  <c r="O17" i="38"/>
  <c r="P17" i="38"/>
  <c r="C118" i="47"/>
  <c r="O21" i="38"/>
  <c r="P21" i="38"/>
  <c r="C55" i="47"/>
  <c r="H22" i="38"/>
  <c r="C56" i="47"/>
  <c r="H23" i="38"/>
  <c r="C49" i="47"/>
  <c r="H16" i="38"/>
  <c r="C102" i="47"/>
  <c r="M21" i="38"/>
  <c r="N21" i="38"/>
  <c r="C51" i="47"/>
  <c r="H18" i="38"/>
  <c r="C113" i="47"/>
  <c r="D113" i="47" s="1"/>
  <c r="O16" i="38"/>
  <c r="P16" i="38"/>
  <c r="C99" i="47"/>
  <c r="M18" i="38"/>
  <c r="N18" i="38"/>
  <c r="C81" i="47"/>
  <c r="K16" i="38"/>
  <c r="L16" i="38"/>
  <c r="C121" i="47"/>
  <c r="O24" i="38"/>
  <c r="P24" i="38"/>
  <c r="C52" i="47"/>
  <c r="H19" i="38"/>
  <c r="C64" i="47"/>
  <c r="J15" i="38"/>
  <c r="I15" i="38"/>
  <c r="C73" i="47"/>
  <c r="I24" i="38"/>
  <c r="J24" i="38"/>
  <c r="C50" i="47"/>
  <c r="H17" i="38"/>
  <c r="C88" i="47"/>
  <c r="K23" i="38"/>
  <c r="L23" i="38"/>
  <c r="C105" i="47"/>
  <c r="M24" i="38"/>
  <c r="N24" i="38"/>
  <c r="C53" i="47"/>
  <c r="H20" i="38"/>
  <c r="F20" i="38"/>
  <c r="C67" i="47"/>
  <c r="I18" i="38"/>
  <c r="J18" i="38"/>
  <c r="C87" i="47"/>
  <c r="L22" i="38"/>
  <c r="K22" i="38"/>
  <c r="C80" i="47"/>
  <c r="K15" i="38"/>
  <c r="L15" i="38"/>
  <c r="C66" i="47"/>
  <c r="I17" i="38"/>
  <c r="J17" i="38"/>
  <c r="C98" i="47"/>
  <c r="N17" i="38"/>
  <c r="M17" i="38"/>
  <c r="F18" i="38"/>
  <c r="C35" i="47"/>
  <c r="F22" i="38"/>
  <c r="C39" i="47"/>
  <c r="C84" i="47"/>
  <c r="K19" i="38"/>
  <c r="L19" i="38"/>
  <c r="C71" i="47"/>
  <c r="J22" i="38"/>
  <c r="I22" i="38"/>
  <c r="J20" i="38"/>
  <c r="C69" i="47"/>
  <c r="E69" i="47"/>
  <c r="F69" i="47" s="1"/>
  <c r="C72" i="47"/>
  <c r="I23" i="38"/>
  <c r="J23" i="38"/>
  <c r="D18" i="51"/>
  <c r="E55" i="32"/>
  <c r="C100" i="47"/>
  <c r="N19" i="38"/>
  <c r="M19" i="38"/>
  <c r="C70" i="47"/>
  <c r="J21" i="38"/>
  <c r="C116" i="47"/>
  <c r="P19" i="38"/>
  <c r="O19" i="38"/>
  <c r="F62" i="46"/>
  <c r="AQ25" i="46"/>
  <c r="AG25" i="46"/>
  <c r="F64" i="46"/>
  <c r="AQ27" i="46"/>
  <c r="AG27" i="46"/>
  <c r="F59" i="46"/>
  <c r="AQ22" i="46"/>
  <c r="AG22" i="46"/>
  <c r="F60" i="46"/>
  <c r="AQ23" i="46"/>
  <c r="AG23" i="46"/>
  <c r="F61" i="46"/>
  <c r="AQ24" i="46"/>
  <c r="AG24" i="46"/>
  <c r="F65" i="46"/>
  <c r="AQ28" i="46"/>
  <c r="AG28" i="46"/>
  <c r="B49" i="46"/>
  <c r="AQ31" i="46"/>
  <c r="AQ49" i="46" s="1"/>
  <c r="AG31" i="46"/>
  <c r="AG49" i="46" s="1"/>
  <c r="F63" i="46"/>
  <c r="AQ26" i="46"/>
  <c r="AG26" i="46"/>
  <c r="F67" i="46"/>
  <c r="AQ30" i="46"/>
  <c r="AG30" i="46"/>
  <c r="F58" i="46"/>
  <c r="AQ21" i="46"/>
  <c r="AG21" i="46"/>
  <c r="B50" i="46"/>
  <c r="AQ32" i="46"/>
  <c r="AQ50" i="46" s="1"/>
  <c r="AG32" i="46"/>
  <c r="AG50" i="46" s="1"/>
  <c r="W25" i="6"/>
  <c r="V26" i="29"/>
  <c r="AB26" i="29"/>
  <c r="AB21" i="29"/>
  <c r="V27" i="29"/>
  <c r="AB27" i="29"/>
  <c r="V23" i="29"/>
  <c r="AB23" i="29"/>
  <c r="V24" i="29"/>
  <c r="AB24" i="29"/>
  <c r="V22" i="29"/>
  <c r="AB22" i="29"/>
  <c r="W18" i="6"/>
  <c r="W20" i="6"/>
  <c r="W19" i="6"/>
  <c r="W36" i="6"/>
  <c r="W26" i="6"/>
  <c r="W24" i="6"/>
  <c r="W21" i="6"/>
  <c r="W22" i="6"/>
  <c r="H72" i="47"/>
  <c r="S31" i="4"/>
  <c r="X46" i="4" s="1"/>
  <c r="F31" i="29"/>
  <c r="N24" i="29"/>
  <c r="L25" i="29"/>
  <c r="T25" i="29" s="1"/>
  <c r="F25" i="29"/>
  <c r="F24" i="29"/>
  <c r="H56" i="47"/>
  <c r="H28" i="6"/>
  <c r="H42" i="6" s="1"/>
  <c r="P28" i="6"/>
  <c r="F28" i="6"/>
  <c r="N55" i="32"/>
  <c r="L28" i="6"/>
  <c r="H71" i="47"/>
  <c r="F66" i="47"/>
  <c r="H54" i="51"/>
  <c r="F68" i="47"/>
  <c r="H68" i="47"/>
  <c r="F71" i="47"/>
  <c r="F73" i="47"/>
  <c r="I55" i="32"/>
  <c r="F26" i="29"/>
  <c r="H51" i="47"/>
  <c r="H67" i="47"/>
  <c r="L56" i="51"/>
  <c r="E56" i="51"/>
  <c r="G56" i="51"/>
  <c r="H52" i="47"/>
  <c r="H50" i="47"/>
  <c r="N27" i="29"/>
  <c r="F27" i="29"/>
  <c r="N26" i="29"/>
  <c r="F23" i="29"/>
  <c r="F67" i="47"/>
  <c r="H56" i="51"/>
  <c r="D56" i="51"/>
  <c r="H49" i="47"/>
  <c r="M56" i="51"/>
  <c r="N22" i="29"/>
  <c r="W50" i="4"/>
  <c r="V63" i="4"/>
  <c r="J56" i="51"/>
  <c r="N23" i="29"/>
  <c r="R28" i="29"/>
  <c r="AH28" i="29" s="1"/>
  <c r="J28" i="29"/>
  <c r="Z28" i="29" s="1"/>
  <c r="T29" i="29"/>
  <c r="N29" i="29"/>
  <c r="M28" i="46"/>
  <c r="W28" i="46"/>
  <c r="M55" i="32"/>
  <c r="W31" i="46"/>
  <c r="W49" i="46" s="1"/>
  <c r="M31" i="46"/>
  <c r="M49" i="46" s="1"/>
  <c r="G54" i="51"/>
  <c r="I43" i="6"/>
  <c r="M22" i="46"/>
  <c r="W22" i="46"/>
  <c r="J23" i="29"/>
  <c r="Z23" i="29" s="1"/>
  <c r="R23" i="29"/>
  <c r="AH23" i="29" s="1"/>
  <c r="M23" i="46"/>
  <c r="W23" i="46"/>
  <c r="K55" i="32"/>
  <c r="H65" i="47"/>
  <c r="H53" i="47"/>
  <c r="V62" i="4"/>
  <c r="W49" i="4"/>
  <c r="N21" i="29"/>
  <c r="L30" i="29"/>
  <c r="N30" i="29" s="1"/>
  <c r="N31" i="29" s="1"/>
  <c r="M24" i="46"/>
  <c r="W24" i="46"/>
  <c r="W51" i="4"/>
  <c r="G55" i="32"/>
  <c r="L55" i="32"/>
  <c r="J32" i="29"/>
  <c r="Z32" i="29" s="1"/>
  <c r="R32" i="29"/>
  <c r="AH32" i="29" s="1"/>
  <c r="B43" i="29"/>
  <c r="J27" i="29"/>
  <c r="Z27" i="29" s="1"/>
  <c r="R27" i="29"/>
  <c r="AH27" i="29" s="1"/>
  <c r="M27" i="46"/>
  <c r="W27" i="46"/>
  <c r="H69" i="47"/>
  <c r="H57" i="47"/>
  <c r="H66" i="47"/>
  <c r="W54" i="4"/>
  <c r="V67" i="4"/>
  <c r="R24" i="29"/>
  <c r="AH24" i="29" s="1"/>
  <c r="J24" i="29"/>
  <c r="Z24" i="29" s="1"/>
  <c r="V66" i="4"/>
  <c r="W53" i="4"/>
  <c r="K56" i="51"/>
  <c r="F22" i="29"/>
  <c r="V65" i="4"/>
  <c r="W52" i="4"/>
  <c r="J31" i="29"/>
  <c r="Z31" i="29" s="1"/>
  <c r="R31" i="29"/>
  <c r="AH31" i="29" s="1"/>
  <c r="B42" i="29"/>
  <c r="F29" i="29"/>
  <c r="K54" i="51"/>
  <c r="W32" i="46"/>
  <c r="W50" i="46" s="1"/>
  <c r="M32" i="46"/>
  <c r="M50" i="46" s="1"/>
  <c r="M30" i="46"/>
  <c r="W30" i="46"/>
  <c r="R26" i="29"/>
  <c r="AH26" i="29" s="1"/>
  <c r="J26" i="29"/>
  <c r="Z26" i="29" s="1"/>
  <c r="I56" i="51"/>
  <c r="F72" i="47"/>
  <c r="H73" i="47"/>
  <c r="F56" i="51"/>
  <c r="M25" i="46"/>
  <c r="W25" i="46"/>
  <c r="J55" i="32"/>
  <c r="M54" i="51"/>
  <c r="H54" i="47"/>
  <c r="H70" i="47"/>
  <c r="H55" i="47"/>
  <c r="L28" i="29"/>
  <c r="F28" i="29"/>
  <c r="W21" i="46"/>
  <c r="M21" i="46"/>
  <c r="R29" i="29"/>
  <c r="AH29" i="29" s="1"/>
  <c r="J29" i="29"/>
  <c r="Z29" i="29" s="1"/>
  <c r="W55" i="4"/>
  <c r="H55" i="32"/>
  <c r="R30" i="29"/>
  <c r="AH30" i="29" s="1"/>
  <c r="J30" i="29"/>
  <c r="Z30" i="29" s="1"/>
  <c r="R22" i="29"/>
  <c r="AH22" i="29" s="1"/>
  <c r="J22" i="29"/>
  <c r="Z22" i="29" s="1"/>
  <c r="M26" i="46"/>
  <c r="W26" i="46"/>
  <c r="S115" i="4"/>
  <c r="X53" i="4" s="1"/>
  <c r="W66" i="4" s="1"/>
  <c r="E28" i="29"/>
  <c r="S67" i="4"/>
  <c r="X49" i="4" s="1"/>
  <c r="Z49" i="4" s="1"/>
  <c r="E23" i="29"/>
  <c r="E24" i="29"/>
  <c r="M24" i="29" s="1"/>
  <c r="E29" i="29"/>
  <c r="S79" i="4"/>
  <c r="X50" i="4" s="1"/>
  <c r="W63" i="4" s="1"/>
  <c r="S103" i="4"/>
  <c r="X52" i="4" s="1"/>
  <c r="W65" i="4" s="1"/>
  <c r="E30" i="29"/>
  <c r="G30" i="29" s="1"/>
  <c r="S55" i="4"/>
  <c r="X48" i="4" s="1"/>
  <c r="S91" i="4"/>
  <c r="X51" i="4" s="1"/>
  <c r="E27" i="29"/>
  <c r="M27" i="29" s="1"/>
  <c r="S43" i="4"/>
  <c r="E25" i="29"/>
  <c r="E26" i="29"/>
  <c r="M26" i="29" s="1"/>
  <c r="J25" i="32" s="1"/>
  <c r="I23" i="51" s="1"/>
  <c r="S127" i="4"/>
  <c r="X54" i="4" s="1"/>
  <c r="Z54" i="4" s="1"/>
  <c r="S139" i="4"/>
  <c r="E22" i="29"/>
  <c r="C17" i="47" l="1"/>
  <c r="F54" i="51"/>
  <c r="L54" i="51"/>
  <c r="F17" i="38"/>
  <c r="C40" i="47"/>
  <c r="F19" i="38"/>
  <c r="J54" i="51"/>
  <c r="I54" i="51"/>
  <c r="D54" i="51"/>
  <c r="C37" i="47"/>
  <c r="D38" i="47" s="1"/>
  <c r="C34" i="47"/>
  <c r="F23" i="38"/>
  <c r="X47" i="4"/>
  <c r="Z47" i="4" s="1"/>
  <c r="E53" i="47"/>
  <c r="X55" i="4"/>
  <c r="W68" i="4" s="1"/>
  <c r="X68" i="4" s="1"/>
  <c r="G20" i="38"/>
  <c r="D16" i="38"/>
  <c r="R43" i="6"/>
  <c r="G30" i="6"/>
  <c r="H43" i="6"/>
  <c r="O30" i="6"/>
  <c r="O42" i="6" s="1"/>
  <c r="P43" i="6"/>
  <c r="P42" i="6"/>
  <c r="K30" i="6"/>
  <c r="K42" i="6" s="1"/>
  <c r="L43" i="6"/>
  <c r="L42" i="6"/>
  <c r="E30" i="6"/>
  <c r="E42" i="6" s="1"/>
  <c r="F43" i="6"/>
  <c r="F42" i="6"/>
  <c r="D43" i="6"/>
  <c r="D42" i="6"/>
  <c r="E54" i="51"/>
  <c r="AK49" i="46"/>
  <c r="AK50" i="46"/>
  <c r="AL49" i="46"/>
  <c r="AL50" i="46"/>
  <c r="H30" i="29"/>
  <c r="N17" i="32"/>
  <c r="D84" i="47"/>
  <c r="D97" i="47"/>
  <c r="D120" i="47"/>
  <c r="F70" i="47"/>
  <c r="D41" i="47"/>
  <c r="D34" i="47"/>
  <c r="D57" i="47"/>
  <c r="D50" i="47"/>
  <c r="D21" i="47"/>
  <c r="D53" i="47"/>
  <c r="D72" i="47"/>
  <c r="D87" i="47"/>
  <c r="D39" i="47"/>
  <c r="D54" i="47"/>
  <c r="D116" i="47"/>
  <c r="D65" i="47"/>
  <c r="D49" i="47"/>
  <c r="D103" i="47"/>
  <c r="D68" i="47"/>
  <c r="D23" i="47"/>
  <c r="D19" i="47"/>
  <c r="D118" i="47"/>
  <c r="D55" i="47"/>
  <c r="D35" i="47"/>
  <c r="D17" i="47"/>
  <c r="D25" i="47"/>
  <c r="D20" i="47"/>
  <c r="D24" i="47"/>
  <c r="D100" i="47"/>
  <c r="D102" i="47"/>
  <c r="D22" i="47"/>
  <c r="D18" i="47"/>
  <c r="D83" i="47"/>
  <c r="D69" i="47"/>
  <c r="D81" i="47"/>
  <c r="D70" i="47"/>
  <c r="D67" i="47"/>
  <c r="D51" i="47"/>
  <c r="D85" i="47"/>
  <c r="D89" i="47"/>
  <c r="D71" i="47"/>
  <c r="D52" i="47"/>
  <c r="D56" i="47"/>
  <c r="D73" i="47"/>
  <c r="D88" i="47"/>
  <c r="D119" i="47"/>
  <c r="D104" i="47"/>
  <c r="D105" i="47"/>
  <c r="D99" i="47"/>
  <c r="D40" i="47"/>
  <c r="D82" i="47"/>
  <c r="D66" i="47"/>
  <c r="D115" i="47"/>
  <c r="D117" i="47"/>
  <c r="D36" i="47"/>
  <c r="F15" i="38"/>
  <c r="C32" i="47"/>
  <c r="D33" i="47" s="1"/>
  <c r="D98" i="47"/>
  <c r="D121" i="47"/>
  <c r="D114" i="47"/>
  <c r="D86" i="47"/>
  <c r="D101" i="47"/>
  <c r="AD22" i="29"/>
  <c r="AJ22" i="29"/>
  <c r="AD21" i="29"/>
  <c r="AJ21" i="29"/>
  <c r="AD24" i="29"/>
  <c r="AJ24" i="29"/>
  <c r="AD26" i="29"/>
  <c r="AJ26" i="29"/>
  <c r="AD23" i="29"/>
  <c r="AJ23" i="29"/>
  <c r="AD27" i="29"/>
  <c r="AJ27" i="29"/>
  <c r="W28" i="6"/>
  <c r="V25" i="29"/>
  <c r="AB25" i="29"/>
  <c r="V29" i="29"/>
  <c r="AB29" i="29"/>
  <c r="N25" i="29"/>
  <c r="G23" i="29"/>
  <c r="F32" i="29"/>
  <c r="G25" i="29"/>
  <c r="X63" i="4"/>
  <c r="X65" i="4"/>
  <c r="X66" i="4"/>
  <c r="G28" i="29"/>
  <c r="G29" i="29"/>
  <c r="R42" i="29"/>
  <c r="AH42" i="29" s="1"/>
  <c r="J42" i="29"/>
  <c r="Z42" i="29" s="1"/>
  <c r="J43" i="29"/>
  <c r="Z43" i="29" s="1"/>
  <c r="R43" i="29"/>
  <c r="AH43" i="29" s="1"/>
  <c r="T28" i="29"/>
  <c r="N28" i="29"/>
  <c r="T30" i="29"/>
  <c r="V30" i="29" s="1"/>
  <c r="V31" i="29" s="1"/>
  <c r="Y49" i="4"/>
  <c r="M29" i="29"/>
  <c r="U29" i="29" s="1"/>
  <c r="Z53" i="4"/>
  <c r="Z52" i="4"/>
  <c r="G27" i="29"/>
  <c r="W62" i="4"/>
  <c r="X62" i="4" s="1"/>
  <c r="Y53" i="4"/>
  <c r="W61" i="4"/>
  <c r="X61" i="4" s="1"/>
  <c r="M23" i="29"/>
  <c r="U23" i="29" s="1"/>
  <c r="Z50" i="4"/>
  <c r="M28" i="29"/>
  <c r="Y51" i="4"/>
  <c r="Z48" i="4"/>
  <c r="Y50" i="4"/>
  <c r="W64" i="4"/>
  <c r="X64" i="4" s="1"/>
  <c r="Z51" i="4"/>
  <c r="Y54" i="4"/>
  <c r="M25" i="29"/>
  <c r="U25" i="29" s="1"/>
  <c r="G24" i="29"/>
  <c r="M30" i="29"/>
  <c r="W67" i="4"/>
  <c r="X67" i="4" s="1"/>
  <c r="Y52" i="4"/>
  <c r="G26" i="29"/>
  <c r="Z46" i="4"/>
  <c r="W59" i="4"/>
  <c r="X59" i="4" s="1"/>
  <c r="U26" i="29"/>
  <c r="O26" i="29"/>
  <c r="G22" i="29"/>
  <c r="M22" i="29"/>
  <c r="O27" i="29"/>
  <c r="U27" i="29"/>
  <c r="M21" i="29"/>
  <c r="G21" i="29"/>
  <c r="H21" i="29" s="1"/>
  <c r="O24" i="29"/>
  <c r="U24" i="29"/>
  <c r="D37" i="47" l="1"/>
  <c r="Y47" i="4"/>
  <c r="Y48" i="4"/>
  <c r="W60" i="4"/>
  <c r="X60" i="4" s="1"/>
  <c r="X69" i="4" s="1"/>
  <c r="Y55" i="4"/>
  <c r="Z55" i="4"/>
  <c r="K31" i="6"/>
  <c r="K43" i="6" s="1"/>
  <c r="G32" i="46" s="1"/>
  <c r="E50" i="46" s="1"/>
  <c r="C42" i="6"/>
  <c r="V30" i="6"/>
  <c r="P28" i="32"/>
  <c r="O26" i="51" s="1"/>
  <c r="G31" i="46"/>
  <c r="E49" i="46" s="1"/>
  <c r="O28" i="32"/>
  <c r="N26" i="51" s="1"/>
  <c r="O31" i="6"/>
  <c r="O43" i="6" s="1"/>
  <c r="AB32" i="46" s="1"/>
  <c r="Z50" i="46" s="1"/>
  <c r="E31" i="6"/>
  <c r="E43" i="6" s="1"/>
  <c r="K43" i="29" s="1"/>
  <c r="G31" i="6"/>
  <c r="G43" i="6" s="1"/>
  <c r="G42" i="6"/>
  <c r="Q43" i="6"/>
  <c r="Q42" i="6"/>
  <c r="W42" i="6"/>
  <c r="O140" i="4" s="1"/>
  <c r="O141" i="4" s="1"/>
  <c r="O142" i="4" s="1"/>
  <c r="O143" i="4" s="1"/>
  <c r="O144" i="4" s="1"/>
  <c r="O145" i="4" s="1"/>
  <c r="O146" i="4" s="1"/>
  <c r="O147" i="4" s="1"/>
  <c r="O148" i="4" s="1"/>
  <c r="O149" i="4" s="1"/>
  <c r="O150" i="4" s="1"/>
  <c r="O151" i="4" s="1"/>
  <c r="O152" i="4" s="1"/>
  <c r="O153" i="4" s="1"/>
  <c r="O154" i="4" s="1"/>
  <c r="O155" i="4" s="1"/>
  <c r="O156" i="4" s="1"/>
  <c r="O157" i="4" s="1"/>
  <c r="O158" i="4" s="1"/>
  <c r="O159" i="4" s="1"/>
  <c r="O160" i="4" s="1"/>
  <c r="O161" i="4" s="1"/>
  <c r="O162" i="4" s="1"/>
  <c r="O163" i="4" s="1"/>
  <c r="W43" i="6"/>
  <c r="P32" i="32"/>
  <c r="O30" i="51" s="1"/>
  <c r="AB31" i="46"/>
  <c r="Z49" i="46" s="1"/>
  <c r="O32" i="32"/>
  <c r="N30" i="51" s="1"/>
  <c r="K42" i="29"/>
  <c r="O20" i="32"/>
  <c r="C31" i="6"/>
  <c r="O16" i="32"/>
  <c r="N14" i="51" s="1"/>
  <c r="C42" i="29"/>
  <c r="H22" i="29"/>
  <c r="F17" i="32"/>
  <c r="E15" i="51" s="1"/>
  <c r="H25" i="29"/>
  <c r="I17" i="32"/>
  <c r="H15" i="51" s="1"/>
  <c r="P26" i="29"/>
  <c r="J21" i="32"/>
  <c r="I19" i="51" s="1"/>
  <c r="H23" i="29"/>
  <c r="G17" i="32"/>
  <c r="F15" i="51" s="1"/>
  <c r="P24" i="29"/>
  <c r="H21" i="32"/>
  <c r="G19" i="51" s="1"/>
  <c r="H28" i="29"/>
  <c r="L17" i="32"/>
  <c r="E17" i="32"/>
  <c r="H27" i="29"/>
  <c r="K17" i="32"/>
  <c r="J15" i="51" s="1"/>
  <c r="H26" i="29"/>
  <c r="J17" i="32"/>
  <c r="I15" i="51" s="1"/>
  <c r="M15" i="51"/>
  <c r="G20" i="53"/>
  <c r="H29" i="29"/>
  <c r="M17" i="32"/>
  <c r="H24" i="29"/>
  <c r="H17" i="32"/>
  <c r="G15" i="51" s="1"/>
  <c r="P27" i="29"/>
  <c r="K21" i="32"/>
  <c r="J19" i="51" s="1"/>
  <c r="N32" i="29"/>
  <c r="AL23" i="29"/>
  <c r="AL21" i="29"/>
  <c r="AL22" i="29"/>
  <c r="AL27" i="29"/>
  <c r="AD29" i="29"/>
  <c r="AJ29" i="29"/>
  <c r="AL26" i="29"/>
  <c r="AD25" i="29"/>
  <c r="AJ25" i="29"/>
  <c r="AL24" i="29"/>
  <c r="W27" i="29"/>
  <c r="AC27" i="29"/>
  <c r="V32" i="29"/>
  <c r="AB30" i="29"/>
  <c r="W26" i="29"/>
  <c r="X26" i="29" s="1"/>
  <c r="AC26" i="29"/>
  <c r="W25" i="29"/>
  <c r="AC25" i="29"/>
  <c r="V28" i="29"/>
  <c r="AB28" i="29"/>
  <c r="W23" i="29"/>
  <c r="AC23" i="29"/>
  <c r="W29" i="29"/>
  <c r="AC29" i="29"/>
  <c r="W24" i="29"/>
  <c r="AC24" i="29"/>
  <c r="O28" i="29"/>
  <c r="O29" i="29"/>
  <c r="U28" i="29"/>
  <c r="O25" i="29"/>
  <c r="O23" i="29"/>
  <c r="O30" i="29"/>
  <c r="U30" i="29"/>
  <c r="U21" i="29"/>
  <c r="W21" i="29" s="1"/>
  <c r="E25" i="32" s="1"/>
  <c r="D23" i="51" s="1"/>
  <c r="O21" i="29"/>
  <c r="O22" i="29"/>
  <c r="U22" i="29"/>
  <c r="X70" i="4" l="1"/>
  <c r="N18" i="51"/>
  <c r="C74" i="47"/>
  <c r="D74" i="47" s="1"/>
  <c r="C90" i="47"/>
  <c r="D90" i="47" s="1"/>
  <c r="C75" i="47"/>
  <c r="C91" i="47"/>
  <c r="P24" i="32"/>
  <c r="O22" i="51" s="1"/>
  <c r="P20" i="32"/>
  <c r="C43" i="6"/>
  <c r="V31" i="6"/>
  <c r="V42" i="6"/>
  <c r="O24" i="32"/>
  <c r="N22" i="51" s="1"/>
  <c r="X25" i="29"/>
  <c r="I25" i="32"/>
  <c r="H23" i="51" s="1"/>
  <c r="X24" i="29"/>
  <c r="H25" i="32"/>
  <c r="G23" i="51" s="1"/>
  <c r="X23" i="29"/>
  <c r="G25" i="32"/>
  <c r="F23" i="51" s="1"/>
  <c r="E48" i="47"/>
  <c r="G15" i="38"/>
  <c r="X29" i="29"/>
  <c r="M25" i="32"/>
  <c r="X27" i="29"/>
  <c r="K25" i="32"/>
  <c r="J23" i="51" s="1"/>
  <c r="AV31" i="46"/>
  <c r="AT49" i="46" s="1"/>
  <c r="N34" i="51"/>
  <c r="AL32" i="46"/>
  <c r="AJ50" i="46" s="1"/>
  <c r="P40" i="32"/>
  <c r="O38" i="51" s="1"/>
  <c r="AL31" i="46"/>
  <c r="AJ49" i="46" s="1"/>
  <c r="O40" i="32"/>
  <c r="N38" i="51" s="1"/>
  <c r="AV32" i="46"/>
  <c r="AT50" i="46" s="1"/>
  <c r="O34" i="51"/>
  <c r="C42" i="47"/>
  <c r="D42" i="47" s="1"/>
  <c r="F25" i="38"/>
  <c r="C43" i="29"/>
  <c r="P16" i="32"/>
  <c r="O14" i="51" s="1"/>
  <c r="V43" i="6"/>
  <c r="D25" i="38"/>
  <c r="C26" i="47"/>
  <c r="D26" i="47" s="1"/>
  <c r="E18" i="47"/>
  <c r="C17" i="38"/>
  <c r="P23" i="29"/>
  <c r="G21" i="32"/>
  <c r="F19" i="51" s="1"/>
  <c r="L15" i="51"/>
  <c r="F20" i="53"/>
  <c r="E20" i="53"/>
  <c r="K15" i="51"/>
  <c r="E20" i="47"/>
  <c r="C19" i="38"/>
  <c r="D15" i="51"/>
  <c r="P25" i="29"/>
  <c r="I21" i="32"/>
  <c r="H19" i="51" s="1"/>
  <c r="P22" i="29"/>
  <c r="F21" i="32"/>
  <c r="E19" i="51" s="1"/>
  <c r="P29" i="29"/>
  <c r="M21" i="32"/>
  <c r="E25" i="47"/>
  <c r="C24" i="38"/>
  <c r="E22" i="47"/>
  <c r="C21" i="38"/>
  <c r="E38" i="47"/>
  <c r="E21" i="38"/>
  <c r="E21" i="47"/>
  <c r="C20" i="38"/>
  <c r="E35" i="47"/>
  <c r="E18" i="38"/>
  <c r="E17" i="47"/>
  <c r="C16" i="38"/>
  <c r="E19" i="47"/>
  <c r="C18" i="38"/>
  <c r="P30" i="29"/>
  <c r="N21" i="32"/>
  <c r="E37" i="47"/>
  <c r="E20" i="38"/>
  <c r="P21" i="29"/>
  <c r="E21" i="32"/>
  <c r="D19" i="51" s="1"/>
  <c r="P28" i="29"/>
  <c r="L21" i="32"/>
  <c r="AE29" i="29"/>
  <c r="AF29" i="29" s="1"/>
  <c r="AK29" i="29"/>
  <c r="AE26" i="29"/>
  <c r="AF26" i="29" s="1"/>
  <c r="AK26" i="29"/>
  <c r="AD28" i="29"/>
  <c r="AJ28" i="29"/>
  <c r="AE27" i="29"/>
  <c r="AF27" i="29" s="1"/>
  <c r="AK27" i="29"/>
  <c r="AL25" i="29"/>
  <c r="AD30" i="29"/>
  <c r="AJ30" i="29"/>
  <c r="AE23" i="29"/>
  <c r="AF23" i="29" s="1"/>
  <c r="AK23" i="29"/>
  <c r="AL29" i="29"/>
  <c r="AE24" i="29"/>
  <c r="AF24" i="29" s="1"/>
  <c r="AK24" i="29"/>
  <c r="AE25" i="29"/>
  <c r="AF25" i="29" s="1"/>
  <c r="AK25" i="29"/>
  <c r="I55" i="51"/>
  <c r="J56" i="32"/>
  <c r="X21" i="29"/>
  <c r="AC21" i="29"/>
  <c r="W30" i="29"/>
  <c r="AC30" i="29"/>
  <c r="W28" i="29"/>
  <c r="AC28" i="29"/>
  <c r="W22" i="29"/>
  <c r="AC22" i="29"/>
  <c r="O18" i="51" l="1"/>
  <c r="D91" i="47"/>
  <c r="D75" i="47"/>
  <c r="C122" i="47"/>
  <c r="D122" i="47" s="1"/>
  <c r="C123" i="47"/>
  <c r="D123" i="47" s="1"/>
  <c r="C107" i="47"/>
  <c r="J55" i="51"/>
  <c r="G55" i="51"/>
  <c r="C58" i="47"/>
  <c r="D58" i="47" s="1"/>
  <c r="C106" i="47"/>
  <c r="D106" i="47" s="1"/>
  <c r="C59" i="47"/>
  <c r="H56" i="32"/>
  <c r="K56" i="32"/>
  <c r="X22" i="29"/>
  <c r="F25" i="32"/>
  <c r="E23" i="51" s="1"/>
  <c r="E54" i="47"/>
  <c r="F54" i="47" s="1"/>
  <c r="G21" i="38"/>
  <c r="E51" i="47"/>
  <c r="G18" i="38"/>
  <c r="X30" i="29"/>
  <c r="N25" i="32"/>
  <c r="L23" i="51"/>
  <c r="F24" i="53"/>
  <c r="E50" i="47"/>
  <c r="G17" i="38"/>
  <c r="E52" i="47"/>
  <c r="F52" i="47" s="1"/>
  <c r="G19" i="38"/>
  <c r="X28" i="29"/>
  <c r="L25" i="32"/>
  <c r="N54" i="51"/>
  <c r="O55" i="32"/>
  <c r="D107" i="47"/>
  <c r="P55" i="32"/>
  <c r="D26" i="38"/>
  <c r="C27" i="47"/>
  <c r="D27" i="47" s="1"/>
  <c r="O54" i="51"/>
  <c r="F21" i="47"/>
  <c r="F19" i="47"/>
  <c r="F38" i="47"/>
  <c r="F22" i="47"/>
  <c r="E22" i="53"/>
  <c r="K19" i="51"/>
  <c r="E32" i="47"/>
  <c r="E15" i="38"/>
  <c r="E36" i="47"/>
  <c r="F36" i="47" s="1"/>
  <c r="E19" i="38"/>
  <c r="E16" i="47"/>
  <c r="F17" i="47" s="1"/>
  <c r="C15" i="38"/>
  <c r="E33" i="47"/>
  <c r="E16" i="38"/>
  <c r="E24" i="47"/>
  <c r="C23" i="38"/>
  <c r="E56" i="32"/>
  <c r="E34" i="47"/>
  <c r="E17" i="38"/>
  <c r="G22" i="53"/>
  <c r="M19" i="51"/>
  <c r="L19" i="51"/>
  <c r="F22" i="53"/>
  <c r="E23" i="47"/>
  <c r="F23" i="47" s="1"/>
  <c r="C22" i="38"/>
  <c r="F20" i="47"/>
  <c r="F18" i="47"/>
  <c r="AM25" i="29"/>
  <c r="AN25" i="29" s="1"/>
  <c r="AD31" i="29"/>
  <c r="AD32" i="29" s="1"/>
  <c r="D55" i="51"/>
  <c r="H55" i="51"/>
  <c r="AE22" i="29"/>
  <c r="AF22" i="29" s="1"/>
  <c r="AK22" i="29"/>
  <c r="AL28" i="29"/>
  <c r="AE21" i="29"/>
  <c r="AF21" i="29" s="1"/>
  <c r="AK21" i="29"/>
  <c r="AE28" i="29"/>
  <c r="AF28" i="29" s="1"/>
  <c r="AK28" i="29"/>
  <c r="AM23" i="29"/>
  <c r="AN23" i="29" s="1"/>
  <c r="AM26" i="29"/>
  <c r="AN26" i="29" s="1"/>
  <c r="AM29" i="29"/>
  <c r="AN29" i="29" s="1"/>
  <c r="AE30" i="29"/>
  <c r="AF30" i="29" s="1"/>
  <c r="AK30" i="29"/>
  <c r="AL30" i="29"/>
  <c r="AM27" i="29"/>
  <c r="AN27" i="29" s="1"/>
  <c r="AM24" i="29"/>
  <c r="AN24" i="29" s="1"/>
  <c r="F55" i="51"/>
  <c r="M56" i="32"/>
  <c r="I56" i="32"/>
  <c r="G56" i="32"/>
  <c r="C43" i="47" l="1"/>
  <c r="D43" i="47" s="1"/>
  <c r="F53" i="47"/>
  <c r="D59" i="47"/>
  <c r="E55" i="51"/>
  <c r="F51" i="47"/>
  <c r="F56" i="32"/>
  <c r="F34" i="53"/>
  <c r="E24" i="53"/>
  <c r="E34" i="53" s="1"/>
  <c r="K23" i="51"/>
  <c r="G24" i="53"/>
  <c r="G34" i="53" s="1"/>
  <c r="M23" i="51"/>
  <c r="E49" i="47"/>
  <c r="F50" i="47" s="1"/>
  <c r="G16" i="38"/>
  <c r="E56" i="47"/>
  <c r="G23" i="38"/>
  <c r="F37" i="47"/>
  <c r="F24" i="47"/>
  <c r="F33" i="47"/>
  <c r="E40" i="47"/>
  <c r="E23" i="38"/>
  <c r="E41" i="47"/>
  <c r="E24" i="38"/>
  <c r="L55" i="51"/>
  <c r="F34" i="47"/>
  <c r="F25" i="47"/>
  <c r="E39" i="47"/>
  <c r="F39" i="47" s="1"/>
  <c r="E22" i="38"/>
  <c r="F35" i="47"/>
  <c r="L56" i="32"/>
  <c r="AL31" i="29"/>
  <c r="AL32" i="29" s="1"/>
  <c r="AM28" i="29"/>
  <c r="AN28" i="29" s="1"/>
  <c r="AM30" i="29"/>
  <c r="AN30" i="29" s="1"/>
  <c r="AM22" i="29"/>
  <c r="AN22" i="29" s="1"/>
  <c r="AM21" i="29"/>
  <c r="AN21" i="29" s="1"/>
  <c r="N56" i="32"/>
  <c r="M55" i="51" l="1"/>
  <c r="E57" i="47"/>
  <c r="F57" i="47" s="1"/>
  <c r="G24" i="38"/>
  <c r="E55" i="47"/>
  <c r="G22" i="38"/>
  <c r="F49" i="47"/>
  <c r="K55" i="51"/>
  <c r="F41" i="47"/>
  <c r="F40" i="47"/>
  <c r="R145" i="4"/>
  <c r="R152" i="4"/>
  <c r="R140" i="4"/>
  <c r="R143" i="4"/>
  <c r="R151" i="4"/>
  <c r="R144" i="4"/>
  <c r="R147" i="4"/>
  <c r="R150" i="4"/>
  <c r="R141" i="4"/>
  <c r="R148" i="4"/>
  <c r="R146" i="4"/>
  <c r="R142" i="4"/>
  <c r="R149" i="4"/>
  <c r="F55" i="47" l="1"/>
  <c r="F56" i="47"/>
  <c r="S151" i="4"/>
  <c r="E31" i="29"/>
  <c r="G31" i="29" s="1"/>
  <c r="R153" i="4"/>
  <c r="V76" i="4" l="1"/>
  <c r="W76" i="4" s="1"/>
  <c r="AR31" i="46"/>
  <c r="AT31" i="46" s="1"/>
  <c r="AW31" i="46" s="1"/>
  <c r="AH31" i="46"/>
  <c r="AJ31" i="46" s="1"/>
  <c r="X31" i="46"/>
  <c r="Z31" i="46" s="1"/>
  <c r="AA31" i="46" s="1"/>
  <c r="AE31" i="46" s="1"/>
  <c r="C31" i="46"/>
  <c r="E31" i="46" s="1"/>
  <c r="N31" i="46"/>
  <c r="P31" i="46" s="1"/>
  <c r="Q31" i="46" s="1"/>
  <c r="U31" i="46" s="1"/>
  <c r="H31" i="29"/>
  <c r="R154" i="4"/>
  <c r="M31" i="29"/>
  <c r="U31" i="29" s="1"/>
  <c r="F31" i="46" l="1"/>
  <c r="J31" i="46" s="1"/>
  <c r="I49" i="46"/>
  <c r="AK31" i="46"/>
  <c r="AO31" i="46" s="1"/>
  <c r="AN49" i="46"/>
  <c r="T49" i="46"/>
  <c r="AD49" i="46"/>
  <c r="AX49" i="46"/>
  <c r="AU31" i="46"/>
  <c r="AY49" i="46" s="1"/>
  <c r="D42" i="29"/>
  <c r="H42" i="29" s="1"/>
  <c r="W31" i="29"/>
  <c r="X31" i="29" s="1"/>
  <c r="AC31" i="29"/>
  <c r="R155" i="4"/>
  <c r="O31" i="29"/>
  <c r="P31" i="29" s="1"/>
  <c r="O29" i="32" l="1"/>
  <c r="H26" i="53" s="1"/>
  <c r="O33" i="32"/>
  <c r="H28" i="53" s="1"/>
  <c r="O41" i="32"/>
  <c r="H32" i="53" s="1"/>
  <c r="O37" i="32"/>
  <c r="H30" i="53" s="1"/>
  <c r="AD31" i="46"/>
  <c r="AC31" i="46"/>
  <c r="AE49" i="46"/>
  <c r="AO49" i="46"/>
  <c r="AN31" i="46"/>
  <c r="AM31" i="46"/>
  <c r="T31" i="46"/>
  <c r="U49" i="46"/>
  <c r="S31" i="46"/>
  <c r="AX31" i="46"/>
  <c r="J49" i="46"/>
  <c r="I31" i="46"/>
  <c r="H31" i="46"/>
  <c r="T42" i="29"/>
  <c r="L42" i="29"/>
  <c r="AE31" i="29"/>
  <c r="AF31" i="29" s="1"/>
  <c r="AK31" i="29"/>
  <c r="R156" i="4"/>
  <c r="O26" i="32" l="1"/>
  <c r="N24" i="51" s="1"/>
  <c r="O30" i="32"/>
  <c r="H44" i="53" s="1"/>
  <c r="N27" i="51"/>
  <c r="N31" i="51"/>
  <c r="O34" i="32"/>
  <c r="N32" i="51" s="1"/>
  <c r="N39" i="51"/>
  <c r="O38" i="32"/>
  <c r="N36" i="51" s="1"/>
  <c r="N35" i="51"/>
  <c r="O42" i="32"/>
  <c r="N40" i="51" s="1"/>
  <c r="N42" i="29"/>
  <c r="V42" i="29"/>
  <c r="X42" i="29" s="1"/>
  <c r="O25" i="32" s="1"/>
  <c r="AB42" i="29"/>
  <c r="AM31" i="29"/>
  <c r="AN31" i="29" s="1"/>
  <c r="R157" i="4"/>
  <c r="O25" i="38" l="1"/>
  <c r="E106" i="47"/>
  <c r="F106" i="47" s="1"/>
  <c r="E90" i="47"/>
  <c r="F90" i="47" s="1"/>
  <c r="E74" i="47"/>
  <c r="F74" i="47" s="1"/>
  <c r="H42" i="53"/>
  <c r="N28" i="51"/>
  <c r="I25" i="38"/>
  <c r="K25" i="38"/>
  <c r="H46" i="53"/>
  <c r="H48" i="53"/>
  <c r="E122" i="47"/>
  <c r="F122" i="47" s="1"/>
  <c r="H50" i="53"/>
  <c r="O57" i="32"/>
  <c r="M25" i="38"/>
  <c r="P42" i="29"/>
  <c r="O21" i="32" s="1"/>
  <c r="N23" i="51"/>
  <c r="H24" i="53"/>
  <c r="N56" i="51"/>
  <c r="G90" i="47"/>
  <c r="H90" i="47" s="1"/>
  <c r="L25" i="38"/>
  <c r="G106" i="47"/>
  <c r="H106" i="47" s="1"/>
  <c r="N25" i="38"/>
  <c r="G58" i="47"/>
  <c r="H58" i="47" s="1"/>
  <c r="H25" i="38"/>
  <c r="G122" i="47"/>
  <c r="H122" i="47" s="1"/>
  <c r="P25" i="38"/>
  <c r="AD42" i="29"/>
  <c r="AF42" i="29" s="1"/>
  <c r="AJ42" i="29"/>
  <c r="R158" i="4"/>
  <c r="G74" i="47" l="1"/>
  <c r="H74" i="47" s="1"/>
  <c r="J25" i="38"/>
  <c r="H52" i="53"/>
  <c r="H22" i="53"/>
  <c r="N19" i="51"/>
  <c r="E58" i="47"/>
  <c r="F58" i="47" s="1"/>
  <c r="G25" i="38"/>
  <c r="AL42" i="29"/>
  <c r="AN42" i="29" s="1"/>
  <c r="O17" i="32" s="1"/>
  <c r="R159" i="4"/>
  <c r="E42" i="47" l="1"/>
  <c r="F42" i="47" s="1"/>
  <c r="E25" i="38"/>
  <c r="N15" i="51"/>
  <c r="H20" i="53"/>
  <c r="H34" i="53" s="1"/>
  <c r="O56" i="32"/>
  <c r="R160" i="4"/>
  <c r="E26" i="47" l="1"/>
  <c r="F26" i="47" s="1"/>
  <c r="C25" i="38"/>
  <c r="N55" i="51"/>
  <c r="R161" i="4"/>
  <c r="R163" i="4" l="1"/>
  <c r="R162" i="4"/>
  <c r="S163" i="4" l="1"/>
  <c r="V77" i="4" s="1"/>
  <c r="W77" i="4" s="1"/>
  <c r="E32" i="29"/>
  <c r="C32" i="46" l="1"/>
  <c r="E32" i="46" s="1"/>
  <c r="I50" i="46" s="1"/>
  <c r="X32" i="46"/>
  <c r="Z32" i="46" s="1"/>
  <c r="N32" i="46"/>
  <c r="P32" i="46" s="1"/>
  <c r="Q32" i="46" s="1"/>
  <c r="U32" i="46" s="1"/>
  <c r="AH32" i="46"/>
  <c r="AJ32" i="46" s="1"/>
  <c r="AR32" i="46"/>
  <c r="AT32" i="46" s="1"/>
  <c r="AW32" i="46" s="1"/>
  <c r="M32" i="29"/>
  <c r="G32" i="29"/>
  <c r="AX50" i="46" l="1"/>
  <c r="AU32" i="46"/>
  <c r="AY50" i="46" s="1"/>
  <c r="AK32" i="46"/>
  <c r="AO32" i="46" s="1"/>
  <c r="AN50" i="46"/>
  <c r="T50" i="46"/>
  <c r="P29" i="32" s="1"/>
  <c r="I26" i="53" s="1"/>
  <c r="AA32" i="46"/>
  <c r="AE32" i="46" s="1"/>
  <c r="AD50" i="46"/>
  <c r="F32" i="46"/>
  <c r="J32" i="46" s="1"/>
  <c r="H32" i="29"/>
  <c r="D43" i="29" s="1"/>
  <c r="F43" i="29" s="1"/>
  <c r="U32" i="29"/>
  <c r="O32" i="29"/>
  <c r="P33" i="32" l="1"/>
  <c r="I28" i="53" s="1"/>
  <c r="P37" i="32"/>
  <c r="I30" i="53" s="1"/>
  <c r="P41" i="32"/>
  <c r="I32" i="53" s="1"/>
  <c r="S32" i="46"/>
  <c r="T32" i="46"/>
  <c r="U50" i="46"/>
  <c r="AM32" i="46"/>
  <c r="AN32" i="46"/>
  <c r="AO50" i="46"/>
  <c r="AC32" i="46"/>
  <c r="AD32" i="46"/>
  <c r="AE50" i="46"/>
  <c r="AX32" i="46"/>
  <c r="J50" i="46"/>
  <c r="I32" i="46"/>
  <c r="H32" i="46"/>
  <c r="P32" i="29"/>
  <c r="L43" i="29" s="1"/>
  <c r="N43" i="29" s="1"/>
  <c r="W32" i="29"/>
  <c r="X32" i="29" s="1"/>
  <c r="AC32" i="29"/>
  <c r="H43" i="29"/>
  <c r="P26" i="32" l="1"/>
  <c r="I42" i="53" s="1"/>
  <c r="P30" i="32"/>
  <c r="I44" i="53" s="1"/>
  <c r="N44" i="53" s="1"/>
  <c r="P34" i="32"/>
  <c r="I46" i="53" s="1"/>
  <c r="N46" i="53" s="1"/>
  <c r="P38" i="32"/>
  <c r="I48" i="53" s="1"/>
  <c r="N48" i="53" s="1"/>
  <c r="P42" i="32"/>
  <c r="I50" i="53" s="1"/>
  <c r="T43" i="29"/>
  <c r="V43" i="29" s="1"/>
  <c r="AE32" i="29"/>
  <c r="AF32" i="29" s="1"/>
  <c r="AK32" i="29"/>
  <c r="P43" i="29"/>
  <c r="P21" i="32" s="1"/>
  <c r="I22" i="53" s="1"/>
  <c r="N40" i="53" s="1"/>
  <c r="P57" i="32" l="1"/>
  <c r="N50" i="53"/>
  <c r="I52" i="53"/>
  <c r="AB43" i="29"/>
  <c r="AM32" i="29"/>
  <c r="AN32" i="29" s="1"/>
  <c r="X43" i="29"/>
  <c r="P25" i="32" s="1"/>
  <c r="I24" i="53" s="1"/>
  <c r="N42" i="53" s="1"/>
  <c r="N52" i="53" l="1"/>
  <c r="AD43" i="29"/>
  <c r="AF43" i="29" s="1"/>
  <c r="AJ43" i="29"/>
  <c r="AL43" i="29" l="1"/>
  <c r="AN43" i="29" s="1"/>
  <c r="P17" i="32" s="1"/>
  <c r="P56" i="32" s="1"/>
  <c r="I20" i="53" l="1"/>
  <c r="I34" i="53" l="1"/>
  <c r="K20" i="53" s="1"/>
  <c r="L20" i="53" s="1"/>
  <c r="M20" i="53" s="1"/>
  <c r="O20" i="53" s="1"/>
  <c r="O15" i="51" l="1"/>
  <c r="K24" i="53"/>
  <c r="L24" i="53" s="1"/>
  <c r="M24" i="53" s="1"/>
  <c r="K32" i="53"/>
  <c r="L32" i="53" s="1"/>
  <c r="M32" i="53" s="1"/>
  <c r="K30" i="53"/>
  <c r="L30" i="53" s="1"/>
  <c r="M30" i="53" s="1"/>
  <c r="K28" i="53"/>
  <c r="L28" i="53" s="1"/>
  <c r="M28" i="53" s="1"/>
  <c r="K22" i="53"/>
  <c r="L22" i="53" s="1"/>
  <c r="M22" i="53" s="1"/>
  <c r="M34" i="53"/>
  <c r="K34" i="53"/>
  <c r="K26" i="53"/>
  <c r="L26" i="53" s="1"/>
  <c r="M26" i="53" s="1"/>
  <c r="O26" i="53" l="1"/>
  <c r="O27" i="51" s="1"/>
  <c r="M44" i="53"/>
  <c r="O44" i="53" s="1"/>
  <c r="O28" i="51" s="1"/>
  <c r="O32" i="53"/>
  <c r="O39" i="51" s="1"/>
  <c r="M50" i="53"/>
  <c r="O50" i="53" s="1"/>
  <c r="O40" i="51" s="1"/>
  <c r="O30" i="53"/>
  <c r="O35" i="51" s="1"/>
  <c r="M48" i="53"/>
  <c r="O48" i="53" s="1"/>
  <c r="O36" i="51" s="1"/>
  <c r="O22" i="53"/>
  <c r="O19" i="51" s="1"/>
  <c r="M40" i="53"/>
  <c r="O40" i="53" s="1"/>
  <c r="O20" i="51" s="1"/>
  <c r="O24" i="53"/>
  <c r="O23" i="51" s="1"/>
  <c r="M42" i="53"/>
  <c r="O42" i="53" s="1"/>
  <c r="O24" i="51" s="1"/>
  <c r="O28" i="53"/>
  <c r="O31" i="51" s="1"/>
  <c r="M46" i="53"/>
  <c r="I26" i="38"/>
  <c r="E27" i="47"/>
  <c r="F27" i="47" s="1"/>
  <c r="C26" i="38"/>
  <c r="O55" i="51" l="1"/>
  <c r="E43" i="47"/>
  <c r="F43" i="47" s="1"/>
  <c r="O26" i="38"/>
  <c r="K26" i="38"/>
  <c r="E107" i="47"/>
  <c r="F107" i="47" s="1"/>
  <c r="E75" i="47"/>
  <c r="F75" i="47" s="1"/>
  <c r="M26" i="38"/>
  <c r="G75" i="47"/>
  <c r="H75" i="47" s="1"/>
  <c r="J26" i="38"/>
  <c r="E123" i="47"/>
  <c r="F123" i="47" s="1"/>
  <c r="P26" i="38"/>
  <c r="G123" i="47"/>
  <c r="H123" i="47" s="1"/>
  <c r="G107" i="47"/>
  <c r="H107" i="47" s="1"/>
  <c r="N26" i="38"/>
  <c r="E26" i="38"/>
  <c r="G43" i="47"/>
  <c r="H43" i="47" s="1"/>
  <c r="F26" i="38"/>
  <c r="E91" i="47"/>
  <c r="F91" i="47" s="1"/>
  <c r="G26" i="38"/>
  <c r="E59" i="47"/>
  <c r="F59" i="47" s="1"/>
  <c r="H26" i="38"/>
  <c r="G59" i="47"/>
  <c r="H59" i="47" s="1"/>
  <c r="O46" i="53"/>
  <c r="M52" i="53"/>
  <c r="O34" i="53"/>
  <c r="Q34" i="53" s="1"/>
  <c r="O32" i="51" l="1"/>
  <c r="O52" i="53"/>
  <c r="L26" i="38" l="1"/>
  <c r="G91" i="47"/>
  <c r="H91" i="47" s="1"/>
  <c r="O56" i="51"/>
</calcChain>
</file>

<file path=xl/connections.xml><?xml version="1.0" encoding="utf-8"?>
<connections xmlns="http://schemas.openxmlformats.org/spreadsheetml/2006/main">
  <connection id="1" name="M2006-SSS-MKT" type="6" refreshedVersion="3" background="1" saveData="1">
    <textPr codePage="437" sourceFile="S:\Rate Application Data\M2006-SSS-MKT.TXT" delimited="0">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<sst xmlns="http://schemas.openxmlformats.org/spreadsheetml/2006/main" count="1251" uniqueCount="362">
  <si>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</si>
  <si>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</si>
  <si>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</si>
  <si>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</si>
  <si>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</si>
  <si>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</si>
  <si>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</si>
  <si>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</si>
  <si>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</si>
  <si>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</si>
  <si>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</si>
  <si>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</si>
  <si>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</si>
  <si>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</si>
  <si>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</si>
  <si>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</si>
  <si>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</si>
  <si>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</si>
  <si>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</si>
  <si>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</si>
  <si>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</si>
  <si>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</si>
  <si>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</si>
  <si>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</si>
  <si>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</si>
  <si>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</si>
  <si>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</si>
  <si>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</si>
  <si>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</si>
  <si>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</si>
  <si>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 xml:space="preserve"> </t>
  </si>
  <si>
    <t>Adjusted</t>
  </si>
  <si>
    <t>Yearly Total</t>
  </si>
  <si>
    <t>Year</t>
  </si>
  <si>
    <t>Weather Normal</t>
  </si>
  <si>
    <t>Customer</t>
  </si>
  <si>
    <t>kWh</t>
  </si>
  <si>
    <t>kW</t>
  </si>
  <si>
    <t>Per customer</t>
  </si>
  <si>
    <t>Added Load</t>
  </si>
  <si>
    <t>New Customer</t>
  </si>
  <si>
    <t>KW/kWh Ratio</t>
  </si>
  <si>
    <t>Non-Weather Sensitive</t>
  </si>
  <si>
    <t>kWh Purchased</t>
  </si>
  <si>
    <t>Weather Sensitive Load</t>
  </si>
  <si>
    <t>year over year</t>
  </si>
  <si>
    <t>Mean Average Percentage Error (Mape) :</t>
  </si>
  <si>
    <t>per cust kWh</t>
  </si>
  <si>
    <t>Cust</t>
  </si>
  <si>
    <t>4 Year (2011-2014) kWh Target:</t>
  </si>
  <si>
    <t>2011 CDM Programs</t>
  </si>
  <si>
    <t>2012 CDM Programs</t>
  </si>
  <si>
    <t>2013 CDM Programs</t>
  </si>
  <si>
    <t>2014 CDM Programs</t>
  </si>
  <si>
    <t>Total in Year</t>
  </si>
  <si>
    <t>"Gross"</t>
  </si>
  <si>
    <t>"Net"</t>
  </si>
  <si>
    <t>Difference</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</si>
  <si>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</si>
  <si>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</si>
  <si>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</si>
  <si>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</si>
  <si>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</si>
  <si>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</si>
  <si>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</si>
  <si>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</si>
  <si>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</si>
  <si>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</si>
  <si>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</si>
  <si>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Net-to-Gross Conversion</t>
  </si>
  <si>
    <t>Is CDM adjustment being done on a "net" or "gross" basis?</t>
  </si>
  <si>
    <t>net</t>
  </si>
  <si>
    <t>"Net-to-Gross" Conversion Factor</t>
  </si>
  <si>
    <t>Persistence of Historical CDM programs to 2014</t>
  </si>
  <si>
    <t>('g')</t>
  </si>
  <si>
    <t>2006-2010 CDM programs</t>
  </si>
  <si>
    <t>2011 CDM program</t>
  </si>
  <si>
    <t>2012 CDM program</t>
  </si>
  <si>
    <t>The default values represent the factor that each year's CDM program is factored into the manual CDM adjustment.  Distributors can choose alternative weights of "0", "0.5" or "1" from the drop-down menu for each cell, but must support its alternatives.</t>
  </si>
  <si>
    <t>These factors do not mean that CDM programs are excluded, but also reflect the assumption that impacts of 2011 and 2012 programs are already implicitly reflected in the actual data for those years that are the basis for the load forecast prior to any manual CDM adjustment.</t>
  </si>
  <si>
    <t>Weight Factor for Inclusion in CDM Adjustment to 2014 Load Forecast</t>
  </si>
  <si>
    <t>Weight Factor for each year's CDM program impact on 2014 load forecast</t>
  </si>
  <si>
    <t xml:space="preserve">Default Value selection rationale.  </t>
  </si>
  <si>
    <t>Amount used for CDM threshold for LRAMVA (2014)</t>
  </si>
  <si>
    <t>Customer Growth Chart</t>
  </si>
  <si>
    <t>Sentinel Lighting</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</si>
  <si>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</si>
  <si>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</si>
  <si>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</si>
  <si>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</si>
  <si>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</si>
  <si>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</si>
  <si>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</si>
  <si>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</si>
  <si>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</si>
  <si>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</si>
  <si>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</si>
  <si>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</si>
  <si>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</si>
  <si>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</si>
  <si>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</si>
  <si>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</si>
  <si>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</si>
  <si>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</si>
  <si>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</si>
  <si>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Montth</t>
  </si>
  <si>
    <t>December</t>
  </si>
  <si>
    <t>September</t>
  </si>
  <si>
    <t>October</t>
  </si>
  <si>
    <t>November</t>
  </si>
  <si>
    <t>January</t>
  </si>
  <si>
    <t>February</t>
  </si>
  <si>
    <t>March</t>
  </si>
  <si>
    <t>April</t>
  </si>
  <si>
    <t>May</t>
  </si>
  <si>
    <t>June</t>
  </si>
  <si>
    <t>July</t>
  </si>
  <si>
    <t>August</t>
  </si>
  <si>
    <t>Customers or Connections</t>
  </si>
  <si>
    <t>Unadjusted</t>
  </si>
  <si>
    <t>Unadjusted Wholesale Purchases kWh</t>
  </si>
  <si>
    <t>Revised Wholesale Purchases</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</si>
  <si>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</si>
  <si>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</si>
  <si>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</si>
  <si>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</si>
  <si>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</si>
  <si>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</si>
  <si>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</si>
  <si>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</si>
  <si>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</si>
  <si>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</si>
  <si>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Spring Fall Flag</t>
  </si>
  <si>
    <t>Summary of Variables</t>
  </si>
  <si>
    <t>Adjustments to Wholesale Purchases (i.e. CDM, Loss of customer etc)</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</si>
  <si>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</si>
  <si>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</si>
  <si>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</si>
  <si>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</si>
  <si>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</si>
  <si>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</si>
  <si>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</si>
  <si>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</si>
  <si>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</si>
  <si>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</si>
  <si>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</si>
  <si>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</si>
  <si>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</si>
  <si>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</si>
  <si>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</si>
  <si>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</si>
  <si>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</si>
  <si>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</si>
  <si>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GS&gt;50 Metered kWh</t>
  </si>
  <si>
    <t>* the model uses metered per class to determine the wholesale per class</t>
  </si>
  <si>
    <t>Days in Month</t>
  </si>
  <si>
    <t>SUMMARY OUTPUT</t>
  </si>
  <si>
    <t>FINAL ADJUSTED NUMBERS</t>
  </si>
  <si>
    <t>Per Customer Weather Normalized (based on 2014 cust count)</t>
  </si>
  <si>
    <t>Total for 2015</t>
  </si>
  <si>
    <t>Avg - Years =</t>
  </si>
  <si>
    <t>Summary of Years (Average)</t>
  </si>
  <si>
    <t>Total Customers</t>
  </si>
  <si>
    <t>GDP</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</si>
  <si>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</si>
  <si>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</si>
  <si>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</si>
  <si>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</si>
  <si>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</si>
  <si>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</si>
  <si>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</si>
  <si>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</si>
  <si>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</si>
  <si>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</si>
  <si>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</si>
  <si>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</si>
  <si>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</si>
  <si>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</si>
  <si>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</si>
  <si>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</si>
  <si>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</si>
  <si>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</si>
  <si>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</si>
  <si>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</si>
  <si>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</si>
  <si>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</si>
  <si>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</si>
  <si>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</si>
  <si>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</si>
  <si>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WN</t>
  </si>
  <si>
    <t>-</t>
  </si>
  <si>
    <t>Class Selection</t>
  </si>
  <si>
    <t>General Service &lt; 50 kW-WN</t>
  </si>
  <si>
    <t>Residential-WN</t>
  </si>
  <si>
    <t>2015-2020 CDM Program - 2015, first year of the current CDM plan</t>
  </si>
  <si>
    <t>For the first year of the new 2015-2020 CDM plan, it is assumed that each year's program will achieve an equal amount of new CDM savings.  The new targets for 2015-2020 do not take into account persistence beyond the first year, but the OPA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OPA.</t>
  </si>
  <si>
    <t>6 Year (2015-2020) kWh Target:</t>
  </si>
  <si>
    <t>%</t>
  </si>
  <si>
    <t>2015 CDM Programs</t>
  </si>
  <si>
    <t>2016 CDM Programs</t>
  </si>
  <si>
    <t>2017 CDM Programs</t>
  </si>
  <si>
    <t>2018 CDM Programs</t>
  </si>
  <si>
    <t>2019 CDM Programs</t>
  </si>
  <si>
    <t>2020 CDM Programs</t>
  </si>
  <si>
    <t>Determination of 2015 Load Forecast Adjustment</t>
  </si>
  <si>
    <t>The Board has determined that the "net" number should be used in its Decision and Order with respect to Centre Wellington Hydro Ltd.'s 2013 Cost of Service rates (EB-2012-0113).  This approach has also been used in Settlement Agreements accepted by the Board in other 2013 and 2-14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</si>
  <si>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From each of the 2006-2010 CDM Final Report,  and the 2011, 2012 and 2013 CDM Final Reports, issued by the OPA for the distributor, the distributor should input the "gross" and "net" results of the cumulative CDM savings for 2014 into cells D31 to E33.  The model will calculate the cumulative savings for all programs from 2006 to 2012 and determine the "net" to "gross" factor "g".</t>
  </si>
  <si>
    <t>2013 CDM program</t>
  </si>
  <si>
    <t>2006 to 2013 OPA CDM programs:  Persistence to 2015</t>
  </si>
  <si>
    <t>Load Forecast CDM Adjustment Work Form (2015)</t>
  </si>
  <si>
    <t>2011-2014 CDM Program - 2014, last year of the current CDM plan</t>
  </si>
  <si>
    <t>Distributor can select "0", "0.5", or "1" from drop-down list</t>
  </si>
  <si>
    <t>Full year persistence of 2011 CDM programs on 2015 load forecast.  Full impact assumed because of 50% impact in 2011 (first year) but full year persistence impact on 2012 and 2013, and thus reflected in base forecast before the CDM adjustment.</t>
  </si>
  <si>
    <t>Full year persistence of 2012 CDM programs on 2015 load forecast.  Full impact assumed because of 50% impact in 2012 (first year) but full year persistence impact on 2013, and thus reflected in base forecast before the CDM adjustment.</t>
  </si>
  <si>
    <t>Full year impact of persistence of 2013 CDM programs on 2015 load forecast, but 50% impact in base forecast (first year impact of 2013 CDM programs on 2013 load forecast, which is part of the data for the load forecast.</t>
  </si>
  <si>
    <t>Full year impact of persistence of 2014 programs on 2015 load forecast.  2014 CDM programs not in base forecast.</t>
  </si>
  <si>
    <t>Only 50% of 2015 CDM programs are assumed to impact the 2015 load forecast based on the "half-year" rule.</t>
  </si>
  <si>
    <t>2011-2014 and 2015-2020 LRAMVA and 2015 CDM adjustment to Load Forecast</t>
  </si>
  <si>
    <t>The distributor should determine the allocation of the savings to all customer classes in a reasonable manner (e.g. taking into account what programs and what OPA-measured impacts were directed at specific customer classes), for both the LRAMVA and for the load forecast adjustment.</t>
  </si>
  <si>
    <t>2011 CDM adjustment (per Board Decision in 2011 Cost of Service Application)</t>
  </si>
  <si>
    <t>Amount used for CDM threshold for LRAMVA (2015)</t>
  </si>
  <si>
    <t>Manual Adjustment for 2015 Load Forecast (billed basis)</t>
  </si>
  <si>
    <t>CDM Allocation Worksheet</t>
  </si>
  <si>
    <t xml:space="preserve"> Adjusted load from 2015 Forecast</t>
  </si>
  <si>
    <t>This Work form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</si>
  <si>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CDM Allocation</t>
  </si>
  <si>
    <t xml:space="preserve">Adjusted (kWh) </t>
  </si>
  <si>
    <t xml:space="preserve"> Adjusted (kWh) </t>
  </si>
  <si>
    <t>Manual Reallocation</t>
  </si>
  <si>
    <t>Final Adjusted (kWh)</t>
  </si>
  <si>
    <t xml:space="preserve"> S/b Zero</t>
  </si>
  <si>
    <t>Final Load Forecast Results - CDM Adjusted</t>
  </si>
  <si>
    <t>Adjusted kWh</t>
  </si>
  <si>
    <t>Linear Trending</t>
  </si>
  <si>
    <t>Linear Trending Calculation ( y=mx+b)</t>
  </si>
  <si>
    <t>Slope (m)</t>
  </si>
  <si>
    <t>Intercept (b)</t>
  </si>
  <si>
    <t>Non-WN/kW</t>
  </si>
  <si>
    <t>Streetlighting-Non-WN/kW</t>
  </si>
  <si>
    <t>Sentinel Lighting-Non-WN/kW</t>
  </si>
  <si>
    <t>Number of Days in Month</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</si>
  <si>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</si>
  <si>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</si>
  <si>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</si>
  <si>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</si>
  <si>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</si>
  <si>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</si>
  <si>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</si>
  <si>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</si>
  <si>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Examples of Correlation and Regression Results can be copied over from worksheet 6. WS Regression Analysis
Update Wholesale Purchases. </t>
  </si>
  <si>
    <t xml:space="preserve">2) This page will be overwrite by utilities specific studies
</t>
  </si>
  <si>
    <t>Scenarios</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</si>
  <si>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</si>
  <si>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</si>
  <si>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</si>
  <si>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</si>
  <si>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</si>
  <si>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</si>
  <si>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the drop down selections to select the appropriate customer classes.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</si>
  <si>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</si>
  <si>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</si>
  <si>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</si>
  <si>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Employment Stats</t>
  </si>
  <si>
    <t>Holiday Months</t>
  </si>
  <si>
    <t xml:space="preserve">Adjustment for loss of GS </t>
  </si>
  <si>
    <t>Winter Flag</t>
  </si>
  <si>
    <t xml:space="preserve">Load Forecast Model version 1.0 © CHEC </t>
  </si>
  <si>
    <t>Input cells</t>
  </si>
  <si>
    <t>Drop down cells</t>
  </si>
  <si>
    <t>Model Notes</t>
  </si>
  <si>
    <t>2016</t>
  </si>
  <si>
    <t>2017</t>
  </si>
  <si>
    <t>2013</t>
  </si>
  <si>
    <t>General Service 3000-4999 kW</t>
  </si>
  <si>
    <t>General Service &gt; 50 kW - 2999 kW</t>
  </si>
  <si>
    <t>Scenario #1 - all variables</t>
  </si>
  <si>
    <t>Number of Peak Hours</t>
  </si>
  <si>
    <t>Scenario #2 - no peak hours</t>
  </si>
  <si>
    <t>Scenario #3 - no number of days in month</t>
  </si>
  <si>
    <t>Scenario #4 - no winter flag</t>
  </si>
  <si>
    <t>Scenario #5 - all variables (revised)</t>
  </si>
  <si>
    <t>Scenario #6 - removed loss of customer and large customer data</t>
  </si>
  <si>
    <t>General Service &gt; 50 kW - 2999 kW-Non-WN/kW</t>
  </si>
  <si>
    <t>General Service 3000-4999 kW-Non-WN/kW</t>
  </si>
  <si>
    <t>Unmetered Scattered Load-Non-WN/kW</t>
  </si>
  <si>
    <t>Weather</t>
  </si>
  <si>
    <t>Normal</t>
  </si>
  <si>
    <t>Non-Weather</t>
  </si>
  <si>
    <t>1996</t>
  </si>
  <si>
    <t>Actual kWh Purchased</t>
  </si>
  <si>
    <t>Year over Year</t>
  </si>
  <si>
    <t>Predicted kWh</t>
  </si>
  <si>
    <t>Purchased vs Predicted</t>
  </si>
  <si>
    <t>Large Customer</t>
  </si>
  <si>
    <t>MicroFIT/FIT Generation</t>
  </si>
  <si>
    <t>Total Annual Net CDM Results</t>
  </si>
  <si>
    <t>Months</t>
  </si>
  <si>
    <t>2011 - January</t>
  </si>
  <si>
    <t>2011 - February</t>
  </si>
  <si>
    <t>2011 - March</t>
  </si>
  <si>
    <t>2011 - April</t>
  </si>
  <si>
    <t>2011 - May</t>
  </si>
  <si>
    <t>2011 - June</t>
  </si>
  <si>
    <t>2012 - July</t>
  </si>
  <si>
    <t>2011 - July</t>
  </si>
  <si>
    <t>2011 - August</t>
  </si>
  <si>
    <t>2011 - September</t>
  </si>
  <si>
    <t xml:space="preserve">2011 - October </t>
  </si>
  <si>
    <t>2011 - November</t>
  </si>
  <si>
    <t>2011 - December</t>
  </si>
  <si>
    <t>2012 - December</t>
  </si>
  <si>
    <t>2013 - December</t>
  </si>
  <si>
    <t>2014 - December</t>
  </si>
  <si>
    <t>2012 - January</t>
  </si>
  <si>
    <t>2012 - February</t>
  </si>
  <si>
    <t>2012 - March</t>
  </si>
  <si>
    <t>2012 - April</t>
  </si>
  <si>
    <t>2012 - May</t>
  </si>
  <si>
    <t>2012 - June</t>
  </si>
  <si>
    <t>2012 - August</t>
  </si>
  <si>
    <t>2012 - September</t>
  </si>
  <si>
    <t>2012 - October</t>
  </si>
  <si>
    <t>2012 - November</t>
  </si>
  <si>
    <t>2013 - January</t>
  </si>
  <si>
    <t>2013 - February</t>
  </si>
  <si>
    <t>2013 - March</t>
  </si>
  <si>
    <t>2013 - April</t>
  </si>
  <si>
    <t>2013 - May</t>
  </si>
  <si>
    <t>2013 - June</t>
  </si>
  <si>
    <t>2013 - July</t>
  </si>
  <si>
    <t>2013 - August</t>
  </si>
  <si>
    <t>2013 - September</t>
  </si>
  <si>
    <t>2013 - October</t>
  </si>
  <si>
    <t>2013 - November</t>
  </si>
  <si>
    <t>2014 - January</t>
  </si>
  <si>
    <t>2014 - February</t>
  </si>
  <si>
    <t>2014 - March</t>
  </si>
  <si>
    <t>2014 - April</t>
  </si>
  <si>
    <t>2014 - May</t>
  </si>
  <si>
    <t>2014 - June</t>
  </si>
  <si>
    <t>2014 - July</t>
  </si>
  <si>
    <t>2014 - August</t>
  </si>
  <si>
    <t>2014 - September</t>
  </si>
  <si>
    <t>2014 - October</t>
  </si>
  <si>
    <t>2014 - November</t>
  </si>
  <si>
    <t>2015 - January</t>
  </si>
  <si>
    <t>2015 - February</t>
  </si>
  <si>
    <t>2015 - March</t>
  </si>
  <si>
    <t>2015 - April</t>
  </si>
  <si>
    <t>2015 - May</t>
  </si>
  <si>
    <t>2015 - June</t>
  </si>
  <si>
    <t>2015 - July</t>
  </si>
  <si>
    <t>2015 - August</t>
  </si>
  <si>
    <t>2015 - September</t>
  </si>
  <si>
    <t>2015 - October</t>
  </si>
  <si>
    <t>2015 - November</t>
  </si>
  <si>
    <t>2015 - December</t>
  </si>
  <si>
    <t>CDM Adjustment</t>
  </si>
  <si>
    <t>Scenario #7 - updated 2015 data for actual, added CDM and MicroFIT variable</t>
  </si>
  <si>
    <t>Proposed Loss Factor (TLF)</t>
  </si>
  <si>
    <t xml:space="preserve">Spring and Fall </t>
  </si>
  <si>
    <t>Spring and Fall Flag</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</si>
</sst>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5" formatCode="&quot;$&quot;#,##0_);\(&quot;$&quot;#,##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000"/>
    <numFmt numFmtId="167" formatCode="0.0%"/>
    <numFmt numFmtId="168" formatCode="#,##0.00000"/>
    <numFmt numFmtId="169" formatCode="_-* #,##0_-;\-* #,##0_-;_-* &quot;-&quot;??_-;_-@_-"/>
    <numFmt numFmtId="170" formatCode="#,##0_ ;\-#,##0\ "/>
    <numFmt numFmtId="171" formatCode="_-&quot;$&quot;* #,##0_-;\-&quot;$&quot;* #,##0_-;_-&quot;$&quot;* &quot;-&quot;??_-;_-@_-"/>
    <numFmt numFmtId="172" formatCode="_-* #,##0.00000_-;\-* #,##0.00000_-;_-* &quot;-&quot;??_-;_-@_-"/>
    <numFmt numFmtId="173" formatCode="#,##0.000000"/>
    <numFmt numFmtId="174" formatCode="#,##0.0000000"/>
    <numFmt numFmtId="175" formatCode="_-* #,##0.000_-;\-* #,##0.000_-;_-* &quot;-&quot;??_-;_-@_-"/>
    <numFmt numFmtId="176" formatCode="#,##0.0000"/>
    <numFmt numFmtId="177" formatCode="_(* #,##0.0_);_(* \(#,##0.0\);_(* &quot;-&quot;??_);_(@_)"/>
    <numFmt numFmtId="178" formatCode="#,##0.0"/>
    <numFmt numFmtId="179" formatCode="mm/dd/yyyy"/>
    <numFmt numFmtId="180" formatCode="0\-0"/>
    <numFmt numFmtId="181" formatCode="##\-#"/>
    <numFmt numFmtId="182" formatCode="_(* #,##0_);_(* \(#,##0\);_(* &quot;-&quot;??_);_(@_)"/>
    <numFmt numFmtId="183" formatCode="&quot;£ &quot;#,##0.00;[Red]\-&quot;£ &quot;#,##0.00"/>
    <numFmt numFmtId="184" formatCode="_-* #,##0.0000000_-;\-* #,##0.0000000_-;_-* &quot;-&quot;??_-;_-@_-"/>
  </numFmts>
  <fonts count="124" x14ac:knownFonts="1">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sz val="6"/>
      <name val="Arial"/>
      <family val="2"/>
    </font>
    <font>
      <i/>
      <sz val="9"/>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sz val="11"/>
      <color theme="1"/>
      <name val="Arial"/>
      <family val="2"/>
    </font>
    <font>
      <b/>
      <sz val="11"/>
      <color theme="1"/>
      <name val="Arial"/>
      <family val="2"/>
    </font>
    <font>
      <i/>
      <sz val="10"/>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sz val="10"/>
      <color theme="0" tint="-0.499984740745262"/>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0"/>
      <color theme="0"/>
      <name val="Times New Roman"/>
      <family val="1"/>
    </font>
    <font>
      <sz val="11"/>
      <color theme="0" tint="-0.499984740745262"/>
      <name val="Arial"/>
      <family val="2"/>
    </font>
    <font>
      <u/>
      <sz val="10"/>
      <color theme="10"/>
      <name val="Arial"/>
      <family val="2"/>
    </font>
    <font>
      <b/>
      <sz val="11"/>
      <color rgb="FF0033CC"/>
      <name val="Arial"/>
      <family val="2"/>
    </font>
    <font>
      <sz val="12"/>
      <name val="Arial"/>
      <family val="2"/>
    </font>
    <font>
      <b/>
      <sz val="10"/>
      <name val="Times New Roman"/>
      <family val="1"/>
    </font>
    <font>
      <b/>
      <i/>
      <sz val="14"/>
      <color theme="1"/>
      <name val="Arial"/>
      <family val="2"/>
    </font>
    <font>
      <b/>
      <sz val="18"/>
      <color theme="1"/>
      <name val="Arial"/>
      <family val="2"/>
    </font>
    <font>
      <b/>
      <i/>
      <sz val="11"/>
      <color theme="1"/>
      <name val="Arial"/>
      <family val="2"/>
    </font>
    <font>
      <i/>
      <sz val="11"/>
      <color theme="1"/>
      <name val="Arial"/>
      <family val="2"/>
    </font>
    <font>
      <b/>
      <sz val="11"/>
      <color theme="0"/>
      <name val="Arial"/>
      <family val="2"/>
    </font>
    <font>
      <b/>
      <sz val="8"/>
      <name val="Arial"/>
      <family val="2"/>
    </font>
    <font>
      <b/>
      <i/>
      <sz val="8"/>
      <color theme="0" tint="-0.14999847407452621"/>
      <name val="Arial"/>
      <family val="2"/>
      <charset val="1"/>
    </font>
    <font>
      <sz val="11"/>
      <color theme="0"/>
      <name val="Arial"/>
      <family val="2"/>
    </font>
    <font>
      <sz val="10"/>
      <color rgb="FF0070C0"/>
      <name val="Arial"/>
      <family val="2"/>
    </font>
    <font>
      <sz val="8"/>
      <name val="Arial"/>
      <family val="2"/>
      <charset val="1"/>
    </font>
    <font>
      <sz val="12"/>
      <name val="Calibri"/>
      <family val="2"/>
    </font>
    <font>
      <sz val="10"/>
      <name val="Calibri"/>
      <family val="2"/>
    </font>
  </fonts>
  <fills count="7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6"/>
        <bgColor indexed="64"/>
      </patternFill>
    </fill>
    <fill>
      <patternFill patternType="solid">
        <fgColor theme="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theme="3" tint="0.59999389629810485"/>
        <bgColor indexed="64"/>
      </patternFill>
    </fill>
    <fill>
      <patternFill patternType="solid">
        <fgColor theme="3" tint="0.39997558519241921"/>
        <bgColor indexed="64"/>
      </patternFill>
    </fill>
    <fill>
      <patternFill patternType="solid">
        <fgColor theme="9" tint="0.79998168889431442"/>
        <bgColor indexed="64"/>
      </patternFill>
    </fill>
  </fills>
  <borders count="1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medium">
        <color indexed="64"/>
      </bottom>
      <diagonal/>
    </border>
    <border>
      <left/>
      <right style="double">
        <color indexed="64"/>
      </right>
      <top style="thin">
        <color theme="0"/>
      </top>
      <bottom/>
      <diagonal/>
    </border>
    <border>
      <left/>
      <right/>
      <top style="thin">
        <color theme="0"/>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thin">
        <color theme="0"/>
      </top>
      <bottom/>
      <diagonal/>
    </border>
    <border>
      <left/>
      <right style="thin">
        <color indexed="64"/>
      </right>
      <top/>
      <bottom style="double">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top style="double">
        <color indexed="64"/>
      </top>
      <bottom/>
      <diagonal/>
    </border>
    <border>
      <left/>
      <right style="thin">
        <color indexed="64"/>
      </right>
      <top style="medium">
        <color indexed="64"/>
      </top>
      <bottom/>
      <diagonal/>
    </border>
    <border>
      <left/>
      <right style="thin">
        <color indexed="64"/>
      </right>
      <top style="double">
        <color indexed="64"/>
      </top>
      <bottom style="double">
        <color indexed="64"/>
      </bottom>
      <diagonal/>
    </border>
    <border>
      <left style="thin">
        <color indexed="64"/>
      </left>
      <right/>
      <top style="medium">
        <color indexed="64"/>
      </top>
      <bottom/>
      <diagonal/>
    </border>
  </borders>
  <cellStyleXfs count="1446">
    <xf numFmtId="0" fontId="0" fillId="0" borderId="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29" fillId="27" borderId="57"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0" fontId="30" fillId="28" borderId="58" applyNumberFormat="0" applyAlignment="0" applyProtection="0"/>
    <xf numFmtId="165" fontId="14" fillId="0" borderId="0" applyFont="0" applyFill="0" applyBorder="0" applyAlignment="0" applyProtection="0"/>
    <xf numFmtId="43" fontId="23" fillId="0" borderId="0" applyFon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164" fontId="1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2" fillId="29" borderId="0" applyNumberFormat="0" applyBorder="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3" fillId="0" borderId="59"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4" fillId="0" borderId="60"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61"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6" fillId="30" borderId="57" applyNumberFormat="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7" fillId="0" borderId="62" applyNumberFormat="0" applyFill="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39" fillId="0" borderId="0"/>
    <xf numFmtId="0" fontId="39" fillId="0" borderId="0"/>
    <xf numFmtId="0" fontId="10" fillId="0" borderId="0"/>
    <xf numFmtId="0" fontId="13" fillId="0" borderId="0"/>
    <xf numFmtId="0" fontId="26" fillId="0" borderId="0"/>
    <xf numFmtId="0" fontId="1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 fillId="32" borderId="63" applyNumberFormat="0" applyFont="0" applyAlignment="0" applyProtection="0"/>
    <xf numFmtId="0" fontId="12" fillId="32" borderId="63" applyNumberFormat="0" applyFont="0" applyAlignment="0" applyProtection="0"/>
    <xf numFmtId="0" fontId="12" fillId="32" borderId="63" applyNumberFormat="0" applyFont="0" applyAlignment="0" applyProtection="0"/>
    <xf numFmtId="0" fontId="12" fillId="32" borderId="63" applyNumberFormat="0" applyFont="0" applyAlignment="0" applyProtection="0"/>
    <xf numFmtId="0" fontId="12" fillId="32" borderId="63" applyNumberFormat="0" applyFont="0" applyAlignment="0" applyProtection="0"/>
    <xf numFmtId="0" fontId="12" fillId="32" borderId="63" applyNumberFormat="0" applyFont="0" applyAlignment="0" applyProtection="0"/>
    <xf numFmtId="0" fontId="12" fillId="32" borderId="63" applyNumberFormat="0" applyFont="0" applyAlignment="0" applyProtection="0"/>
    <xf numFmtId="0" fontId="12" fillId="32" borderId="63" applyNumberFormat="0" applyFont="0" applyAlignment="0" applyProtection="0"/>
    <xf numFmtId="0" fontId="12" fillId="32" borderId="63" applyNumberFormat="0" applyFont="0" applyAlignment="0" applyProtection="0"/>
    <xf numFmtId="0" fontId="12" fillId="32" borderId="63" applyNumberFormat="0" applyFont="0" applyAlignment="0" applyProtection="0"/>
    <xf numFmtId="0" fontId="12" fillId="32" borderId="63" applyNumberFormat="0" applyFont="0" applyAlignment="0" applyProtection="0"/>
    <xf numFmtId="0" fontId="12" fillId="32" borderId="63" applyNumberFormat="0" applyFont="0" applyAlignment="0" applyProtection="0"/>
    <xf numFmtId="0" fontId="12" fillId="32" borderId="63" applyNumberFormat="0" applyFont="0" applyAlignment="0" applyProtection="0"/>
    <xf numFmtId="0" fontId="12" fillId="32" borderId="63" applyNumberFormat="0" applyFon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0" fontId="40" fillId="27" borderId="64"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23" fillId="0" borderId="0" applyFont="0" applyFill="0" applyBorder="0" applyAlignment="0" applyProtection="0"/>
    <xf numFmtId="0" fontId="41" fillId="0" borderId="0" applyNumberFormat="0" applyFill="0" applyBorder="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2" fillId="0" borderId="65"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0" fontId="9" fillId="0" borderId="0"/>
    <xf numFmtId="0" fontId="9"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58" fillId="0" borderId="0" applyFont="0" applyFill="0" applyBorder="0" applyAlignment="0" applyProtection="0"/>
    <xf numFmtId="43" fontId="10" fillId="0" borderId="0" applyFont="0" applyFill="0" applyBorder="0" applyAlignment="0" applyProtection="0"/>
    <xf numFmtId="165" fontId="9" fillId="0" borderId="0" applyFon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0" fontId="10" fillId="0" borderId="0"/>
    <xf numFmtId="0" fontId="9" fillId="0" borderId="0"/>
    <xf numFmtId="0" fontId="9" fillId="0" borderId="0"/>
    <xf numFmtId="0" fontId="10" fillId="0" borderId="0"/>
    <xf numFmtId="0" fontId="9" fillId="0" borderId="0"/>
    <xf numFmtId="0" fontId="10" fillId="0" borderId="0"/>
    <xf numFmtId="0" fontId="10" fillId="0" borderId="0"/>
    <xf numFmtId="0" fontId="58" fillId="0" borderId="0"/>
    <xf numFmtId="0" fontId="10" fillId="0" borderId="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8" fillId="37" borderId="1" applyNumberFormat="0" applyProtection="0">
      <alignment horizontal="left" vertical="center"/>
    </xf>
    <xf numFmtId="0" fontId="10" fillId="37" borderId="1" applyNumberFormat="0" applyProtection="0">
      <alignment horizontal="left" vertical="center"/>
    </xf>
    <xf numFmtId="9" fontId="9"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6" fillId="0" borderId="0"/>
    <xf numFmtId="0" fontId="6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14" fillId="0" borderId="0"/>
    <xf numFmtId="165" fontId="14" fillId="0" borderId="0" applyFont="0" applyFill="0" applyBorder="0" applyAlignment="0" applyProtection="0"/>
    <xf numFmtId="0" fontId="5" fillId="0" borderId="0"/>
    <xf numFmtId="0" fontId="5" fillId="0" borderId="0"/>
    <xf numFmtId="9" fontId="14"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7" borderId="0" applyNumberFormat="0" applyBorder="0" applyAlignment="0" applyProtection="0"/>
    <xf numFmtId="0" fontId="89" fillId="48" borderId="0" applyNumberFormat="0" applyBorder="0" applyAlignment="0" applyProtection="0"/>
    <xf numFmtId="0" fontId="89" fillId="45" borderId="0" applyNumberFormat="0" applyBorder="0" applyAlignment="0" applyProtection="0"/>
    <xf numFmtId="0" fontId="89" fillId="46" borderId="0" applyNumberFormat="0" applyBorder="0" applyAlignment="0" applyProtection="0"/>
    <xf numFmtId="0" fontId="89" fillId="49" borderId="0" applyNumberFormat="0" applyBorder="0" applyAlignment="0" applyProtection="0"/>
    <xf numFmtId="0" fontId="89" fillId="50" borderId="0" applyNumberFormat="0" applyBorder="0" applyAlignment="0" applyProtection="0"/>
    <xf numFmtId="0" fontId="89" fillId="51" borderId="0" applyNumberFormat="0" applyBorder="0" applyAlignment="0" applyProtection="0"/>
    <xf numFmtId="0" fontId="89" fillId="52" borderId="0" applyNumberFormat="0" applyBorder="0" applyAlignment="0" applyProtection="0"/>
    <xf numFmtId="0" fontId="89" fillId="53" borderId="0" applyNumberFormat="0" applyBorder="0" applyAlignment="0" applyProtection="0"/>
    <xf numFmtId="0" fontId="89" fillId="54" borderId="0" applyNumberFormat="0" applyBorder="0" applyAlignment="0" applyProtection="0"/>
    <xf numFmtId="0" fontId="91" fillId="56" borderId="83" applyNumberFormat="0" applyAlignment="0" applyProtection="0"/>
    <xf numFmtId="0" fontId="87" fillId="0" borderId="0" applyNumberFormat="0" applyFill="0" applyBorder="0" applyAlignment="0" applyProtection="0">
      <alignment vertical="top"/>
      <protection locked="0"/>
    </xf>
    <xf numFmtId="0" fontId="100" fillId="58" borderId="0" applyNumberFormat="0" applyBorder="0" applyAlignment="0" applyProtection="0"/>
    <xf numFmtId="0" fontId="102" fillId="0" borderId="0" applyNumberFormat="0" applyFill="0" applyBorder="0" applyAlignment="0" applyProtection="0"/>
    <xf numFmtId="0" fontId="103" fillId="0" borderId="91" applyNumberFormat="0" applyFill="0" applyAlignment="0" applyProtection="0"/>
    <xf numFmtId="0" fontId="104" fillId="0" borderId="0" applyNumberFormat="0" applyFill="0" applyBorder="0" applyAlignment="0" applyProtection="0"/>
    <xf numFmtId="0" fontId="10" fillId="0" borderId="0"/>
    <xf numFmtId="0" fontId="41" fillId="0" borderId="0" applyNumberFormat="0" applyFill="0" applyBorder="0" applyAlignment="0" applyProtection="0"/>
    <xf numFmtId="0" fontId="68" fillId="0" borderId="60" applyNumberFormat="0" applyFill="0" applyAlignment="0" applyProtection="0"/>
    <xf numFmtId="0" fontId="67" fillId="0" borderId="59" applyNumberFormat="0" applyFill="0" applyAlignment="0" applyProtection="0"/>
    <xf numFmtId="0" fontId="4" fillId="0" borderId="0"/>
    <xf numFmtId="0" fontId="69" fillId="0" borderId="61" applyNumberFormat="0" applyFill="0" applyAlignment="0" applyProtection="0"/>
    <xf numFmtId="0" fontId="69" fillId="0" borderId="0" applyNumberFormat="0" applyFill="0" applyBorder="0" applyAlignment="0" applyProtection="0"/>
    <xf numFmtId="0" fontId="70" fillId="29" borderId="0" applyNumberFormat="0" applyBorder="0" applyAlignment="0" applyProtection="0"/>
    <xf numFmtId="0" fontId="71" fillId="26" borderId="0" applyNumberFormat="0" applyBorder="0" applyAlignment="0" applyProtection="0"/>
    <xf numFmtId="0" fontId="72" fillId="31" borderId="0" applyNumberFormat="0" applyBorder="0" applyAlignment="0" applyProtection="0"/>
    <xf numFmtId="0" fontId="73" fillId="30" borderId="57" applyNumberFormat="0" applyAlignment="0" applyProtection="0"/>
    <xf numFmtId="0" fontId="74" fillId="27" borderId="64" applyNumberFormat="0" applyAlignment="0" applyProtection="0"/>
    <xf numFmtId="0" fontId="75" fillId="27" borderId="57" applyNumberFormat="0" applyAlignment="0" applyProtection="0"/>
    <xf numFmtId="0" fontId="76" fillId="0" borderId="62" applyNumberFormat="0" applyFill="0" applyAlignment="0" applyProtection="0"/>
    <xf numFmtId="0" fontId="77" fillId="28" borderId="58" applyNumberFormat="0" applyAlignment="0" applyProtection="0"/>
    <xf numFmtId="0" fontId="78" fillId="0" borderId="0" applyNumberFormat="0" applyFill="0" applyBorder="0" applyAlignment="0" applyProtection="0"/>
    <xf numFmtId="0" fontId="4" fillId="32" borderId="63" applyNumberFormat="0" applyFont="0" applyAlignment="0" applyProtection="0"/>
    <xf numFmtId="0" fontId="79" fillId="0" borderId="0" applyNumberFormat="0" applyFill="0" applyBorder="0" applyAlignment="0" applyProtection="0"/>
    <xf numFmtId="0" fontId="80" fillId="0" borderId="65" applyNumberFormat="0" applyFill="0" applyAlignment="0" applyProtection="0"/>
    <xf numFmtId="0" fontId="81" fillId="20" borderId="0" applyNumberFormat="0" applyBorder="0" applyAlignment="0" applyProtection="0"/>
    <xf numFmtId="0" fontId="4" fillId="2" borderId="0" applyNumberFormat="0" applyBorder="0" applyAlignment="0" applyProtection="0"/>
    <xf numFmtId="0" fontId="4" fillId="8" borderId="0" applyNumberFormat="0" applyBorder="0" applyAlignment="0" applyProtection="0"/>
    <xf numFmtId="0" fontId="81" fillId="14" borderId="0" applyNumberFormat="0" applyBorder="0" applyAlignment="0" applyProtection="0"/>
    <xf numFmtId="0" fontId="81" fillId="21"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81" fillId="15" borderId="0" applyNumberFormat="0" applyBorder="0" applyAlignment="0" applyProtection="0"/>
    <xf numFmtId="0" fontId="81" fillId="22"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81" fillId="16" borderId="0" applyNumberFormat="0" applyBorder="0" applyAlignment="0" applyProtection="0"/>
    <xf numFmtId="0" fontId="81" fillId="23"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81" fillId="17" borderId="0" applyNumberFormat="0" applyBorder="0" applyAlignment="0" applyProtection="0"/>
    <xf numFmtId="0" fontId="81" fillId="24"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81" fillId="18" borderId="0" applyNumberFormat="0" applyBorder="0" applyAlignment="0" applyProtection="0"/>
    <xf numFmtId="0" fontId="81" fillId="25"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81" fillId="19" borderId="0" applyNumberFormat="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177" fontId="10" fillId="0" borderId="0"/>
    <xf numFmtId="178" fontId="10" fillId="0" borderId="0"/>
    <xf numFmtId="177" fontId="10" fillId="0" borderId="0"/>
    <xf numFmtId="177" fontId="10" fillId="0" borderId="0"/>
    <xf numFmtId="177" fontId="10" fillId="0" borderId="0"/>
    <xf numFmtId="177" fontId="10" fillId="0" borderId="0"/>
    <xf numFmtId="179" fontId="10" fillId="0" borderId="0"/>
    <xf numFmtId="180" fontId="10" fillId="0" borderId="0"/>
    <xf numFmtId="179" fontId="10" fillId="0" borderId="0"/>
    <xf numFmtId="3" fontId="10" fillId="0" borderId="0" applyFont="0" applyFill="0" applyBorder="0" applyAlignment="0" applyProtection="0"/>
    <xf numFmtId="5" fontId="10" fillId="0" borderId="0" applyFont="0" applyFill="0" applyBorder="0" applyAlignment="0" applyProtection="0"/>
    <xf numFmtId="14" fontId="10" fillId="0" borderId="0" applyFont="0" applyFill="0" applyBorder="0" applyAlignment="0" applyProtection="0"/>
    <xf numFmtId="2" fontId="10" fillId="0" borderId="0" applyFont="0" applyFill="0" applyBorder="0" applyAlignment="0" applyProtection="0"/>
    <xf numFmtId="38" fontId="88" fillId="60" borderId="0" applyNumberFormat="0" applyBorder="0" applyAlignment="0" applyProtection="0"/>
    <xf numFmtId="10" fontId="88" fillId="63" borderId="1" applyNumberFormat="0" applyBorder="0" applyAlignment="0" applyProtection="0"/>
    <xf numFmtId="181" fontId="10" fillId="0" borderId="0"/>
    <xf numFmtId="181" fontId="10" fillId="0" borderId="0"/>
    <xf numFmtId="181" fontId="10" fillId="0" borderId="0"/>
    <xf numFmtId="181" fontId="10" fillId="0" borderId="0"/>
    <xf numFmtId="181" fontId="10" fillId="0" borderId="0"/>
    <xf numFmtId="183" fontId="10" fillId="0" borderId="0"/>
    <xf numFmtId="10" fontId="10"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164" fontId="10" fillId="0" borderId="0" applyFont="0" applyFill="0" applyBorder="0" applyAlignment="0" applyProtection="0"/>
    <xf numFmtId="0" fontId="4" fillId="0" borderId="0"/>
    <xf numFmtId="0" fontId="4" fillId="0" borderId="0"/>
    <xf numFmtId="182" fontId="10" fillId="0" borderId="0"/>
    <xf numFmtId="0" fontId="101" fillId="56" borderId="90" applyNumberFormat="0" applyAlignment="0" applyProtection="0"/>
    <xf numFmtId="0" fontId="92" fillId="57" borderId="84" applyNumberFormat="0" applyAlignment="0" applyProtection="0"/>
    <xf numFmtId="0" fontId="98" fillId="43" borderId="83" applyNumberFormat="0" applyAlignment="0" applyProtection="0"/>
    <xf numFmtId="0" fontId="10" fillId="59" borderId="89" applyNumberFormat="0" applyFont="0" applyAlignment="0" applyProtection="0"/>
    <xf numFmtId="0" fontId="94" fillId="40" borderId="0" applyNumberFormat="0" applyBorder="0" applyAlignment="0" applyProtection="0"/>
    <xf numFmtId="0" fontId="90" fillId="39" borderId="0" applyNumberFormat="0" applyBorder="0" applyAlignment="0" applyProtection="0"/>
    <xf numFmtId="0" fontId="97" fillId="0" borderId="87" applyNumberFormat="0" applyFill="0" applyAlignment="0" applyProtection="0"/>
    <xf numFmtId="0" fontId="96" fillId="0" borderId="86" applyNumberFormat="0" applyFill="0" applyAlignment="0" applyProtection="0"/>
    <xf numFmtId="0" fontId="93" fillId="0" borderId="0" applyNumberFormat="0" applyFill="0" applyBorder="0" applyAlignment="0" applyProtection="0"/>
    <xf numFmtId="0" fontId="95" fillId="0" borderId="85" applyNumberFormat="0" applyFill="0" applyAlignment="0" applyProtection="0"/>
    <xf numFmtId="0" fontId="83" fillId="0" borderId="0" applyNumberFormat="0" applyFill="0" applyBorder="0" applyAlignment="0" applyProtection="0"/>
    <xf numFmtId="0" fontId="4" fillId="0" borderId="0"/>
    <xf numFmtId="0" fontId="4" fillId="0" borderId="0"/>
    <xf numFmtId="165"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89" fillId="50" borderId="0" applyNumberFormat="0" applyBorder="0" applyAlignment="0" applyProtection="0"/>
    <xf numFmtId="0" fontId="4" fillId="0" borderId="0"/>
    <xf numFmtId="0" fontId="4" fillId="0" borderId="0"/>
    <xf numFmtId="0" fontId="4" fillId="0" borderId="0"/>
    <xf numFmtId="0" fontId="89" fillId="55" borderId="0" applyNumberFormat="0" applyBorder="0" applyAlignment="0" applyProtection="0"/>
    <xf numFmtId="0" fontId="89" fillId="49" borderId="0" applyNumberFormat="0" applyBorder="0" applyAlignment="0" applyProtection="0"/>
    <xf numFmtId="165"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14" fillId="0" borderId="0"/>
    <xf numFmtId="0" fontId="99" fillId="0" borderId="88" applyNumberFormat="0" applyFill="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97" fillId="0" borderId="0" applyNumberForma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0" fillId="0" borderId="0"/>
    <xf numFmtId="0" fontId="10" fillId="0" borderId="0"/>
    <xf numFmtId="0" fontId="98" fillId="43" borderId="83" applyNumberFormat="0" applyAlignment="0" applyProtection="0"/>
    <xf numFmtId="0" fontId="98" fillId="43" borderId="83" applyNumberFormat="0" applyAlignment="0" applyProtection="0"/>
    <xf numFmtId="0" fontId="98" fillId="43" borderId="83"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98" fillId="43" borderId="83" applyNumberFormat="0" applyAlignment="0" applyProtection="0"/>
    <xf numFmtId="0" fontId="10" fillId="0" borderId="0"/>
    <xf numFmtId="0" fontId="14" fillId="0" borderId="0"/>
    <xf numFmtId="0" fontId="3" fillId="0" borderId="0"/>
    <xf numFmtId="0" fontId="3" fillId="0" borderId="0"/>
    <xf numFmtId="9" fontId="14"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2" fillId="0" borderId="0"/>
    <xf numFmtId="0" fontId="10" fillId="0" borderId="0"/>
    <xf numFmtId="9" fontId="14" fillId="0" borderId="0" applyFont="0" applyFill="0" applyBorder="0" applyAlignment="0" applyProtection="0"/>
    <xf numFmtId="0" fontId="14" fillId="0" borderId="0"/>
    <xf numFmtId="9" fontId="10" fillId="0" borderId="0" applyFont="0" applyFill="0" applyBorder="0" applyAlignment="0" applyProtection="0"/>
    <xf numFmtId="0" fontId="1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4" fontId="10" fillId="0" borderId="0" applyFont="0" applyFill="0" applyBorder="0" applyAlignment="0" applyProtection="0"/>
    <xf numFmtId="43" fontId="2" fillId="0" borderId="0" applyFont="0" applyFill="0" applyBorder="0" applyAlignment="0" applyProtection="0"/>
    <xf numFmtId="0" fontId="10" fillId="0" borderId="0"/>
    <xf numFmtId="0" fontId="2" fillId="0" borderId="0"/>
    <xf numFmtId="0" fontId="2"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2" fillId="0" borderId="0" applyNumberFormat="0" applyFill="0" applyBorder="0" applyAlignment="0" applyProtection="0"/>
    <xf numFmtId="0" fontId="2" fillId="0" borderId="0"/>
    <xf numFmtId="164"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08" fillId="0" borderId="0" applyNumberForma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0" fontId="14" fillId="0" borderId="0"/>
    <xf numFmtId="165" fontId="14" fillId="0" borderId="0" applyFont="0" applyFill="0" applyBorder="0" applyAlignment="0" applyProtection="0"/>
    <xf numFmtId="0" fontId="2" fillId="0" borderId="0"/>
    <xf numFmtId="0" fontId="2" fillId="0" borderId="0"/>
    <xf numFmtId="9" fontId="14"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14" fillId="0" borderId="0"/>
    <xf numFmtId="9" fontId="14"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cellStyleXfs>
  <cellXfs count="991">
    <xf numFmtId="0" fontId="0" fillId="0" borderId="0" xfId="0"/>
    <xf numFmtId="0" fontId="10" fillId="0" borderId="0" xfId="0" applyFont="1"/>
    <xf numFmtId="1" fontId="10" fillId="33" borderId="2" xfId="379" applyNumberFormat="1" applyFont="1" applyFill="1" applyBorder="1" applyAlignment="1">
      <alignment horizontal="center"/>
    </xf>
    <xf numFmtId="0" fontId="44" fillId="0" borderId="0" xfId="0" applyFont="1" applyBorder="1" applyAlignment="1">
      <alignment horizontal="left" vertical="center"/>
    </xf>
    <xf numFmtId="0" fontId="10" fillId="0" borderId="6" xfId="0" applyFont="1" applyBorder="1" applyAlignment="1">
      <alignment horizontal="center"/>
    </xf>
    <xf numFmtId="49" fontId="10" fillId="0" borderId="7" xfId="0" applyNumberFormat="1" applyFont="1" applyBorder="1" applyAlignment="1">
      <alignment horizontal="center"/>
    </xf>
    <xf numFmtId="49" fontId="10" fillId="0" borderId="2" xfId="0" applyNumberFormat="1" applyFont="1" applyBorder="1" applyAlignment="1">
      <alignment horizontal="center"/>
    </xf>
    <xf numFmtId="166" fontId="10" fillId="0" borderId="1" xfId="0" applyNumberFormat="1" applyFont="1" applyBorder="1" applyAlignment="1">
      <alignment horizontal="center"/>
    </xf>
    <xf numFmtId="166" fontId="10" fillId="0" borderId="8" xfId="0" applyNumberFormat="1" applyFont="1" applyBorder="1" applyAlignment="1">
      <alignment horizontal="center"/>
    </xf>
    <xf numFmtId="14" fontId="10" fillId="0" borderId="2" xfId="0" applyNumberFormat="1" applyFont="1" applyBorder="1" applyAlignment="1">
      <alignment horizontal="center"/>
    </xf>
    <xf numFmtId="0" fontId="10" fillId="0" borderId="1" xfId="0" applyFont="1" applyBorder="1" applyAlignment="1">
      <alignment horizontal="center"/>
    </xf>
    <xf numFmtId="14" fontId="16" fillId="0" borderId="2" xfId="0" applyNumberFormat="1" applyFont="1" applyBorder="1" applyAlignment="1">
      <alignment horizontal="center"/>
    </xf>
    <xf numFmtId="166" fontId="16" fillId="0" borderId="1" xfId="0" applyNumberFormat="1" applyFont="1" applyBorder="1" applyAlignment="1">
      <alignment horizontal="center"/>
    </xf>
    <xf numFmtId="0" fontId="16" fillId="0" borderId="1" xfId="0" applyFont="1" applyBorder="1" applyAlignment="1">
      <alignment horizontal="center"/>
    </xf>
    <xf numFmtId="166" fontId="16" fillId="0" borderId="8" xfId="0" applyNumberFormat="1" applyFont="1" applyBorder="1" applyAlignment="1">
      <alignment horizontal="center"/>
    </xf>
    <xf numFmtId="1" fontId="10" fillId="0" borderId="1" xfId="0" applyNumberFormat="1" applyFont="1" applyFill="1" applyBorder="1" applyAlignment="1">
      <alignment horizontal="center"/>
    </xf>
    <xf numFmtId="0" fontId="10" fillId="0" borderId="1" xfId="0" applyFont="1" applyFill="1" applyBorder="1" applyAlignment="1">
      <alignment horizontal="center"/>
    </xf>
    <xf numFmtId="49" fontId="10" fillId="0" borderId="9" xfId="0" applyNumberFormat="1" applyFont="1" applyBorder="1" applyAlignment="1">
      <alignment horizontal="center"/>
    </xf>
    <xf numFmtId="0" fontId="10" fillId="0" borderId="10" xfId="0" applyFont="1" applyFill="1" applyBorder="1" applyAlignment="1">
      <alignment horizontal="center"/>
    </xf>
    <xf numFmtId="0" fontId="10" fillId="0" borderId="12" xfId="0" applyFont="1" applyFill="1" applyBorder="1"/>
    <xf numFmtId="0" fontId="10" fillId="0" borderId="13" xfId="0" applyFont="1" applyFill="1" applyBorder="1"/>
    <xf numFmtId="1" fontId="10" fillId="33" borderId="1" xfId="0" applyNumberFormat="1" applyFont="1" applyFill="1" applyBorder="1" applyAlignment="1">
      <alignment horizontal="center"/>
    </xf>
    <xf numFmtId="1" fontId="10" fillId="33" borderId="10" xfId="0" applyNumberFormat="1" applyFont="1" applyFill="1" applyBorder="1" applyAlignment="1">
      <alignment horizontal="center"/>
    </xf>
    <xf numFmtId="166" fontId="10" fillId="0" borderId="11" xfId="0" applyNumberFormat="1" applyFont="1" applyBorder="1" applyAlignment="1">
      <alignment horizontal="center"/>
    </xf>
    <xf numFmtId="0" fontId="10" fillId="0" borderId="0" xfId="0" applyFont="1" applyFill="1" applyBorder="1"/>
    <xf numFmtId="2" fontId="43" fillId="0" borderId="0" xfId="0" applyNumberFormat="1" applyFont="1" applyFill="1" applyBorder="1" applyAlignment="1">
      <alignment horizontal="center"/>
    </xf>
    <xf numFmtId="0" fontId="10" fillId="0" borderId="0" xfId="0" applyFont="1" applyFill="1" applyBorder="1" applyAlignment="1">
      <alignment horizontal="center"/>
    </xf>
    <xf numFmtId="0" fontId="10" fillId="0" borderId="14" xfId="0" applyFont="1" applyFill="1" applyBorder="1" applyAlignment="1">
      <alignment horizontal="center"/>
    </xf>
    <xf numFmtId="0" fontId="10" fillId="0" borderId="15" xfId="0" applyFont="1" applyFill="1" applyBorder="1" applyAlignment="1">
      <alignment horizontal="center"/>
    </xf>
    <xf numFmtId="0" fontId="10" fillId="0" borderId="2" xfId="0" applyFont="1" applyFill="1" applyBorder="1" applyAlignment="1">
      <alignment horizontal="center"/>
    </xf>
    <xf numFmtId="2" fontId="43" fillId="0" borderId="8" xfId="0" applyNumberFormat="1" applyFont="1" applyFill="1" applyBorder="1" applyAlignment="1">
      <alignment horizontal="center"/>
    </xf>
    <xf numFmtId="0" fontId="10" fillId="0" borderId="16" xfId="0" applyFont="1" applyFill="1" applyBorder="1" applyAlignment="1">
      <alignment horizontal="center"/>
    </xf>
    <xf numFmtId="0" fontId="10" fillId="0" borderId="9" xfId="0" applyFont="1" applyFill="1" applyBorder="1" applyAlignment="1">
      <alignment horizontal="center"/>
    </xf>
    <xf numFmtId="2" fontId="43" fillId="0" borderId="11" xfId="0" applyNumberFormat="1" applyFont="1" applyFill="1" applyBorder="1" applyAlignment="1">
      <alignment horizontal="center"/>
    </xf>
    <xf numFmtId="0" fontId="10" fillId="0" borderId="17" xfId="0" applyFont="1" applyFill="1" applyBorder="1" applyAlignment="1">
      <alignment horizontal="center"/>
    </xf>
    <xf numFmtId="2" fontId="43" fillId="0" borderId="18" xfId="0" applyNumberFormat="1" applyFont="1" applyFill="1" applyBorder="1" applyAlignment="1">
      <alignment horizontal="center"/>
    </xf>
    <xf numFmtId="2" fontId="43" fillId="0" borderId="13" xfId="0" applyNumberFormat="1" applyFont="1" applyFill="1" applyBorder="1" applyAlignment="1">
      <alignment horizontal="center"/>
    </xf>
    <xf numFmtId="0" fontId="10" fillId="0" borderId="20" xfId="0" applyFont="1" applyFill="1" applyBorder="1" applyAlignment="1">
      <alignment horizontal="left"/>
    </xf>
    <xf numFmtId="17" fontId="10" fillId="0" borderId="15" xfId="0" applyNumberFormat="1" applyFont="1" applyFill="1" applyBorder="1" applyAlignment="1">
      <alignment horizontal="center"/>
    </xf>
    <xf numFmtId="1" fontId="10" fillId="33" borderId="2" xfId="0" applyNumberFormat="1" applyFont="1" applyFill="1" applyBorder="1" applyAlignment="1">
      <alignment horizontal="center"/>
    </xf>
    <xf numFmtId="1" fontId="43" fillId="33" borderId="8" xfId="0" applyNumberFormat="1" applyFont="1" applyFill="1" applyBorder="1" applyAlignment="1">
      <alignment horizontal="center"/>
    </xf>
    <xf numFmtId="1" fontId="10" fillId="33" borderId="21" xfId="0" applyNumberFormat="1" applyFont="1" applyFill="1" applyBorder="1" applyAlignment="1">
      <alignment horizontal="center"/>
    </xf>
    <xf numFmtId="1" fontId="10" fillId="33" borderId="1" xfId="379" applyNumberFormat="1" applyFont="1" applyFill="1" applyBorder="1" applyAlignment="1">
      <alignment horizontal="center"/>
    </xf>
    <xf numFmtId="1" fontId="10" fillId="33" borderId="21" xfId="379" applyNumberFormat="1" applyFont="1" applyFill="1" applyBorder="1" applyAlignment="1">
      <alignment horizontal="center"/>
    </xf>
    <xf numFmtId="1" fontId="10" fillId="33" borderId="2" xfId="379" applyNumberFormat="1" applyFont="1" applyFill="1" applyBorder="1" applyAlignment="1">
      <alignment horizontal="center" vertical="center"/>
    </xf>
    <xf numFmtId="1" fontId="45" fillId="33" borderId="2" xfId="0" applyNumberFormat="1" applyFont="1" applyFill="1" applyBorder="1" applyAlignment="1">
      <alignment horizontal="center"/>
    </xf>
    <xf numFmtId="1" fontId="26" fillId="33" borderId="2" xfId="0" applyNumberFormat="1" applyFont="1" applyFill="1" applyBorder="1" applyAlignment="1">
      <alignment horizontal="center"/>
    </xf>
    <xf numFmtId="1" fontId="10" fillId="33" borderId="9" xfId="0" applyNumberFormat="1" applyFont="1" applyFill="1" applyBorder="1" applyAlignment="1">
      <alignment horizontal="center"/>
    </xf>
    <xf numFmtId="1" fontId="43" fillId="33" borderId="11" xfId="0" applyNumberFormat="1" applyFont="1" applyFill="1" applyBorder="1" applyAlignment="1">
      <alignment horizontal="center"/>
    </xf>
    <xf numFmtId="1" fontId="10" fillId="33" borderId="10" xfId="379" applyNumberFormat="1" applyFont="1" applyFill="1" applyBorder="1" applyAlignment="1">
      <alignment horizontal="center"/>
    </xf>
    <xf numFmtId="1" fontId="10" fillId="33" borderId="22" xfId="0" applyNumberFormat="1" applyFont="1" applyFill="1" applyBorder="1" applyAlignment="1">
      <alignment horizontal="center"/>
    </xf>
    <xf numFmtId="3" fontId="10" fillId="0" borderId="0" xfId="0" applyNumberFormat="1" applyFont="1" applyFill="1" applyBorder="1" applyAlignment="1">
      <alignment horizontal="center"/>
    </xf>
    <xf numFmtId="0" fontId="10" fillId="0" borderId="0" xfId="0" applyFont="1" applyAlignment="1">
      <alignment horizontal="center"/>
    </xf>
    <xf numFmtId="0" fontId="10" fillId="0" borderId="1" xfId="0" applyFont="1" applyBorder="1"/>
    <xf numFmtId="17" fontId="10" fillId="0" borderId="0" xfId="0" applyNumberFormat="1" applyFont="1" applyBorder="1"/>
    <xf numFmtId="0" fontId="10" fillId="0" borderId="0" xfId="0" applyFont="1" applyAlignment="1">
      <alignment horizontal="left"/>
    </xf>
    <xf numFmtId="0" fontId="10" fillId="0" borderId="0" xfId="0" applyFont="1" applyFill="1"/>
    <xf numFmtId="0" fontId="46" fillId="0" borderId="0" xfId="0" applyFont="1" applyBorder="1" applyAlignment="1">
      <alignment horizontal="left" vertical="center"/>
    </xf>
    <xf numFmtId="0" fontId="10" fillId="0" borderId="0" xfId="0" applyFont="1" applyBorder="1"/>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7" fillId="0" borderId="28" xfId="0" applyFont="1" applyBorder="1" applyAlignment="1">
      <alignment horizontal="center" vertical="center" wrapText="1"/>
    </xf>
    <xf numFmtId="0" fontId="45" fillId="0" borderId="29" xfId="0" applyFont="1" applyFill="1" applyBorder="1" applyAlignment="1">
      <alignment horizontal="center" vertical="center" wrapText="1"/>
    </xf>
    <xf numFmtId="0" fontId="45" fillId="0" borderId="7" xfId="0" applyFont="1" applyBorder="1" applyAlignment="1">
      <alignment horizontal="center" vertical="center" wrapText="1"/>
    </xf>
    <xf numFmtId="3" fontId="45" fillId="0" borderId="23" xfId="0" applyNumberFormat="1" applyFont="1" applyBorder="1" applyAlignment="1">
      <alignment horizontal="center" vertical="center" wrapText="1"/>
    </xf>
    <xf numFmtId="10" fontId="45" fillId="0" borderId="23" xfId="0" applyNumberFormat="1" applyFont="1" applyBorder="1" applyAlignment="1">
      <alignment horizontal="center" vertical="center" wrapText="1"/>
    </xf>
    <xf numFmtId="3" fontId="45" fillId="0" borderId="1" xfId="0" applyNumberFormat="1" applyFont="1" applyBorder="1" applyAlignment="1">
      <alignment horizontal="center" vertical="center" wrapText="1"/>
    </xf>
    <xf numFmtId="10" fontId="45" fillId="0" borderId="1" xfId="0" applyNumberFormat="1" applyFont="1" applyBorder="1" applyAlignment="1">
      <alignment horizontal="center" vertical="center" wrapText="1"/>
    </xf>
    <xf numFmtId="0" fontId="43" fillId="0" borderId="2" xfId="0" applyFont="1" applyBorder="1" applyAlignment="1">
      <alignment horizontal="center" vertical="center" wrapText="1"/>
    </xf>
    <xf numFmtId="0" fontId="43" fillId="0" borderId="1" xfId="0" applyFont="1" applyBorder="1" applyAlignment="1">
      <alignment horizontal="center" vertical="center" wrapText="1"/>
    </xf>
    <xf numFmtId="10" fontId="43" fillId="0" borderId="1" xfId="0" applyNumberFormat="1" applyFont="1" applyBorder="1" applyAlignment="1">
      <alignment horizontal="center" vertical="center" wrapText="1"/>
    </xf>
    <xf numFmtId="0" fontId="43" fillId="0" borderId="10" xfId="0" applyFont="1" applyBorder="1" applyAlignment="1">
      <alignment horizontal="center" vertical="center" wrapText="1"/>
    </xf>
    <xf numFmtId="10" fontId="43" fillId="0" borderId="10" xfId="0" applyNumberFormat="1" applyFont="1" applyBorder="1" applyAlignment="1">
      <alignment horizontal="center" vertical="center" wrapText="1"/>
    </xf>
    <xf numFmtId="0" fontId="43" fillId="0" borderId="0" xfId="0" applyFont="1" applyBorder="1" applyAlignment="1">
      <alignment horizontal="center" vertical="center" wrapText="1"/>
    </xf>
    <xf numFmtId="3" fontId="43" fillId="0" borderId="0" xfId="0" applyNumberFormat="1" applyFont="1" applyBorder="1" applyAlignment="1">
      <alignment horizontal="center" vertical="center" wrapText="1"/>
    </xf>
    <xf numFmtId="0" fontId="45" fillId="0" borderId="30" xfId="0" applyFont="1" applyFill="1" applyBorder="1" applyAlignment="1">
      <alignment horizontal="center" vertical="center" wrapText="1"/>
    </xf>
    <xf numFmtId="3" fontId="45" fillId="0" borderId="0" xfId="0" applyNumberFormat="1" applyFont="1" applyBorder="1" applyAlignment="1">
      <alignment horizontal="center" vertical="center" wrapText="1"/>
    </xf>
    <xf numFmtId="3" fontId="48" fillId="0" borderId="8" xfId="0" applyNumberFormat="1" applyFont="1" applyBorder="1" applyAlignment="1">
      <alignment horizontal="center" vertical="center" wrapText="1"/>
    </xf>
    <xf numFmtId="3" fontId="48" fillId="0" borderId="11" xfId="0" applyNumberFormat="1" applyFont="1" applyBorder="1" applyAlignment="1">
      <alignment horizontal="center" vertical="center" wrapText="1"/>
    </xf>
    <xf numFmtId="168" fontId="45" fillId="0" borderId="8" xfId="0" applyNumberFormat="1" applyFont="1" applyBorder="1" applyAlignment="1">
      <alignment horizontal="center" vertical="center" wrapText="1"/>
    </xf>
    <xf numFmtId="3" fontId="43" fillId="0" borderId="8" xfId="0" applyNumberFormat="1" applyFont="1" applyBorder="1" applyAlignment="1">
      <alignment horizontal="center" vertical="center" wrapText="1"/>
    </xf>
    <xf numFmtId="0" fontId="45" fillId="0" borderId="31" xfId="0" applyFont="1" applyBorder="1" applyAlignment="1">
      <alignment horizontal="center" vertical="center" wrapText="1"/>
    </xf>
    <xf numFmtId="0" fontId="45" fillId="0" borderId="38" xfId="0" applyFont="1" applyBorder="1" applyAlignment="1">
      <alignment horizontal="center" vertical="center" wrapText="1"/>
    </xf>
    <xf numFmtId="0" fontId="45" fillId="0" borderId="15" xfId="0" applyFont="1" applyBorder="1" applyAlignment="1">
      <alignment horizontal="center" vertical="center" wrapText="1"/>
    </xf>
    <xf numFmtId="0" fontId="10" fillId="0" borderId="15" xfId="0" applyFont="1" applyBorder="1" applyAlignment="1">
      <alignment horizontal="center" vertical="center" wrapText="1"/>
    </xf>
    <xf numFmtId="0" fontId="43" fillId="0" borderId="15" xfId="0" applyFont="1" applyBorder="1" applyAlignment="1">
      <alignment horizontal="center" vertical="center" wrapText="1"/>
    </xf>
    <xf numFmtId="0" fontId="43" fillId="0" borderId="16" xfId="0" applyFont="1" applyBorder="1" applyAlignment="1">
      <alignment horizontal="center" vertical="center" wrapText="1"/>
    </xf>
    <xf numFmtId="0" fontId="10" fillId="0" borderId="23" xfId="0" applyFont="1" applyBorder="1"/>
    <xf numFmtId="0" fontId="10" fillId="0" borderId="2" xfId="0" applyFont="1" applyBorder="1"/>
    <xf numFmtId="0" fontId="10" fillId="0" borderId="9" xfId="0" applyFont="1" applyBorder="1"/>
    <xf numFmtId="0" fontId="10" fillId="0" borderId="10" xfId="0" applyFont="1" applyBorder="1"/>
    <xf numFmtId="0" fontId="45" fillId="0" borderId="2" xfId="0" applyFont="1" applyFill="1" applyBorder="1" applyAlignment="1">
      <alignment horizontal="center" vertical="center" wrapText="1"/>
    </xf>
    <xf numFmtId="0" fontId="45" fillId="0" borderId="1" xfId="0" applyFont="1" applyFill="1" applyBorder="1" applyAlignment="1">
      <alignment horizontal="center" vertical="center" wrapText="1"/>
    </xf>
    <xf numFmtId="0" fontId="45" fillId="0" borderId="8" xfId="0" applyFont="1" applyFill="1" applyBorder="1" applyAlignment="1">
      <alignment horizontal="center" vertical="center" wrapText="1"/>
    </xf>
    <xf numFmtId="3" fontId="45" fillId="0" borderId="1" xfId="0" applyNumberFormat="1" applyFont="1" applyFill="1" applyBorder="1" applyAlignment="1">
      <alignment horizontal="center" vertical="center" wrapText="1"/>
    </xf>
    <xf numFmtId="3" fontId="45" fillId="0" borderId="8" xfId="0" applyNumberFormat="1" applyFont="1" applyFill="1" applyBorder="1" applyAlignment="1">
      <alignment horizontal="center" vertical="center" wrapText="1"/>
    </xf>
    <xf numFmtId="3" fontId="45" fillId="0" borderId="10" xfId="0" applyNumberFormat="1" applyFont="1" applyFill="1" applyBorder="1" applyAlignment="1">
      <alignment horizontal="center" vertical="center" wrapText="1"/>
    </xf>
    <xf numFmtId="3" fontId="45" fillId="0" borderId="11" xfId="0" applyNumberFormat="1" applyFont="1" applyFill="1" applyBorder="1" applyAlignment="1">
      <alignment horizontal="center" vertical="center" wrapText="1"/>
    </xf>
    <xf numFmtId="0" fontId="20" fillId="0" borderId="0" xfId="0" applyFont="1" applyFill="1" applyAlignment="1">
      <alignment horizontal="center"/>
    </xf>
    <xf numFmtId="0" fontId="20" fillId="0" borderId="0" xfId="0" applyFont="1" applyFill="1" applyAlignment="1">
      <alignment horizontal="left"/>
    </xf>
    <xf numFmtId="0" fontId="21" fillId="0" borderId="0" xfId="0" applyFont="1" applyFill="1" applyAlignment="1">
      <alignment horizontal="left"/>
    </xf>
    <xf numFmtId="0" fontId="10" fillId="0" borderId="0" xfId="521" applyFont="1"/>
    <xf numFmtId="0" fontId="26" fillId="0" borderId="0" xfId="524" applyFont="1" applyFill="1"/>
    <xf numFmtId="0" fontId="10" fillId="0" borderId="0" xfId="521" applyFont="1" applyAlignment="1">
      <alignment horizontal="left"/>
    </xf>
    <xf numFmtId="0" fontId="26" fillId="0" borderId="0" xfId="524" applyFont="1"/>
    <xf numFmtId="9" fontId="10" fillId="0" borderId="0" xfId="559" applyFont="1" applyFill="1"/>
    <xf numFmtId="9" fontId="26" fillId="0" borderId="0" xfId="524" applyNumberFormat="1" applyFont="1" applyFill="1"/>
    <xf numFmtId="9" fontId="26" fillId="0" borderId="0" xfId="524" applyNumberFormat="1" applyFont="1"/>
    <xf numFmtId="0" fontId="49" fillId="0" borderId="0" xfId="524" applyFont="1"/>
    <xf numFmtId="0" fontId="50" fillId="0" borderId="0" xfId="524" applyFont="1"/>
    <xf numFmtId="0" fontId="10" fillId="0" borderId="39" xfId="521" applyFont="1" applyBorder="1"/>
    <xf numFmtId="0" fontId="10" fillId="0" borderId="26" xfId="521" applyFont="1" applyBorder="1" applyAlignment="1">
      <alignment horizontal="center"/>
    </xf>
    <xf numFmtId="0" fontId="10" fillId="0" borderId="7" xfId="521" applyFont="1" applyBorder="1"/>
    <xf numFmtId="0" fontId="10" fillId="0" borderId="2" xfId="521" applyFont="1" applyBorder="1"/>
    <xf numFmtId="3" fontId="10" fillId="0" borderId="1" xfId="521" applyNumberFormat="1" applyFont="1" applyFill="1" applyBorder="1" applyAlignment="1">
      <alignment horizontal="center"/>
    </xf>
    <xf numFmtId="167" fontId="10" fillId="0" borderId="2" xfId="558" applyNumberFormat="1" applyFont="1" applyFill="1" applyBorder="1" applyAlignment="1">
      <alignment horizontal="center"/>
    </xf>
    <xf numFmtId="10" fontId="10" fillId="0" borderId="2" xfId="558" applyNumberFormat="1" applyFont="1" applyFill="1" applyBorder="1" applyAlignment="1">
      <alignment horizontal="center"/>
    </xf>
    <xf numFmtId="0" fontId="10" fillId="0" borderId="43" xfId="521" applyFont="1" applyBorder="1"/>
    <xf numFmtId="0" fontId="10" fillId="0" borderId="9" xfId="521" applyFont="1" applyBorder="1"/>
    <xf numFmtId="10" fontId="10" fillId="0" borderId="9" xfId="558" applyNumberFormat="1" applyFont="1" applyFill="1" applyBorder="1" applyAlignment="1">
      <alignment horizontal="center"/>
    </xf>
    <xf numFmtId="0" fontId="10" fillId="0" borderId="0" xfId="521" applyFont="1" applyFill="1" applyBorder="1"/>
    <xf numFmtId="1" fontId="10" fillId="0" borderId="0" xfId="521" applyNumberFormat="1" applyFont="1" applyFill="1" applyBorder="1" applyAlignment="1">
      <alignment horizontal="center"/>
    </xf>
    <xf numFmtId="1" fontId="43" fillId="0" borderId="0" xfId="521" applyNumberFormat="1" applyFont="1" applyFill="1" applyBorder="1" applyAlignment="1">
      <alignment horizontal="center"/>
    </xf>
    <xf numFmtId="0" fontId="10" fillId="0" borderId="0" xfId="521" applyFont="1" applyFill="1"/>
    <xf numFmtId="0" fontId="10" fillId="0" borderId="0" xfId="521" applyFont="1" applyFill="1" applyBorder="1" applyAlignment="1">
      <alignment horizontal="center"/>
    </xf>
    <xf numFmtId="3" fontId="10" fillId="0" borderId="0" xfId="521" applyNumberFormat="1" applyFont="1" applyFill="1" applyBorder="1" applyAlignment="1">
      <alignment horizontal="center"/>
    </xf>
    <xf numFmtId="3" fontId="43" fillId="0" borderId="0" xfId="521" applyNumberFormat="1" applyFont="1" applyFill="1" applyBorder="1" applyAlignment="1">
      <alignment horizontal="center"/>
    </xf>
    <xf numFmtId="0" fontId="52" fillId="0" borderId="0" xfId="521" applyFont="1" applyFill="1" applyBorder="1" applyAlignment="1">
      <alignment horizontal="left" vertical="center"/>
    </xf>
    <xf numFmtId="0" fontId="10" fillId="0" borderId="1" xfId="521" applyFont="1" applyBorder="1" applyAlignment="1">
      <alignment horizontal="center"/>
    </xf>
    <xf numFmtId="0" fontId="10" fillId="0" borderId="23" xfId="521" applyFont="1" applyBorder="1" applyAlignment="1">
      <alignment horizontal="center"/>
    </xf>
    <xf numFmtId="3" fontId="43" fillId="0" borderId="1" xfId="0" applyNumberFormat="1" applyFont="1" applyBorder="1" applyAlignment="1">
      <alignment horizontal="center" vertical="center" wrapText="1"/>
    </xf>
    <xf numFmtId="3" fontId="43" fillId="0" borderId="10" xfId="0" applyNumberFormat="1" applyFont="1" applyBorder="1" applyAlignment="1">
      <alignment horizontal="center" vertical="center" wrapText="1"/>
    </xf>
    <xf numFmtId="0" fontId="53" fillId="0" borderId="0" xfId="0" applyFont="1" applyBorder="1" applyAlignment="1">
      <alignment horizontal="left" vertical="center"/>
    </xf>
    <xf numFmtId="0" fontId="45" fillId="0" borderId="0" xfId="0" applyFont="1" applyFill="1" applyBorder="1" applyAlignment="1">
      <alignment vertical="top"/>
    </xf>
    <xf numFmtId="0" fontId="10" fillId="0" borderId="0" xfId="0" applyFont="1" applyProtection="1"/>
    <xf numFmtId="0" fontId="0" fillId="0" borderId="0" xfId="0" applyAlignment="1">
      <alignment horizontal="center"/>
    </xf>
    <xf numFmtId="0" fontId="24" fillId="0" borderId="0" xfId="0" applyFont="1" applyAlignment="1">
      <alignment horizontal="center" vertical="top"/>
    </xf>
    <xf numFmtId="0" fontId="10" fillId="0" borderId="0" xfId="0" applyFont="1" applyBorder="1" applyAlignment="1" applyProtection="1">
      <alignment vertical="center"/>
    </xf>
    <xf numFmtId="0" fontId="10" fillId="0" borderId="0" xfId="0" applyFont="1" applyFill="1" applyBorder="1" applyAlignment="1" applyProtection="1">
      <alignment vertical="center"/>
    </xf>
    <xf numFmtId="171" fontId="10" fillId="0" borderId="0" xfId="383" applyNumberFormat="1" applyFont="1" applyFill="1" applyBorder="1" applyAlignment="1">
      <alignment horizontal="left"/>
    </xf>
    <xf numFmtId="0" fontId="10" fillId="0" borderId="0" xfId="0" applyFont="1" applyBorder="1" applyProtection="1"/>
    <xf numFmtId="0" fontId="10" fillId="0" borderId="0" xfId="0" applyFont="1" applyAlignment="1" applyProtection="1">
      <alignment vertical="center"/>
    </xf>
    <xf numFmtId="0" fontId="10" fillId="0" borderId="0" xfId="0" applyFont="1" applyFill="1" applyAlignment="1" applyProtection="1">
      <alignment vertical="center"/>
    </xf>
    <xf numFmtId="0" fontId="10" fillId="33" borderId="0" xfId="0" applyFont="1" applyFill="1" applyBorder="1" applyAlignment="1" applyProtection="1">
      <alignment vertical="center"/>
    </xf>
    <xf numFmtId="1" fontId="10" fillId="33" borderId="9" xfId="379" applyNumberFormat="1" applyFont="1" applyFill="1" applyBorder="1" applyAlignment="1">
      <alignment horizontal="center"/>
    </xf>
    <xf numFmtId="0" fontId="10" fillId="0" borderId="0" xfId="0" applyFont="1" applyBorder="1" applyAlignment="1">
      <alignment horizontal="center"/>
    </xf>
    <xf numFmtId="0" fontId="45" fillId="0" borderId="0" xfId="0" applyFont="1" applyFill="1" applyBorder="1" applyAlignment="1">
      <alignment horizontal="center" vertical="center" wrapText="1"/>
    </xf>
    <xf numFmtId="3" fontId="48" fillId="0" borderId="0" xfId="0" applyNumberFormat="1" applyFont="1" applyBorder="1" applyAlignment="1">
      <alignment horizontal="center" vertical="center" wrapText="1"/>
    </xf>
    <xf numFmtId="0" fontId="43" fillId="34" borderId="0" xfId="0" applyFont="1" applyFill="1" applyBorder="1" applyAlignment="1">
      <alignment horizontal="center" vertical="center" wrapText="1"/>
    </xf>
    <xf numFmtId="3" fontId="43" fillId="34" borderId="0" xfId="0" applyNumberFormat="1" applyFont="1" applyFill="1" applyBorder="1" applyAlignment="1">
      <alignment horizontal="center" vertical="center" wrapText="1"/>
    </xf>
    <xf numFmtId="10" fontId="43" fillId="34" borderId="0" xfId="0" applyNumberFormat="1" applyFont="1" applyFill="1" applyBorder="1" applyAlignment="1">
      <alignment horizontal="center" vertical="center" wrapText="1"/>
    </xf>
    <xf numFmtId="3" fontId="43" fillId="34" borderId="0" xfId="0" applyNumberFormat="1" applyFont="1" applyFill="1" applyBorder="1" applyAlignment="1">
      <alignment horizontal="left" vertical="center"/>
    </xf>
    <xf numFmtId="0" fontId="10" fillId="34" borderId="0" xfId="0" applyFont="1" applyFill="1"/>
    <xf numFmtId="0" fontId="10" fillId="34" borderId="0" xfId="0" applyFont="1" applyFill="1" applyBorder="1"/>
    <xf numFmtId="0" fontId="53" fillId="0" borderId="0" xfId="0" applyFont="1" applyFill="1" applyBorder="1" applyAlignment="1">
      <alignment horizontal="left" vertical="center"/>
    </xf>
    <xf numFmtId="0" fontId="50" fillId="0" borderId="0" xfId="0" applyFont="1" applyAlignment="1" applyProtection="1">
      <alignment horizontal="left" vertical="center"/>
    </xf>
    <xf numFmtId="0" fontId="10" fillId="0" borderId="0" xfId="0" applyFont="1" applyAlignment="1" applyProtection="1">
      <alignment horizontal="left" vertical="center"/>
    </xf>
    <xf numFmtId="0" fontId="10" fillId="0" borderId="0" xfId="0" applyFont="1" applyAlignment="1" applyProtection="1">
      <alignment horizontal="left"/>
    </xf>
    <xf numFmtId="0" fontId="10" fillId="0" borderId="0" xfId="0" applyFont="1" applyAlignment="1">
      <alignment horizontal="left" indent="1"/>
    </xf>
    <xf numFmtId="49" fontId="10" fillId="33" borderId="0" xfId="383" applyNumberFormat="1" applyFont="1" applyFill="1" applyBorder="1" applyAlignment="1">
      <alignment horizontal="center"/>
    </xf>
    <xf numFmtId="49" fontId="10" fillId="0" borderId="0" xfId="383" applyNumberFormat="1" applyFont="1" applyFill="1" applyBorder="1" applyAlignment="1">
      <alignment horizontal="center"/>
    </xf>
    <xf numFmtId="0" fontId="10" fillId="0" borderId="0" xfId="0" applyFont="1" applyFill="1" applyAlignment="1">
      <alignment horizontal="center"/>
    </xf>
    <xf numFmtId="0" fontId="25" fillId="0" borderId="0" xfId="0" applyFont="1" applyAlignment="1">
      <alignment horizontal="left" vertical="top"/>
    </xf>
    <xf numFmtId="3" fontId="43" fillId="0" borderId="1" xfId="0" applyNumberFormat="1" applyFont="1" applyBorder="1" applyAlignment="1">
      <alignment horizontal="center" vertical="center" wrapText="1"/>
    </xf>
    <xf numFmtId="3" fontId="43" fillId="0" borderId="10" xfId="0" applyNumberFormat="1" applyFont="1" applyBorder="1" applyAlignment="1">
      <alignment horizontal="center" vertical="center" wrapText="1"/>
    </xf>
    <xf numFmtId="0" fontId="10" fillId="0" borderId="38" xfId="0" applyFont="1" applyFill="1" applyBorder="1" applyAlignment="1">
      <alignment horizontal="center"/>
    </xf>
    <xf numFmtId="49" fontId="10" fillId="0" borderId="15" xfId="0" applyNumberFormat="1" applyFont="1" applyFill="1" applyBorder="1" applyAlignment="1">
      <alignment horizontal="center"/>
    </xf>
    <xf numFmtId="49" fontId="17" fillId="0" borderId="9" xfId="516" applyNumberFormat="1" applyFont="1" applyFill="1" applyBorder="1" applyAlignment="1">
      <alignment horizontal="center"/>
    </xf>
    <xf numFmtId="49" fontId="17" fillId="0" borderId="2" xfId="516" applyNumberFormat="1" applyFont="1" applyFill="1" applyBorder="1" applyAlignment="1">
      <alignment horizontal="center"/>
    </xf>
    <xf numFmtId="0" fontId="10" fillId="0" borderId="23" xfId="0" applyFont="1" applyFill="1" applyBorder="1" applyAlignment="1">
      <alignment horizontal="center"/>
    </xf>
    <xf numFmtId="0" fontId="10" fillId="0" borderId="4" xfId="0" applyFont="1" applyBorder="1" applyAlignment="1">
      <alignment horizontal="center" wrapText="1"/>
    </xf>
    <xf numFmtId="1" fontId="10" fillId="0" borderId="23" xfId="0" applyNumberFormat="1" applyFont="1" applyFill="1" applyBorder="1" applyAlignment="1">
      <alignment horizontal="center"/>
    </xf>
    <xf numFmtId="0" fontId="10" fillId="0" borderId="30" xfId="0" applyFont="1" applyFill="1" applyBorder="1" applyAlignment="1">
      <alignment horizontal="center"/>
    </xf>
    <xf numFmtId="166" fontId="10" fillId="0" borderId="1" xfId="0" applyNumberFormat="1" applyFont="1" applyFill="1" applyBorder="1" applyAlignment="1">
      <alignment horizontal="center"/>
    </xf>
    <xf numFmtId="166" fontId="10" fillId="0" borderId="8" xfId="0" applyNumberFormat="1" applyFont="1" applyFill="1" applyBorder="1" applyAlignment="1">
      <alignment horizontal="center"/>
    </xf>
    <xf numFmtId="17" fontId="10" fillId="0" borderId="23" xfId="0" applyNumberFormat="1" applyFont="1" applyBorder="1" applyAlignment="1">
      <alignment horizontal="center"/>
    </xf>
    <xf numFmtId="17" fontId="10" fillId="0" borderId="0" xfId="0" applyNumberFormat="1" applyFont="1" applyBorder="1" applyAlignment="1">
      <alignment horizontal="center"/>
    </xf>
    <xf numFmtId="0" fontId="17" fillId="0" borderId="0" xfId="0" applyFont="1"/>
    <xf numFmtId="49" fontId="45" fillId="0" borderId="7" xfId="0" applyNumberFormat="1" applyFont="1" applyBorder="1" applyAlignment="1">
      <alignment horizontal="center" vertical="center" wrapText="1"/>
    </xf>
    <xf numFmtId="49" fontId="43" fillId="0" borderId="7" xfId="0" applyNumberFormat="1" applyFont="1" applyBorder="1" applyAlignment="1">
      <alignment horizontal="center" vertical="center" wrapText="1"/>
    </xf>
    <xf numFmtId="49" fontId="43" fillId="0" borderId="27" xfId="0" applyNumberFormat="1" applyFont="1" applyBorder="1" applyAlignment="1">
      <alignment horizontal="center" vertical="center" wrapText="1"/>
    </xf>
    <xf numFmtId="49" fontId="43" fillId="0" borderId="2" xfId="0" applyNumberFormat="1" applyFont="1" applyBorder="1" applyAlignment="1">
      <alignment horizontal="center" vertical="center" wrapText="1"/>
    </xf>
    <xf numFmtId="1" fontId="10" fillId="0" borderId="0" xfId="0" applyNumberFormat="1" applyFont="1"/>
    <xf numFmtId="168" fontId="45" fillId="0" borderId="0" xfId="0" applyNumberFormat="1" applyFont="1" applyBorder="1" applyAlignment="1">
      <alignment horizontal="center" vertical="center" wrapText="1"/>
    </xf>
    <xf numFmtId="168" fontId="16" fillId="0" borderId="0" xfId="0" applyNumberFormat="1" applyFont="1" applyBorder="1" applyAlignment="1">
      <alignment horizontal="center" vertical="center" wrapText="1"/>
    </xf>
    <xf numFmtId="0" fontId="54" fillId="0" borderId="0" xfId="0" applyFont="1" applyBorder="1" applyAlignment="1">
      <alignment horizontal="center" vertical="center" wrapText="1"/>
    </xf>
    <xf numFmtId="0" fontId="54" fillId="0" borderId="0" xfId="0" applyFont="1" applyFill="1" applyBorder="1" applyAlignment="1">
      <alignment horizontal="center" vertical="center" wrapText="1"/>
    </xf>
    <xf numFmtId="9" fontId="45" fillId="0" borderId="1" xfId="557" applyFont="1" applyFill="1" applyBorder="1" applyAlignment="1">
      <alignment horizontal="center" vertical="center" wrapText="1"/>
    </xf>
    <xf numFmtId="9" fontId="43" fillId="0" borderId="1" xfId="557" applyFont="1" applyFill="1" applyBorder="1" applyAlignment="1">
      <alignment horizontal="center" vertical="center" wrapText="1"/>
    </xf>
    <xf numFmtId="9" fontId="43" fillId="0" borderId="10" xfId="557" applyFont="1" applyFill="1" applyBorder="1" applyAlignment="1">
      <alignment horizontal="center" vertical="center" wrapText="1"/>
    </xf>
    <xf numFmtId="0" fontId="45" fillId="0" borderId="46" xfId="0" applyFont="1" applyBorder="1" applyAlignment="1">
      <alignment horizontal="center" vertical="center" wrapText="1"/>
    </xf>
    <xf numFmtId="3" fontId="16" fillId="0" borderId="1" xfId="0" applyNumberFormat="1" applyFont="1" applyBorder="1" applyAlignment="1">
      <alignment horizontal="center" vertical="center" wrapText="1"/>
    </xf>
    <xf numFmtId="49" fontId="45" fillId="0" borderId="2" xfId="0" applyNumberFormat="1" applyFont="1" applyBorder="1" applyAlignment="1">
      <alignment horizontal="center" vertical="center" wrapText="1"/>
    </xf>
    <xf numFmtId="168" fontId="16" fillId="0" borderId="8" xfId="0" applyNumberFormat="1" applyFont="1" applyBorder="1" applyAlignment="1">
      <alignment horizontal="center" vertical="center" wrapText="1"/>
    </xf>
    <xf numFmtId="0" fontId="10" fillId="0" borderId="9" xfId="0" applyFont="1" applyBorder="1" applyAlignment="1">
      <alignment horizontal="center"/>
    </xf>
    <xf numFmtId="0" fontId="10" fillId="0" borderId="10" xfId="0" applyFont="1" applyBorder="1" applyAlignment="1">
      <alignment horizontal="center"/>
    </xf>
    <xf numFmtId="0" fontId="10" fillId="0" borderId="11" xfId="0" applyFont="1" applyBorder="1"/>
    <xf numFmtId="0" fontId="10" fillId="0" borderId="43" xfId="0" applyFont="1" applyBorder="1"/>
    <xf numFmtId="0" fontId="10" fillId="0" borderId="44" xfId="0" applyFont="1" applyBorder="1"/>
    <xf numFmtId="49" fontId="10" fillId="0" borderId="43" xfId="0" applyNumberFormat="1" applyFont="1" applyBorder="1"/>
    <xf numFmtId="169" fontId="10" fillId="0" borderId="23" xfId="379" applyNumberFormat="1" applyFont="1" applyFill="1" applyBorder="1" applyAlignment="1">
      <alignment horizontal="center"/>
    </xf>
    <xf numFmtId="169" fontId="10" fillId="0" borderId="1" xfId="379" applyNumberFormat="1" applyFont="1" applyFill="1" applyBorder="1" applyAlignment="1">
      <alignment horizontal="center"/>
    </xf>
    <xf numFmtId="0" fontId="10" fillId="0" borderId="19" xfId="0" applyFont="1" applyFill="1" applyBorder="1"/>
    <xf numFmtId="49" fontId="10" fillId="0" borderId="2" xfId="0" applyNumberFormat="1" applyFont="1" applyFill="1" applyBorder="1" applyAlignment="1">
      <alignment horizontal="center" vertical="center" wrapText="1"/>
    </xf>
    <xf numFmtId="49" fontId="43" fillId="0" borderId="2" xfId="0" applyNumberFormat="1" applyFont="1" applyFill="1" applyBorder="1" applyAlignment="1">
      <alignment horizontal="center" vertical="center" wrapText="1"/>
    </xf>
    <xf numFmtId="49" fontId="43" fillId="0" borderId="9" xfId="0" applyNumberFormat="1" applyFont="1" applyFill="1" applyBorder="1" applyAlignment="1">
      <alignment horizontal="center" vertical="center" wrapText="1"/>
    </xf>
    <xf numFmtId="0" fontId="43" fillId="0" borderId="0" xfId="0" applyFont="1"/>
    <xf numFmtId="0" fontId="10" fillId="0" borderId="44" xfId="521" applyFont="1" applyBorder="1" applyAlignment="1">
      <alignment horizontal="center"/>
    </xf>
    <xf numFmtId="0" fontId="10" fillId="0" borderId="10" xfId="521" applyFont="1" applyBorder="1" applyAlignment="1">
      <alignment horizontal="center"/>
    </xf>
    <xf numFmtId="0" fontId="10" fillId="0" borderId="0" xfId="521" applyFont="1" applyAlignment="1">
      <alignment horizontal="center"/>
    </xf>
    <xf numFmtId="49" fontId="10" fillId="0" borderId="26" xfId="521" applyNumberFormat="1" applyFont="1" applyBorder="1" applyAlignment="1">
      <alignment horizontal="center"/>
    </xf>
    <xf numFmtId="0" fontId="17" fillId="0" borderId="43" xfId="0" applyFont="1" applyBorder="1"/>
    <xf numFmtId="0" fontId="17" fillId="0" borderId="44" xfId="0" applyFont="1" applyBorder="1"/>
    <xf numFmtId="0" fontId="17" fillId="0" borderId="9" xfId="0" applyFont="1" applyBorder="1"/>
    <xf numFmtId="0" fontId="17" fillId="0" borderId="10" xfId="0" applyFont="1" applyBorder="1"/>
    <xf numFmtId="0" fontId="27" fillId="0" borderId="0" xfId="0" applyFont="1" applyFill="1" applyBorder="1"/>
    <xf numFmtId="0" fontId="45" fillId="0" borderId="28" xfId="0" applyFont="1" applyBorder="1" applyAlignment="1">
      <alignment horizontal="center" wrapText="1"/>
    </xf>
    <xf numFmtId="0" fontId="17" fillId="0" borderId="39" xfId="0" applyFont="1" applyBorder="1" applyAlignment="1">
      <alignment horizontal="center"/>
    </xf>
    <xf numFmtId="165" fontId="10" fillId="0" borderId="1" xfId="379" applyFont="1" applyFill="1" applyBorder="1"/>
    <xf numFmtId="1" fontId="43" fillId="33" borderId="8" xfId="0" applyNumberFormat="1" applyFont="1" applyFill="1" applyBorder="1" applyAlignment="1">
      <alignment horizontal="center"/>
    </xf>
    <xf numFmtId="166" fontId="10" fillId="0" borderId="26" xfId="0" applyNumberFormat="1" applyFont="1" applyBorder="1"/>
    <xf numFmtId="1" fontId="10" fillId="33" borderId="21" xfId="0" applyNumberFormat="1" applyFont="1" applyFill="1" applyBorder="1" applyAlignment="1">
      <alignment horizontal="center"/>
    </xf>
    <xf numFmtId="3" fontId="45" fillId="0" borderId="1" xfId="0" applyNumberFormat="1" applyFont="1" applyBorder="1" applyAlignment="1">
      <alignment horizontal="center" vertical="center" wrapText="1"/>
    </xf>
    <xf numFmtId="173" fontId="26" fillId="0" borderId="0" xfId="524" applyNumberFormat="1" applyFont="1"/>
    <xf numFmtId="174" fontId="26" fillId="0" borderId="0" xfId="524" applyNumberFormat="1" applyFont="1"/>
    <xf numFmtId="0" fontId="10" fillId="0" borderId="66" xfId="521" applyFont="1" applyBorder="1"/>
    <xf numFmtId="0" fontId="10" fillId="0" borderId="55" xfId="521" applyFont="1" applyBorder="1"/>
    <xf numFmtId="0" fontId="10" fillId="0" borderId="21" xfId="521" applyFont="1" applyBorder="1"/>
    <xf numFmtId="49" fontId="10" fillId="0" borderId="21" xfId="521" applyNumberFormat="1" applyFont="1" applyBorder="1"/>
    <xf numFmtId="0" fontId="10" fillId="0" borderId="17" xfId="521" applyFont="1" applyBorder="1"/>
    <xf numFmtId="0" fontId="10" fillId="0" borderId="22" xfId="521" applyFont="1" applyBorder="1"/>
    <xf numFmtId="175" fontId="26" fillId="0" borderId="0" xfId="379" applyNumberFormat="1" applyFont="1"/>
    <xf numFmtId="0" fontId="16" fillId="0" borderId="2" xfId="0" quotePrefix="1" applyFont="1" applyBorder="1" applyAlignment="1">
      <alignment horizontal="center" vertical="center" wrapText="1"/>
    </xf>
    <xf numFmtId="170" fontId="10" fillId="0" borderId="0" xfId="379" applyNumberFormat="1" applyFont="1" applyFill="1" applyBorder="1" applyAlignment="1">
      <alignment horizontal="center"/>
    </xf>
    <xf numFmtId="170" fontId="43" fillId="0" borderId="0" xfId="379" applyNumberFormat="1" applyFont="1" applyFill="1" applyBorder="1" applyAlignment="1">
      <alignment horizontal="center"/>
    </xf>
    <xf numFmtId="169" fontId="10" fillId="0" borderId="0" xfId="379" applyNumberFormat="1" applyFont="1" applyAlignment="1">
      <alignment horizontal="center"/>
    </xf>
    <xf numFmtId="169" fontId="10" fillId="0" borderId="0" xfId="379" applyNumberFormat="1" applyFont="1"/>
    <xf numFmtId="166" fontId="10" fillId="0" borderId="52" xfId="0" applyNumberFormat="1" applyFont="1" applyFill="1" applyBorder="1" applyAlignment="1">
      <alignment horizontal="center"/>
    </xf>
    <xf numFmtId="169" fontId="10" fillId="0" borderId="2" xfId="379" applyNumberFormat="1" applyFont="1" applyBorder="1"/>
    <xf numFmtId="0" fontId="10" fillId="0" borderId="8" xfId="0" applyFont="1" applyBorder="1"/>
    <xf numFmtId="166" fontId="10" fillId="0" borderId="11" xfId="0" applyNumberFormat="1" applyFont="1" applyFill="1" applyBorder="1" applyAlignment="1">
      <alignment horizontal="center"/>
    </xf>
    <xf numFmtId="0" fontId="17" fillId="0" borderId="1" xfId="0" applyFont="1" applyFill="1" applyBorder="1" applyAlignment="1" applyProtection="1">
      <alignment horizontal="center" wrapText="1"/>
      <protection locked="0"/>
    </xf>
    <xf numFmtId="0" fontId="10" fillId="0" borderId="0" xfId="0" applyFont="1" applyProtection="1">
      <protection locked="0"/>
    </xf>
    <xf numFmtId="0" fontId="10" fillId="0" borderId="0" xfId="0" applyFont="1" applyAlignment="1" applyProtection="1">
      <alignment horizontal="center"/>
      <protection locked="0"/>
    </xf>
    <xf numFmtId="0" fontId="25" fillId="0" borderId="0" xfId="0" applyFont="1" applyAlignment="1" applyProtection="1">
      <alignment horizontal="left"/>
      <protection locked="0"/>
    </xf>
    <xf numFmtId="0" fontId="10" fillId="0" borderId="0" xfId="0" applyFont="1" applyBorder="1" applyProtection="1">
      <protection locked="0"/>
    </xf>
    <xf numFmtId="0" fontId="10" fillId="0" borderId="1" xfId="0" applyFont="1" applyBorder="1" applyAlignment="1" applyProtection="1">
      <alignment horizontal="center"/>
      <protection locked="0"/>
    </xf>
    <xf numFmtId="49" fontId="10" fillId="0" borderId="1" xfId="0" applyNumberFormat="1" applyFont="1" applyBorder="1" applyAlignment="1" applyProtection="1">
      <alignment horizontal="center"/>
      <protection locked="0"/>
    </xf>
    <xf numFmtId="17" fontId="10" fillId="0" borderId="0" xfId="0" applyNumberFormat="1" applyFont="1" applyBorder="1" applyAlignment="1" applyProtection="1">
      <alignment horizontal="center"/>
      <protection locked="0"/>
    </xf>
    <xf numFmtId="49" fontId="10" fillId="0" borderId="1" xfId="0" applyNumberFormat="1" applyFont="1" applyBorder="1" applyAlignment="1" applyProtection="1">
      <alignment horizontal="center" wrapText="1"/>
      <protection locked="0"/>
    </xf>
    <xf numFmtId="0" fontId="17" fillId="33" borderId="1" xfId="0" applyFont="1" applyFill="1" applyBorder="1" applyAlignment="1" applyProtection="1">
      <alignment horizontal="center" wrapText="1"/>
      <protection locked="0"/>
    </xf>
    <xf numFmtId="0" fontId="57" fillId="0" borderId="0" xfId="0" applyFont="1" applyAlignment="1" applyProtection="1">
      <alignment horizontal="center"/>
      <protection locked="0"/>
    </xf>
    <xf numFmtId="0" fontId="56" fillId="0" borderId="0" xfId="0" applyFont="1" applyAlignment="1" applyProtection="1">
      <alignment horizontal="center"/>
      <protection locked="0"/>
    </xf>
    <xf numFmtId="0" fontId="56" fillId="0" borderId="1" xfId="0" applyFont="1" applyBorder="1" applyAlignment="1" applyProtection="1">
      <alignment horizontal="center"/>
      <protection locked="0"/>
    </xf>
    <xf numFmtId="166" fontId="10" fillId="0" borderId="30" xfId="0" applyNumberFormat="1" applyFont="1" applyBorder="1" applyAlignment="1">
      <alignment horizontal="center"/>
    </xf>
    <xf numFmtId="166" fontId="10" fillId="0" borderId="29" xfId="0" applyNumberFormat="1" applyFont="1" applyBorder="1" applyAlignment="1">
      <alignment horizontal="center"/>
    </xf>
    <xf numFmtId="0" fontId="0" fillId="0" borderId="0" xfId="0" applyProtection="1">
      <protection locked="0"/>
    </xf>
    <xf numFmtId="0" fontId="53" fillId="0" borderId="0" xfId="0" applyFont="1" applyBorder="1" applyAlignment="1" applyProtection="1">
      <alignment horizontal="left" vertical="center"/>
      <protection locked="0"/>
    </xf>
    <xf numFmtId="0" fontId="10" fillId="0" borderId="0" xfId="0" applyFont="1" applyFill="1" applyProtection="1">
      <protection locked="0"/>
    </xf>
    <xf numFmtId="17" fontId="10" fillId="0" borderId="23" xfId="0" applyNumberFormat="1" applyFont="1" applyBorder="1" applyAlignment="1" applyProtection="1">
      <alignment horizontal="center"/>
      <protection locked="0"/>
    </xf>
    <xf numFmtId="169" fontId="10" fillId="0" borderId="23" xfId="379" applyNumberFormat="1" applyFont="1" applyFill="1" applyBorder="1" applyAlignment="1" applyProtection="1">
      <alignment horizontal="center"/>
      <protection locked="0"/>
    </xf>
    <xf numFmtId="0" fontId="10" fillId="0" borderId="1" xfId="0" applyFont="1" applyFill="1" applyBorder="1" applyProtection="1">
      <protection locked="0"/>
    </xf>
    <xf numFmtId="165" fontId="10" fillId="0" borderId="1" xfId="379" applyFont="1" applyFill="1" applyBorder="1" applyProtection="1">
      <protection locked="0"/>
    </xf>
    <xf numFmtId="0" fontId="14" fillId="0" borderId="0" xfId="0" applyFont="1" applyProtection="1">
      <protection locked="0"/>
    </xf>
    <xf numFmtId="165" fontId="10" fillId="0" borderId="1" xfId="379" applyFont="1" applyBorder="1" applyAlignment="1" applyProtection="1">
      <alignment horizontal="center"/>
      <protection locked="0"/>
    </xf>
    <xf numFmtId="10" fontId="10" fillId="0" borderId="1" xfId="557" applyNumberFormat="1" applyFont="1" applyBorder="1" applyAlignment="1" applyProtection="1">
      <alignment horizontal="center"/>
      <protection locked="0"/>
    </xf>
    <xf numFmtId="0" fontId="18" fillId="0" borderId="0" xfId="0" applyFont="1" applyAlignment="1" applyProtection="1">
      <alignment horizontal="center"/>
      <protection locked="0"/>
    </xf>
    <xf numFmtId="0" fontId="18" fillId="0" borderId="0" xfId="0" quotePrefix="1" applyFont="1" applyAlignment="1" applyProtection="1">
      <alignment horizontal="center"/>
      <protection locked="0"/>
    </xf>
    <xf numFmtId="9" fontId="10" fillId="0" borderId="0" xfId="557" applyFont="1" applyProtection="1">
      <protection locked="0"/>
    </xf>
    <xf numFmtId="0" fontId="17" fillId="0" borderId="0" xfId="0" applyFont="1" applyProtection="1">
      <protection locked="0"/>
    </xf>
    <xf numFmtId="10" fontId="17" fillId="0" borderId="0" xfId="0" applyNumberFormat="1" applyFont="1" applyAlignment="1" applyProtection="1">
      <alignment horizontal="center"/>
      <protection locked="0"/>
    </xf>
    <xf numFmtId="0" fontId="19" fillId="0" borderId="0" xfId="0" applyFont="1" applyAlignment="1" applyProtection="1">
      <alignment horizontal="left" indent="1"/>
      <protection locked="0"/>
    </xf>
    <xf numFmtId="17" fontId="10" fillId="0" borderId="0" xfId="0" applyNumberFormat="1" applyFont="1" applyBorder="1" applyProtection="1">
      <protection locked="0"/>
    </xf>
    <xf numFmtId="172" fontId="10" fillId="0" borderId="0" xfId="379" applyNumberFormat="1" applyFont="1" applyBorder="1" applyProtection="1">
      <protection locked="0"/>
    </xf>
    <xf numFmtId="9" fontId="10" fillId="0" borderId="0" xfId="0" applyNumberFormat="1" applyFont="1" applyProtection="1">
      <protection locked="0"/>
    </xf>
    <xf numFmtId="3" fontId="10" fillId="0" borderId="0" xfId="0" applyNumberFormat="1" applyFont="1"/>
    <xf numFmtId="0" fontId="17" fillId="0" borderId="19" xfId="0" applyFont="1" applyFill="1" applyBorder="1" applyAlignment="1">
      <alignment horizontal="center"/>
    </xf>
    <xf numFmtId="3" fontId="43" fillId="0" borderId="10"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3" fontId="43" fillId="0" borderId="50" xfId="0" applyNumberFormat="1" applyFont="1" applyBorder="1" applyAlignment="1">
      <alignment horizontal="center" vertical="center" wrapText="1"/>
    </xf>
    <xf numFmtId="0" fontId="45" fillId="0" borderId="23" xfId="0" applyFont="1" applyBorder="1" applyAlignment="1">
      <alignment horizontal="center" vertical="center" wrapText="1"/>
    </xf>
    <xf numFmtId="3" fontId="43" fillId="0" borderId="1" xfId="0" applyNumberFormat="1" applyFont="1" applyBorder="1" applyAlignment="1">
      <alignment horizontal="center" vertical="center" wrapText="1"/>
    </xf>
    <xf numFmtId="1" fontId="43" fillId="33" borderId="51" xfId="0" applyNumberFormat="1" applyFont="1" applyFill="1" applyBorder="1" applyAlignment="1">
      <alignment horizontal="center"/>
    </xf>
    <xf numFmtId="1" fontId="43" fillId="33" borderId="67" xfId="0" applyNumberFormat="1" applyFont="1" applyFill="1" applyBorder="1" applyAlignment="1">
      <alignment horizontal="center"/>
    </xf>
    <xf numFmtId="0" fontId="10" fillId="0" borderId="39" xfId="0" applyFont="1" applyFill="1" applyBorder="1" applyAlignment="1">
      <alignment horizontal="left"/>
    </xf>
    <xf numFmtId="2" fontId="43" fillId="0" borderId="42" xfId="0" applyNumberFormat="1" applyFont="1" applyFill="1" applyBorder="1" applyAlignment="1">
      <alignment horizontal="center"/>
    </xf>
    <xf numFmtId="0" fontId="10" fillId="0" borderId="66" xfId="0" applyFont="1" applyFill="1" applyBorder="1" applyAlignment="1">
      <alignment horizontal="left"/>
    </xf>
    <xf numFmtId="0" fontId="10" fillId="0" borderId="26" xfId="0" applyFont="1" applyFill="1" applyBorder="1" applyAlignment="1">
      <alignment horizontal="center"/>
    </xf>
    <xf numFmtId="0" fontId="17" fillId="36" borderId="72" xfId="0" applyFont="1" applyFill="1" applyBorder="1" applyAlignment="1">
      <alignment horizontal="center"/>
    </xf>
    <xf numFmtId="0" fontId="17" fillId="36" borderId="73" xfId="0" applyFont="1" applyFill="1" applyBorder="1" applyAlignment="1">
      <alignment horizontal="center"/>
    </xf>
    <xf numFmtId="49" fontId="10" fillId="36" borderId="71" xfId="0" applyNumberFormat="1" applyFont="1" applyFill="1" applyBorder="1" applyAlignment="1">
      <alignment wrapText="1"/>
    </xf>
    <xf numFmtId="166" fontId="10" fillId="0" borderId="10" xfId="0" applyNumberFormat="1" applyFont="1" applyFill="1" applyBorder="1" applyAlignment="1">
      <alignment horizontal="center"/>
    </xf>
    <xf numFmtId="169" fontId="10" fillId="0" borderId="26" xfId="379" applyNumberFormat="1" applyFont="1" applyBorder="1"/>
    <xf numFmtId="169" fontId="10" fillId="0" borderId="1" xfId="379" applyNumberFormat="1" applyFont="1" applyBorder="1" applyAlignment="1">
      <alignment horizontal="center"/>
    </xf>
    <xf numFmtId="169" fontId="10" fillId="0" borderId="10" xfId="379" applyNumberFormat="1" applyFont="1" applyFill="1" applyBorder="1" applyAlignment="1">
      <alignment horizontal="center"/>
    </xf>
    <xf numFmtId="169" fontId="16" fillId="0" borderId="1" xfId="379" applyNumberFormat="1" applyFont="1" applyBorder="1" applyAlignment="1">
      <alignment horizontal="center"/>
    </xf>
    <xf numFmtId="169" fontId="10" fillId="33" borderId="1" xfId="379" applyNumberFormat="1" applyFont="1" applyFill="1" applyBorder="1" applyAlignment="1">
      <alignment horizontal="center"/>
    </xf>
    <xf numFmtId="169" fontId="10" fillId="33" borderId="10" xfId="379" applyNumberFormat="1" applyFont="1" applyFill="1" applyBorder="1" applyAlignment="1">
      <alignment horizontal="center"/>
    </xf>
    <xf numFmtId="169" fontId="10" fillId="0" borderId="0" xfId="0" applyNumberFormat="1" applyFont="1"/>
    <xf numFmtId="0" fontId="10" fillId="0" borderId="70" xfId="0" applyFont="1" applyBorder="1" applyAlignment="1">
      <alignment horizontal="center"/>
    </xf>
    <xf numFmtId="0" fontId="0" fillId="0" borderId="68" xfId="0" applyBorder="1"/>
    <xf numFmtId="0" fontId="65" fillId="0" borderId="0" xfId="0" applyFont="1" applyBorder="1"/>
    <xf numFmtId="0" fontId="66" fillId="0" borderId="50" xfId="0" applyFont="1" applyBorder="1"/>
    <xf numFmtId="0" fontId="66" fillId="0" borderId="54" xfId="0" applyFont="1" applyFill="1" applyBorder="1"/>
    <xf numFmtId="3" fontId="43" fillId="0" borderId="1" xfId="0" applyNumberFormat="1" applyFont="1" applyBorder="1" applyAlignment="1">
      <alignment horizontal="center" vertical="center" wrapText="1"/>
    </xf>
    <xf numFmtId="49" fontId="43" fillId="0" borderId="9" xfId="0" applyNumberFormat="1" applyFont="1" applyBorder="1" applyAlignment="1">
      <alignment horizontal="center" vertical="center" wrapText="1"/>
    </xf>
    <xf numFmtId="3" fontId="45" fillId="0" borderId="28" xfId="0" applyNumberFormat="1" applyFont="1" applyBorder="1" applyAlignment="1">
      <alignment horizontal="center" vertical="center" wrapText="1"/>
    </xf>
    <xf numFmtId="0" fontId="10" fillId="0" borderId="74" xfId="0" applyFont="1" applyBorder="1"/>
    <xf numFmtId="2" fontId="10" fillId="0" borderId="0" xfId="379" applyNumberFormat="1" applyFont="1" applyFill="1" applyBorder="1" applyAlignment="1" applyProtection="1">
      <alignment horizontal="center"/>
      <protection locked="0"/>
    </xf>
    <xf numFmtId="0" fontId="17" fillId="0" borderId="0" xfId="0" applyFont="1" applyFill="1" applyAlignment="1" applyProtection="1">
      <alignment horizontal="center" vertical="center"/>
      <protection locked="0"/>
    </xf>
    <xf numFmtId="0" fontId="56" fillId="0" borderId="1" xfId="0" applyFont="1" applyBorder="1" applyAlignment="1">
      <alignment horizontal="center"/>
    </xf>
    <xf numFmtId="168" fontId="16" fillId="0" borderId="52" xfId="0" applyNumberFormat="1" applyFont="1" applyBorder="1" applyAlignment="1">
      <alignment horizontal="center" vertical="center" wrapText="1"/>
    </xf>
    <xf numFmtId="0" fontId="56" fillId="0" borderId="15" xfId="0" applyFont="1" applyBorder="1" applyAlignment="1"/>
    <xf numFmtId="0" fontId="56" fillId="0" borderId="16" xfId="0" applyFont="1" applyBorder="1" applyAlignment="1"/>
    <xf numFmtId="0" fontId="10" fillId="0" borderId="0" xfId="0" applyFont="1" applyAlignment="1">
      <alignment horizontal="center" wrapText="1"/>
    </xf>
    <xf numFmtId="0" fontId="82" fillId="0" borderId="0" xfId="0" applyFont="1" applyAlignment="1">
      <alignment horizontal="left"/>
    </xf>
    <xf numFmtId="171" fontId="10" fillId="0" borderId="0" xfId="383" applyNumberFormat="1" applyFont="1" applyFill="1" applyBorder="1" applyAlignment="1"/>
    <xf numFmtId="0" fontId="56" fillId="0" borderId="39" xfId="0" applyFont="1" applyBorder="1" applyAlignment="1">
      <alignment horizontal="center" wrapText="1"/>
    </xf>
    <xf numFmtId="0" fontId="56" fillId="0" borderId="42" xfId="0" applyFont="1" applyBorder="1" applyAlignment="1">
      <alignment horizontal="center" wrapText="1"/>
    </xf>
    <xf numFmtId="3" fontId="56" fillId="0" borderId="30" xfId="0" applyNumberFormat="1" applyFont="1" applyBorder="1" applyAlignment="1">
      <alignment horizontal="center" vertical="center" wrapText="1"/>
    </xf>
    <xf numFmtId="3" fontId="56" fillId="0" borderId="8" xfId="0" applyNumberFormat="1" applyFont="1" applyBorder="1" applyAlignment="1">
      <alignment horizontal="center" vertical="center" wrapText="1"/>
    </xf>
    <xf numFmtId="0" fontId="56" fillId="0" borderId="51" xfId="0" applyFont="1" applyBorder="1" applyAlignment="1"/>
    <xf numFmtId="0" fontId="56" fillId="0" borderId="67" xfId="0" applyFont="1" applyBorder="1" applyAlignment="1"/>
    <xf numFmtId="3" fontId="56" fillId="0" borderId="55" xfId="0" applyNumberFormat="1" applyFont="1" applyBorder="1" applyAlignment="1">
      <alignment horizontal="center" vertical="center" wrapText="1"/>
    </xf>
    <xf numFmtId="3" fontId="56" fillId="0" borderId="21" xfId="0" applyNumberFormat="1" applyFont="1" applyBorder="1" applyAlignment="1">
      <alignment horizontal="center" vertical="center" wrapText="1"/>
    </xf>
    <xf numFmtId="3" fontId="56" fillId="0" borderId="22" xfId="0" applyNumberFormat="1" applyFont="1" applyBorder="1" applyAlignment="1">
      <alignment horizontal="center" vertical="center" wrapText="1"/>
    </xf>
    <xf numFmtId="49" fontId="56" fillId="0" borderId="1" xfId="0" applyNumberFormat="1" applyFont="1" applyBorder="1" applyAlignment="1">
      <alignment horizontal="center"/>
    </xf>
    <xf numFmtId="0" fontId="45" fillId="0" borderId="50" xfId="0" applyFont="1" applyFill="1" applyBorder="1" applyAlignment="1">
      <alignment horizontal="center" vertical="center" wrapText="1"/>
    </xf>
    <xf numFmtId="3" fontId="16" fillId="0" borderId="50" xfId="0" applyNumberFormat="1" applyFont="1" applyBorder="1" applyAlignment="1">
      <alignment horizontal="center" vertical="center" wrapText="1"/>
    </xf>
    <xf numFmtId="0" fontId="10" fillId="0" borderId="56" xfId="0" applyFont="1" applyBorder="1" applyAlignment="1">
      <alignment horizontal="center"/>
    </xf>
    <xf numFmtId="49" fontId="56" fillId="0" borderId="55" xfId="0" applyNumberFormat="1" applyFont="1" applyBorder="1" applyAlignment="1">
      <alignment horizontal="center"/>
    </xf>
    <xf numFmtId="49" fontId="56" fillId="0" borderId="21" xfId="0" applyNumberFormat="1" applyFont="1" applyBorder="1" applyAlignment="1">
      <alignment horizontal="center"/>
    </xf>
    <xf numFmtId="49" fontId="56" fillId="0" borderId="17" xfId="0" applyNumberFormat="1" applyFont="1" applyBorder="1" applyAlignment="1">
      <alignment horizontal="center"/>
    </xf>
    <xf numFmtId="0" fontId="54" fillId="0" borderId="37" xfId="636" applyFont="1" applyFill="1" applyBorder="1" applyAlignment="1">
      <alignment horizontal="center" vertical="center" wrapText="1"/>
    </xf>
    <xf numFmtId="165" fontId="16" fillId="0" borderId="1" xfId="379" applyFont="1" applyBorder="1" applyAlignment="1">
      <alignment horizontal="center" vertical="center" wrapText="1"/>
    </xf>
    <xf numFmtId="0" fontId="45" fillId="0" borderId="13" xfId="0" applyFont="1" applyFill="1" applyBorder="1" applyAlignment="1">
      <alignment horizontal="center" vertical="center" wrapText="1"/>
    </xf>
    <xf numFmtId="1" fontId="10" fillId="0" borderId="10" xfId="0" applyNumberFormat="1" applyFont="1" applyBorder="1" applyAlignment="1">
      <alignment horizontal="center"/>
    </xf>
    <xf numFmtId="3" fontId="56" fillId="0" borderId="56" xfId="0" applyNumberFormat="1" applyFont="1" applyBorder="1" applyAlignment="1">
      <alignment horizontal="center" vertical="center" wrapText="1"/>
    </xf>
    <xf numFmtId="3" fontId="56" fillId="0" borderId="50" xfId="0" applyNumberFormat="1" applyFont="1" applyBorder="1" applyAlignment="1">
      <alignment horizontal="center" vertical="center" wrapText="1"/>
    </xf>
    <xf numFmtId="172" fontId="10" fillId="0" borderId="8" xfId="379" applyNumberFormat="1" applyFont="1" applyFill="1" applyBorder="1" applyAlignment="1"/>
    <xf numFmtId="1" fontId="10" fillId="0" borderId="1" xfId="0" applyNumberFormat="1" applyFont="1" applyBorder="1" applyAlignment="1">
      <alignment horizontal="center"/>
    </xf>
    <xf numFmtId="165" fontId="10" fillId="0" borderId="1" xfId="0" applyNumberFormat="1" applyFont="1" applyBorder="1" applyAlignment="1">
      <alignment horizontal="center"/>
    </xf>
    <xf numFmtId="169" fontId="10" fillId="0" borderId="8" xfId="379" applyNumberFormat="1" applyFont="1" applyBorder="1" applyAlignment="1">
      <alignment horizontal="center"/>
    </xf>
    <xf numFmtId="169" fontId="10" fillId="0" borderId="11" xfId="379" applyNumberFormat="1" applyFont="1" applyBorder="1" applyAlignment="1">
      <alignment horizontal="center"/>
    </xf>
    <xf numFmtId="0" fontId="10" fillId="0" borderId="19" xfId="0" applyFont="1" applyBorder="1" applyAlignment="1">
      <alignment horizontal="center" wrapText="1"/>
    </xf>
    <xf numFmtId="0" fontId="10" fillId="0" borderId="12" xfId="0" applyFont="1" applyBorder="1" applyAlignment="1">
      <alignment horizontal="center" wrapText="1"/>
    </xf>
    <xf numFmtId="0" fontId="10" fillId="0" borderId="13" xfId="0" applyFont="1" applyBorder="1" applyAlignment="1">
      <alignment horizontal="center" wrapText="1"/>
    </xf>
    <xf numFmtId="175" fontId="10" fillId="0" borderId="50" xfId="0" applyNumberFormat="1" applyFont="1" applyBorder="1" applyAlignment="1">
      <alignment horizontal="center"/>
    </xf>
    <xf numFmtId="175" fontId="10" fillId="0" borderId="56" xfId="0" applyNumberFormat="1" applyFont="1" applyBorder="1" applyAlignment="1">
      <alignment horizontal="center"/>
    </xf>
    <xf numFmtId="169" fontId="10" fillId="0" borderId="21" xfId="379" applyNumberFormat="1" applyFont="1" applyBorder="1" applyAlignment="1">
      <alignment horizontal="center"/>
    </xf>
    <xf numFmtId="169" fontId="10" fillId="0" borderId="22" xfId="379" applyNumberFormat="1" applyFont="1" applyBorder="1" applyAlignment="1">
      <alignment horizontal="center"/>
    </xf>
    <xf numFmtId="0" fontId="10" fillId="0" borderId="36" xfId="0" applyFont="1" applyBorder="1" applyAlignment="1">
      <alignment horizontal="center" wrapText="1"/>
    </xf>
    <xf numFmtId="3" fontId="10" fillId="0" borderId="0" xfId="0" applyNumberFormat="1" applyFont="1" applyAlignment="1">
      <alignment horizontal="center"/>
    </xf>
    <xf numFmtId="0" fontId="85" fillId="0" borderId="0" xfId="0" applyFont="1" applyAlignment="1">
      <alignment horizontal="left"/>
    </xf>
    <xf numFmtId="1" fontId="45" fillId="0" borderId="2" xfId="0" applyNumberFormat="1" applyFont="1" applyBorder="1" applyAlignment="1">
      <alignment horizontal="center" vertical="center" wrapText="1"/>
    </xf>
    <xf numFmtId="0" fontId="45" fillId="0" borderId="19" xfId="0" applyFont="1" applyBorder="1" applyAlignment="1">
      <alignment horizontal="center" vertical="center" wrapText="1"/>
    </xf>
    <xf numFmtId="0" fontId="45" fillId="0" borderId="12" xfId="0" applyFont="1" applyBorder="1" applyAlignment="1">
      <alignment horizontal="center" vertical="center" wrapText="1"/>
    </xf>
    <xf numFmtId="0" fontId="86" fillId="0" borderId="80" xfId="0" applyFont="1" applyBorder="1"/>
    <xf numFmtId="0" fontId="86" fillId="0" borderId="81" xfId="0" quotePrefix="1" applyFont="1" applyBorder="1"/>
    <xf numFmtId="0" fontId="86" fillId="0" borderId="81" xfId="0" applyFont="1" applyBorder="1"/>
    <xf numFmtId="0" fontId="66" fillId="0" borderId="81" xfId="0" applyFont="1" applyBorder="1"/>
    <xf numFmtId="0" fontId="66" fillId="0" borderId="17" xfId="0" applyFont="1" applyBorder="1"/>
    <xf numFmtId="0" fontId="86" fillId="0" borderId="82" xfId="0" applyFont="1" applyBorder="1"/>
    <xf numFmtId="0" fontId="86" fillId="0" borderId="0" xfId="0" quotePrefix="1" applyFont="1" applyBorder="1"/>
    <xf numFmtId="0" fontId="86" fillId="0" borderId="0" xfId="0" applyFont="1" applyBorder="1"/>
    <xf numFmtId="0" fontId="66" fillId="0" borderId="0" xfId="0" applyFont="1" applyBorder="1"/>
    <xf numFmtId="0" fontId="66" fillId="0" borderId="68" xfId="0" applyFont="1" applyBorder="1"/>
    <xf numFmtId="0" fontId="86" fillId="0" borderId="54" xfId="0" applyFont="1" applyBorder="1"/>
    <xf numFmtId="0" fontId="86" fillId="0" borderId="70" xfId="0" quotePrefix="1" applyFont="1" applyBorder="1"/>
    <xf numFmtId="0" fontId="86" fillId="0" borderId="70" xfId="0" applyFont="1" applyBorder="1"/>
    <xf numFmtId="0" fontId="66" fillId="0" borderId="70" xfId="0" applyFont="1" applyBorder="1"/>
    <xf numFmtId="0" fontId="66" fillId="0" borderId="55" xfId="0" applyFont="1" applyBorder="1"/>
    <xf numFmtId="0" fontId="54" fillId="0" borderId="36" xfId="636" applyFont="1" applyFill="1" applyBorder="1" applyAlignment="1">
      <alignment horizontal="center" vertical="center" wrapText="1"/>
    </xf>
    <xf numFmtId="165" fontId="45" fillId="0" borderId="50" xfId="379" applyFont="1" applyBorder="1" applyAlignment="1">
      <alignment horizontal="center" vertical="center" wrapText="1"/>
    </xf>
    <xf numFmtId="171" fontId="10" fillId="0" borderId="8" xfId="383" applyNumberFormat="1" applyFont="1" applyFill="1" applyBorder="1" applyAlignment="1"/>
    <xf numFmtId="165" fontId="10" fillId="0" borderId="10" xfId="0" applyNumberFormat="1" applyFont="1" applyBorder="1" applyAlignment="1">
      <alignment horizontal="center"/>
    </xf>
    <xf numFmtId="175" fontId="45" fillId="0" borderId="1" xfId="379" applyNumberFormat="1" applyFont="1" applyBorder="1" applyAlignment="1">
      <alignment horizontal="center" vertical="center" wrapText="1"/>
    </xf>
    <xf numFmtId="0" fontId="54" fillId="0" borderId="35" xfId="636" applyFont="1" applyBorder="1" applyAlignment="1">
      <alignment horizontal="center" vertical="center" wrapText="1"/>
    </xf>
    <xf numFmtId="171" fontId="10" fillId="0" borderId="11" xfId="383" applyNumberFormat="1" applyFont="1" applyFill="1" applyBorder="1" applyAlignment="1"/>
    <xf numFmtId="176" fontId="16" fillId="0" borderId="1" xfId="0" applyNumberFormat="1" applyFont="1" applyBorder="1" applyAlignment="1">
      <alignment horizontal="center" vertical="center" wrapText="1"/>
    </xf>
    <xf numFmtId="175" fontId="16" fillId="0" borderId="1" xfId="379" applyNumberFormat="1" applyFont="1" applyBorder="1" applyAlignment="1">
      <alignment horizontal="center" vertical="center" wrapText="1"/>
    </xf>
    <xf numFmtId="0" fontId="26" fillId="0" borderId="0" xfId="524" applyFont="1"/>
    <xf numFmtId="10" fontId="10" fillId="0" borderId="0" xfId="559" applyNumberFormat="1" applyFont="1" applyBorder="1"/>
    <xf numFmtId="0" fontId="42" fillId="0" borderId="0" xfId="524" applyFont="1" applyBorder="1" applyAlignment="1">
      <alignment vertical="top" wrapText="1"/>
    </xf>
    <xf numFmtId="0" fontId="51" fillId="0" borderId="0" xfId="524" applyFont="1" applyBorder="1" applyAlignment="1">
      <alignment vertical="top" wrapText="1"/>
    </xf>
    <xf numFmtId="169" fontId="10" fillId="0" borderId="23" xfId="379" applyNumberFormat="1" applyFont="1" applyFill="1" applyBorder="1" applyAlignment="1">
      <alignment horizontal="center"/>
    </xf>
    <xf numFmtId="169" fontId="10" fillId="0" borderId="30" xfId="379" applyNumberFormat="1" applyFont="1" applyFill="1" applyBorder="1" applyAlignment="1">
      <alignment horizontal="center"/>
    </xf>
    <xf numFmtId="169" fontId="10" fillId="0" borderId="1" xfId="379" applyNumberFormat="1" applyFont="1" applyFill="1" applyBorder="1" applyAlignment="1">
      <alignment horizontal="center"/>
    </xf>
    <xf numFmtId="169" fontId="10" fillId="0" borderId="8" xfId="379" applyNumberFormat="1" applyFont="1" applyFill="1" applyBorder="1" applyAlignment="1">
      <alignment horizontal="center"/>
    </xf>
    <xf numFmtId="169" fontId="10" fillId="0" borderId="33" xfId="379" applyNumberFormat="1" applyFont="1" applyFill="1" applyBorder="1" applyAlignment="1">
      <alignment horizontal="center"/>
    </xf>
    <xf numFmtId="169" fontId="10" fillId="0" borderId="44" xfId="379" applyNumberFormat="1" applyFont="1" applyFill="1" applyBorder="1" applyAlignment="1">
      <alignment horizontal="center"/>
    </xf>
    <xf numFmtId="169" fontId="43" fillId="0" borderId="44" xfId="379" applyNumberFormat="1" applyFont="1" applyFill="1" applyBorder="1" applyAlignment="1">
      <alignment horizontal="center"/>
    </xf>
    <xf numFmtId="169" fontId="17" fillId="0" borderId="44" xfId="379" applyNumberFormat="1" applyFont="1" applyFill="1" applyBorder="1" applyAlignment="1">
      <alignment horizontal="center"/>
    </xf>
    <xf numFmtId="169" fontId="17" fillId="0" borderId="18" xfId="379" applyNumberFormat="1" applyFont="1" applyFill="1" applyBorder="1" applyAlignment="1">
      <alignment horizontal="center"/>
    </xf>
    <xf numFmtId="169" fontId="17" fillId="0" borderId="10" xfId="379" applyNumberFormat="1" applyFont="1" applyFill="1" applyBorder="1" applyAlignment="1">
      <alignment horizontal="center"/>
    </xf>
    <xf numFmtId="169" fontId="17" fillId="0" borderId="11" xfId="379" applyNumberFormat="1" applyFont="1" applyFill="1" applyBorder="1" applyAlignment="1">
      <alignment horizontal="center"/>
    </xf>
    <xf numFmtId="169" fontId="10" fillId="0" borderId="2" xfId="379" applyNumberFormat="1" applyFont="1" applyBorder="1"/>
    <xf numFmtId="169" fontId="10" fillId="0" borderId="9" xfId="379" applyNumberFormat="1" applyFont="1" applyBorder="1"/>
    <xf numFmtId="2" fontId="10" fillId="0" borderId="23" xfId="379" applyNumberFormat="1" applyFont="1" applyFill="1" applyBorder="1" applyAlignment="1" applyProtection="1">
      <alignment horizontal="center"/>
      <protection locked="0"/>
    </xf>
    <xf numFmtId="0" fontId="54" fillId="0" borderId="12" xfId="636" applyFont="1" applyFill="1" applyBorder="1" applyAlignment="1">
      <alignment horizontal="center" vertical="center" wrapText="1"/>
    </xf>
    <xf numFmtId="0" fontId="54" fillId="0" borderId="13" xfId="636" applyFont="1" applyFill="1" applyBorder="1" applyAlignment="1">
      <alignment horizontal="center" vertical="center" wrapText="1"/>
    </xf>
    <xf numFmtId="0" fontId="54" fillId="0" borderId="19" xfId="636" applyFont="1" applyBorder="1" applyAlignment="1">
      <alignment horizontal="center" vertical="center" wrapText="1"/>
    </xf>
    <xf numFmtId="0" fontId="17" fillId="0" borderId="17" xfId="0" applyFont="1" applyBorder="1"/>
    <xf numFmtId="0" fontId="17" fillId="0" borderId="22" xfId="0" applyFont="1" applyBorder="1"/>
    <xf numFmtId="169" fontId="10" fillId="0" borderId="1" xfId="379" applyNumberFormat="1" applyFont="1" applyFill="1" applyBorder="1" applyAlignment="1">
      <alignment horizontal="right"/>
    </xf>
    <xf numFmtId="169" fontId="43" fillId="0" borderId="1" xfId="379" applyNumberFormat="1" applyFont="1" applyFill="1" applyBorder="1" applyAlignment="1">
      <alignment horizontal="right"/>
    </xf>
    <xf numFmtId="169" fontId="43" fillId="0" borderId="8" xfId="379" applyNumberFormat="1" applyFont="1" applyFill="1" applyBorder="1" applyAlignment="1">
      <alignment horizontal="right"/>
    </xf>
    <xf numFmtId="169" fontId="10" fillId="0" borderId="44" xfId="379" applyNumberFormat="1" applyFont="1" applyFill="1" applyBorder="1" applyAlignment="1">
      <alignment horizontal="right"/>
    </xf>
    <xf numFmtId="169" fontId="43" fillId="0" borderId="44" xfId="379" applyNumberFormat="1" applyFont="1" applyFill="1" applyBorder="1" applyAlignment="1">
      <alignment horizontal="right"/>
    </xf>
    <xf numFmtId="169" fontId="43" fillId="0" borderId="18" xfId="379" applyNumberFormat="1" applyFont="1" applyFill="1" applyBorder="1" applyAlignment="1">
      <alignment horizontal="right"/>
    </xf>
    <xf numFmtId="169" fontId="17" fillId="0" borderId="44" xfId="379" applyNumberFormat="1" applyFont="1" applyFill="1" applyBorder="1" applyAlignment="1">
      <alignment horizontal="right"/>
    </xf>
    <xf numFmtId="169" fontId="17" fillId="0" borderId="18" xfId="379" applyNumberFormat="1" applyFont="1" applyFill="1" applyBorder="1" applyAlignment="1">
      <alignment horizontal="right"/>
    </xf>
    <xf numFmtId="165" fontId="17" fillId="0" borderId="44" xfId="379" applyNumberFormat="1" applyFont="1" applyFill="1" applyBorder="1" applyAlignment="1">
      <alignment horizontal="right"/>
    </xf>
    <xf numFmtId="169" fontId="17" fillId="0" borderId="10" xfId="379" applyNumberFormat="1" applyFont="1" applyFill="1" applyBorder="1" applyAlignment="1">
      <alignment horizontal="right"/>
    </xf>
    <xf numFmtId="169" fontId="17" fillId="0" borderId="11" xfId="379" applyNumberFormat="1" applyFont="1" applyFill="1" applyBorder="1" applyAlignment="1">
      <alignment horizontal="right"/>
    </xf>
    <xf numFmtId="0" fontId="51" fillId="0" borderId="0" xfId="524" applyFont="1" applyAlignment="1">
      <alignment horizontal="center" vertical="center"/>
    </xf>
    <xf numFmtId="2" fontId="10" fillId="0" borderId="7" xfId="521" applyNumberFormat="1" applyFont="1" applyBorder="1"/>
    <xf numFmtId="2" fontId="10" fillId="0" borderId="2" xfId="521" applyNumberFormat="1" applyFont="1" applyBorder="1"/>
    <xf numFmtId="2" fontId="10" fillId="0" borderId="43" xfId="521" applyNumberFormat="1" applyFont="1" applyBorder="1"/>
    <xf numFmtId="49" fontId="10" fillId="0" borderId="42" xfId="521" applyNumberFormat="1" applyFont="1" applyBorder="1" applyAlignment="1">
      <alignment horizontal="center"/>
    </xf>
    <xf numFmtId="2" fontId="10" fillId="0" borderId="19" xfId="521" applyNumberFormat="1" applyFont="1" applyBorder="1"/>
    <xf numFmtId="0" fontId="10" fillId="0" borderId="20" xfId="521" applyFont="1" applyBorder="1"/>
    <xf numFmtId="0" fontId="10" fillId="0" borderId="12" xfId="521" applyFont="1" applyBorder="1" applyAlignment="1">
      <alignment horizontal="center"/>
    </xf>
    <xf numFmtId="169" fontId="10" fillId="0" borderId="18" xfId="379" applyNumberFormat="1" applyFont="1" applyFill="1" applyBorder="1" applyAlignment="1">
      <alignment horizontal="center"/>
    </xf>
    <xf numFmtId="169" fontId="26" fillId="0" borderId="12" xfId="379" applyNumberFormat="1" applyFont="1" applyBorder="1"/>
    <xf numFmtId="169" fontId="26" fillId="0" borderId="13" xfId="379" applyNumberFormat="1" applyFont="1" applyBorder="1"/>
    <xf numFmtId="169" fontId="26" fillId="0" borderId="1" xfId="379" applyNumberFormat="1" applyFont="1" applyBorder="1"/>
    <xf numFmtId="169" fontId="26" fillId="0" borderId="8" xfId="379" applyNumberFormat="1" applyFont="1" applyBorder="1"/>
    <xf numFmtId="169" fontId="10" fillId="0" borderId="11" xfId="379" applyNumberFormat="1" applyFont="1" applyFill="1" applyBorder="1" applyAlignment="1">
      <alignment horizontal="center"/>
    </xf>
    <xf numFmtId="3" fontId="10" fillId="0" borderId="1" xfId="558" applyNumberFormat="1" applyFont="1" applyFill="1" applyBorder="1" applyAlignment="1">
      <alignment horizontal="center"/>
    </xf>
    <xf numFmtId="3" fontId="10" fillId="0" borderId="1" xfId="379" applyNumberFormat="1" applyFont="1" applyFill="1" applyBorder="1" applyAlignment="1">
      <alignment horizontal="center"/>
    </xf>
    <xf numFmtId="3" fontId="10" fillId="0" borderId="10" xfId="558" applyNumberFormat="1" applyFont="1" applyFill="1" applyBorder="1" applyAlignment="1">
      <alignment horizontal="center"/>
    </xf>
    <xf numFmtId="0" fontId="10" fillId="0" borderId="36" xfId="521" applyFont="1" applyFill="1" applyBorder="1" applyAlignment="1">
      <alignment horizontal="center" wrapText="1"/>
    </xf>
    <xf numFmtId="10" fontId="10" fillId="0" borderId="19" xfId="558" applyNumberFormat="1" applyFont="1" applyFill="1" applyBorder="1" applyAlignment="1">
      <alignment horizontal="center"/>
    </xf>
    <xf numFmtId="3" fontId="10" fillId="0" borderId="12" xfId="379" applyNumberFormat="1" applyFont="1" applyFill="1" applyBorder="1" applyAlignment="1">
      <alignment horizontal="center"/>
    </xf>
    <xf numFmtId="3" fontId="10" fillId="0" borderId="13" xfId="0" applyNumberFormat="1" applyFont="1" applyBorder="1"/>
    <xf numFmtId="3" fontId="10" fillId="0" borderId="8" xfId="0" applyNumberFormat="1" applyFont="1" applyBorder="1"/>
    <xf numFmtId="0" fontId="10" fillId="0" borderId="37" xfId="521" applyFont="1" applyFill="1" applyBorder="1" applyAlignment="1">
      <alignment horizontal="center" wrapText="1"/>
    </xf>
    <xf numFmtId="3" fontId="43" fillId="0" borderId="19" xfId="521" applyNumberFormat="1" applyFont="1" applyFill="1" applyBorder="1" applyAlignment="1">
      <alignment horizontal="center"/>
    </xf>
    <xf numFmtId="3" fontId="43" fillId="0" borderId="2" xfId="521" applyNumberFormat="1" applyFont="1" applyFill="1" applyBorder="1" applyAlignment="1">
      <alignment horizontal="center"/>
    </xf>
    <xf numFmtId="3" fontId="43" fillId="0" borderId="9" xfId="521" applyNumberFormat="1" applyFont="1" applyFill="1" applyBorder="1" applyAlignment="1">
      <alignment horizontal="center"/>
    </xf>
    <xf numFmtId="169" fontId="10" fillId="33" borderId="12" xfId="379" applyNumberFormat="1" applyFont="1" applyFill="1" applyBorder="1"/>
    <xf numFmtId="169" fontId="10" fillId="33" borderId="1" xfId="379" applyNumberFormat="1" applyFont="1" applyFill="1" applyBorder="1"/>
    <xf numFmtId="165" fontId="105" fillId="65" borderId="4" xfId="379" applyFont="1" applyFill="1" applyBorder="1" applyAlignment="1">
      <alignment horizontal="center" vertical="center"/>
    </xf>
    <xf numFmtId="0" fontId="14" fillId="0" borderId="0" xfId="0" applyFont="1" applyAlignment="1">
      <alignment horizontal="center" vertical="center"/>
    </xf>
    <xf numFmtId="3" fontId="10" fillId="0" borderId="12" xfId="521" applyNumberFormat="1" applyFont="1" applyFill="1" applyBorder="1" applyAlignment="1">
      <alignment horizontal="center"/>
    </xf>
    <xf numFmtId="0" fontId="10" fillId="0" borderId="35" xfId="521" applyFont="1" applyBorder="1" applyAlignment="1">
      <alignment horizontal="center" wrapText="1"/>
    </xf>
    <xf numFmtId="169" fontId="10" fillId="0" borderId="12" xfId="379" applyNumberFormat="1" applyFont="1" applyFill="1" applyBorder="1" applyAlignment="1">
      <alignment horizontal="center"/>
    </xf>
    <xf numFmtId="169" fontId="10" fillId="0" borderId="13" xfId="379" applyNumberFormat="1" applyFont="1" applyFill="1" applyBorder="1" applyAlignment="1">
      <alignment horizontal="center"/>
    </xf>
    <xf numFmtId="0" fontId="10" fillId="0" borderId="27" xfId="521" applyFont="1" applyBorder="1"/>
    <xf numFmtId="0" fontId="10" fillId="0" borderId="77" xfId="521" applyFont="1" applyBorder="1"/>
    <xf numFmtId="0" fontId="10" fillId="0" borderId="28" xfId="521" applyFont="1" applyBorder="1" applyAlignment="1">
      <alignment horizontal="center"/>
    </xf>
    <xf numFmtId="169" fontId="10" fillId="0" borderId="28" xfId="379" applyNumberFormat="1" applyFont="1" applyFill="1" applyBorder="1" applyAlignment="1">
      <alignment horizontal="center"/>
    </xf>
    <xf numFmtId="169" fontId="10" fillId="0" borderId="29" xfId="379" applyNumberFormat="1" applyFont="1" applyFill="1" applyBorder="1" applyAlignment="1">
      <alignment horizontal="center"/>
    </xf>
    <xf numFmtId="0" fontId="10" fillId="0" borderId="28" xfId="521" applyFont="1" applyBorder="1"/>
    <xf numFmtId="3" fontId="10" fillId="0" borderId="28" xfId="521" applyNumberFormat="1" applyFont="1" applyFill="1" applyBorder="1" applyAlignment="1">
      <alignment horizontal="center"/>
    </xf>
    <xf numFmtId="10" fontId="10" fillId="0" borderId="27" xfId="558" applyNumberFormat="1" applyFont="1" applyFill="1" applyBorder="1" applyAlignment="1">
      <alignment horizontal="center"/>
    </xf>
    <xf numFmtId="3" fontId="10" fillId="0" borderId="76" xfId="379" applyNumberFormat="1" applyFont="1" applyFill="1" applyBorder="1" applyAlignment="1">
      <alignment horizontal="center"/>
    </xf>
    <xf numFmtId="3" fontId="10" fillId="0" borderId="29" xfId="379" applyNumberFormat="1" applyFont="1" applyFill="1" applyBorder="1" applyAlignment="1">
      <alignment horizontal="center"/>
    </xf>
    <xf numFmtId="0" fontId="10" fillId="33" borderId="10" xfId="0" applyFont="1" applyFill="1" applyBorder="1"/>
    <xf numFmtId="3" fontId="43" fillId="0" borderId="27" xfId="521" applyNumberFormat="1" applyFont="1" applyFill="1" applyBorder="1" applyAlignment="1">
      <alignment horizontal="center"/>
    </xf>
    <xf numFmtId="3" fontId="10" fillId="0" borderId="29" xfId="521" applyNumberFormat="1" applyFont="1" applyFill="1" applyBorder="1" applyAlignment="1">
      <alignment horizontal="center"/>
    </xf>
    <xf numFmtId="0" fontId="17" fillId="0" borderId="32" xfId="0" applyFont="1" applyBorder="1"/>
    <xf numFmtId="0" fontId="17" fillId="0" borderId="68" xfId="0" applyFont="1" applyBorder="1"/>
    <xf numFmtId="0" fontId="17" fillId="0" borderId="33" xfId="0" applyFont="1" applyBorder="1"/>
    <xf numFmtId="169" fontId="17" fillId="0" borderId="33" xfId="379" applyNumberFormat="1" applyFont="1" applyFill="1" applyBorder="1" applyAlignment="1">
      <alignment horizontal="right"/>
    </xf>
    <xf numFmtId="169" fontId="17" fillId="0" borderId="34" xfId="379" applyNumberFormat="1" applyFont="1" applyFill="1" applyBorder="1" applyAlignment="1">
      <alignment horizontal="right"/>
    </xf>
    <xf numFmtId="0" fontId="10" fillId="0" borderId="22" xfId="0" applyFont="1" applyBorder="1"/>
    <xf numFmtId="169" fontId="10" fillId="0" borderId="10" xfId="379" applyNumberFormat="1" applyFont="1" applyFill="1" applyBorder="1" applyAlignment="1">
      <alignment horizontal="right"/>
    </xf>
    <xf numFmtId="169" fontId="43" fillId="0" borderId="10" xfId="379" applyNumberFormat="1" applyFont="1" applyFill="1" applyBorder="1" applyAlignment="1">
      <alignment horizontal="right"/>
    </xf>
    <xf numFmtId="169" fontId="43" fillId="0" borderId="11" xfId="379" applyNumberFormat="1" applyFont="1" applyFill="1" applyBorder="1" applyAlignment="1">
      <alignment horizontal="right"/>
    </xf>
    <xf numFmtId="49" fontId="10" fillId="0" borderId="32" xfId="0" applyNumberFormat="1" applyFont="1" applyBorder="1"/>
    <xf numFmtId="0" fontId="10" fillId="0" borderId="33" xfId="0" applyFont="1" applyBorder="1"/>
    <xf numFmtId="165" fontId="43" fillId="0" borderId="33" xfId="379" applyNumberFormat="1" applyFont="1" applyFill="1" applyBorder="1" applyAlignment="1">
      <alignment horizontal="center"/>
    </xf>
    <xf numFmtId="169" fontId="43" fillId="0" borderId="10" xfId="379" applyNumberFormat="1" applyFont="1" applyFill="1" applyBorder="1" applyAlignment="1">
      <alignment horizontal="center"/>
    </xf>
    <xf numFmtId="169" fontId="10" fillId="0" borderId="34" xfId="379" applyNumberFormat="1" applyFont="1" applyFill="1" applyBorder="1" applyAlignment="1">
      <alignment horizontal="center"/>
    </xf>
    <xf numFmtId="3" fontId="45" fillId="0" borderId="23" xfId="0" applyNumberFormat="1" applyFont="1" applyFill="1" applyBorder="1" applyAlignment="1">
      <alignment horizontal="center" vertical="center" wrapText="1"/>
    </xf>
    <xf numFmtId="3" fontId="45" fillId="0" borderId="30" xfId="0" applyNumberFormat="1" applyFont="1" applyFill="1" applyBorder="1" applyAlignment="1">
      <alignment horizontal="center" vertical="center" wrapText="1"/>
    </xf>
    <xf numFmtId="0" fontId="45" fillId="0" borderId="39" xfId="0" applyFont="1" applyBorder="1" applyAlignment="1">
      <alignment horizontal="center" vertical="center" wrapText="1"/>
    </xf>
    <xf numFmtId="0" fontId="45" fillId="0" borderId="26" xfId="0" applyFont="1" applyBorder="1" applyAlignment="1">
      <alignment horizontal="center" vertical="center" wrapText="1"/>
    </xf>
    <xf numFmtId="0" fontId="45" fillId="0" borderId="26" xfId="0" applyFont="1" applyFill="1" applyBorder="1" applyAlignment="1">
      <alignment horizontal="center" vertical="center" wrapText="1"/>
    </xf>
    <xf numFmtId="0" fontId="45" fillId="0" borderId="42" xfId="0" applyFont="1" applyBorder="1" applyAlignment="1">
      <alignment horizontal="center" vertical="center" wrapText="1"/>
    </xf>
    <xf numFmtId="0" fontId="45" fillId="0" borderId="28" xfId="0" applyFont="1" applyFill="1" applyBorder="1" applyAlignment="1">
      <alignment horizontal="center" vertical="center" wrapText="1"/>
    </xf>
    <xf numFmtId="0" fontId="45" fillId="0" borderId="29" xfId="0" applyFont="1" applyBorder="1" applyAlignment="1">
      <alignment horizontal="center" vertical="center" wrapText="1"/>
    </xf>
    <xf numFmtId="9" fontId="45" fillId="0" borderId="8" xfId="557" applyFont="1" applyFill="1" applyBorder="1" applyAlignment="1">
      <alignment horizontal="center" vertical="center" wrapText="1"/>
    </xf>
    <xf numFmtId="9" fontId="43" fillId="0" borderId="8" xfId="557" applyFont="1" applyFill="1" applyBorder="1" applyAlignment="1">
      <alignment horizontal="center" vertical="center" wrapText="1"/>
    </xf>
    <xf numFmtId="9" fontId="43" fillId="0" borderId="11" xfId="557" applyFont="1" applyFill="1" applyBorder="1" applyAlignment="1">
      <alignment horizontal="center" vertical="center" wrapText="1"/>
    </xf>
    <xf numFmtId="0" fontId="54" fillId="0" borderId="20" xfId="636" applyFont="1" applyBorder="1" applyAlignment="1">
      <alignment horizontal="center" vertical="center" wrapText="1"/>
    </xf>
    <xf numFmtId="0" fontId="45" fillId="0" borderId="21" xfId="0" applyFont="1" applyFill="1" applyBorder="1" applyAlignment="1">
      <alignment horizontal="center" vertical="center" wrapText="1"/>
    </xf>
    <xf numFmtId="0" fontId="43" fillId="0" borderId="21" xfId="0" applyFont="1" applyBorder="1" applyAlignment="1">
      <alignment horizontal="center" vertical="center" wrapText="1"/>
    </xf>
    <xf numFmtId="0" fontId="16" fillId="0" borderId="55" xfId="0" quotePrefix="1" applyFont="1" applyBorder="1" applyAlignment="1">
      <alignment horizontal="center" vertical="center" wrapText="1"/>
    </xf>
    <xf numFmtId="0" fontId="10" fillId="0" borderId="22" xfId="0" applyFont="1" applyBorder="1" applyAlignment="1">
      <alignment horizontal="center"/>
    </xf>
    <xf numFmtId="0" fontId="10" fillId="0" borderId="20" xfId="0" applyFont="1" applyBorder="1" applyAlignment="1">
      <alignment horizontal="center" wrapText="1"/>
    </xf>
    <xf numFmtId="49" fontId="10" fillId="0" borderId="21" xfId="0" applyNumberFormat="1" applyFont="1" applyBorder="1" applyAlignment="1">
      <alignment horizontal="center"/>
    </xf>
    <xf numFmtId="49" fontId="10" fillId="0" borderId="22" xfId="0" applyNumberFormat="1" applyFont="1" applyBorder="1" applyAlignment="1">
      <alignment horizontal="center"/>
    </xf>
    <xf numFmtId="0" fontId="16" fillId="0" borderId="21" xfId="0" quotePrefix="1" applyFont="1" applyBorder="1" applyAlignment="1">
      <alignment horizontal="center" vertical="center" wrapText="1"/>
    </xf>
    <xf numFmtId="3" fontId="43" fillId="0" borderId="23" xfId="0" applyNumberFormat="1" applyFont="1" applyBorder="1" applyAlignment="1">
      <alignment horizontal="center" vertical="center" wrapText="1"/>
    </xf>
    <xf numFmtId="0" fontId="66" fillId="0" borderId="50" xfId="0" applyFont="1" applyBorder="1" applyAlignment="1">
      <alignment horizontal="left"/>
    </xf>
    <xf numFmtId="184" fontId="107" fillId="0" borderId="1" xfId="890" applyNumberFormat="1" applyFont="1" applyBorder="1"/>
    <xf numFmtId="0" fontId="66" fillId="0" borderId="1" xfId="860" applyFont="1" applyBorder="1" applyAlignment="1">
      <alignment horizontal="center"/>
    </xf>
    <xf numFmtId="0" fontId="106" fillId="0" borderId="0" xfId="0" applyFont="1" applyProtection="1">
      <protection locked="0"/>
    </xf>
    <xf numFmtId="0" fontId="66" fillId="0" borderId="1" xfId="860" applyFont="1" applyBorder="1"/>
    <xf numFmtId="49" fontId="10" fillId="36" borderId="112" xfId="0" applyNumberFormat="1" applyFont="1" applyFill="1" applyBorder="1" applyAlignment="1">
      <alignment wrapText="1"/>
    </xf>
    <xf numFmtId="0" fontId="17" fillId="36" borderId="113" xfId="0" applyFont="1" applyFill="1" applyBorder="1" applyAlignment="1">
      <alignment horizontal="center"/>
    </xf>
    <xf numFmtId="0" fontId="17" fillId="36" borderId="114" xfId="0" applyFont="1" applyFill="1" applyBorder="1" applyAlignment="1">
      <alignment horizontal="center"/>
    </xf>
    <xf numFmtId="0" fontId="62" fillId="0" borderId="0" xfId="0" applyFont="1" applyAlignment="1">
      <alignment vertical="center" wrapText="1"/>
    </xf>
    <xf numFmtId="169" fontId="45" fillId="0" borderId="23" xfId="379" applyNumberFormat="1" applyFont="1" applyBorder="1" applyAlignment="1">
      <alignment horizontal="right" vertical="center" wrapText="1"/>
    </xf>
    <xf numFmtId="169" fontId="45" fillId="0" borderId="30" xfId="379" applyNumberFormat="1" applyFont="1" applyBorder="1" applyAlignment="1">
      <alignment horizontal="right" vertical="center" wrapText="1"/>
    </xf>
    <xf numFmtId="169" fontId="10" fillId="0" borderId="8" xfId="379" applyNumberFormat="1" applyFont="1" applyFill="1" applyBorder="1" applyAlignment="1">
      <alignment horizontal="right"/>
    </xf>
    <xf numFmtId="169" fontId="45" fillId="0" borderId="1" xfId="379" applyNumberFormat="1" applyFont="1" applyBorder="1" applyAlignment="1">
      <alignment horizontal="right" vertical="center" wrapText="1"/>
    </xf>
    <xf numFmtId="169" fontId="45" fillId="0" borderId="8" xfId="379" applyNumberFormat="1" applyFont="1" applyBorder="1" applyAlignment="1">
      <alignment horizontal="right" vertical="center" wrapText="1"/>
    </xf>
    <xf numFmtId="0" fontId="24" fillId="0" borderId="0" xfId="0" applyFont="1" applyAlignment="1">
      <alignment horizontal="center" vertical="top"/>
    </xf>
    <xf numFmtId="0" fontId="14" fillId="0" borderId="0" xfId="0" applyFont="1"/>
    <xf numFmtId="1" fontId="10" fillId="33" borderId="67" xfId="0" applyNumberFormat="1" applyFont="1" applyFill="1" applyBorder="1" applyAlignment="1">
      <alignment horizontal="center"/>
    </xf>
    <xf numFmtId="169" fontId="10" fillId="0" borderId="28" xfId="379" applyNumberFormat="1" applyFont="1" applyBorder="1"/>
    <xf numFmtId="0" fontId="10" fillId="0" borderId="51" xfId="0" applyFont="1" applyFill="1" applyBorder="1" applyAlignment="1">
      <alignment horizontal="center"/>
    </xf>
    <xf numFmtId="0" fontId="109" fillId="0" borderId="0" xfId="0" applyFont="1" applyAlignment="1" applyProtection="1">
      <alignment horizontal="right"/>
      <protection locked="0"/>
    </xf>
    <xf numFmtId="166" fontId="10" fillId="0" borderId="28" xfId="0" applyNumberFormat="1" applyFont="1" applyBorder="1"/>
    <xf numFmtId="1" fontId="10" fillId="33" borderId="51" xfId="0" applyNumberFormat="1" applyFont="1" applyFill="1" applyBorder="1" applyAlignment="1">
      <alignment horizontal="center"/>
    </xf>
    <xf numFmtId="17" fontId="10" fillId="65" borderId="23" xfId="0" applyNumberFormat="1" applyFont="1" applyFill="1" applyBorder="1" applyAlignment="1" applyProtection="1">
      <alignment horizontal="center"/>
      <protection locked="0"/>
    </xf>
    <xf numFmtId="3" fontId="10" fillId="33" borderId="2" xfId="0" applyNumberFormat="1" applyFont="1" applyFill="1" applyBorder="1" applyAlignment="1">
      <alignment horizontal="center"/>
    </xf>
    <xf numFmtId="3" fontId="10" fillId="33" borderId="1" xfId="379" applyNumberFormat="1" applyFont="1" applyFill="1" applyBorder="1" applyAlignment="1">
      <alignment horizontal="center"/>
    </xf>
    <xf numFmtId="3" fontId="10" fillId="33" borderId="23" xfId="379" applyNumberFormat="1" applyFont="1" applyFill="1" applyBorder="1" applyAlignment="1">
      <alignment horizontal="center" vertical="center"/>
    </xf>
    <xf numFmtId="169" fontId="10" fillId="33" borderId="1" xfId="379" applyNumberFormat="1" applyFont="1" applyFill="1" applyBorder="1" applyAlignment="1">
      <alignment horizontal="center"/>
    </xf>
    <xf numFmtId="169" fontId="10" fillId="33" borderId="1" xfId="379" applyNumberFormat="1" applyFont="1" applyFill="1" applyBorder="1" applyAlignment="1">
      <alignment horizontal="center"/>
    </xf>
    <xf numFmtId="2" fontId="10" fillId="33" borderId="23" xfId="379" applyNumberFormat="1" applyFont="1" applyFill="1" applyBorder="1" applyAlignment="1">
      <alignment horizontal="center"/>
    </xf>
    <xf numFmtId="2" fontId="10" fillId="33" borderId="1" xfId="379" applyNumberFormat="1" applyFont="1" applyFill="1" applyBorder="1" applyAlignment="1">
      <alignment horizontal="center"/>
    </xf>
    <xf numFmtId="165" fontId="10" fillId="0" borderId="1" xfId="379" applyFont="1" applyBorder="1" applyAlignment="1">
      <alignment horizontal="center"/>
    </xf>
    <xf numFmtId="10" fontId="10" fillId="0" borderId="1" xfId="933" applyNumberFormat="1" applyFont="1" applyBorder="1" applyAlignment="1">
      <alignment horizontal="center"/>
    </xf>
    <xf numFmtId="49" fontId="10" fillId="0" borderId="1" xfId="1413" applyNumberFormat="1" applyFont="1" applyBorder="1" applyAlignment="1">
      <alignment horizontal="center"/>
    </xf>
    <xf numFmtId="0" fontId="17" fillId="0" borderId="1" xfId="1413" applyFont="1" applyBorder="1" applyAlignment="1">
      <alignment horizontal="center"/>
    </xf>
    <xf numFmtId="0" fontId="17" fillId="0" borderId="1" xfId="521" applyFont="1" applyBorder="1" applyAlignment="1">
      <alignment horizontal="center"/>
    </xf>
    <xf numFmtId="0" fontId="10" fillId="0" borderId="0" xfId="0" applyFont="1"/>
    <xf numFmtId="0" fontId="10" fillId="0" borderId="0" xfId="0" applyFont="1" applyFill="1" applyBorder="1" applyAlignment="1">
      <alignment horizontal="center"/>
    </xf>
    <xf numFmtId="0" fontId="10" fillId="0" borderId="17" xfId="0" applyFont="1" applyFill="1" applyBorder="1" applyAlignment="1">
      <alignment horizontal="center"/>
    </xf>
    <xf numFmtId="0" fontId="10" fillId="0" borderId="20" xfId="0" applyFont="1" applyFill="1" applyBorder="1" applyAlignment="1">
      <alignment horizontal="left"/>
    </xf>
    <xf numFmtId="3" fontId="45" fillId="0" borderId="1" xfId="0" applyNumberFormat="1" applyFont="1" applyBorder="1" applyAlignment="1">
      <alignment horizontal="center" vertical="center" wrapText="1"/>
    </xf>
    <xf numFmtId="3" fontId="43" fillId="33" borderId="8" xfId="0" applyNumberFormat="1" applyFont="1" applyFill="1" applyBorder="1" applyAlignment="1">
      <alignment horizontal="center"/>
    </xf>
    <xf numFmtId="3" fontId="10" fillId="33" borderId="1" xfId="0" applyNumberFormat="1" applyFont="1" applyFill="1" applyBorder="1" applyAlignment="1">
      <alignment horizontal="center"/>
    </xf>
    <xf numFmtId="3" fontId="10" fillId="33" borderId="2" xfId="379" applyNumberFormat="1" applyFont="1" applyFill="1" applyBorder="1" applyAlignment="1">
      <alignment horizontal="center"/>
    </xf>
    <xf numFmtId="3" fontId="10" fillId="33" borderId="21" xfId="0" applyNumberFormat="1" applyFont="1" applyFill="1" applyBorder="1" applyAlignment="1">
      <alignment horizontal="center"/>
    </xf>
    <xf numFmtId="3" fontId="10" fillId="33" borderId="21" xfId="379" applyNumberFormat="1" applyFont="1" applyFill="1" applyBorder="1" applyAlignment="1">
      <alignment horizontal="center"/>
    </xf>
    <xf numFmtId="0" fontId="0" fillId="0" borderId="0" xfId="0" applyFill="1" applyBorder="1" applyAlignment="1"/>
    <xf numFmtId="0" fontId="0" fillId="0" borderId="25" xfId="0" applyFill="1" applyBorder="1" applyAlignment="1"/>
    <xf numFmtId="0" fontId="59" fillId="0" borderId="24" xfId="0" applyFont="1" applyFill="1" applyBorder="1" applyAlignment="1">
      <alignment horizontal="center"/>
    </xf>
    <xf numFmtId="0" fontId="59" fillId="0" borderId="24" xfId="0" applyFont="1" applyFill="1" applyBorder="1" applyAlignment="1">
      <alignment horizontal="centerContinuous"/>
    </xf>
    <xf numFmtId="0" fontId="17" fillId="0" borderId="27" xfId="0" applyFont="1" applyBorder="1" applyAlignment="1">
      <alignment horizontal="center"/>
    </xf>
    <xf numFmtId="0" fontId="61" fillId="0" borderId="81" xfId="0" applyFont="1" applyFill="1" applyBorder="1" applyAlignment="1" applyProtection="1">
      <alignment vertical="center" wrapText="1"/>
      <protection locked="0"/>
    </xf>
    <xf numFmtId="17" fontId="10" fillId="0" borderId="1" xfId="0" applyNumberFormat="1" applyFont="1" applyBorder="1" applyAlignment="1" applyProtection="1">
      <alignment horizontal="center"/>
      <protection locked="0"/>
    </xf>
    <xf numFmtId="0" fontId="17" fillId="0" borderId="1" xfId="0" applyFont="1" applyBorder="1" applyAlignment="1" applyProtection="1">
      <alignment horizontal="center" wrapText="1"/>
      <protection locked="0"/>
    </xf>
    <xf numFmtId="169" fontId="10" fillId="0" borderId="1" xfId="379" applyNumberFormat="1" applyFont="1" applyFill="1" applyBorder="1" applyAlignment="1" applyProtection="1">
      <alignment horizontal="center"/>
      <protection locked="0"/>
    </xf>
    <xf numFmtId="0" fontId="111" fillId="0" borderId="0" xfId="0" applyFont="1" applyProtection="1">
      <protection locked="0"/>
    </xf>
    <xf numFmtId="0" fontId="17" fillId="0" borderId="44" xfId="0" applyFont="1" applyBorder="1" applyAlignment="1" applyProtection="1">
      <alignment horizontal="center"/>
      <protection locked="0"/>
    </xf>
    <xf numFmtId="2" fontId="17" fillId="33" borderId="23" xfId="379" applyNumberFormat="1" applyFont="1" applyFill="1" applyBorder="1" applyAlignment="1" applyProtection="1">
      <alignment horizontal="center" wrapText="1"/>
      <protection locked="0"/>
    </xf>
    <xf numFmtId="2" fontId="17" fillId="33" borderId="1" xfId="379" applyNumberFormat="1" applyFont="1" applyFill="1" applyBorder="1" applyAlignment="1" applyProtection="1">
      <alignment horizontal="center" wrapText="1"/>
      <protection locked="0"/>
    </xf>
    <xf numFmtId="0" fontId="17" fillId="0" borderId="0" xfId="0" applyFont="1" applyAlignment="1" applyProtection="1">
      <alignment horizontal="center"/>
      <protection locked="0"/>
    </xf>
    <xf numFmtId="2" fontId="21" fillId="33" borderId="4" xfId="379" applyNumberFormat="1" applyFont="1" applyFill="1" applyBorder="1" applyAlignment="1" applyProtection="1">
      <alignment horizontal="center"/>
      <protection locked="0"/>
    </xf>
    <xf numFmtId="0" fontId="56" fillId="0" borderId="0" xfId="0" applyFont="1" applyBorder="1" applyAlignment="1">
      <alignment horizontal="center"/>
    </xf>
    <xf numFmtId="0" fontId="56" fillId="0" borderId="0" xfId="0" applyFont="1" applyBorder="1" applyAlignment="1"/>
    <xf numFmtId="0" fontId="49" fillId="0" borderId="0" xfId="767" applyFont="1"/>
    <xf numFmtId="49" fontId="10" fillId="0" borderId="0" xfId="768" applyNumberFormat="1" applyFont="1" applyBorder="1" applyAlignment="1">
      <alignment vertical="top" wrapText="1"/>
    </xf>
    <xf numFmtId="49" fontId="49" fillId="0" borderId="0" xfId="767" applyNumberFormat="1" applyFont="1" applyAlignment="1">
      <alignment vertical="top" wrapText="1"/>
    </xf>
    <xf numFmtId="0" fontId="50" fillId="34" borderId="45" xfId="767" applyFont="1" applyFill="1" applyBorder="1" applyAlignment="1">
      <alignment horizontal="right"/>
    </xf>
    <xf numFmtId="0" fontId="50" fillId="34" borderId="0" xfId="767" applyFont="1" applyFill="1" applyBorder="1" applyAlignment="1">
      <alignment horizontal="right"/>
    </xf>
    <xf numFmtId="0" fontId="50" fillId="34" borderId="41" xfId="767" applyFont="1" applyFill="1" applyBorder="1" applyAlignment="1">
      <alignment horizontal="right"/>
    </xf>
    <xf numFmtId="0" fontId="49" fillId="0" borderId="45" xfId="767" applyFont="1" applyBorder="1"/>
    <xf numFmtId="10" fontId="20" fillId="0" borderId="0" xfId="769" applyNumberFormat="1" applyFont="1" applyBorder="1"/>
    <xf numFmtId="10" fontId="20" fillId="0" borderId="99" xfId="769" applyNumberFormat="1" applyFont="1" applyBorder="1"/>
    <xf numFmtId="10" fontId="20" fillId="0" borderId="41" xfId="769" applyNumberFormat="1" applyFont="1" applyBorder="1"/>
    <xf numFmtId="0" fontId="49" fillId="0" borderId="0" xfId="767" applyFont="1" applyBorder="1"/>
    <xf numFmtId="0" fontId="49" fillId="0" borderId="93" xfId="767" applyFont="1" applyBorder="1"/>
    <xf numFmtId="0" fontId="49" fillId="0" borderId="98" xfId="767" applyFont="1" applyBorder="1"/>
    <xf numFmtId="10" fontId="20" fillId="0" borderId="100" xfId="769" applyNumberFormat="1" applyFont="1" applyBorder="1"/>
    <xf numFmtId="10" fontId="20" fillId="0" borderId="94" xfId="769" applyNumberFormat="1" applyFont="1" applyBorder="1"/>
    <xf numFmtId="0" fontId="50" fillId="0" borderId="45" xfId="767" applyFont="1" applyBorder="1"/>
    <xf numFmtId="10" fontId="50" fillId="0" borderId="0" xfId="767" applyNumberFormat="1" applyFont="1" applyBorder="1"/>
    <xf numFmtId="10" fontId="50" fillId="0" borderId="99" xfId="767" applyNumberFormat="1" applyFont="1" applyBorder="1"/>
    <xf numFmtId="10" fontId="50" fillId="0" borderId="41" xfId="767" applyNumberFormat="1" applyFont="1" applyBorder="1"/>
    <xf numFmtId="165" fontId="20" fillId="33" borderId="0" xfId="768" applyNumberFormat="1" applyFont="1" applyFill="1" applyBorder="1"/>
    <xf numFmtId="165" fontId="20" fillId="33" borderId="17" xfId="768" applyNumberFormat="1" applyFont="1" applyFill="1" applyBorder="1"/>
    <xf numFmtId="165" fontId="20" fillId="0" borderId="41" xfId="768" applyNumberFormat="1" applyFont="1" applyBorder="1"/>
    <xf numFmtId="165" fontId="20" fillId="0" borderId="0" xfId="768" applyNumberFormat="1" applyFont="1" applyBorder="1"/>
    <xf numFmtId="165" fontId="20" fillId="33" borderId="103" xfId="768" applyNumberFormat="1" applyFont="1" applyFill="1" applyBorder="1"/>
    <xf numFmtId="165" fontId="20" fillId="33" borderId="110" xfId="768" applyNumberFormat="1" applyFont="1" applyFill="1" applyBorder="1"/>
    <xf numFmtId="165" fontId="20" fillId="0" borderId="98" xfId="768" applyNumberFormat="1" applyFont="1" applyBorder="1"/>
    <xf numFmtId="165" fontId="20" fillId="0" borderId="111" xfId="768" applyNumberFormat="1" applyFont="1" applyBorder="1"/>
    <xf numFmtId="165" fontId="20" fillId="0" borderId="94" xfId="768" applyNumberFormat="1" applyFont="1" applyBorder="1"/>
    <xf numFmtId="0" fontId="50" fillId="0" borderId="46" xfId="767" applyFont="1" applyBorder="1"/>
    <xf numFmtId="165" fontId="50" fillId="0" borderId="25" xfId="768" applyNumberFormat="1" applyFont="1" applyBorder="1"/>
    <xf numFmtId="165" fontId="50" fillId="0" borderId="101" xfId="768" applyNumberFormat="1" applyFont="1" applyBorder="1"/>
    <xf numFmtId="165" fontId="50" fillId="0" borderId="40" xfId="768" applyNumberFormat="1" applyFont="1" applyBorder="1"/>
    <xf numFmtId="0" fontId="50" fillId="0" borderId="0" xfId="767" applyFont="1" applyBorder="1"/>
    <xf numFmtId="165" fontId="50" fillId="0" borderId="0" xfId="768" applyNumberFormat="1" applyFont="1" applyBorder="1"/>
    <xf numFmtId="0" fontId="50" fillId="62" borderId="45" xfId="767" applyFont="1" applyFill="1" applyBorder="1" applyAlignment="1">
      <alignment horizontal="right"/>
    </xf>
    <xf numFmtId="0" fontId="50" fillId="62" borderId="0" xfId="767" applyFont="1" applyFill="1" applyBorder="1" applyAlignment="1">
      <alignment horizontal="right"/>
    </xf>
    <xf numFmtId="0" fontId="50" fillId="62" borderId="41" xfId="767" applyFont="1" applyFill="1" applyBorder="1" applyAlignment="1">
      <alignment horizontal="right"/>
    </xf>
    <xf numFmtId="10" fontId="20" fillId="61" borderId="0" xfId="769" applyNumberFormat="1" applyFont="1" applyFill="1" applyBorder="1"/>
    <xf numFmtId="10" fontId="20" fillId="61" borderId="99" xfId="769" applyNumberFormat="1" applyFont="1" applyFill="1" applyBorder="1"/>
    <xf numFmtId="0" fontId="50" fillId="0" borderId="104" xfId="767" applyFont="1" applyBorder="1"/>
    <xf numFmtId="10" fontId="50" fillId="0" borderId="105" xfId="767" applyNumberFormat="1" applyFont="1" applyBorder="1"/>
    <xf numFmtId="10" fontId="50" fillId="0" borderId="106" xfId="767" applyNumberFormat="1" applyFont="1" applyBorder="1"/>
    <xf numFmtId="10" fontId="50" fillId="0" borderId="107" xfId="767" applyNumberFormat="1" applyFont="1" applyBorder="1"/>
    <xf numFmtId="165" fontId="20" fillId="61" borderId="0" xfId="768" applyNumberFormat="1" applyFont="1" applyFill="1" applyBorder="1"/>
    <xf numFmtId="165" fontId="20" fillId="61" borderId="99" xfId="768" applyNumberFormat="1" applyFont="1" applyFill="1" applyBorder="1"/>
    <xf numFmtId="165" fontId="20" fillId="61" borderId="103" xfId="768" applyNumberFormat="1" applyFont="1" applyFill="1" applyBorder="1"/>
    <xf numFmtId="165" fontId="20" fillId="61" borderId="102" xfId="768" applyNumberFormat="1" applyFont="1" applyFill="1" applyBorder="1"/>
    <xf numFmtId="165" fontId="20" fillId="0" borderId="0" xfId="768" applyNumberFormat="1" applyFont="1" applyFill="1" applyBorder="1"/>
    <xf numFmtId="165" fontId="20" fillId="33" borderId="100" xfId="768" applyNumberFormat="1" applyFont="1" applyFill="1" applyBorder="1"/>
    <xf numFmtId="0" fontId="49" fillId="0" borderId="0" xfId="767" applyFont="1" applyBorder="1" applyAlignment="1">
      <alignment vertical="top" wrapText="1"/>
    </xf>
    <xf numFmtId="0" fontId="49" fillId="0" borderId="0" xfId="767" applyFont="1" applyAlignment="1">
      <alignment vertical="top" wrapText="1"/>
    </xf>
    <xf numFmtId="0" fontId="50" fillId="34" borderId="45" xfId="767" applyFont="1" applyFill="1" applyBorder="1" applyAlignment="1">
      <alignment horizontal="center"/>
    </xf>
    <xf numFmtId="0" fontId="50" fillId="34" borderId="0" xfId="767" applyFont="1" applyFill="1" applyBorder="1" applyAlignment="1">
      <alignment horizontal="center"/>
    </xf>
    <xf numFmtId="0" fontId="50" fillId="34" borderId="41" xfId="767" applyFont="1" applyFill="1" applyBorder="1" applyAlignment="1">
      <alignment horizontal="center"/>
    </xf>
    <xf numFmtId="0" fontId="50" fillId="35" borderId="41" xfId="767" applyFont="1" applyFill="1" applyBorder="1" applyAlignment="1">
      <alignment horizontal="center"/>
    </xf>
    <xf numFmtId="0" fontId="50" fillId="34" borderId="38" xfId="767" applyFont="1" applyFill="1" applyBorder="1" applyAlignment="1">
      <alignment horizontal="center"/>
    </xf>
    <xf numFmtId="0" fontId="50" fillId="34" borderId="70" xfId="767" applyFont="1" applyFill="1" applyBorder="1" applyAlignment="1">
      <alignment horizontal="center"/>
    </xf>
    <xf numFmtId="0" fontId="50" fillId="34" borderId="78" xfId="767" applyFont="1" applyFill="1" applyBorder="1" applyAlignment="1">
      <alignment horizontal="center"/>
    </xf>
    <xf numFmtId="0" fontId="49" fillId="34" borderId="45" xfId="767" applyFont="1" applyFill="1" applyBorder="1" applyAlignment="1">
      <alignment vertical="top"/>
    </xf>
    <xf numFmtId="0" fontId="49" fillId="34" borderId="0" xfId="767" applyFont="1" applyFill="1" applyBorder="1" applyAlignment="1">
      <alignment vertical="top"/>
    </xf>
    <xf numFmtId="0" fontId="50" fillId="34" borderId="41" xfId="767" applyFont="1" applyFill="1" applyBorder="1" applyAlignment="1">
      <alignment horizontal="center" wrapText="1"/>
    </xf>
    <xf numFmtId="0" fontId="50" fillId="34" borderId="70" xfId="767" applyFont="1" applyFill="1" applyBorder="1" applyAlignment="1">
      <alignment horizontal="center" vertical="center"/>
    </xf>
    <xf numFmtId="0" fontId="50" fillId="34" borderId="78" xfId="767" applyFont="1" applyFill="1" applyBorder="1" applyAlignment="1">
      <alignment horizontal="center" vertical="center" wrapText="1"/>
    </xf>
    <xf numFmtId="0" fontId="49" fillId="0" borderId="45" xfId="767" applyFont="1" applyFill="1" applyBorder="1" applyAlignment="1">
      <alignment vertical="top"/>
    </xf>
    <xf numFmtId="0" fontId="49" fillId="0" borderId="0" xfId="767" applyFont="1" applyFill="1" applyBorder="1" applyAlignment="1">
      <alignment vertical="top"/>
    </xf>
    <xf numFmtId="0" fontId="50" fillId="33" borderId="0" xfId="767" applyFont="1" applyFill="1" applyBorder="1" applyAlignment="1">
      <alignment vertical="top"/>
    </xf>
    <xf numFmtId="0" fontId="50" fillId="0" borderId="0" xfId="767" applyFont="1" applyFill="1" applyBorder="1" applyAlignment="1">
      <alignment vertical="top"/>
    </xf>
    <xf numFmtId="0" fontId="50" fillId="0" borderId="41" xfId="767" applyFont="1" applyFill="1" applyBorder="1" applyAlignment="1">
      <alignment horizontal="center" vertical="top" wrapText="1"/>
    </xf>
    <xf numFmtId="0" fontId="49" fillId="0" borderId="93" xfId="767" applyFont="1" applyFill="1" applyBorder="1" applyAlignment="1">
      <alignment vertical="top"/>
    </xf>
    <xf numFmtId="0" fontId="49" fillId="0" borderId="98" xfId="767" applyFont="1" applyFill="1" applyBorder="1" applyAlignment="1">
      <alignment vertical="top"/>
    </xf>
    <xf numFmtId="0" fontId="50" fillId="33" borderId="98" xfId="767" applyFont="1" applyFill="1" applyBorder="1" applyAlignment="1">
      <alignment vertical="top"/>
    </xf>
    <xf numFmtId="0" fontId="49" fillId="0" borderId="25" xfId="767" applyFont="1" applyFill="1" applyBorder="1"/>
    <xf numFmtId="0" fontId="49" fillId="0" borderId="25" xfId="767" applyFont="1" applyBorder="1"/>
    <xf numFmtId="10" fontId="10" fillId="0" borderId="40" xfId="769" applyNumberFormat="1" applyFont="1" applyBorder="1"/>
    <xf numFmtId="0" fontId="50" fillId="0" borderId="0" xfId="767" applyFont="1" applyBorder="1" applyAlignment="1">
      <alignment vertical="top" wrapText="1"/>
    </xf>
    <xf numFmtId="0" fontId="49" fillId="0" borderId="0" xfId="767" applyFont="1" applyFill="1" applyBorder="1"/>
    <xf numFmtId="10" fontId="10" fillId="0" borderId="0" xfId="769" applyNumberFormat="1" applyFont="1" applyBorder="1"/>
    <xf numFmtId="0" fontId="50" fillId="0" borderId="0" xfId="767" applyFont="1" applyFill="1" applyBorder="1" applyAlignment="1">
      <alignment vertical="top" wrapText="1"/>
    </xf>
    <xf numFmtId="0" fontId="50" fillId="0" borderId="47" xfId="767" applyFont="1" applyBorder="1" applyAlignment="1">
      <alignment vertical="top" wrapText="1"/>
    </xf>
    <xf numFmtId="0" fontId="50" fillId="0" borderId="48" xfId="767" applyFont="1" applyFill="1" applyBorder="1" applyAlignment="1">
      <alignment horizontal="center" vertical="center" wrapText="1"/>
    </xf>
    <xf numFmtId="0" fontId="21" fillId="0" borderId="48" xfId="796" applyNumberFormat="1" applyFont="1" applyBorder="1" applyAlignment="1">
      <alignment horizontal="center" vertical="center"/>
    </xf>
    <xf numFmtId="0" fontId="49" fillId="0" borderId="49" xfId="767" applyFont="1" applyBorder="1"/>
    <xf numFmtId="0" fontId="50" fillId="0" borderId="45" xfId="767" applyFont="1" applyBorder="1" applyAlignment="1">
      <alignment horizontal="left" vertical="center" wrapText="1"/>
    </xf>
    <xf numFmtId="0" fontId="50" fillId="35" borderId="1" xfId="767" applyFont="1" applyFill="1" applyBorder="1" applyAlignment="1">
      <alignment horizontal="center" vertical="center" wrapText="1"/>
    </xf>
    <xf numFmtId="10" fontId="10" fillId="0" borderId="41" xfId="769" applyNumberFormat="1" applyFont="1" applyBorder="1" applyAlignment="1">
      <alignment horizontal="center" vertical="center" wrapText="1"/>
    </xf>
    <xf numFmtId="0" fontId="114" fillId="0" borderId="46" xfId="767" applyFont="1" applyBorder="1" applyAlignment="1">
      <alignment horizontal="left" vertical="top" wrapText="1"/>
    </xf>
    <xf numFmtId="0" fontId="115" fillId="0" borderId="25" xfId="767" applyFont="1" applyBorder="1" applyAlignment="1">
      <alignment vertical="top" wrapText="1"/>
    </xf>
    <xf numFmtId="0" fontId="114" fillId="0" borderId="0" xfId="767" applyFont="1" applyBorder="1" applyAlignment="1">
      <alignment horizontal="left" vertical="top" wrapText="1"/>
    </xf>
    <xf numFmtId="0" fontId="115" fillId="0" borderId="0" xfId="767" applyFont="1" applyBorder="1" applyAlignment="1">
      <alignment vertical="top" wrapText="1"/>
    </xf>
    <xf numFmtId="0" fontId="112" fillId="0" borderId="0" xfId="767" applyFont="1" applyBorder="1" applyAlignment="1">
      <alignment horizontal="center" vertical="top" wrapText="1"/>
    </xf>
    <xf numFmtId="0" fontId="49" fillId="0" borderId="35" xfId="767" applyFont="1" applyBorder="1"/>
    <xf numFmtId="0" fontId="49" fillId="0" borderId="7" xfId="767" applyFont="1" applyBorder="1"/>
    <xf numFmtId="0" fontId="49" fillId="0" borderId="32" xfId="767" applyFont="1" applyBorder="1" applyAlignment="1">
      <alignment wrapText="1"/>
    </xf>
    <xf numFmtId="165" fontId="49" fillId="0" borderId="0" xfId="767" applyNumberFormat="1" applyFont="1" applyBorder="1" applyAlignment="1">
      <alignment horizontal="center" vertical="center"/>
    </xf>
    <xf numFmtId="165" fontId="49" fillId="0" borderId="41" xfId="767" applyNumberFormat="1" applyFont="1" applyBorder="1" applyAlignment="1">
      <alignment horizontal="center" vertical="center"/>
    </xf>
    <xf numFmtId="0" fontId="49" fillId="0" borderId="7" xfId="767" applyFont="1" applyBorder="1" applyAlignment="1">
      <alignment wrapText="1"/>
    </xf>
    <xf numFmtId="165" fontId="10" fillId="33" borderId="70" xfId="796" applyFont="1" applyFill="1" applyBorder="1" applyAlignment="1">
      <alignment horizontal="center" vertical="center"/>
    </xf>
    <xf numFmtId="165" fontId="49" fillId="0" borderId="70" xfId="767" applyNumberFormat="1" applyFont="1" applyBorder="1" applyAlignment="1">
      <alignment horizontal="center" vertical="center"/>
    </xf>
    <xf numFmtId="165" fontId="49" fillId="0" borderId="78" xfId="767" applyNumberFormat="1" applyFont="1" applyBorder="1" applyAlignment="1">
      <alignment horizontal="center" vertical="center"/>
    </xf>
    <xf numFmtId="0" fontId="49" fillId="62" borderId="15" xfId="767" applyFont="1" applyFill="1" applyBorder="1" applyAlignment="1">
      <alignment wrapText="1"/>
    </xf>
    <xf numFmtId="165" fontId="49" fillId="62" borderId="51" xfId="767" applyNumberFormat="1" applyFont="1" applyFill="1" applyBorder="1" applyAlignment="1">
      <alignment horizontal="center" vertical="center"/>
    </xf>
    <xf numFmtId="0" fontId="49" fillId="0" borderId="96" xfId="767" applyFont="1" applyBorder="1" applyAlignment="1">
      <alignment wrapText="1"/>
    </xf>
    <xf numFmtId="165" fontId="49" fillId="0" borderId="81" xfId="767" applyNumberFormat="1" applyFont="1" applyBorder="1" applyAlignment="1">
      <alignment horizontal="center" vertical="center"/>
    </xf>
    <xf numFmtId="165" fontId="49" fillId="0" borderId="92" xfId="767" applyNumberFormat="1" applyFont="1" applyBorder="1" applyAlignment="1">
      <alignment horizontal="center" vertical="center"/>
    </xf>
    <xf numFmtId="165" fontId="49" fillId="0" borderId="95" xfId="767" applyNumberFormat="1" applyFont="1" applyBorder="1" applyAlignment="1">
      <alignment horizontal="center" vertical="center"/>
    </xf>
    <xf numFmtId="0" fontId="49" fillId="62" borderId="93" xfId="767" applyFont="1" applyFill="1" applyBorder="1" applyAlignment="1">
      <alignment wrapText="1"/>
    </xf>
    <xf numFmtId="165" fontId="49" fillId="62" borderId="108" xfId="767" applyNumberFormat="1" applyFont="1" applyFill="1" applyBorder="1" applyAlignment="1">
      <alignment horizontal="center" vertical="center"/>
    </xf>
    <xf numFmtId="165" fontId="49" fillId="62" borderId="109" xfId="767" applyNumberFormat="1" applyFont="1" applyFill="1" applyBorder="1" applyAlignment="1">
      <alignment horizontal="center" vertical="center"/>
    </xf>
    <xf numFmtId="165" fontId="10" fillId="62" borderId="51" xfId="768" applyNumberFormat="1" applyFont="1" applyFill="1" applyBorder="1" applyAlignment="1">
      <alignment horizontal="center" vertical="center"/>
    </xf>
    <xf numFmtId="165" fontId="10" fillId="62" borderId="52" xfId="768" applyNumberFormat="1" applyFont="1" applyFill="1" applyBorder="1" applyAlignment="1">
      <alignment horizontal="center" vertical="center"/>
    </xf>
    <xf numFmtId="1" fontId="10" fillId="33" borderId="23" xfId="634" applyNumberFormat="1" applyFont="1" applyFill="1" applyBorder="1" applyAlignment="1">
      <alignment horizontal="center"/>
    </xf>
    <xf numFmtId="165" fontId="10" fillId="33" borderId="23" xfId="379" applyFont="1" applyFill="1" applyBorder="1" applyAlignment="1">
      <alignment horizontal="center"/>
    </xf>
    <xf numFmtId="165" fontId="10" fillId="65" borderId="23" xfId="379" applyFont="1" applyFill="1" applyBorder="1" applyAlignment="1">
      <alignment horizontal="center"/>
    </xf>
    <xf numFmtId="165" fontId="10" fillId="33" borderId="23" xfId="379" applyFont="1" applyFill="1" applyBorder="1" applyAlignment="1" applyProtection="1">
      <alignment horizontal="center"/>
      <protection locked="0"/>
    </xf>
    <xf numFmtId="165" fontId="10" fillId="65" borderId="23" xfId="379" applyFont="1" applyFill="1" applyBorder="1" applyAlignment="1" applyProtection="1">
      <alignment horizontal="center"/>
      <protection locked="0"/>
    </xf>
    <xf numFmtId="1" fontId="10" fillId="33" borderId="1" xfId="0" applyNumberFormat="1" applyFont="1" applyFill="1" applyBorder="1" applyProtection="1">
      <protection locked="0"/>
    </xf>
    <xf numFmtId="1" fontId="10" fillId="33" borderId="23" xfId="379" applyNumberFormat="1" applyFont="1" applyFill="1" applyBorder="1" applyAlignment="1">
      <alignment horizontal="center"/>
    </xf>
    <xf numFmtId="1" fontId="10" fillId="33" borderId="23" xfId="379" applyNumberFormat="1" applyFont="1" applyFill="1" applyBorder="1" applyAlignment="1" applyProtection="1">
      <alignment horizontal="center"/>
      <protection locked="0"/>
    </xf>
    <xf numFmtId="1" fontId="10" fillId="33" borderId="23" xfId="0" applyNumberFormat="1" applyFont="1" applyFill="1" applyBorder="1" applyProtection="1">
      <protection locked="0"/>
    </xf>
    <xf numFmtId="1" fontId="10" fillId="65" borderId="23" xfId="379" applyNumberFormat="1" applyFont="1" applyFill="1" applyBorder="1" applyAlignment="1" applyProtection="1">
      <alignment horizontal="center"/>
      <protection locked="0"/>
    </xf>
    <xf numFmtId="1" fontId="10" fillId="65" borderId="23" xfId="0" applyNumberFormat="1" applyFont="1" applyFill="1" applyBorder="1" applyProtection="1">
      <protection locked="0"/>
    </xf>
    <xf numFmtId="0" fontId="110" fillId="0" borderId="0" xfId="0" applyFont="1" applyFill="1" applyBorder="1" applyAlignment="1" applyProtection="1">
      <alignment horizontal="left" vertical="center" wrapText="1"/>
      <protection locked="0"/>
    </xf>
    <xf numFmtId="165" fontId="10" fillId="0" borderId="0" xfId="379" applyFont="1" applyAlignment="1">
      <alignment horizontal="center"/>
    </xf>
    <xf numFmtId="165" fontId="10" fillId="0" borderId="0" xfId="379" applyFont="1" applyAlignment="1" applyProtection="1">
      <alignment horizontal="center"/>
      <protection locked="0"/>
    </xf>
    <xf numFmtId="165" fontId="53" fillId="0" borderId="0" xfId="379" applyFont="1" applyBorder="1" applyAlignment="1" applyProtection="1">
      <alignment horizontal="left" vertical="center"/>
      <protection locked="0"/>
    </xf>
    <xf numFmtId="165" fontId="17" fillId="0" borderId="0" xfId="379" applyFont="1" applyAlignment="1" applyProtection="1">
      <alignment horizontal="center"/>
      <protection locked="0"/>
    </xf>
    <xf numFmtId="165" fontId="17" fillId="0" borderId="44" xfId="379" applyFont="1" applyBorder="1" applyAlignment="1" applyProtection="1">
      <alignment horizontal="center" wrapText="1"/>
      <protection locked="0"/>
    </xf>
    <xf numFmtId="165" fontId="10" fillId="33" borderId="1" xfId="379" applyFont="1" applyFill="1" applyBorder="1" applyAlignment="1" applyProtection="1">
      <alignment horizontal="center"/>
      <protection locked="0"/>
    </xf>
    <xf numFmtId="165" fontId="10" fillId="0" borderId="0" xfId="379" applyFont="1" applyBorder="1" applyProtection="1">
      <protection locked="0"/>
    </xf>
    <xf numFmtId="165" fontId="10" fillId="0" borderId="0" xfId="379" applyFont="1" applyBorder="1"/>
    <xf numFmtId="165" fontId="10" fillId="0" borderId="70" xfId="379" applyFont="1" applyBorder="1" applyAlignment="1">
      <alignment horizontal="center"/>
    </xf>
    <xf numFmtId="165" fontId="66" fillId="0" borderId="17" xfId="379" applyFont="1" applyBorder="1" applyAlignment="1">
      <alignment horizontal="center"/>
    </xf>
    <xf numFmtId="165" fontId="66" fillId="0" borderId="21" xfId="379" applyFont="1" applyBorder="1" applyAlignment="1">
      <alignment horizontal="center"/>
    </xf>
    <xf numFmtId="165" fontId="66" fillId="0" borderId="55" xfId="379" applyFont="1" applyBorder="1" applyAlignment="1">
      <alignment horizontal="center"/>
    </xf>
    <xf numFmtId="165" fontId="66" fillId="0" borderId="1" xfId="379" applyFont="1" applyBorder="1" applyAlignment="1">
      <alignment horizontal="center"/>
    </xf>
    <xf numFmtId="165" fontId="107" fillId="0" borderId="1" xfId="379" applyFont="1" applyBorder="1"/>
    <xf numFmtId="0" fontId="10" fillId="0" borderId="0" xfId="0" applyFont="1" applyAlignment="1"/>
    <xf numFmtId="0" fontId="10" fillId="0" borderId="0" xfId="0" applyFont="1" applyAlignment="1" applyProtection="1">
      <protection locked="0"/>
    </xf>
    <xf numFmtId="2" fontId="10" fillId="0" borderId="23" xfId="379" applyNumberFormat="1" applyFont="1" applyFill="1" applyBorder="1" applyAlignment="1" applyProtection="1">
      <protection locked="0"/>
    </xf>
    <xf numFmtId="165" fontId="10" fillId="0" borderId="0" xfId="0" applyNumberFormat="1" applyFont="1" applyAlignment="1"/>
    <xf numFmtId="0" fontId="10" fillId="0" borderId="68" xfId="0" applyFont="1" applyBorder="1" applyAlignment="1">
      <alignment horizontal="center"/>
    </xf>
    <xf numFmtId="0" fontId="66" fillId="0" borderId="0" xfId="0" applyFont="1" applyBorder="1" applyAlignment="1">
      <alignment horizontal="center"/>
    </xf>
    <xf numFmtId="165" fontId="66" fillId="0" borderId="0" xfId="379" applyFont="1" applyBorder="1" applyAlignment="1">
      <alignment horizontal="center"/>
    </xf>
    <xf numFmtId="0" fontId="66" fillId="0" borderId="68" xfId="0" applyFont="1" applyBorder="1" applyAlignment="1">
      <alignment horizontal="center"/>
    </xf>
    <xf numFmtId="49" fontId="10" fillId="0" borderId="0" xfId="0" applyNumberFormat="1" applyFont="1" applyBorder="1" applyAlignment="1" applyProtection="1">
      <alignment horizontal="center"/>
      <protection locked="0"/>
    </xf>
    <xf numFmtId="165" fontId="10" fillId="0" borderId="0" xfId="379" applyFont="1" applyBorder="1" applyAlignment="1" applyProtection="1">
      <alignment horizontal="center"/>
      <protection locked="0"/>
    </xf>
    <xf numFmtId="10" fontId="10" fillId="0" borderId="0" xfId="557" applyNumberFormat="1" applyFont="1" applyBorder="1" applyAlignment="1" applyProtection="1">
      <alignment horizontal="center"/>
      <protection locked="0"/>
    </xf>
    <xf numFmtId="0" fontId="0" fillId="0" borderId="0" xfId="0" applyBorder="1" applyAlignment="1">
      <alignment vertical="center"/>
    </xf>
    <xf numFmtId="0" fontId="10" fillId="36" borderId="2" xfId="0" applyFont="1" applyFill="1" applyBorder="1" applyAlignment="1">
      <alignment wrapText="1"/>
    </xf>
    <xf numFmtId="0" fontId="10" fillId="36" borderId="9" xfId="0" applyFont="1" applyFill="1" applyBorder="1" applyAlignment="1">
      <alignment wrapText="1"/>
    </xf>
    <xf numFmtId="0" fontId="10" fillId="36" borderId="19" xfId="0" applyFont="1" applyFill="1" applyBorder="1" applyAlignment="1">
      <alignment wrapText="1"/>
    </xf>
    <xf numFmtId="49" fontId="10" fillId="36" borderId="2" xfId="0" applyNumberFormat="1" applyFont="1" applyFill="1" applyBorder="1" applyAlignment="1">
      <alignment wrapText="1"/>
    </xf>
    <xf numFmtId="0" fontId="17" fillId="0" borderId="115" xfId="0" applyFont="1" applyBorder="1" applyAlignment="1">
      <alignment wrapText="1"/>
    </xf>
    <xf numFmtId="0" fontId="17" fillId="0" borderId="116" xfId="0" applyFont="1" applyBorder="1" applyAlignment="1">
      <alignment horizontal="center" wrapText="1"/>
    </xf>
    <xf numFmtId="0" fontId="17" fillId="0" borderId="117" xfId="0" applyFont="1" applyBorder="1" applyAlignment="1">
      <alignment horizontal="center" wrapText="1"/>
    </xf>
    <xf numFmtId="49" fontId="10" fillId="36" borderId="43" xfId="0" applyNumberFormat="1" applyFont="1" applyFill="1" applyBorder="1" applyAlignment="1">
      <alignment wrapText="1"/>
    </xf>
    <xf numFmtId="0" fontId="10" fillId="36" borderId="39" xfId="0" applyFont="1" applyFill="1" applyBorder="1" applyAlignment="1">
      <alignment wrapText="1"/>
    </xf>
    <xf numFmtId="2" fontId="10" fillId="0" borderId="1" xfId="379" applyNumberFormat="1" applyFont="1" applyBorder="1" applyAlignment="1" applyProtection="1">
      <protection locked="0"/>
    </xf>
    <xf numFmtId="0" fontId="117" fillId="0" borderId="0" xfId="0" applyFont="1" applyFill="1" applyBorder="1" applyAlignment="1" applyProtection="1">
      <alignment horizontal="center" vertical="center" wrapText="1"/>
      <protection locked="0"/>
    </xf>
    <xf numFmtId="0" fontId="20" fillId="0" borderId="0" xfId="0" applyFont="1" applyAlignment="1" applyProtection="1">
      <alignment horizontal="left"/>
      <protection locked="0"/>
    </xf>
    <xf numFmtId="10" fontId="20" fillId="0" borderId="0" xfId="557" applyNumberFormat="1" applyFont="1" applyBorder="1"/>
    <xf numFmtId="169" fontId="10" fillId="65" borderId="28" xfId="379" applyNumberFormat="1" applyFont="1" applyFill="1" applyBorder="1"/>
    <xf numFmtId="169" fontId="10" fillId="65" borderId="26" xfId="379" applyNumberFormat="1" applyFont="1" applyFill="1" applyBorder="1"/>
    <xf numFmtId="166" fontId="10" fillId="65" borderId="28" xfId="0" applyNumberFormat="1" applyFont="1" applyFill="1" applyBorder="1"/>
    <xf numFmtId="166" fontId="10" fillId="65" borderId="26" xfId="0" applyNumberFormat="1" applyFont="1" applyFill="1" applyBorder="1"/>
    <xf numFmtId="0" fontId="10" fillId="65" borderId="1" xfId="0" applyFont="1" applyFill="1" applyBorder="1" applyAlignment="1">
      <alignment horizontal="center"/>
    </xf>
    <xf numFmtId="0" fontId="10" fillId="65" borderId="10" xfId="0" applyFont="1" applyFill="1" applyBorder="1" applyAlignment="1">
      <alignment horizontal="center"/>
    </xf>
    <xf numFmtId="0" fontId="118" fillId="0" borderId="0" xfId="0" applyFont="1" applyBorder="1" applyAlignment="1"/>
    <xf numFmtId="0" fontId="10" fillId="33" borderId="0" xfId="0" applyFont="1" applyFill="1"/>
    <xf numFmtId="2" fontId="10" fillId="66" borderId="7" xfId="379" applyNumberFormat="1" applyFont="1" applyFill="1" applyBorder="1" applyAlignment="1" applyProtection="1">
      <alignment horizontal="center"/>
      <protection locked="0"/>
    </xf>
    <xf numFmtId="2" fontId="10" fillId="66" borderId="23" xfId="379" applyNumberFormat="1" applyFont="1" applyFill="1" applyBorder="1" applyAlignment="1" applyProtection="1">
      <alignment horizontal="center"/>
      <protection locked="0"/>
    </xf>
    <xf numFmtId="2" fontId="10" fillId="66" borderId="2" xfId="379" applyNumberFormat="1" applyFont="1" applyFill="1" applyBorder="1" applyAlignment="1" applyProtection="1">
      <alignment horizontal="center"/>
      <protection locked="0"/>
    </xf>
    <xf numFmtId="0" fontId="10" fillId="66" borderId="0" xfId="0" applyFont="1" applyFill="1"/>
    <xf numFmtId="0" fontId="17" fillId="67" borderId="1" xfId="0" applyFont="1" applyFill="1" applyBorder="1" applyAlignment="1">
      <alignment horizontal="center"/>
    </xf>
    <xf numFmtId="0" fontId="17" fillId="67" borderId="8" xfId="0" applyFont="1" applyFill="1" applyBorder="1" applyAlignment="1">
      <alignment horizontal="center"/>
    </xf>
    <xf numFmtId="0" fontId="17" fillId="67" borderId="10" xfId="0" applyFont="1" applyFill="1" applyBorder="1" applyAlignment="1">
      <alignment horizontal="center"/>
    </xf>
    <xf numFmtId="0" fontId="17" fillId="67" borderId="11" xfId="0" applyFont="1" applyFill="1" applyBorder="1" applyAlignment="1">
      <alignment horizontal="center"/>
    </xf>
    <xf numFmtId="0" fontId="17" fillId="67" borderId="12" xfId="0" applyFont="1" applyFill="1" applyBorder="1" applyAlignment="1">
      <alignment horizontal="center"/>
    </xf>
    <xf numFmtId="0" fontId="17" fillId="67" borderId="13" xfId="0" applyFont="1" applyFill="1" applyBorder="1" applyAlignment="1">
      <alignment horizontal="center"/>
    </xf>
    <xf numFmtId="0" fontId="17" fillId="67" borderId="44" xfId="0" applyFont="1" applyFill="1" applyBorder="1" applyAlignment="1">
      <alignment horizontal="center"/>
    </xf>
    <xf numFmtId="0" fontId="17" fillId="67" borderId="18" xfId="0" applyFont="1" applyFill="1" applyBorder="1" applyAlignment="1">
      <alignment horizontal="center"/>
    </xf>
    <xf numFmtId="0" fontId="17" fillId="67" borderId="26" xfId="0" applyFont="1" applyFill="1" applyBorder="1" applyAlignment="1">
      <alignment horizontal="center"/>
    </xf>
    <xf numFmtId="0" fontId="17" fillId="67" borderId="42" xfId="0" applyFont="1" applyFill="1" applyBorder="1" applyAlignment="1">
      <alignment horizontal="center"/>
    </xf>
    <xf numFmtId="0" fontId="17" fillId="66" borderId="44" xfId="0" applyFont="1" applyFill="1" applyBorder="1" applyAlignment="1" applyProtection="1">
      <alignment horizontal="center" wrapText="1"/>
    </xf>
    <xf numFmtId="2" fontId="10" fillId="66" borderId="1" xfId="379" applyNumberFormat="1" applyFont="1" applyFill="1" applyBorder="1" applyAlignment="1" applyProtection="1">
      <alignment horizontal="center"/>
      <protection locked="0"/>
    </xf>
    <xf numFmtId="165" fontId="119" fillId="64" borderId="97" xfId="768" applyNumberFormat="1" applyFont="1" applyFill="1" applyBorder="1" applyAlignment="1">
      <alignment horizontal="center" vertical="center"/>
    </xf>
    <xf numFmtId="49" fontId="56" fillId="0" borderId="17" xfId="0" applyNumberFormat="1" applyFont="1" applyBorder="1"/>
    <xf numFmtId="0" fontId="56" fillId="0" borderId="17" xfId="0" applyFont="1" applyBorder="1"/>
    <xf numFmtId="0" fontId="56" fillId="0" borderId="22" xfId="0" applyFont="1" applyBorder="1"/>
    <xf numFmtId="0" fontId="17" fillId="68" borderId="0" xfId="0" applyFont="1" applyFill="1"/>
    <xf numFmtId="0" fontId="10" fillId="68" borderId="0" xfId="0" applyFont="1" applyFill="1"/>
    <xf numFmtId="0" fontId="17" fillId="69" borderId="0" xfId="0" applyFont="1" applyFill="1"/>
    <xf numFmtId="0" fontId="10" fillId="69" borderId="0" xfId="0" applyFont="1" applyFill="1"/>
    <xf numFmtId="0" fontId="10" fillId="0" borderId="0" xfId="0" applyFont="1" applyAlignment="1">
      <alignment horizontal="center" vertical="center"/>
    </xf>
    <xf numFmtId="0" fontId="10" fillId="0" borderId="0" xfId="0" applyFont="1" applyAlignment="1" applyProtection="1">
      <alignment horizontal="center" vertical="center"/>
      <protection locked="0"/>
    </xf>
    <xf numFmtId="0" fontId="17" fillId="0" borderId="81" xfId="0" applyFont="1" applyFill="1" applyBorder="1" applyAlignment="1" applyProtection="1">
      <alignment horizontal="center" vertical="center" wrapText="1"/>
      <protection locked="0"/>
    </xf>
    <xf numFmtId="0" fontId="10" fillId="0" borderId="0" xfId="0" applyFont="1" applyAlignment="1">
      <alignment vertical="center"/>
    </xf>
    <xf numFmtId="0" fontId="10" fillId="0" borderId="0" xfId="0" applyFont="1" applyAlignment="1" applyProtection="1">
      <alignment vertical="center"/>
      <protection locked="0"/>
    </xf>
    <xf numFmtId="0" fontId="53" fillId="0" borderId="0" xfId="0" applyFont="1" applyBorder="1" applyAlignment="1" applyProtection="1">
      <alignment horizontal="center" vertical="center"/>
      <protection locked="0"/>
    </xf>
    <xf numFmtId="17" fontId="10" fillId="0" borderId="0" xfId="0" applyNumberFormat="1" applyFont="1" applyBorder="1" applyAlignment="1" applyProtection="1">
      <alignment horizontal="center" vertical="center"/>
      <protection locked="0"/>
    </xf>
    <xf numFmtId="17" fontId="10" fillId="0" borderId="0" xfId="0" applyNumberFormat="1" applyFont="1" applyBorder="1" applyAlignment="1">
      <alignment horizontal="center" vertical="center"/>
    </xf>
    <xf numFmtId="0" fontId="111" fillId="0" borderId="0" xfId="0" applyFont="1" applyAlignment="1" applyProtection="1">
      <alignment horizontal="center"/>
      <protection locked="0"/>
    </xf>
    <xf numFmtId="0" fontId="17" fillId="0" borderId="68" xfId="0" applyFont="1" applyBorder="1" applyAlignment="1" applyProtection="1">
      <alignment horizontal="center"/>
      <protection locked="0"/>
    </xf>
    <xf numFmtId="0" fontId="111" fillId="0" borderId="0" xfId="0" applyFont="1" applyAlignment="1">
      <alignment horizontal="center"/>
    </xf>
    <xf numFmtId="0" fontId="17" fillId="0" borderId="0" xfId="0" applyFont="1" applyFill="1" applyAlignment="1" applyProtection="1">
      <alignment horizontal="center"/>
      <protection locked="0"/>
    </xf>
    <xf numFmtId="0" fontId="17" fillId="0" borderId="0" xfId="0" applyFont="1" applyAlignment="1">
      <alignment horizontal="center"/>
    </xf>
    <xf numFmtId="0" fontId="0" fillId="0" borderId="0" xfId="0" applyBorder="1" applyAlignment="1" applyProtection="1">
      <alignment vertical="center"/>
      <protection locked="0"/>
    </xf>
    <xf numFmtId="0" fontId="10" fillId="0" borderId="81" xfId="0" applyFont="1" applyBorder="1" applyAlignment="1" applyProtection="1">
      <alignment horizontal="center" vertical="center"/>
      <protection locked="0"/>
    </xf>
    <xf numFmtId="165" fontId="17" fillId="0" borderId="81" xfId="379" applyFont="1" applyBorder="1" applyAlignment="1" applyProtection="1">
      <alignment horizontal="center" vertical="center" wrapText="1"/>
      <protection locked="0"/>
    </xf>
    <xf numFmtId="0" fontId="17" fillId="0" borderId="81" xfId="0" applyFont="1" applyBorder="1" applyAlignment="1" applyProtection="1">
      <alignment horizontal="center" vertical="center" wrapText="1"/>
      <protection locked="0"/>
    </xf>
    <xf numFmtId="0" fontId="17" fillId="66" borderId="1" xfId="0" applyFont="1" applyFill="1" applyBorder="1" applyAlignment="1" applyProtection="1">
      <alignment horizontal="center" vertical="center" wrapText="1"/>
    </xf>
    <xf numFmtId="0" fontId="0" fillId="0" borderId="0" xfId="0" applyAlignment="1">
      <alignment vertical="center"/>
    </xf>
    <xf numFmtId="0" fontId="10" fillId="0" borderId="0" xfId="0" applyFont="1" applyFill="1" applyAlignment="1" applyProtection="1">
      <alignment vertical="center"/>
      <protection locked="0"/>
    </xf>
    <xf numFmtId="3" fontId="120" fillId="33" borderId="2" xfId="379" applyNumberFormat="1" applyFont="1" applyFill="1" applyBorder="1" applyAlignment="1">
      <alignment horizontal="center"/>
    </xf>
    <xf numFmtId="3" fontId="120" fillId="33" borderId="8" xfId="0" applyNumberFormat="1" applyFont="1" applyFill="1" applyBorder="1" applyAlignment="1">
      <alignment horizontal="center"/>
    </xf>
    <xf numFmtId="3" fontId="120" fillId="33" borderId="21" xfId="0" applyNumberFormat="1" applyFont="1" applyFill="1" applyBorder="1" applyAlignment="1">
      <alignment horizontal="center"/>
    </xf>
    <xf numFmtId="0" fontId="121" fillId="0" borderId="0" xfId="0" applyFont="1"/>
    <xf numFmtId="0" fontId="59" fillId="66" borderId="24" xfId="0" applyFont="1" applyFill="1" applyBorder="1" applyAlignment="1">
      <alignment horizontal="centerContinuous"/>
    </xf>
    <xf numFmtId="0" fontId="59" fillId="66" borderId="24" xfId="0" applyFont="1" applyFill="1" applyBorder="1" applyAlignment="1">
      <alignment horizontal="center"/>
    </xf>
    <xf numFmtId="0" fontId="17" fillId="66" borderId="1" xfId="0" applyFont="1" applyFill="1" applyBorder="1" applyAlignment="1" applyProtection="1">
      <alignment horizontal="center"/>
      <protection locked="0"/>
    </xf>
    <xf numFmtId="49" fontId="10" fillId="66" borderId="2" xfId="0" applyNumberFormat="1" applyFont="1" applyFill="1" applyBorder="1" applyAlignment="1">
      <alignment horizontal="center"/>
    </xf>
    <xf numFmtId="169" fontId="10" fillId="66" borderId="1" xfId="379" applyNumberFormat="1" applyFont="1" applyFill="1" applyBorder="1" applyAlignment="1">
      <alignment horizontal="center"/>
    </xf>
    <xf numFmtId="166" fontId="10" fillId="66" borderId="1" xfId="0" applyNumberFormat="1" applyFont="1" applyFill="1" applyBorder="1" applyAlignment="1">
      <alignment horizontal="center"/>
    </xf>
    <xf numFmtId="0" fontId="10" fillId="66" borderId="1" xfId="0" applyFont="1" applyFill="1" applyBorder="1" applyAlignment="1">
      <alignment horizontal="center"/>
    </xf>
    <xf numFmtId="1" fontId="10" fillId="66" borderId="1" xfId="0" applyNumberFormat="1" applyFont="1" applyFill="1" applyBorder="1" applyAlignment="1">
      <alignment horizontal="center"/>
    </xf>
    <xf numFmtId="0" fontId="10" fillId="66" borderId="8" xfId="0" applyFont="1" applyFill="1" applyBorder="1" applyAlignment="1">
      <alignment horizontal="center"/>
    </xf>
    <xf numFmtId="49" fontId="10" fillId="66" borderId="9" xfId="0" applyNumberFormat="1" applyFont="1" applyFill="1" applyBorder="1" applyAlignment="1">
      <alignment horizontal="center"/>
    </xf>
    <xf numFmtId="169" fontId="10" fillId="66" borderId="10" xfId="379" applyNumberFormat="1" applyFont="1" applyFill="1" applyBorder="1" applyAlignment="1">
      <alignment horizontal="center"/>
    </xf>
    <xf numFmtId="166" fontId="10" fillId="66" borderId="10" xfId="0" applyNumberFormat="1" applyFont="1" applyFill="1" applyBorder="1" applyAlignment="1">
      <alignment horizontal="center"/>
    </xf>
    <xf numFmtId="0" fontId="10" fillId="66" borderId="10" xfId="0" applyFont="1" applyFill="1" applyBorder="1" applyAlignment="1">
      <alignment horizontal="center"/>
    </xf>
    <xf numFmtId="1" fontId="10" fillId="66" borderId="10" xfId="0" applyNumberFormat="1" applyFont="1" applyFill="1" applyBorder="1" applyAlignment="1">
      <alignment horizontal="center"/>
    </xf>
    <xf numFmtId="0" fontId="10" fillId="66" borderId="11" xfId="0" applyFont="1" applyFill="1" applyBorder="1" applyAlignment="1">
      <alignment horizontal="center"/>
    </xf>
    <xf numFmtId="0" fontId="10" fillId="66" borderId="3" xfId="0" applyFont="1" applyFill="1" applyBorder="1" applyAlignment="1">
      <alignment horizontal="center"/>
    </xf>
    <xf numFmtId="169" fontId="10" fillId="66" borderId="2" xfId="379" applyNumberFormat="1" applyFont="1" applyFill="1" applyBorder="1"/>
    <xf numFmtId="0" fontId="10" fillId="66" borderId="8" xfId="0" applyFont="1" applyFill="1" applyBorder="1"/>
    <xf numFmtId="0" fontId="10" fillId="66" borderId="11" xfId="0" applyFont="1" applyFill="1" applyBorder="1"/>
    <xf numFmtId="0" fontId="10" fillId="66" borderId="4" xfId="0" applyFont="1" applyFill="1" applyBorder="1" applyAlignment="1">
      <alignment horizontal="center"/>
    </xf>
    <xf numFmtId="0" fontId="10" fillId="66" borderId="4" xfId="0" applyFont="1" applyFill="1" applyBorder="1" applyAlignment="1">
      <alignment horizontal="center" wrapText="1"/>
    </xf>
    <xf numFmtId="0" fontId="10" fillId="66" borderId="5" xfId="0" applyFont="1" applyFill="1" applyBorder="1" applyAlignment="1">
      <alignment horizontal="center"/>
    </xf>
    <xf numFmtId="0" fontId="10" fillId="66" borderId="6" xfId="0" applyFont="1" applyFill="1" applyBorder="1" applyAlignment="1">
      <alignment horizontal="center"/>
    </xf>
    <xf numFmtId="0" fontId="17" fillId="66" borderId="39" xfId="0" applyFont="1" applyFill="1" applyBorder="1"/>
    <xf numFmtId="2" fontId="17" fillId="66" borderId="7" xfId="0" applyNumberFormat="1" applyFont="1" applyFill="1" applyBorder="1"/>
    <xf numFmtId="0" fontId="17" fillId="0" borderId="2" xfId="0" applyFont="1" applyBorder="1"/>
    <xf numFmtId="2" fontId="17" fillId="66" borderId="2" xfId="0" applyNumberFormat="1" applyFont="1" applyFill="1" applyBorder="1"/>
    <xf numFmtId="2" fontId="17" fillId="66" borderId="43" xfId="0" applyNumberFormat="1" applyFont="1" applyFill="1" applyBorder="1"/>
    <xf numFmtId="0" fontId="17" fillId="66" borderId="26" xfId="0" applyFont="1" applyFill="1" applyBorder="1" applyAlignment="1">
      <alignment horizontal="center"/>
    </xf>
    <xf numFmtId="49" fontId="17" fillId="66" borderId="26" xfId="0" applyNumberFormat="1" applyFont="1" applyFill="1" applyBorder="1" applyAlignment="1">
      <alignment horizontal="center"/>
    </xf>
    <xf numFmtId="49" fontId="17" fillId="66" borderId="42" xfId="0" applyNumberFormat="1" applyFont="1" applyFill="1" applyBorder="1" applyAlignment="1">
      <alignment horizontal="center"/>
    </xf>
    <xf numFmtId="3" fontId="26" fillId="33" borderId="2" xfId="379" applyNumberFormat="1" applyFont="1" applyFill="1" applyBorder="1" applyAlignment="1">
      <alignment horizontal="center"/>
    </xf>
    <xf numFmtId="3" fontId="26" fillId="33" borderId="2" xfId="0" applyNumberFormat="1" applyFont="1" applyFill="1" applyBorder="1" applyAlignment="1">
      <alignment horizontal="center"/>
    </xf>
    <xf numFmtId="3" fontId="26" fillId="33" borderId="21" xfId="0" applyNumberFormat="1" applyFont="1" applyFill="1" applyBorder="1" applyAlignment="1">
      <alignment horizontal="center"/>
    </xf>
    <xf numFmtId="3" fontId="26" fillId="33" borderId="1" xfId="0" applyNumberFormat="1" applyFont="1" applyFill="1" applyBorder="1" applyAlignment="1">
      <alignment horizontal="center"/>
    </xf>
    <xf numFmtId="0" fontId="122" fillId="66" borderId="1" xfId="0" applyFont="1" applyFill="1" applyBorder="1" applyAlignment="1">
      <alignment horizontal="center"/>
    </xf>
    <xf numFmtId="0" fontId="122" fillId="66" borderId="1" xfId="0" applyFont="1" applyFill="1" applyBorder="1" applyAlignment="1">
      <alignment horizontal="center" wrapText="1"/>
    </xf>
    <xf numFmtId="0" fontId="123" fillId="0" borderId="0" xfId="0" applyFont="1"/>
    <xf numFmtId="0" fontId="122" fillId="66" borderId="44" xfId="0" applyFont="1" applyFill="1" applyBorder="1" applyAlignment="1">
      <alignment horizontal="center"/>
    </xf>
    <xf numFmtId="0" fontId="122" fillId="0" borderId="1" xfId="938" applyFont="1" applyBorder="1" applyAlignment="1">
      <alignment horizontal="center"/>
    </xf>
    <xf numFmtId="3" fontId="122" fillId="0" borderId="1" xfId="379" applyNumberFormat="1" applyFont="1" applyFill="1" applyBorder="1" applyAlignment="1">
      <alignment horizontal="center"/>
    </xf>
    <xf numFmtId="0" fontId="122" fillId="0" borderId="1" xfId="0" applyFont="1" applyBorder="1"/>
    <xf numFmtId="0" fontId="122" fillId="0" borderId="1" xfId="938" applyFont="1" applyFill="1" applyBorder="1" applyAlignment="1">
      <alignment horizontal="center"/>
    </xf>
    <xf numFmtId="0" fontId="122" fillId="62" borderId="1" xfId="0" applyFont="1" applyFill="1" applyBorder="1"/>
    <xf numFmtId="39" fontId="123" fillId="0" borderId="0" xfId="0" applyNumberFormat="1" applyFont="1"/>
    <xf numFmtId="39" fontId="123" fillId="0" borderId="0" xfId="0" applyNumberFormat="1" applyFont="1" applyAlignment="1">
      <alignment horizontal="center"/>
    </xf>
    <xf numFmtId="37" fontId="10" fillId="33" borderId="1" xfId="379" applyNumberFormat="1" applyFont="1" applyFill="1" applyBorder="1" applyAlignment="1" applyProtection="1">
      <alignment horizontal="center"/>
      <protection locked="0"/>
    </xf>
    <xf numFmtId="37" fontId="10" fillId="33" borderId="1" xfId="379" applyNumberFormat="1" applyFont="1" applyFill="1" applyBorder="1" applyAlignment="1" applyProtection="1">
      <alignment horizontal="center" vertical="center"/>
      <protection locked="0"/>
    </xf>
    <xf numFmtId="37" fontId="10" fillId="33" borderId="23" xfId="379" applyNumberFormat="1" applyFont="1" applyFill="1" applyBorder="1" applyAlignment="1">
      <alignment horizontal="center"/>
    </xf>
    <xf numFmtId="37" fontId="10" fillId="33" borderId="23" xfId="379" applyNumberFormat="1" applyFont="1" applyFill="1" applyBorder="1" applyAlignment="1">
      <alignment horizontal="center" vertical="center"/>
    </xf>
    <xf numFmtId="37" fontId="10" fillId="33" borderId="23" xfId="379" applyNumberFormat="1" applyFont="1" applyFill="1" applyBorder="1" applyAlignment="1" applyProtection="1">
      <alignment horizontal="center"/>
      <protection locked="0"/>
    </xf>
    <xf numFmtId="37" fontId="10" fillId="33" borderId="23" xfId="379" applyNumberFormat="1" applyFont="1" applyFill="1" applyBorder="1" applyAlignment="1" applyProtection="1">
      <alignment horizontal="center" vertical="center"/>
      <protection locked="0"/>
    </xf>
    <xf numFmtId="37" fontId="10" fillId="65" borderId="23" xfId="379" applyNumberFormat="1" applyFont="1" applyFill="1" applyBorder="1" applyAlignment="1" applyProtection="1">
      <alignment horizontal="center"/>
      <protection locked="0"/>
    </xf>
    <xf numFmtId="37" fontId="10" fillId="65" borderId="23" xfId="379" applyNumberFormat="1" applyFont="1" applyFill="1" applyBorder="1" applyAlignment="1" applyProtection="1">
      <alignment horizontal="center" vertical="center"/>
      <protection locked="0"/>
    </xf>
    <xf numFmtId="0" fontId="10" fillId="0" borderId="1" xfId="0" applyFont="1" applyFill="1" applyBorder="1"/>
    <xf numFmtId="0" fontId="10" fillId="66" borderId="26" xfId="0" applyFont="1" applyFill="1" applyBorder="1"/>
    <xf numFmtId="0" fontId="10" fillId="66" borderId="26" xfId="0" applyFont="1" applyFill="1" applyBorder="1" applyAlignment="1">
      <alignment horizontal="center"/>
    </xf>
    <xf numFmtId="49" fontId="10" fillId="66" borderId="26" xfId="0" applyNumberFormat="1" applyFont="1" applyFill="1" applyBorder="1" applyAlignment="1">
      <alignment horizontal="center"/>
    </xf>
    <xf numFmtId="49" fontId="10" fillId="66" borderId="42" xfId="0" applyNumberFormat="1" applyFont="1" applyFill="1" applyBorder="1" applyAlignment="1">
      <alignment horizontal="center"/>
    </xf>
    <xf numFmtId="0" fontId="10" fillId="66" borderId="39" xfId="521" applyFont="1" applyFill="1" applyBorder="1"/>
    <xf numFmtId="0" fontId="10" fillId="66" borderId="66" xfId="521" applyFont="1" applyFill="1" applyBorder="1"/>
    <xf numFmtId="0" fontId="10" fillId="66" borderId="26" xfId="521" applyFont="1" applyFill="1" applyBorder="1" applyAlignment="1">
      <alignment horizontal="center"/>
    </xf>
    <xf numFmtId="49" fontId="10" fillId="66" borderId="26" xfId="521" applyNumberFormat="1" applyFont="1" applyFill="1" applyBorder="1" applyAlignment="1">
      <alignment horizontal="center"/>
    </xf>
    <xf numFmtId="0" fontId="10" fillId="66" borderId="26" xfId="521" applyNumberFormat="1" applyFont="1" applyFill="1" applyBorder="1" applyAlignment="1">
      <alignment horizontal="center"/>
    </xf>
    <xf numFmtId="2" fontId="10" fillId="66" borderId="26" xfId="521" applyNumberFormat="1" applyFont="1" applyFill="1" applyBorder="1" applyAlignment="1">
      <alignment horizontal="center"/>
    </xf>
    <xf numFmtId="2" fontId="10" fillId="66" borderId="42" xfId="521" applyNumberFormat="1" applyFont="1" applyFill="1" applyBorder="1" applyAlignment="1">
      <alignment horizontal="center"/>
    </xf>
    <xf numFmtId="0" fontId="10" fillId="66" borderId="39" xfId="521" applyFont="1" applyFill="1" applyBorder="1" applyAlignment="1">
      <alignment horizontal="center" wrapText="1"/>
    </xf>
    <xf numFmtId="0" fontId="10" fillId="66" borderId="26" xfId="521" applyFont="1" applyFill="1" applyBorder="1" applyAlignment="1">
      <alignment horizontal="center" wrapText="1"/>
    </xf>
    <xf numFmtId="0" fontId="10" fillId="66" borderId="69" xfId="521" applyFont="1" applyFill="1" applyBorder="1" applyAlignment="1">
      <alignment horizontal="center" wrapText="1"/>
    </xf>
    <xf numFmtId="0" fontId="10" fillId="66" borderId="42" xfId="521" applyFont="1" applyFill="1" applyBorder="1" applyAlignment="1">
      <alignment horizontal="center" wrapText="1"/>
    </xf>
    <xf numFmtId="3" fontId="10" fillId="0" borderId="0" xfId="0" applyNumberFormat="1" applyFont="1" applyFill="1" applyBorder="1"/>
    <xf numFmtId="1" fontId="10" fillId="70" borderId="23" xfId="634" applyNumberFormat="1" applyFont="1" applyFill="1" applyBorder="1" applyAlignment="1">
      <alignment horizontal="center"/>
    </xf>
    <xf numFmtId="165" fontId="49" fillId="0" borderId="0" xfId="767" applyNumberFormat="1" applyFont="1" applyFill="1" applyBorder="1" applyAlignment="1">
      <alignment horizontal="center" vertical="center"/>
    </xf>
    <xf numFmtId="165" fontId="10" fillId="0" borderId="54" xfId="768" applyNumberFormat="1" applyFont="1" applyBorder="1" applyAlignment="1">
      <alignment horizontal="center" vertical="center"/>
    </xf>
    <xf numFmtId="165" fontId="10" fillId="0" borderId="70" xfId="768" applyNumberFormat="1" applyFont="1" applyBorder="1" applyAlignment="1">
      <alignment horizontal="center" vertical="center"/>
    </xf>
    <xf numFmtId="165" fontId="49" fillId="0" borderId="41" xfId="767" applyNumberFormat="1" applyFont="1" applyFill="1" applyBorder="1" applyAlignment="1">
      <alignment horizontal="center" vertical="center"/>
    </xf>
    <xf numFmtId="0" fontId="49" fillId="0" borderId="32" xfId="767" applyFont="1" applyFill="1" applyBorder="1" applyAlignment="1">
      <alignment wrapText="1"/>
    </xf>
    <xf numFmtId="0" fontId="1" fillId="0" borderId="32" xfId="767" applyFont="1" applyBorder="1" applyAlignment="1" applyProtection="1">
      <alignment wrapText="1"/>
      <protection locked="0"/>
    </xf>
    <xf numFmtId="165" fontId="116" fillId="64" borderId="78" xfId="768" applyNumberFormat="1" applyFont="1" applyFill="1" applyBorder="1" applyAlignment="1">
      <alignment horizontal="center" vertical="center"/>
    </xf>
    <xf numFmtId="0" fontId="26" fillId="0" borderId="68" xfId="524" applyFont="1" applyBorder="1"/>
    <xf numFmtId="165" fontId="49" fillId="62" borderId="55" xfId="767" applyNumberFormat="1" applyFont="1" applyFill="1" applyBorder="1" applyAlignment="1">
      <alignment horizontal="center" vertical="center"/>
    </xf>
    <xf numFmtId="165" fontId="49" fillId="62" borderId="120" xfId="767" applyNumberFormat="1" applyFont="1" applyFill="1" applyBorder="1" applyAlignment="1">
      <alignment horizontal="center" vertical="center"/>
    </xf>
    <xf numFmtId="0" fontId="26" fillId="0" borderId="55" xfId="524" applyFont="1" applyBorder="1"/>
    <xf numFmtId="0" fontId="50" fillId="65" borderId="121" xfId="767" applyFont="1" applyFill="1" applyBorder="1" applyAlignment="1">
      <alignment horizontal="center"/>
    </xf>
    <xf numFmtId="0" fontId="50" fillId="65" borderId="48" xfId="767" applyFont="1" applyFill="1" applyBorder="1" applyAlignment="1">
      <alignment horizontal="center"/>
    </xf>
    <xf numFmtId="0" fontId="50" fillId="65" borderId="48" xfId="767" applyFont="1" applyFill="1" applyBorder="1" applyAlignment="1">
      <alignment horizontal="center" vertical="center"/>
    </xf>
    <xf numFmtId="0" fontId="50" fillId="65" borderId="119" xfId="767" applyFont="1" applyFill="1" applyBorder="1" applyAlignment="1">
      <alignment horizontal="center" vertical="center"/>
    </xf>
    <xf numFmtId="0" fontId="50" fillId="65" borderId="49" xfId="767" applyFont="1" applyFill="1" applyBorder="1" applyAlignment="1">
      <alignment horizontal="center" vertical="center"/>
    </xf>
    <xf numFmtId="0" fontId="50" fillId="65" borderId="54" xfId="767" applyFont="1" applyFill="1" applyBorder="1" applyAlignment="1">
      <alignment horizontal="center" vertical="top"/>
    </xf>
    <xf numFmtId="0" fontId="50" fillId="65" borderId="70" xfId="767" applyFont="1" applyFill="1" applyBorder="1" applyAlignment="1">
      <alignment horizontal="center" vertical="top"/>
    </xf>
    <xf numFmtId="0" fontId="50" fillId="65" borderId="55" xfId="767" applyFont="1" applyFill="1" applyBorder="1" applyAlignment="1">
      <alignment horizontal="center" vertical="top"/>
    </xf>
    <xf numFmtId="165" fontId="49" fillId="65" borderId="78" xfId="767" applyNumberFormat="1" applyFont="1" applyFill="1" applyBorder="1" applyAlignment="1">
      <alignment horizontal="center" vertical="center"/>
    </xf>
    <xf numFmtId="165" fontId="49" fillId="62" borderId="78" xfId="767" applyNumberFormat="1" applyFont="1" applyFill="1" applyBorder="1" applyAlignment="1">
      <alignment horizontal="center" vertical="center"/>
    </xf>
    <xf numFmtId="165" fontId="10" fillId="62" borderId="70" xfId="768" applyNumberFormat="1" applyFont="1" applyFill="1" applyBorder="1" applyAlignment="1">
      <alignment horizontal="center" vertical="center"/>
    </xf>
    <xf numFmtId="10" fontId="49" fillId="0" borderId="118" xfId="767" applyNumberFormat="1" applyFont="1" applyFill="1" applyBorder="1" applyAlignment="1">
      <alignment horizontal="center" vertical="center"/>
    </xf>
    <xf numFmtId="2" fontId="10" fillId="70" borderId="23" xfId="379" applyNumberFormat="1" applyFont="1" applyFill="1" applyBorder="1" applyAlignment="1">
      <alignment horizontal="center"/>
    </xf>
    <xf numFmtId="2" fontId="10" fillId="70" borderId="1" xfId="379" applyNumberFormat="1" applyFont="1" applyFill="1" applyBorder="1" applyAlignment="1">
      <alignment horizontal="center"/>
    </xf>
    <xf numFmtId="3" fontId="10" fillId="0" borderId="75" xfId="379" applyNumberFormat="1" applyFont="1" applyFill="1" applyBorder="1" applyAlignment="1">
      <alignment horizontal="center"/>
    </xf>
    <xf numFmtId="3" fontId="10" fillId="0" borderId="50" xfId="379" applyNumberFormat="1" applyFont="1" applyFill="1" applyBorder="1" applyAlignment="1">
      <alignment horizontal="center"/>
    </xf>
    <xf numFmtId="3" fontId="10" fillId="0" borderId="56" xfId="379" applyNumberFormat="1" applyFont="1" applyFill="1" applyBorder="1" applyAlignment="1">
      <alignment horizontal="center"/>
    </xf>
    <xf numFmtId="0" fontId="14" fillId="0" borderId="0" xfId="0" applyFont="1" applyFill="1" applyBorder="1" applyAlignment="1"/>
    <xf numFmtId="0" fontId="10" fillId="66" borderId="39" xfId="0" applyFont="1" applyFill="1" applyBorder="1"/>
    <xf numFmtId="171" fontId="83" fillId="33" borderId="0" xfId="784" applyNumberFormat="1" applyFill="1" applyBorder="1" applyAlignment="1">
      <alignment horizontal="left"/>
    </xf>
    <xf numFmtId="171" fontId="10" fillId="33" borderId="0" xfId="383" applyNumberFormat="1" applyFont="1" applyFill="1" applyBorder="1" applyAlignment="1">
      <alignment horizontal="left"/>
    </xf>
    <xf numFmtId="171" fontId="10" fillId="0" borderId="0" xfId="383" applyNumberFormat="1" applyFont="1" applyFill="1" applyBorder="1" applyAlignment="1">
      <alignment horizontal="center"/>
    </xf>
    <xf numFmtId="0" fontId="24" fillId="0" borderId="0" xfId="0" applyFont="1" applyAlignment="1">
      <alignment horizontal="center" vertical="top"/>
    </xf>
    <xf numFmtId="0" fontId="25" fillId="0" borderId="0" xfId="0" applyFont="1" applyAlignment="1">
      <alignment horizontal="left" vertical="top"/>
    </xf>
    <xf numFmtId="0" fontId="62" fillId="0" borderId="0" xfId="0" applyFont="1" applyBorder="1" applyAlignment="1">
      <alignment horizontal="center" vertical="center" wrapText="1"/>
    </xf>
    <xf numFmtId="0" fontId="62" fillId="0" borderId="0" xfId="0" applyFont="1" applyAlignment="1">
      <alignment horizontal="center" vertical="center" wrapText="1"/>
    </xf>
    <xf numFmtId="49" fontId="17" fillId="0" borderId="14" xfId="0" applyNumberFormat="1" applyFont="1" applyFill="1" applyBorder="1" applyAlignment="1">
      <alignment horizontal="center" wrapText="1"/>
    </xf>
    <xf numFmtId="0" fontId="17" fillId="0" borderId="24" xfId="0" applyFont="1" applyFill="1" applyBorder="1" applyAlignment="1">
      <alignment horizontal="center" wrapText="1"/>
    </xf>
    <xf numFmtId="0" fontId="17" fillId="0" borderId="53" xfId="0" applyFont="1" applyFill="1" applyBorder="1" applyAlignment="1">
      <alignment horizontal="center" wrapText="1"/>
    </xf>
    <xf numFmtId="49" fontId="17" fillId="0" borderId="20" xfId="0" applyNumberFormat="1" applyFont="1" applyFill="1" applyBorder="1" applyAlignment="1">
      <alignment horizontal="center"/>
    </xf>
    <xf numFmtId="0" fontId="17" fillId="0" borderId="13" xfId="0" applyNumberFormat="1" applyFont="1" applyFill="1" applyBorder="1" applyAlignment="1">
      <alignment horizontal="center"/>
    </xf>
    <xf numFmtId="0" fontId="17" fillId="0" borderId="15" xfId="0" applyFont="1" applyFill="1" applyBorder="1" applyAlignment="1">
      <alignment horizontal="center"/>
    </xf>
    <xf numFmtId="0" fontId="17" fillId="0" borderId="52" xfId="0" applyFont="1" applyFill="1" applyBorder="1" applyAlignment="1">
      <alignment horizontal="center"/>
    </xf>
    <xf numFmtId="49" fontId="17" fillId="0" borderId="24" xfId="0" applyNumberFormat="1" applyFont="1" applyFill="1" applyBorder="1" applyAlignment="1">
      <alignment horizontal="center"/>
    </xf>
    <xf numFmtId="0" fontId="17" fillId="0" borderId="51" xfId="0" applyFont="1" applyFill="1" applyBorder="1" applyAlignment="1">
      <alignment horizontal="center"/>
    </xf>
    <xf numFmtId="0" fontId="17" fillId="0" borderId="19" xfId="0" applyFont="1" applyFill="1" applyBorder="1" applyAlignment="1">
      <alignment horizontal="center"/>
    </xf>
    <xf numFmtId="0" fontId="17" fillId="0" borderId="13" xfId="0" applyFont="1" applyFill="1" applyBorder="1" applyAlignment="1">
      <alignment horizontal="center"/>
    </xf>
    <xf numFmtId="0" fontId="17" fillId="0" borderId="12" xfId="0" applyFont="1" applyFill="1" applyBorder="1" applyAlignment="1">
      <alignment horizontal="center"/>
    </xf>
    <xf numFmtId="2" fontId="17" fillId="0" borderId="20" xfId="0" applyNumberFormat="1" applyFont="1" applyFill="1" applyBorder="1" applyAlignment="1">
      <alignment horizontal="center"/>
    </xf>
    <xf numFmtId="2" fontId="17" fillId="0" borderId="13" xfId="0" applyNumberFormat="1" applyFont="1" applyFill="1" applyBorder="1" applyAlignment="1">
      <alignment horizontal="center"/>
    </xf>
    <xf numFmtId="0" fontId="17" fillId="0" borderId="20" xfId="0" applyNumberFormat="1" applyFont="1" applyFill="1" applyBorder="1" applyAlignment="1">
      <alignment horizontal="center"/>
    </xf>
    <xf numFmtId="169" fontId="10" fillId="0" borderId="14" xfId="379" applyNumberFormat="1" applyFont="1" applyBorder="1" applyAlignment="1">
      <alignment horizontal="center"/>
    </xf>
    <xf numFmtId="169" fontId="10" fillId="0" borderId="53" xfId="379" applyNumberFormat="1" applyFont="1" applyBorder="1" applyAlignment="1">
      <alignment horizontal="center"/>
    </xf>
    <xf numFmtId="0" fontId="10" fillId="66" borderId="47" xfId="0" applyFont="1" applyFill="1" applyBorder="1" applyAlignment="1">
      <alignment horizontal="center" vertical="center" wrapText="1"/>
    </xf>
    <xf numFmtId="0" fontId="10" fillId="66" borderId="49" xfId="0" applyFont="1" applyFill="1" applyBorder="1" applyAlignment="1">
      <alignment horizontal="center" vertical="center" wrapText="1"/>
    </xf>
    <xf numFmtId="0" fontId="17" fillId="0" borderId="50" xfId="0" applyFont="1" applyBorder="1" applyAlignment="1">
      <alignment horizontal="center"/>
    </xf>
    <xf numFmtId="0" fontId="17" fillId="0" borderId="51" xfId="0" applyFont="1" applyBorder="1" applyAlignment="1">
      <alignment horizontal="center"/>
    </xf>
    <xf numFmtId="0" fontId="17" fillId="0" borderId="21" xfId="0" applyFont="1" applyBorder="1" applyAlignment="1">
      <alignment horizontal="center"/>
    </xf>
    <xf numFmtId="49" fontId="10" fillId="66" borderId="47" xfId="0" applyNumberFormat="1" applyFont="1" applyFill="1" applyBorder="1" applyAlignment="1">
      <alignment horizontal="center"/>
    </xf>
    <xf numFmtId="0" fontId="10" fillId="66" borderId="49" xfId="0" applyFont="1" applyFill="1" applyBorder="1" applyAlignment="1">
      <alignment horizontal="center"/>
    </xf>
    <xf numFmtId="0" fontId="10" fillId="66" borderId="49" xfId="0" applyNumberFormat="1" applyFont="1" applyFill="1" applyBorder="1" applyAlignment="1">
      <alignment horizontal="center"/>
    </xf>
    <xf numFmtId="49" fontId="10" fillId="66" borderId="47" xfId="0" applyNumberFormat="1" applyFont="1" applyFill="1" applyBorder="1" applyAlignment="1">
      <alignment horizontal="center" vertical="center" wrapText="1"/>
    </xf>
    <xf numFmtId="0" fontId="17" fillId="0" borderId="1" xfId="0" applyFont="1" applyBorder="1" applyAlignment="1" applyProtection="1">
      <alignment horizontal="center"/>
      <protection locked="0"/>
    </xf>
    <xf numFmtId="0" fontId="61" fillId="0" borderId="0" xfId="0" applyFont="1" applyFill="1" applyBorder="1" applyAlignment="1" applyProtection="1">
      <alignment horizontal="center" vertical="center"/>
      <protection locked="0"/>
    </xf>
    <xf numFmtId="0" fontId="65" fillId="0" borderId="1" xfId="860" applyFont="1" applyBorder="1" applyAlignment="1">
      <alignment horizontal="center"/>
    </xf>
    <xf numFmtId="0" fontId="57" fillId="0" borderId="0" xfId="0" applyFont="1" applyBorder="1" applyAlignment="1">
      <alignment horizontal="center"/>
    </xf>
    <xf numFmtId="3" fontId="43" fillId="0" borderId="10" xfId="0" applyNumberFormat="1" applyFont="1" applyBorder="1" applyAlignment="1">
      <alignment horizontal="center" vertical="center" wrapText="1"/>
    </xf>
    <xf numFmtId="3" fontId="43" fillId="0" borderId="76" xfId="0" applyNumberFormat="1" applyFont="1" applyBorder="1" applyAlignment="1">
      <alignment horizontal="center" vertical="center" wrapText="1"/>
    </xf>
    <xf numFmtId="3" fontId="43" fillId="0" borderId="77" xfId="0" applyNumberFormat="1" applyFont="1" applyBorder="1" applyAlignment="1">
      <alignment horizontal="center" vertical="center" wrapText="1"/>
    </xf>
    <xf numFmtId="0" fontId="55" fillId="0" borderId="54" xfId="0" applyFont="1" applyBorder="1" applyAlignment="1">
      <alignment horizontal="center" vertical="center" wrapText="1"/>
    </xf>
    <xf numFmtId="0" fontId="55" fillId="0" borderId="55" xfId="0" applyFont="1" applyBorder="1" applyAlignment="1">
      <alignment horizontal="center" vertical="center" wrapText="1"/>
    </xf>
    <xf numFmtId="3" fontId="43" fillId="0" borderId="50" xfId="0" applyNumberFormat="1" applyFont="1" applyBorder="1" applyAlignment="1">
      <alignment horizontal="center" vertical="center" wrapText="1"/>
    </xf>
    <xf numFmtId="3" fontId="43" fillId="0" borderId="21" xfId="0" applyNumberFormat="1" applyFont="1" applyBorder="1" applyAlignment="1">
      <alignment horizontal="center" vertical="center" wrapText="1"/>
    </xf>
    <xf numFmtId="0" fontId="45" fillId="0" borderId="23"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55" fillId="0" borderId="54" xfId="0" applyFont="1" applyBorder="1" applyAlignment="1">
      <alignment horizontal="center" vertical="center"/>
    </xf>
    <xf numFmtId="0" fontId="55" fillId="0" borderId="55" xfId="0" applyFont="1" applyBorder="1" applyAlignment="1">
      <alignment horizontal="center" vertical="center"/>
    </xf>
    <xf numFmtId="171" fontId="10" fillId="66" borderId="31" xfId="383" applyNumberFormat="1" applyFont="1" applyFill="1" applyBorder="1" applyAlignment="1">
      <alignment horizontal="center"/>
    </xf>
    <xf numFmtId="171" fontId="10" fillId="66" borderId="5" xfId="383" applyNumberFormat="1" applyFont="1" applyFill="1" applyBorder="1" applyAlignment="1">
      <alignment horizontal="center"/>
    </xf>
    <xf numFmtId="171" fontId="10" fillId="66" borderId="6" xfId="383" applyNumberFormat="1" applyFont="1" applyFill="1" applyBorder="1" applyAlignment="1">
      <alignment horizontal="center"/>
    </xf>
    <xf numFmtId="0" fontId="10" fillId="0" borderId="39" xfId="0" applyFont="1" applyBorder="1" applyAlignment="1">
      <alignment horizontal="center"/>
    </xf>
    <xf numFmtId="0" fontId="10" fillId="0" borderId="26" xfId="0" applyFont="1" applyBorder="1" applyAlignment="1">
      <alignment horizontal="center"/>
    </xf>
    <xf numFmtId="0" fontId="10" fillId="0" borderId="42" xfId="0" applyFont="1" applyBorder="1" applyAlignment="1">
      <alignment horizontal="center"/>
    </xf>
    <xf numFmtId="0" fontId="44" fillId="34" borderId="0" xfId="0" applyFont="1" applyFill="1" applyBorder="1" applyAlignment="1">
      <alignment horizontal="center" vertical="center"/>
    </xf>
    <xf numFmtId="0" fontId="10" fillId="34" borderId="48" xfId="0" applyFont="1" applyFill="1" applyBorder="1" applyAlignment="1">
      <alignment horizontal="left" vertical="center" wrapText="1"/>
    </xf>
    <xf numFmtId="0" fontId="45" fillId="0" borderId="12" xfId="0" applyFont="1" applyBorder="1" applyAlignment="1">
      <alignment horizontal="center" vertical="center" wrapText="1"/>
    </xf>
    <xf numFmtId="0" fontId="55" fillId="0" borderId="75" xfId="0" applyFont="1" applyBorder="1" applyAlignment="1">
      <alignment horizontal="center" vertical="center" wrapText="1"/>
    </xf>
    <xf numFmtId="0" fontId="55" fillId="0" borderId="20" xfId="0" applyFont="1" applyBorder="1" applyAlignment="1">
      <alignment horizontal="center" vertical="center" wrapText="1"/>
    </xf>
    <xf numFmtId="171" fontId="10" fillId="0" borderId="31" xfId="383" applyNumberFormat="1" applyFont="1" applyFill="1" applyBorder="1" applyAlignment="1">
      <alignment horizontal="center"/>
    </xf>
    <xf numFmtId="171" fontId="10" fillId="0" borderId="5" xfId="383" applyNumberFormat="1" applyFont="1" applyFill="1" applyBorder="1" applyAlignment="1">
      <alignment horizontal="center"/>
    </xf>
    <xf numFmtId="171" fontId="10" fillId="0" borderId="6" xfId="383" applyNumberFormat="1" applyFont="1" applyFill="1" applyBorder="1" applyAlignment="1">
      <alignment horizontal="center"/>
    </xf>
    <xf numFmtId="0" fontId="57" fillId="0" borderId="19" xfId="0" applyFont="1" applyBorder="1" applyAlignment="1">
      <alignment horizontal="center"/>
    </xf>
    <xf numFmtId="0" fontId="57" fillId="0" borderId="24" xfId="0" applyFont="1" applyBorder="1" applyAlignment="1">
      <alignment horizontal="center"/>
    </xf>
    <xf numFmtId="0" fontId="57" fillId="0" borderId="13" xfId="0" applyFont="1" applyBorder="1" applyAlignment="1">
      <alignment horizontal="center"/>
    </xf>
    <xf numFmtId="2" fontId="84" fillId="66" borderId="3" xfId="379" applyNumberFormat="1" applyFont="1" applyFill="1" applyBorder="1" applyAlignment="1" applyProtection="1">
      <alignment horizontal="center" vertical="center"/>
      <protection locked="0"/>
    </xf>
    <xf numFmtId="2" fontId="84" fillId="66" borderId="79" xfId="379" applyNumberFormat="1" applyFont="1" applyFill="1" applyBorder="1" applyAlignment="1" applyProtection="1">
      <alignment horizontal="center" vertical="center"/>
      <protection locked="0"/>
    </xf>
    <xf numFmtId="0" fontId="10" fillId="34" borderId="48" xfId="0" applyFont="1" applyFill="1" applyBorder="1" applyAlignment="1">
      <alignment horizontal="center" vertical="center" wrapText="1"/>
    </xf>
    <xf numFmtId="0" fontId="66" fillId="0" borderId="50" xfId="0" applyFont="1" applyBorder="1" applyAlignment="1">
      <alignment horizontal="center"/>
    </xf>
    <xf numFmtId="0" fontId="66" fillId="0" borderId="51" xfId="0" applyFont="1" applyBorder="1" applyAlignment="1">
      <alignment horizontal="center"/>
    </xf>
    <xf numFmtId="0" fontId="66" fillId="0" borderId="21" xfId="0" applyFont="1" applyBorder="1" applyAlignment="1">
      <alignment horizontal="center"/>
    </xf>
    <xf numFmtId="0" fontId="25" fillId="0" borderId="0" xfId="696" applyFont="1" applyAlignment="1">
      <alignment horizontal="left"/>
    </xf>
    <xf numFmtId="0" fontId="49" fillId="0" borderId="0" xfId="767" applyFont="1" applyAlignment="1">
      <alignment horizontal="left" vertical="top" wrapText="1"/>
    </xf>
    <xf numFmtId="0" fontId="113" fillId="0" borderId="0" xfId="767" applyFont="1" applyBorder="1" applyAlignment="1">
      <alignment horizontal="left" vertical="top" wrapText="1"/>
    </xf>
    <xf numFmtId="0" fontId="49" fillId="0" borderId="0" xfId="767" applyFont="1" applyBorder="1" applyAlignment="1">
      <alignment horizontal="left" vertical="top" wrapText="1"/>
    </xf>
    <xf numFmtId="0" fontId="50" fillId="34" borderId="45" xfId="767" applyFont="1" applyFill="1" applyBorder="1" applyAlignment="1">
      <alignment horizontal="center" vertical="top"/>
    </xf>
    <xf numFmtId="0" fontId="50" fillId="34" borderId="0" xfId="767" applyFont="1" applyFill="1" applyBorder="1" applyAlignment="1">
      <alignment horizontal="center" vertical="top"/>
    </xf>
    <xf numFmtId="0" fontId="50" fillId="34" borderId="41" xfId="767" applyFont="1" applyFill="1" applyBorder="1" applyAlignment="1">
      <alignment horizontal="center" vertical="top"/>
    </xf>
    <xf numFmtId="0" fontId="50" fillId="34" borderId="15" xfId="767" applyFont="1" applyFill="1" applyBorder="1" applyAlignment="1">
      <alignment horizontal="center" vertical="center"/>
    </xf>
    <xf numFmtId="0" fontId="50" fillId="34" borderId="51" xfId="767" applyFont="1" applyFill="1" applyBorder="1" applyAlignment="1">
      <alignment horizontal="center" vertical="center"/>
    </xf>
    <xf numFmtId="0" fontId="50" fillId="34" borderId="52" xfId="767" applyFont="1" applyFill="1" applyBorder="1" applyAlignment="1">
      <alignment horizontal="center" vertical="center"/>
    </xf>
    <xf numFmtId="0" fontId="113" fillId="0" borderId="0" xfId="767" applyFont="1" applyBorder="1" applyAlignment="1">
      <alignment horizontal="left"/>
    </xf>
    <xf numFmtId="0" fontId="50" fillId="0" borderId="0" xfId="767" applyFont="1" applyBorder="1" applyAlignment="1">
      <alignment horizontal="center" vertical="top" wrapText="1"/>
    </xf>
    <xf numFmtId="0" fontId="50" fillId="34" borderId="47" xfId="767" applyFont="1" applyFill="1" applyBorder="1" applyAlignment="1">
      <alignment horizontal="center"/>
    </xf>
    <xf numFmtId="0" fontId="50" fillId="34" borderId="48" xfId="767" applyFont="1" applyFill="1" applyBorder="1" applyAlignment="1">
      <alignment horizontal="center"/>
    </xf>
    <xf numFmtId="0" fontId="50" fillId="34" borderId="49" xfId="767" applyFont="1" applyFill="1" applyBorder="1" applyAlignment="1">
      <alignment horizontal="center"/>
    </xf>
    <xf numFmtId="0" fontId="50" fillId="34" borderId="45" xfId="767" applyFont="1" applyFill="1" applyBorder="1" applyAlignment="1">
      <alignment horizontal="left" vertical="center"/>
    </xf>
    <xf numFmtId="0" fontId="50" fillId="34" borderId="0" xfId="767" applyFont="1" applyFill="1" applyBorder="1" applyAlignment="1">
      <alignment horizontal="left" vertical="center"/>
    </xf>
    <xf numFmtId="0" fontId="49" fillId="34" borderId="38" xfId="767" applyFont="1" applyFill="1" applyBorder="1" applyAlignment="1">
      <alignment vertical="top" wrapText="1"/>
    </xf>
    <xf numFmtId="0" fontId="49" fillId="34" borderId="70" xfId="767" applyFont="1" applyFill="1" applyBorder="1" applyAlignment="1">
      <alignment vertical="top" wrapText="1"/>
    </xf>
    <xf numFmtId="0" fontId="50" fillId="0" borderId="46" xfId="767" applyFont="1" applyBorder="1" applyAlignment="1">
      <alignment vertical="top" wrapText="1"/>
    </xf>
    <xf numFmtId="0" fontId="50" fillId="0" borderId="25" xfId="767" applyFont="1" applyBorder="1" applyAlignment="1">
      <alignment vertical="top" wrapText="1"/>
    </xf>
    <xf numFmtId="170" fontId="20" fillId="66" borderId="45" xfId="768" applyNumberFormat="1" applyFont="1" applyFill="1" applyBorder="1" applyAlignment="1">
      <alignment horizontal="center" vertical="top"/>
    </xf>
    <xf numFmtId="170" fontId="20" fillId="66" borderId="0" xfId="768" applyNumberFormat="1" applyFont="1" applyFill="1" applyBorder="1" applyAlignment="1">
      <alignment horizontal="center" vertical="top"/>
    </xf>
    <xf numFmtId="170" fontId="20" fillId="66" borderId="41" xfId="768" applyNumberFormat="1" applyFont="1" applyFill="1" applyBorder="1" applyAlignment="1">
      <alignment horizontal="center" vertical="top"/>
    </xf>
    <xf numFmtId="0" fontId="113" fillId="0" borderId="0" xfId="767" applyFont="1" applyAlignment="1">
      <alignment horizontal="left" vertical="top"/>
    </xf>
    <xf numFmtId="0" fontId="50" fillId="66" borderId="47" xfId="767" applyFont="1" applyFill="1" applyBorder="1" applyAlignment="1">
      <alignment horizontal="center" vertical="top"/>
    </xf>
    <xf numFmtId="0" fontId="50" fillId="66" borderId="48" xfId="767" applyFont="1" applyFill="1" applyBorder="1" applyAlignment="1">
      <alignment horizontal="center" vertical="top"/>
    </xf>
    <xf numFmtId="0" fontId="50" fillId="66" borderId="49" xfId="767" applyFont="1" applyFill="1" applyBorder="1" applyAlignment="1">
      <alignment horizontal="center" vertical="top"/>
    </xf>
    <xf numFmtId="170" fontId="20" fillId="66" borderId="45" xfId="768" applyNumberFormat="1" applyFont="1" applyFill="1" applyBorder="1" applyAlignment="1">
      <alignment horizontal="center"/>
    </xf>
    <xf numFmtId="170" fontId="20" fillId="66" borderId="0" xfId="768" applyNumberFormat="1" applyFont="1" applyFill="1" applyBorder="1" applyAlignment="1">
      <alignment horizontal="center"/>
    </xf>
    <xf numFmtId="170" fontId="20" fillId="66" borderId="41" xfId="768" applyNumberFormat="1" applyFont="1" applyFill="1" applyBorder="1" applyAlignment="1">
      <alignment horizontal="center"/>
    </xf>
    <xf numFmtId="0" fontId="50" fillId="66" borderId="47" xfId="767" applyFont="1" applyFill="1" applyBorder="1" applyAlignment="1">
      <alignment horizontal="center"/>
    </xf>
    <xf numFmtId="0" fontId="50" fillId="66" borderId="48" xfId="767" applyFont="1" applyFill="1" applyBorder="1" applyAlignment="1">
      <alignment horizontal="center"/>
    </xf>
    <xf numFmtId="0" fontId="50" fillId="66" borderId="49" xfId="767" applyFont="1" applyFill="1" applyBorder="1" applyAlignment="1">
      <alignment horizontal="center"/>
    </xf>
    <xf numFmtId="2" fontId="10" fillId="0" borderId="75" xfId="0" applyNumberFormat="1" applyFont="1" applyFill="1" applyBorder="1" applyAlignment="1">
      <alignment horizontal="center" wrapText="1"/>
    </xf>
    <xf numFmtId="2" fontId="10" fillId="0" borderId="20" xfId="0" applyNumberFormat="1" applyFont="1" applyFill="1" applyBorder="1" applyAlignment="1">
      <alignment horizontal="center" wrapText="1"/>
    </xf>
    <xf numFmtId="2" fontId="10" fillId="0" borderId="53" xfId="0" applyNumberFormat="1" applyFont="1" applyFill="1" applyBorder="1" applyAlignment="1">
      <alignment horizontal="center" wrapText="1"/>
    </xf>
    <xf numFmtId="2" fontId="10" fillId="0" borderId="12" xfId="0" applyNumberFormat="1" applyFont="1" applyFill="1" applyBorder="1" applyAlignment="1">
      <alignment horizontal="center" wrapText="1"/>
    </xf>
    <xf numFmtId="0" fontId="10" fillId="0" borderId="12" xfId="0" applyFont="1" applyFill="1" applyBorder="1" applyAlignment="1">
      <alignment horizontal="center" wrapText="1"/>
    </xf>
    <xf numFmtId="2" fontId="17" fillId="0" borderId="31" xfId="0" applyNumberFormat="1" applyFont="1" applyBorder="1" applyAlignment="1">
      <alignment horizontal="center"/>
    </xf>
    <xf numFmtId="0" fontId="17" fillId="0" borderId="5" xfId="0" applyFont="1" applyBorder="1" applyAlignment="1">
      <alignment horizontal="center"/>
    </xf>
    <xf numFmtId="0" fontId="17" fillId="0" borderId="6" xfId="0" applyFont="1" applyBorder="1" applyAlignment="1">
      <alignment horizontal="center"/>
    </xf>
  </cellXfs>
  <cellStyles count="1446">
    <cellStyle name="$" xfId="745"/>
    <cellStyle name="$.00" xfId="746"/>
    <cellStyle name="$_9. Rev2Cost_GDPIPI" xfId="747"/>
    <cellStyle name="$_lists" xfId="748"/>
    <cellStyle name="$_lists_4. Current Monthly Fixed Charge" xfId="749"/>
    <cellStyle name="$_Sheet4" xfId="750"/>
    <cellStyle name="$M" xfId="751"/>
    <cellStyle name="$M.00" xfId="752"/>
    <cellStyle name="$M_9. Rev2Cost_GDPIPI" xfId="753"/>
    <cellStyle name="20% - Accent1 10" xfId="1"/>
    <cellStyle name="20% - Accent1 11" xfId="2"/>
    <cellStyle name="20% - Accent1 12" xfId="3"/>
    <cellStyle name="20% - Accent1 13" xfId="4"/>
    <cellStyle name="20% - Accent1 14" xfId="5"/>
    <cellStyle name="20% - Accent1 15" xfId="6"/>
    <cellStyle name="20% - Accent1 16" xfId="669"/>
    <cellStyle name="20% - Accent1 2" xfId="7"/>
    <cellStyle name="20% - Accent1 2 2" xfId="716"/>
    <cellStyle name="20% - Accent1 3" xfId="8"/>
    <cellStyle name="20% - Accent1 4" xfId="9"/>
    <cellStyle name="20% - Accent1 5" xfId="10"/>
    <cellStyle name="20% - Accent1 6" xfId="11"/>
    <cellStyle name="20% - Accent1 7" xfId="12"/>
    <cellStyle name="20% - Accent1 8" xfId="13"/>
    <cellStyle name="20% - Accent1 9" xfId="14"/>
    <cellStyle name="20% - Accent2 10" xfId="15"/>
    <cellStyle name="20% - Accent2 11" xfId="16"/>
    <cellStyle name="20% - Accent2 12" xfId="17"/>
    <cellStyle name="20% - Accent2 13" xfId="18"/>
    <cellStyle name="20% - Accent2 14" xfId="19"/>
    <cellStyle name="20% - Accent2 15" xfId="20"/>
    <cellStyle name="20% - Accent2 16" xfId="670"/>
    <cellStyle name="20% - Accent2 2" xfId="21"/>
    <cellStyle name="20% - Accent2 2 2" xfId="720"/>
    <cellStyle name="20% - Accent2 3" xfId="22"/>
    <cellStyle name="20% - Accent2 4" xfId="23"/>
    <cellStyle name="20% - Accent2 5" xfId="24"/>
    <cellStyle name="20% - Accent2 6" xfId="25"/>
    <cellStyle name="20% - Accent2 7" xfId="26"/>
    <cellStyle name="20% - Accent2 8" xfId="27"/>
    <cellStyle name="20% - Accent2 9" xfId="28"/>
    <cellStyle name="20% - Accent3 10" xfId="29"/>
    <cellStyle name="20% - Accent3 11" xfId="30"/>
    <cellStyle name="20% - Accent3 12" xfId="31"/>
    <cellStyle name="20% - Accent3 13" xfId="32"/>
    <cellStyle name="20% - Accent3 14" xfId="33"/>
    <cellStyle name="20% - Accent3 15" xfId="34"/>
    <cellStyle name="20% - Accent3 16" xfId="671"/>
    <cellStyle name="20% - Accent3 2" xfId="35"/>
    <cellStyle name="20% - Accent3 2 2" xfId="724"/>
    <cellStyle name="20% - Accent3 3" xfId="36"/>
    <cellStyle name="20% - Accent3 4" xfId="37"/>
    <cellStyle name="20% - Accent3 5" xfId="38"/>
    <cellStyle name="20% - Accent3 6" xfId="39"/>
    <cellStyle name="20% - Accent3 7" xfId="40"/>
    <cellStyle name="20% - Accent3 8" xfId="41"/>
    <cellStyle name="20% - Accent3 9" xfId="42"/>
    <cellStyle name="20% - Accent4 10" xfId="43"/>
    <cellStyle name="20% - Accent4 11" xfId="44"/>
    <cellStyle name="20% - Accent4 12" xfId="45"/>
    <cellStyle name="20% - Accent4 13" xfId="46"/>
    <cellStyle name="20% - Accent4 14" xfId="47"/>
    <cellStyle name="20% - Accent4 15" xfId="48"/>
    <cellStyle name="20% - Accent4 16" xfId="672"/>
    <cellStyle name="20% - Accent4 2" xfId="49"/>
    <cellStyle name="20% - Accent4 2 2" xfId="728"/>
    <cellStyle name="20% - Accent4 3" xfId="50"/>
    <cellStyle name="20% - Accent4 4" xfId="51"/>
    <cellStyle name="20% - Accent4 5" xfId="52"/>
    <cellStyle name="20% - Accent4 6" xfId="53"/>
    <cellStyle name="20% - Accent4 7" xfId="54"/>
    <cellStyle name="20% - Accent4 8" xfId="55"/>
    <cellStyle name="20% - Accent4 9" xfId="56"/>
    <cellStyle name="20% - Accent5 10" xfId="57"/>
    <cellStyle name="20% - Accent5 11" xfId="58"/>
    <cellStyle name="20% - Accent5 12" xfId="59"/>
    <cellStyle name="20% - Accent5 13" xfId="60"/>
    <cellStyle name="20% - Accent5 14" xfId="61"/>
    <cellStyle name="20% - Accent5 15" xfId="62"/>
    <cellStyle name="20% - Accent5 16" xfId="673"/>
    <cellStyle name="20% - Accent5 2" xfId="63"/>
    <cellStyle name="20% - Accent5 2 2" xfId="732"/>
    <cellStyle name="20% - Accent5 3" xfId="64"/>
    <cellStyle name="20% - Accent5 4" xfId="65"/>
    <cellStyle name="20% - Accent5 5" xfId="66"/>
    <cellStyle name="20% - Accent5 6" xfId="67"/>
    <cellStyle name="20% - Accent5 7" xfId="68"/>
    <cellStyle name="20% - Accent5 8" xfId="69"/>
    <cellStyle name="20% - Accent5 9" xfId="70"/>
    <cellStyle name="20% - Accent6 10" xfId="71"/>
    <cellStyle name="20% - Accent6 11" xfId="72"/>
    <cellStyle name="20% - Accent6 12" xfId="73"/>
    <cellStyle name="20% - Accent6 13" xfId="74"/>
    <cellStyle name="20% - Accent6 14" xfId="75"/>
    <cellStyle name="20% - Accent6 15" xfId="76"/>
    <cellStyle name="20% - Accent6 16" xfId="674"/>
    <cellStyle name="20% - Accent6 2" xfId="77"/>
    <cellStyle name="20% - Accent6 2 2" xfId="736"/>
    <cellStyle name="20% - Accent6 3" xfId="78"/>
    <cellStyle name="20% - Accent6 4" xfId="79"/>
    <cellStyle name="20% - Accent6 5" xfId="80"/>
    <cellStyle name="20% - Accent6 6" xfId="81"/>
    <cellStyle name="20% - Accent6 7" xfId="82"/>
    <cellStyle name="20% - Accent6 8" xfId="83"/>
    <cellStyle name="20% - Accent6 9" xfId="84"/>
    <cellStyle name="40% - Accent1 10" xfId="85"/>
    <cellStyle name="40% - Accent1 11" xfId="86"/>
    <cellStyle name="40% - Accent1 12" xfId="87"/>
    <cellStyle name="40% - Accent1 13" xfId="88"/>
    <cellStyle name="40% - Accent1 14" xfId="89"/>
    <cellStyle name="40% - Accent1 15" xfId="90"/>
    <cellStyle name="40% - Accent1 16" xfId="675"/>
    <cellStyle name="40% - Accent1 2" xfId="91"/>
    <cellStyle name="40% - Accent1 2 2" xfId="717"/>
    <cellStyle name="40% - Accent1 3" xfId="92"/>
    <cellStyle name="40% - Accent1 4" xfId="93"/>
    <cellStyle name="40% - Accent1 5" xfId="94"/>
    <cellStyle name="40% - Accent1 6" xfId="95"/>
    <cellStyle name="40% - Accent1 7" xfId="96"/>
    <cellStyle name="40% - Accent1 8" xfId="97"/>
    <cellStyle name="40% - Accent1 9" xfId="98"/>
    <cellStyle name="40% - Accent2 10" xfId="99"/>
    <cellStyle name="40% - Accent2 11" xfId="100"/>
    <cellStyle name="40% - Accent2 12" xfId="101"/>
    <cellStyle name="40% - Accent2 13" xfId="102"/>
    <cellStyle name="40% - Accent2 14" xfId="103"/>
    <cellStyle name="40% - Accent2 15" xfId="104"/>
    <cellStyle name="40% - Accent2 16" xfId="676"/>
    <cellStyle name="40% - Accent2 2" xfId="105"/>
    <cellStyle name="40% - Accent2 2 2" xfId="721"/>
    <cellStyle name="40% - Accent2 3" xfId="106"/>
    <cellStyle name="40% - Accent2 4" xfId="107"/>
    <cellStyle name="40% - Accent2 5" xfId="108"/>
    <cellStyle name="40% - Accent2 6" xfId="109"/>
    <cellStyle name="40% - Accent2 7" xfId="110"/>
    <cellStyle name="40% - Accent2 8" xfId="111"/>
    <cellStyle name="40% - Accent2 9" xfId="112"/>
    <cellStyle name="40% - Accent3 10" xfId="113"/>
    <cellStyle name="40% - Accent3 11" xfId="114"/>
    <cellStyle name="40% - Accent3 12" xfId="115"/>
    <cellStyle name="40% - Accent3 13" xfId="116"/>
    <cellStyle name="40% - Accent3 14" xfId="117"/>
    <cellStyle name="40% - Accent3 15" xfId="118"/>
    <cellStyle name="40% - Accent3 16" xfId="677"/>
    <cellStyle name="40% - Accent3 2" xfId="119"/>
    <cellStyle name="40% - Accent3 2 2" xfId="725"/>
    <cellStyle name="40% - Accent3 3" xfId="120"/>
    <cellStyle name="40% - Accent3 4" xfId="121"/>
    <cellStyle name="40% - Accent3 5" xfId="122"/>
    <cellStyle name="40% - Accent3 6" xfId="123"/>
    <cellStyle name="40% - Accent3 7" xfId="124"/>
    <cellStyle name="40% - Accent3 8" xfId="125"/>
    <cellStyle name="40% - Accent3 9" xfId="126"/>
    <cellStyle name="40% - Accent4 10" xfId="127"/>
    <cellStyle name="40% - Accent4 11" xfId="128"/>
    <cellStyle name="40% - Accent4 12" xfId="129"/>
    <cellStyle name="40% - Accent4 13" xfId="130"/>
    <cellStyle name="40% - Accent4 14" xfId="131"/>
    <cellStyle name="40% - Accent4 15" xfId="132"/>
    <cellStyle name="40% - Accent4 16" xfId="678"/>
    <cellStyle name="40% - Accent4 2" xfId="133"/>
    <cellStyle name="40% - Accent4 2 2" xfId="729"/>
    <cellStyle name="40% - Accent4 3" xfId="134"/>
    <cellStyle name="40% - Accent4 4" xfId="135"/>
    <cellStyle name="40% - Accent4 5" xfId="136"/>
    <cellStyle name="40% - Accent4 6" xfId="137"/>
    <cellStyle name="40% - Accent4 7" xfId="138"/>
    <cellStyle name="40% - Accent4 8" xfId="139"/>
    <cellStyle name="40% - Accent4 9" xfId="140"/>
    <cellStyle name="40% - Accent5 10" xfId="141"/>
    <cellStyle name="40% - Accent5 11" xfId="142"/>
    <cellStyle name="40% - Accent5 12" xfId="143"/>
    <cellStyle name="40% - Accent5 13" xfId="144"/>
    <cellStyle name="40% - Accent5 14" xfId="145"/>
    <cellStyle name="40% - Accent5 15" xfId="146"/>
    <cellStyle name="40% - Accent5 16" xfId="679"/>
    <cellStyle name="40% - Accent5 2" xfId="147"/>
    <cellStyle name="40% - Accent5 2 2" xfId="733"/>
    <cellStyle name="40% - Accent5 3" xfId="148"/>
    <cellStyle name="40% - Accent5 4" xfId="149"/>
    <cellStyle name="40% - Accent5 5" xfId="150"/>
    <cellStyle name="40% - Accent5 6" xfId="151"/>
    <cellStyle name="40% - Accent5 7" xfId="152"/>
    <cellStyle name="40% - Accent5 8" xfId="153"/>
    <cellStyle name="40% - Accent5 9" xfId="154"/>
    <cellStyle name="40% - Accent6 10" xfId="155"/>
    <cellStyle name="40% - Accent6 11" xfId="156"/>
    <cellStyle name="40% - Accent6 12" xfId="157"/>
    <cellStyle name="40% - Accent6 13" xfId="158"/>
    <cellStyle name="40% - Accent6 14" xfId="159"/>
    <cellStyle name="40% - Accent6 15" xfId="160"/>
    <cellStyle name="40% - Accent6 16" xfId="680"/>
    <cellStyle name="40% - Accent6 2" xfId="161"/>
    <cellStyle name="40% - Accent6 2 2" xfId="737"/>
    <cellStyle name="40% - Accent6 3" xfId="162"/>
    <cellStyle name="40% - Accent6 4" xfId="163"/>
    <cellStyle name="40% - Accent6 5" xfId="164"/>
    <cellStyle name="40% - Accent6 6" xfId="165"/>
    <cellStyle name="40% - Accent6 7" xfId="166"/>
    <cellStyle name="40% - Accent6 8" xfId="167"/>
    <cellStyle name="40% - Accent6 9" xfId="168"/>
    <cellStyle name="60% - Accent1 10" xfId="169"/>
    <cellStyle name="60% - Accent1 11" xfId="170"/>
    <cellStyle name="60% - Accent1 12" xfId="171"/>
    <cellStyle name="60% - Accent1 13" xfId="172"/>
    <cellStyle name="60% - Accent1 14" xfId="173"/>
    <cellStyle name="60% - Accent1 15" xfId="174"/>
    <cellStyle name="60% - Accent1 16" xfId="681"/>
    <cellStyle name="60% - Accent1 2" xfId="175"/>
    <cellStyle name="60% - Accent1 2 2" xfId="718"/>
    <cellStyle name="60% - Accent1 3" xfId="176"/>
    <cellStyle name="60% - Accent1 4" xfId="177"/>
    <cellStyle name="60% - Accent1 5" xfId="178"/>
    <cellStyle name="60% - Accent1 6" xfId="179"/>
    <cellStyle name="60% - Accent1 7" xfId="180"/>
    <cellStyle name="60% - Accent1 8" xfId="181"/>
    <cellStyle name="60% - Accent1 9" xfId="182"/>
    <cellStyle name="60% - Accent2 10" xfId="183"/>
    <cellStyle name="60% - Accent2 11" xfId="184"/>
    <cellStyle name="60% - Accent2 12" xfId="185"/>
    <cellStyle name="60% - Accent2 13" xfId="186"/>
    <cellStyle name="60% - Accent2 14" xfId="187"/>
    <cellStyle name="60% - Accent2 15" xfId="188"/>
    <cellStyle name="60% - Accent2 16" xfId="682"/>
    <cellStyle name="60% - Accent2 2" xfId="189"/>
    <cellStyle name="60% - Accent2 2 2" xfId="722"/>
    <cellStyle name="60% - Accent2 3" xfId="190"/>
    <cellStyle name="60% - Accent2 4" xfId="191"/>
    <cellStyle name="60% - Accent2 5" xfId="192"/>
    <cellStyle name="60% - Accent2 6" xfId="193"/>
    <cellStyle name="60% - Accent2 7" xfId="194"/>
    <cellStyle name="60% - Accent2 8" xfId="195"/>
    <cellStyle name="60% - Accent2 9" xfId="196"/>
    <cellStyle name="60% - Accent3 10" xfId="197"/>
    <cellStyle name="60% - Accent3 11" xfId="198"/>
    <cellStyle name="60% - Accent3 12" xfId="199"/>
    <cellStyle name="60% - Accent3 13" xfId="200"/>
    <cellStyle name="60% - Accent3 14" xfId="201"/>
    <cellStyle name="60% - Accent3 15" xfId="202"/>
    <cellStyle name="60% - Accent3 16" xfId="683"/>
    <cellStyle name="60% - Accent3 2" xfId="203"/>
    <cellStyle name="60% - Accent3 2 2" xfId="726"/>
    <cellStyle name="60% - Accent3 3" xfId="204"/>
    <cellStyle name="60% - Accent3 4" xfId="205"/>
    <cellStyle name="60% - Accent3 5" xfId="206"/>
    <cellStyle name="60% - Accent3 6" xfId="207"/>
    <cellStyle name="60% - Accent3 7" xfId="208"/>
    <cellStyle name="60% - Accent3 8" xfId="209"/>
    <cellStyle name="60% - Accent3 9" xfId="210"/>
    <cellStyle name="60% - Accent4 10" xfId="211"/>
    <cellStyle name="60% - Accent4 11" xfId="212"/>
    <cellStyle name="60% - Accent4 12" xfId="213"/>
    <cellStyle name="60% - Accent4 13" xfId="214"/>
    <cellStyle name="60% - Accent4 14" xfId="215"/>
    <cellStyle name="60% - Accent4 15" xfId="216"/>
    <cellStyle name="60% - Accent4 16" xfId="684"/>
    <cellStyle name="60% - Accent4 2" xfId="217"/>
    <cellStyle name="60% - Accent4 2 2" xfId="730"/>
    <cellStyle name="60% - Accent4 3" xfId="218"/>
    <cellStyle name="60% - Accent4 4" xfId="219"/>
    <cellStyle name="60% - Accent4 5" xfId="220"/>
    <cellStyle name="60% - Accent4 6" xfId="221"/>
    <cellStyle name="60% - Accent4 7" xfId="222"/>
    <cellStyle name="60% - Accent4 8" xfId="223"/>
    <cellStyle name="60% - Accent4 9" xfId="224"/>
    <cellStyle name="60% - Accent5 10" xfId="225"/>
    <cellStyle name="60% - Accent5 11" xfId="226"/>
    <cellStyle name="60% - Accent5 12" xfId="227"/>
    <cellStyle name="60% - Accent5 13" xfId="228"/>
    <cellStyle name="60% - Accent5 14" xfId="229"/>
    <cellStyle name="60% - Accent5 15" xfId="230"/>
    <cellStyle name="60% - Accent5 16" xfId="685"/>
    <cellStyle name="60% - Accent5 2" xfId="231"/>
    <cellStyle name="60% - Accent5 2 2" xfId="734"/>
    <cellStyle name="60% - Accent5 3" xfId="232"/>
    <cellStyle name="60% - Accent5 4" xfId="233"/>
    <cellStyle name="60% - Accent5 5" xfId="234"/>
    <cellStyle name="60% - Accent5 6" xfId="235"/>
    <cellStyle name="60% - Accent5 7" xfId="236"/>
    <cellStyle name="60% - Accent5 8" xfId="237"/>
    <cellStyle name="60% - Accent5 9" xfId="238"/>
    <cellStyle name="60% - Accent6 10" xfId="239"/>
    <cellStyle name="60% - Accent6 11" xfId="240"/>
    <cellStyle name="60% - Accent6 12" xfId="241"/>
    <cellStyle name="60% - Accent6 13" xfId="242"/>
    <cellStyle name="60% - Accent6 14" xfId="243"/>
    <cellStyle name="60% - Accent6 15" xfId="244"/>
    <cellStyle name="60% - Accent6 16" xfId="686"/>
    <cellStyle name="60% - Accent6 2" xfId="245"/>
    <cellStyle name="60% - Accent6 2 2" xfId="738"/>
    <cellStyle name="60% - Accent6 3" xfId="246"/>
    <cellStyle name="60% - Accent6 4" xfId="247"/>
    <cellStyle name="60% - Accent6 5" xfId="248"/>
    <cellStyle name="60% - Accent6 6" xfId="249"/>
    <cellStyle name="60% - Accent6 7" xfId="250"/>
    <cellStyle name="60% - Accent6 8" xfId="251"/>
    <cellStyle name="60% - Accent6 9" xfId="252"/>
    <cellStyle name="Accent1 10" xfId="253"/>
    <cellStyle name="Accent1 11" xfId="254"/>
    <cellStyle name="Accent1 12" xfId="255"/>
    <cellStyle name="Accent1 13" xfId="256"/>
    <cellStyle name="Accent1 14" xfId="257"/>
    <cellStyle name="Accent1 15" xfId="258"/>
    <cellStyle name="Accent1 16" xfId="687"/>
    <cellStyle name="Accent1 2" xfId="259"/>
    <cellStyle name="Accent1 2 2" xfId="715"/>
    <cellStyle name="Accent1 3" xfId="260"/>
    <cellStyle name="Accent1 4" xfId="261"/>
    <cellStyle name="Accent1 5" xfId="262"/>
    <cellStyle name="Accent1 6" xfId="263"/>
    <cellStyle name="Accent1 7" xfId="264"/>
    <cellStyle name="Accent1 8" xfId="265"/>
    <cellStyle name="Accent1 9" xfId="266"/>
    <cellStyle name="Accent2 10" xfId="267"/>
    <cellStyle name="Accent2 11" xfId="268"/>
    <cellStyle name="Accent2 12" xfId="269"/>
    <cellStyle name="Accent2 13" xfId="270"/>
    <cellStyle name="Accent2 14" xfId="271"/>
    <cellStyle name="Accent2 15" xfId="272"/>
    <cellStyle name="Accent2 16" xfId="688"/>
    <cellStyle name="Accent2 2" xfId="273"/>
    <cellStyle name="Accent2 2 2" xfId="719"/>
    <cellStyle name="Accent2 3" xfId="274"/>
    <cellStyle name="Accent2 4" xfId="275"/>
    <cellStyle name="Accent2 5" xfId="276"/>
    <cellStyle name="Accent2 6" xfId="277"/>
    <cellStyle name="Accent2 7" xfId="278"/>
    <cellStyle name="Accent2 8" xfId="279"/>
    <cellStyle name="Accent2 9" xfId="280"/>
    <cellStyle name="Accent3 10" xfId="281"/>
    <cellStyle name="Accent3 11" xfId="282"/>
    <cellStyle name="Accent3 12" xfId="283"/>
    <cellStyle name="Accent3 13" xfId="284"/>
    <cellStyle name="Accent3 14" xfId="285"/>
    <cellStyle name="Accent3 15" xfId="286"/>
    <cellStyle name="Accent3 16" xfId="689"/>
    <cellStyle name="Accent3 2" xfId="287"/>
    <cellStyle name="Accent3 2 2" xfId="723"/>
    <cellStyle name="Accent3 3" xfId="288"/>
    <cellStyle name="Accent3 4" xfId="289"/>
    <cellStyle name="Accent3 5" xfId="290"/>
    <cellStyle name="Accent3 6" xfId="291"/>
    <cellStyle name="Accent3 7" xfId="292"/>
    <cellStyle name="Accent3 8" xfId="293"/>
    <cellStyle name="Accent3 9" xfId="294"/>
    <cellStyle name="Accent4 10" xfId="295"/>
    <cellStyle name="Accent4 11" xfId="296"/>
    <cellStyle name="Accent4 12" xfId="297"/>
    <cellStyle name="Accent4 13" xfId="298"/>
    <cellStyle name="Accent4 14" xfId="299"/>
    <cellStyle name="Accent4 15" xfId="300"/>
    <cellStyle name="Accent4 16" xfId="795"/>
    <cellStyle name="Accent4 2" xfId="301"/>
    <cellStyle name="Accent4 2 2" xfId="727"/>
    <cellStyle name="Accent4 3" xfId="302"/>
    <cellStyle name="Accent4 4" xfId="303"/>
    <cellStyle name="Accent4 5" xfId="304"/>
    <cellStyle name="Accent4 6" xfId="305"/>
    <cellStyle name="Accent4 7" xfId="306"/>
    <cellStyle name="Accent4 8" xfId="307"/>
    <cellStyle name="Accent4 9" xfId="308"/>
    <cellStyle name="Accent5 10" xfId="309"/>
    <cellStyle name="Accent5 11" xfId="310"/>
    <cellStyle name="Accent5 12" xfId="311"/>
    <cellStyle name="Accent5 13" xfId="312"/>
    <cellStyle name="Accent5 14" xfId="313"/>
    <cellStyle name="Accent5 15" xfId="314"/>
    <cellStyle name="Accent5 16" xfId="790"/>
    <cellStyle name="Accent5 2" xfId="315"/>
    <cellStyle name="Accent5 2 2" xfId="731"/>
    <cellStyle name="Accent5 3" xfId="316"/>
    <cellStyle name="Accent5 4" xfId="317"/>
    <cellStyle name="Accent5 5" xfId="318"/>
    <cellStyle name="Accent5 6" xfId="319"/>
    <cellStyle name="Accent5 7" xfId="320"/>
    <cellStyle name="Accent5 8" xfId="321"/>
    <cellStyle name="Accent5 9" xfId="322"/>
    <cellStyle name="Accent6 10" xfId="323"/>
    <cellStyle name="Accent6 11" xfId="324"/>
    <cellStyle name="Accent6 12" xfId="325"/>
    <cellStyle name="Accent6 13" xfId="326"/>
    <cellStyle name="Accent6 14" xfId="327"/>
    <cellStyle name="Accent6 15" xfId="328"/>
    <cellStyle name="Accent6 16" xfId="794"/>
    <cellStyle name="Accent6 2" xfId="329"/>
    <cellStyle name="Accent6 2 2" xfId="735"/>
    <cellStyle name="Accent6 3" xfId="330"/>
    <cellStyle name="Accent6 4" xfId="331"/>
    <cellStyle name="Accent6 5" xfId="332"/>
    <cellStyle name="Accent6 6" xfId="333"/>
    <cellStyle name="Accent6 7" xfId="334"/>
    <cellStyle name="Accent6 8" xfId="335"/>
    <cellStyle name="Accent6 9" xfId="336"/>
    <cellStyle name="Bad 10" xfId="337"/>
    <cellStyle name="Bad 11" xfId="338"/>
    <cellStyle name="Bad 12" xfId="339"/>
    <cellStyle name="Bad 13" xfId="340"/>
    <cellStyle name="Bad 14" xfId="341"/>
    <cellStyle name="Bad 15" xfId="342"/>
    <cellStyle name="Bad 16" xfId="779"/>
    <cellStyle name="Bad 2" xfId="343"/>
    <cellStyle name="Bad 2 2" xfId="704"/>
    <cellStyle name="Bad 3" xfId="344"/>
    <cellStyle name="Bad 4" xfId="345"/>
    <cellStyle name="Bad 5" xfId="346"/>
    <cellStyle name="Bad 6" xfId="347"/>
    <cellStyle name="Bad 7" xfId="348"/>
    <cellStyle name="Bad 8" xfId="349"/>
    <cellStyle name="Bad 9" xfId="350"/>
    <cellStyle name="Calculation 10" xfId="351"/>
    <cellStyle name="Calculation 11" xfId="352"/>
    <cellStyle name="Calculation 12" xfId="353"/>
    <cellStyle name="Calculation 13" xfId="354"/>
    <cellStyle name="Calculation 14" xfId="355"/>
    <cellStyle name="Calculation 15" xfId="356"/>
    <cellStyle name="Calculation 16" xfId="690"/>
    <cellStyle name="Calculation 2" xfId="357"/>
    <cellStyle name="Calculation 2 2" xfId="708"/>
    <cellStyle name="Calculation 3" xfId="358"/>
    <cellStyle name="Calculation 4" xfId="359"/>
    <cellStyle name="Calculation 5" xfId="360"/>
    <cellStyle name="Calculation 6" xfId="361"/>
    <cellStyle name="Calculation 7" xfId="362"/>
    <cellStyle name="Calculation 8" xfId="363"/>
    <cellStyle name="Calculation 9" xfId="364"/>
    <cellStyle name="Check Cell 10" xfId="365"/>
    <cellStyle name="Check Cell 11" xfId="366"/>
    <cellStyle name="Check Cell 12" xfId="367"/>
    <cellStyle name="Check Cell 13" xfId="368"/>
    <cellStyle name="Check Cell 14" xfId="369"/>
    <cellStyle name="Check Cell 15" xfId="370"/>
    <cellStyle name="Check Cell 16" xfId="775"/>
    <cellStyle name="Check Cell 2" xfId="371"/>
    <cellStyle name="Check Cell 2 2" xfId="710"/>
    <cellStyle name="Check Cell 3" xfId="372"/>
    <cellStyle name="Check Cell 4" xfId="373"/>
    <cellStyle name="Check Cell 5" xfId="374"/>
    <cellStyle name="Check Cell 6" xfId="375"/>
    <cellStyle name="Check Cell 7" xfId="376"/>
    <cellStyle name="Check Cell 8" xfId="377"/>
    <cellStyle name="Check Cell 9" xfId="378"/>
    <cellStyle name="Comma" xfId="379" builtinId="3"/>
    <cellStyle name="Comma 2" xfId="595"/>
    <cellStyle name="Comma 2 2" xfId="596"/>
    <cellStyle name="Comma 2 2 2" xfId="594"/>
    <cellStyle name="Comma 2 3" xfId="634"/>
    <cellStyle name="Comma 2 4" xfId="740"/>
    <cellStyle name="Comma 3" xfId="380"/>
    <cellStyle name="Comma 3 2" xfId="597"/>
    <cellStyle name="Comma 3 2 2" xfId="768"/>
    <cellStyle name="Comma 3 3" xfId="742"/>
    <cellStyle name="Comma 3 4" xfId="937"/>
    <cellStyle name="Comma 4" xfId="598"/>
    <cellStyle name="Comma 4 2" xfId="618"/>
    <cellStyle name="Comma 4 2 2" xfId="655"/>
    <cellStyle name="Comma 4 2 2 2" xfId="834"/>
    <cellStyle name="Comma 4 2 2 2 2" xfId="1165"/>
    <cellStyle name="Comma 4 2 2 2 2 2" xfId="1398"/>
    <cellStyle name="Comma 4 2 2 2 3" xfId="1282"/>
    <cellStyle name="Comma 4 2 2 2 4" xfId="1046"/>
    <cellStyle name="Comma 4 2 2 3" xfId="904"/>
    <cellStyle name="Comma 4 2 2 3 2" xfId="1342"/>
    <cellStyle name="Comma 4 2 2 3 3" xfId="1109"/>
    <cellStyle name="Comma 4 2 2 4" xfId="1226"/>
    <cellStyle name="Comma 4 2 2 5" xfId="989"/>
    <cellStyle name="Comma 4 2 3" xfId="801"/>
    <cellStyle name="Comma 4 2 3 2" xfId="1135"/>
    <cellStyle name="Comma 4 2 3 2 2" xfId="1368"/>
    <cellStyle name="Comma 4 2 3 3" xfId="1252"/>
    <cellStyle name="Comma 4 2 3 4" xfId="1016"/>
    <cellStyle name="Comma 4 2 4" xfId="874"/>
    <cellStyle name="Comma 4 2 4 2" xfId="1316"/>
    <cellStyle name="Comma 4 2 4 3" xfId="1083"/>
    <cellStyle name="Comma 4 2 5" xfId="1200"/>
    <cellStyle name="Comma 4 2 6" xfId="963"/>
    <cellStyle name="Comma 4 3" xfId="626"/>
    <cellStyle name="Comma 4 3 2" xfId="663"/>
    <cellStyle name="Comma 4 3 2 2" xfId="842"/>
    <cellStyle name="Comma 4 3 2 2 2" xfId="1173"/>
    <cellStyle name="Comma 4 3 2 2 2 2" xfId="1406"/>
    <cellStyle name="Comma 4 3 2 2 3" xfId="1290"/>
    <cellStyle name="Comma 4 3 2 2 4" xfId="1054"/>
    <cellStyle name="Comma 4 3 2 3" xfId="912"/>
    <cellStyle name="Comma 4 3 2 3 2" xfId="1350"/>
    <cellStyle name="Comma 4 3 2 3 3" xfId="1117"/>
    <cellStyle name="Comma 4 3 2 4" xfId="1234"/>
    <cellStyle name="Comma 4 3 2 5" xfId="997"/>
    <cellStyle name="Comma 4 3 3" xfId="809"/>
    <cellStyle name="Comma 4 3 3 2" xfId="1143"/>
    <cellStyle name="Comma 4 3 3 2 2" xfId="1376"/>
    <cellStyle name="Comma 4 3 3 3" xfId="1260"/>
    <cellStyle name="Comma 4 3 3 4" xfId="1024"/>
    <cellStyle name="Comma 4 3 4" xfId="882"/>
    <cellStyle name="Comma 4 3 4 2" xfId="1324"/>
    <cellStyle name="Comma 4 3 4 3" xfId="1091"/>
    <cellStyle name="Comma 4 3 5" xfId="1208"/>
    <cellStyle name="Comma 4 3 6" xfId="971"/>
    <cellStyle name="Comma 4 4" xfId="647"/>
    <cellStyle name="Comma 4 4 2" xfId="826"/>
    <cellStyle name="Comma 4 4 2 2" xfId="1157"/>
    <cellStyle name="Comma 4 4 2 2 2" xfId="1390"/>
    <cellStyle name="Comma 4 4 2 3" xfId="1274"/>
    <cellStyle name="Comma 4 4 2 4" xfId="1038"/>
    <cellStyle name="Comma 4 4 3" xfId="896"/>
    <cellStyle name="Comma 4 4 3 2" xfId="1334"/>
    <cellStyle name="Comma 4 4 3 3" xfId="1101"/>
    <cellStyle name="Comma 4 4 4" xfId="1218"/>
    <cellStyle name="Comma 4 4 5" xfId="981"/>
    <cellStyle name="Comma 4 5" xfId="787"/>
    <cellStyle name="Comma 4 5 2" xfId="1127"/>
    <cellStyle name="Comma 4 5 2 2" xfId="1360"/>
    <cellStyle name="Comma 4 5 3" xfId="1244"/>
    <cellStyle name="Comma 4 5 4" xfId="1008"/>
    <cellStyle name="Comma 4 6" xfId="866"/>
    <cellStyle name="Comma 4 6 2" xfId="1308"/>
    <cellStyle name="Comma 4 6 3" xfId="1075"/>
    <cellStyle name="Comma 4 7" xfId="1192"/>
    <cellStyle name="Comma 4 8" xfId="955"/>
    <cellStyle name="Comma 5" xfId="641"/>
    <cellStyle name="Comma 6" xfId="638"/>
    <cellStyle name="Comma 6 2" xfId="819"/>
    <cellStyle name="Comma 6 2 2" xfId="1179"/>
    <cellStyle name="Comma 6 2 2 2" xfId="1412"/>
    <cellStyle name="Comma 6 2 3" xfId="1296"/>
    <cellStyle name="Comma 6 2 4" xfId="1060"/>
    <cellStyle name="Comma 6 3" xfId="890"/>
    <cellStyle name="Comma 6 3 2" xfId="1384"/>
    <cellStyle name="Comma 6 3 3" xfId="1151"/>
    <cellStyle name="Comma 6 4" xfId="1268"/>
    <cellStyle name="Comma 6 5" xfId="1032"/>
    <cellStyle name="Comma 7" xfId="796"/>
    <cellStyle name="Comma 7 2" xfId="1063"/>
    <cellStyle name="Comma 8" xfId="1067"/>
    <cellStyle name="Comma 8 2" xfId="1297"/>
    <cellStyle name="Comma 9" xfId="1181"/>
    <cellStyle name="Comma0" xfId="754"/>
    <cellStyle name="Currency 2" xfId="381"/>
    <cellStyle name="Currency 2 2" xfId="599"/>
    <cellStyle name="Currency 2 3" xfId="589"/>
    <cellStyle name="Currency 2 4" xfId="789"/>
    <cellStyle name="Currency 2 5" xfId="936"/>
    <cellStyle name="Currency 3" xfId="382"/>
    <cellStyle name="Currency 3 2" xfId="600"/>
    <cellStyle name="Currency 3 3" xfId="590"/>
    <cellStyle name="Currency 3 4" xfId="770"/>
    <cellStyle name="Currency 4" xfId="948"/>
    <cellStyle name="Currency 5" xfId="383"/>
    <cellStyle name="Currency0" xfId="755"/>
    <cellStyle name="Date" xfId="756"/>
    <cellStyle name="Explanatory Text 10" xfId="384"/>
    <cellStyle name="Explanatory Text 11" xfId="385"/>
    <cellStyle name="Explanatory Text 12" xfId="386"/>
    <cellStyle name="Explanatory Text 13" xfId="387"/>
    <cellStyle name="Explanatory Text 14" xfId="388"/>
    <cellStyle name="Explanatory Text 15" xfId="389"/>
    <cellStyle name="Explanatory Text 16" xfId="782"/>
    <cellStyle name="Explanatory Text 2" xfId="390"/>
    <cellStyle name="Explanatory Text 2 2" xfId="713"/>
    <cellStyle name="Explanatory Text 3" xfId="391"/>
    <cellStyle name="Explanatory Text 4" xfId="392"/>
    <cellStyle name="Explanatory Text 5" xfId="393"/>
    <cellStyle name="Explanatory Text 6" xfId="394"/>
    <cellStyle name="Explanatory Text 7" xfId="395"/>
    <cellStyle name="Explanatory Text 8" xfId="396"/>
    <cellStyle name="Explanatory Text 9" xfId="397"/>
    <cellStyle name="Fixed" xfId="757"/>
    <cellStyle name="Good 10" xfId="398"/>
    <cellStyle name="Good 11" xfId="399"/>
    <cellStyle name="Good 12" xfId="400"/>
    <cellStyle name="Good 13" xfId="401"/>
    <cellStyle name="Good 14" xfId="402"/>
    <cellStyle name="Good 15" xfId="403"/>
    <cellStyle name="Good 16" xfId="778"/>
    <cellStyle name="Good 2" xfId="404"/>
    <cellStyle name="Good 2 2" xfId="703"/>
    <cellStyle name="Good 3" xfId="405"/>
    <cellStyle name="Good 4" xfId="406"/>
    <cellStyle name="Good 5" xfId="407"/>
    <cellStyle name="Good 6" xfId="408"/>
    <cellStyle name="Good 7" xfId="409"/>
    <cellStyle name="Good 8" xfId="410"/>
    <cellStyle name="Good 9" xfId="411"/>
    <cellStyle name="Grey" xfId="758"/>
    <cellStyle name="Heading 1 10" xfId="412"/>
    <cellStyle name="Heading 1 11" xfId="413"/>
    <cellStyle name="Heading 1 12" xfId="414"/>
    <cellStyle name="Heading 1 13" xfId="415"/>
    <cellStyle name="Heading 1 14" xfId="416"/>
    <cellStyle name="Heading 1 15" xfId="417"/>
    <cellStyle name="Heading 1 16" xfId="783"/>
    <cellStyle name="Heading 1 2" xfId="418"/>
    <cellStyle name="Heading 1 2 2" xfId="699"/>
    <cellStyle name="Heading 1 3" xfId="419"/>
    <cellStyle name="Heading 1 4" xfId="420"/>
    <cellStyle name="Heading 1 5" xfId="421"/>
    <cellStyle name="Heading 1 6" xfId="422"/>
    <cellStyle name="Heading 1 7" xfId="423"/>
    <cellStyle name="Heading 1 8" xfId="424"/>
    <cellStyle name="Heading 1 9" xfId="425"/>
    <cellStyle name="Heading 2 10" xfId="426"/>
    <cellStyle name="Heading 2 11" xfId="427"/>
    <cellStyle name="Heading 2 12" xfId="428"/>
    <cellStyle name="Heading 2 13" xfId="429"/>
    <cellStyle name="Heading 2 14" xfId="430"/>
    <cellStyle name="Heading 2 15" xfId="431"/>
    <cellStyle name="Heading 2 16" xfId="781"/>
    <cellStyle name="Heading 2 2" xfId="432"/>
    <cellStyle name="Heading 2 2 2" xfId="698"/>
    <cellStyle name="Heading 2 3" xfId="433"/>
    <cellStyle name="Heading 2 4" xfId="434"/>
    <cellStyle name="Heading 2 5" xfId="435"/>
    <cellStyle name="Heading 2 6" xfId="436"/>
    <cellStyle name="Heading 2 7" xfId="437"/>
    <cellStyle name="Heading 2 8" xfId="438"/>
    <cellStyle name="Heading 2 9" xfId="439"/>
    <cellStyle name="Heading 3 10" xfId="440"/>
    <cellStyle name="Heading 3 11" xfId="441"/>
    <cellStyle name="Heading 3 12" xfId="442"/>
    <cellStyle name="Heading 3 13" xfId="443"/>
    <cellStyle name="Heading 3 14" xfId="444"/>
    <cellStyle name="Heading 3 15" xfId="445"/>
    <cellStyle name="Heading 3 16" xfId="780"/>
    <cellStyle name="Heading 3 2" xfId="446"/>
    <cellStyle name="Heading 3 2 2" xfId="701"/>
    <cellStyle name="Heading 3 3" xfId="447"/>
    <cellStyle name="Heading 3 4" xfId="448"/>
    <cellStyle name="Heading 3 5" xfId="449"/>
    <cellStyle name="Heading 3 6" xfId="450"/>
    <cellStyle name="Heading 3 7" xfId="451"/>
    <cellStyle name="Heading 3 8" xfId="452"/>
    <cellStyle name="Heading 3 9" xfId="453"/>
    <cellStyle name="Heading 4 10" xfId="454"/>
    <cellStyle name="Heading 4 11" xfId="455"/>
    <cellStyle name="Heading 4 12" xfId="456"/>
    <cellStyle name="Heading 4 13" xfId="457"/>
    <cellStyle name="Heading 4 14" xfId="458"/>
    <cellStyle name="Heading 4 15" xfId="459"/>
    <cellStyle name="Heading 4 16" xfId="823"/>
    <cellStyle name="Heading 4 2" xfId="460"/>
    <cellStyle name="Heading 4 2 2" xfId="702"/>
    <cellStyle name="Heading 4 3" xfId="461"/>
    <cellStyle name="Heading 4 4" xfId="462"/>
    <cellStyle name="Heading 4 5" xfId="463"/>
    <cellStyle name="Heading 4 6" xfId="464"/>
    <cellStyle name="Heading 4 7" xfId="465"/>
    <cellStyle name="Heading 4 8" xfId="466"/>
    <cellStyle name="Heading 4 9" xfId="467"/>
    <cellStyle name="Hyperlink 2" xfId="784"/>
    <cellStyle name="Hyperlink 2 2" xfId="1003"/>
    <cellStyle name="Hyperlink 3" xfId="691"/>
    <cellStyle name="Input [yellow]" xfId="759"/>
    <cellStyle name="Input 10" xfId="468"/>
    <cellStyle name="Input 11" xfId="469"/>
    <cellStyle name="Input 12" xfId="470"/>
    <cellStyle name="Input 13" xfId="471"/>
    <cellStyle name="Input 14" xfId="472"/>
    <cellStyle name="Input 15" xfId="473"/>
    <cellStyle name="Input 16" xfId="776"/>
    <cellStyle name="Input 17" xfId="852"/>
    <cellStyle name="Input 18" xfId="851"/>
    <cellStyle name="Input 19" xfId="850"/>
    <cellStyle name="Input 2" xfId="474"/>
    <cellStyle name="Input 2 2" xfId="706"/>
    <cellStyle name="Input 20" xfId="858"/>
    <cellStyle name="Input 3" xfId="475"/>
    <cellStyle name="Input 4" xfId="476"/>
    <cellStyle name="Input 5" xfId="477"/>
    <cellStyle name="Input 6" xfId="478"/>
    <cellStyle name="Input 7" xfId="479"/>
    <cellStyle name="Input 8" xfId="480"/>
    <cellStyle name="Input 9" xfId="481"/>
    <cellStyle name="Linked Cell 10" xfId="482"/>
    <cellStyle name="Linked Cell 11" xfId="483"/>
    <cellStyle name="Linked Cell 12" xfId="484"/>
    <cellStyle name="Linked Cell 13" xfId="485"/>
    <cellStyle name="Linked Cell 14" xfId="486"/>
    <cellStyle name="Linked Cell 15" xfId="487"/>
    <cellStyle name="Linked Cell 16" xfId="817"/>
    <cellStyle name="Linked Cell 2" xfId="488"/>
    <cellStyle name="Linked Cell 2 2" xfId="709"/>
    <cellStyle name="Linked Cell 3" xfId="489"/>
    <cellStyle name="Linked Cell 4" xfId="490"/>
    <cellStyle name="Linked Cell 5" xfId="491"/>
    <cellStyle name="Linked Cell 6" xfId="492"/>
    <cellStyle name="Linked Cell 7" xfId="493"/>
    <cellStyle name="Linked Cell 8" xfId="494"/>
    <cellStyle name="Linked Cell 9" xfId="495"/>
    <cellStyle name="M" xfId="760"/>
    <cellStyle name="M.00" xfId="773"/>
    <cellStyle name="M_9. Rev2Cost_GDPIPI" xfId="761"/>
    <cellStyle name="M_lists" xfId="762"/>
    <cellStyle name="M_lists_4. Current Monthly Fixed Charge" xfId="763"/>
    <cellStyle name="M_Sheet4" xfId="764"/>
    <cellStyle name="Neutral 10" xfId="496"/>
    <cellStyle name="Neutral 11" xfId="497"/>
    <cellStyle name="Neutral 12" xfId="498"/>
    <cellStyle name="Neutral 13" xfId="499"/>
    <cellStyle name="Neutral 14" xfId="500"/>
    <cellStyle name="Neutral 15" xfId="501"/>
    <cellStyle name="Neutral 16" xfId="692"/>
    <cellStyle name="Neutral 2" xfId="502"/>
    <cellStyle name="Neutral 2 2" xfId="705"/>
    <cellStyle name="Neutral 3" xfId="503"/>
    <cellStyle name="Neutral 4" xfId="504"/>
    <cellStyle name="Neutral 5" xfId="505"/>
    <cellStyle name="Neutral 6" xfId="506"/>
    <cellStyle name="Neutral 7" xfId="507"/>
    <cellStyle name="Neutral 8" xfId="508"/>
    <cellStyle name="Neutral 9" xfId="509"/>
    <cellStyle name="Normal" xfId="0" builtinId="0"/>
    <cellStyle name="Normal - Style1" xfId="765"/>
    <cellStyle name="Normal 10" xfId="510"/>
    <cellStyle name="Normal 11" xfId="511"/>
    <cellStyle name="Normal 12" xfId="512"/>
    <cellStyle name="Normal 13" xfId="513"/>
    <cellStyle name="Normal 14" xfId="514"/>
    <cellStyle name="Normal 15" xfId="515"/>
    <cellStyle name="Normal 16" xfId="516"/>
    <cellStyle name="Normal 16 10" xfId="1183"/>
    <cellStyle name="Normal 16 11" xfId="939"/>
    <cellStyle name="Normal 16 2" xfId="602"/>
    <cellStyle name="Normal 16 2 2" xfId="619"/>
    <cellStyle name="Normal 16 2 2 2" xfId="656"/>
    <cellStyle name="Normal 16 2 2 2 2" xfId="835"/>
    <cellStyle name="Normal 16 2 2 2 2 2" xfId="1166"/>
    <cellStyle name="Normal 16 2 2 2 2 2 2" xfId="1399"/>
    <cellStyle name="Normal 16 2 2 2 2 3" xfId="1283"/>
    <cellStyle name="Normal 16 2 2 2 2 4" xfId="1047"/>
    <cellStyle name="Normal 16 2 2 2 3" xfId="905"/>
    <cellStyle name="Normal 16 2 2 2 3 2" xfId="1343"/>
    <cellStyle name="Normal 16 2 2 2 3 3" xfId="1110"/>
    <cellStyle name="Normal 16 2 2 2 4" xfId="1227"/>
    <cellStyle name="Normal 16 2 2 2 5" xfId="990"/>
    <cellStyle name="Normal 16 2 2 3" xfId="802"/>
    <cellStyle name="Normal 16 2 2 3 2" xfId="1136"/>
    <cellStyle name="Normal 16 2 2 3 2 2" xfId="1369"/>
    <cellStyle name="Normal 16 2 2 3 3" xfId="1253"/>
    <cellStyle name="Normal 16 2 2 3 4" xfId="1017"/>
    <cellStyle name="Normal 16 2 2 4" xfId="875"/>
    <cellStyle name="Normal 16 2 2 4 2" xfId="1317"/>
    <cellStyle name="Normal 16 2 2 4 3" xfId="1084"/>
    <cellStyle name="Normal 16 2 2 5" xfId="1201"/>
    <cellStyle name="Normal 16 2 2 6" xfId="964"/>
    <cellStyle name="Normal 16 2 3" xfId="627"/>
    <cellStyle name="Normal 16 2 3 2" xfId="664"/>
    <cellStyle name="Normal 16 2 3 2 2" xfId="843"/>
    <cellStyle name="Normal 16 2 3 2 2 2" xfId="1174"/>
    <cellStyle name="Normal 16 2 3 2 2 2 2" xfId="1407"/>
    <cellStyle name="Normal 16 2 3 2 2 3" xfId="1291"/>
    <cellStyle name="Normal 16 2 3 2 2 4" xfId="1055"/>
    <cellStyle name="Normal 16 2 3 2 3" xfId="913"/>
    <cellStyle name="Normal 16 2 3 2 3 2" xfId="1351"/>
    <cellStyle name="Normal 16 2 3 2 3 3" xfId="1118"/>
    <cellStyle name="Normal 16 2 3 2 4" xfId="1235"/>
    <cellStyle name="Normal 16 2 3 2 5" xfId="998"/>
    <cellStyle name="Normal 16 2 3 3" xfId="810"/>
    <cellStyle name="Normal 16 2 3 3 2" xfId="1144"/>
    <cellStyle name="Normal 16 2 3 3 2 2" xfId="1377"/>
    <cellStyle name="Normal 16 2 3 3 3" xfId="1261"/>
    <cellStyle name="Normal 16 2 3 3 4" xfId="1025"/>
    <cellStyle name="Normal 16 2 3 4" xfId="883"/>
    <cellStyle name="Normal 16 2 3 4 2" xfId="1325"/>
    <cellStyle name="Normal 16 2 3 4 3" xfId="1092"/>
    <cellStyle name="Normal 16 2 3 5" xfId="1209"/>
    <cellStyle name="Normal 16 2 3 6" xfId="972"/>
    <cellStyle name="Normal 16 2 4" xfId="648"/>
    <cellStyle name="Normal 16 2 4 2" xfId="827"/>
    <cellStyle name="Normal 16 2 4 2 2" xfId="1158"/>
    <cellStyle name="Normal 16 2 4 2 2 2" xfId="1391"/>
    <cellStyle name="Normal 16 2 4 2 3" xfId="1275"/>
    <cellStyle name="Normal 16 2 4 2 4" xfId="1039"/>
    <cellStyle name="Normal 16 2 4 3" xfId="897"/>
    <cellStyle name="Normal 16 2 4 3 2" xfId="1309"/>
    <cellStyle name="Normal 16 2 4 3 3" xfId="1076"/>
    <cellStyle name="Normal 16 2 4 4" xfId="1193"/>
    <cellStyle name="Normal 16 2 4 5" xfId="956"/>
    <cellStyle name="Normal 16 2 5" xfId="791"/>
    <cellStyle name="Normal 16 2 5 2" xfId="1102"/>
    <cellStyle name="Normal 16 2 5 2 2" xfId="1335"/>
    <cellStyle name="Normal 16 2 5 3" xfId="1219"/>
    <cellStyle name="Normal 16 2 5 4" xfId="982"/>
    <cellStyle name="Normal 16 2 6" xfId="867"/>
    <cellStyle name="Normal 16 2 6 2" xfId="1128"/>
    <cellStyle name="Normal 16 2 6 2 2" xfId="1361"/>
    <cellStyle name="Normal 16 2 6 3" xfId="1245"/>
    <cellStyle name="Normal 16 2 6 4" xfId="1009"/>
    <cellStyle name="Normal 16 2 7" xfId="1069"/>
    <cellStyle name="Normal 16 2 7 2" xfId="1302"/>
    <cellStyle name="Normal 16 2 8" xfId="1186"/>
    <cellStyle name="Normal 16 2 9" xfId="949"/>
    <cellStyle name="Normal 16 3" xfId="591"/>
    <cellStyle name="Normal 16 3 2" xfId="645"/>
    <cellStyle name="Normal 16 3 2 2" xfId="824"/>
    <cellStyle name="Normal 16 3 2 2 2" xfId="1155"/>
    <cellStyle name="Normal 16 3 2 2 2 2" xfId="1388"/>
    <cellStyle name="Normal 16 3 2 2 3" xfId="1272"/>
    <cellStyle name="Normal 16 3 2 2 4" xfId="1036"/>
    <cellStyle name="Normal 16 3 2 3" xfId="894"/>
    <cellStyle name="Normal 16 3 2 3 2" xfId="1332"/>
    <cellStyle name="Normal 16 3 2 3 3" xfId="1099"/>
    <cellStyle name="Normal 16 3 2 4" xfId="1216"/>
    <cellStyle name="Normal 16 3 2 5" xfId="979"/>
    <cellStyle name="Normal 16 3 3" xfId="785"/>
    <cellStyle name="Normal 16 3 3 2" xfId="1125"/>
    <cellStyle name="Normal 16 3 3 2 2" xfId="1358"/>
    <cellStyle name="Normal 16 3 3 3" xfId="1242"/>
    <cellStyle name="Normal 16 3 3 4" xfId="1006"/>
    <cellStyle name="Normal 16 3 4" xfId="864"/>
    <cellStyle name="Normal 16 3 4 2" xfId="1306"/>
    <cellStyle name="Normal 16 3 4 3" xfId="1073"/>
    <cellStyle name="Normal 16 3 5" xfId="1190"/>
    <cellStyle name="Normal 16 3 6" xfId="953"/>
    <cellStyle name="Normal 16 4" xfId="616"/>
    <cellStyle name="Normal 16 4 2" xfId="653"/>
    <cellStyle name="Normal 16 4 2 2" xfId="832"/>
    <cellStyle name="Normal 16 4 2 2 2" xfId="1163"/>
    <cellStyle name="Normal 16 4 2 2 2 2" xfId="1396"/>
    <cellStyle name="Normal 16 4 2 2 3" xfId="1280"/>
    <cellStyle name="Normal 16 4 2 2 4" xfId="1044"/>
    <cellStyle name="Normal 16 4 2 3" xfId="902"/>
    <cellStyle name="Normal 16 4 2 3 2" xfId="1340"/>
    <cellStyle name="Normal 16 4 2 3 3" xfId="1107"/>
    <cellStyle name="Normal 16 4 2 4" xfId="1224"/>
    <cellStyle name="Normal 16 4 2 5" xfId="987"/>
    <cellStyle name="Normal 16 4 3" xfId="799"/>
    <cellStyle name="Normal 16 4 3 2" xfId="1133"/>
    <cellStyle name="Normal 16 4 3 2 2" xfId="1366"/>
    <cellStyle name="Normal 16 4 3 3" xfId="1250"/>
    <cellStyle name="Normal 16 4 3 4" xfId="1014"/>
    <cellStyle name="Normal 16 4 4" xfId="872"/>
    <cellStyle name="Normal 16 4 4 2" xfId="1314"/>
    <cellStyle name="Normal 16 4 4 3" xfId="1081"/>
    <cellStyle name="Normal 16 4 5" xfId="1198"/>
    <cellStyle name="Normal 16 4 6" xfId="961"/>
    <cellStyle name="Normal 16 5" xfId="624"/>
    <cellStyle name="Normal 16 5 2" xfId="661"/>
    <cellStyle name="Normal 16 5 2 2" xfId="840"/>
    <cellStyle name="Normal 16 5 2 2 2" xfId="1171"/>
    <cellStyle name="Normal 16 5 2 2 2 2" xfId="1404"/>
    <cellStyle name="Normal 16 5 2 2 3" xfId="1288"/>
    <cellStyle name="Normal 16 5 2 2 4" xfId="1052"/>
    <cellStyle name="Normal 16 5 2 3" xfId="910"/>
    <cellStyle name="Normal 16 5 2 3 2" xfId="1348"/>
    <cellStyle name="Normal 16 5 2 3 3" xfId="1115"/>
    <cellStyle name="Normal 16 5 2 4" xfId="1232"/>
    <cellStyle name="Normal 16 5 2 5" xfId="995"/>
    <cellStyle name="Normal 16 5 3" xfId="807"/>
    <cellStyle name="Normal 16 5 3 2" xfId="1141"/>
    <cellStyle name="Normal 16 5 3 2 2" xfId="1374"/>
    <cellStyle name="Normal 16 5 3 3" xfId="1258"/>
    <cellStyle name="Normal 16 5 3 4" xfId="1022"/>
    <cellStyle name="Normal 16 5 4" xfId="880"/>
    <cellStyle name="Normal 16 5 4 2" xfId="1322"/>
    <cellStyle name="Normal 16 5 4 3" xfId="1089"/>
    <cellStyle name="Normal 16 5 5" xfId="1206"/>
    <cellStyle name="Normal 16 5 6" xfId="969"/>
    <cellStyle name="Normal 16 6" xfId="642"/>
    <cellStyle name="Normal 16 6 2" xfId="821"/>
    <cellStyle name="Normal 16 6 2 2" xfId="1153"/>
    <cellStyle name="Normal 16 6 2 2 2" xfId="1386"/>
    <cellStyle name="Normal 16 6 2 3" xfId="1270"/>
    <cellStyle name="Normal 16 6 2 4" xfId="1034"/>
    <cellStyle name="Normal 16 6 3" xfId="892"/>
    <cellStyle name="Normal 16 6 3 2" xfId="1304"/>
    <cellStyle name="Normal 16 6 3 3" xfId="1071"/>
    <cellStyle name="Normal 16 6 4" xfId="1188"/>
    <cellStyle name="Normal 16 6 5" xfId="951"/>
    <cellStyle name="Normal 16 7" xfId="771"/>
    <cellStyle name="Normal 16 7 2" xfId="1097"/>
    <cellStyle name="Normal 16 7 2 2" xfId="1330"/>
    <cellStyle name="Normal 16 7 3" xfId="1214"/>
    <cellStyle name="Normal 16 7 4" xfId="977"/>
    <cellStyle name="Normal 16 8" xfId="861"/>
    <cellStyle name="Normal 16 8 2" xfId="1123"/>
    <cellStyle name="Normal 16 8 2 2" xfId="1356"/>
    <cellStyle name="Normal 16 8 3" xfId="1240"/>
    <cellStyle name="Normal 16 8 4" xfId="1004"/>
    <cellStyle name="Normal 16 9" xfId="1064"/>
    <cellStyle name="Normal 16 9 2" xfId="1299"/>
    <cellStyle name="Normal 17" xfId="517"/>
    <cellStyle name="Normal 17 10" xfId="1184"/>
    <cellStyle name="Normal 17 11" xfId="940"/>
    <cellStyle name="Normal 17 2" xfId="603"/>
    <cellStyle name="Normal 17 2 2" xfId="620"/>
    <cellStyle name="Normal 17 2 2 2" xfId="657"/>
    <cellStyle name="Normal 17 2 2 2 2" xfId="836"/>
    <cellStyle name="Normal 17 2 2 2 2 2" xfId="1167"/>
    <cellStyle name="Normal 17 2 2 2 2 2 2" xfId="1400"/>
    <cellStyle name="Normal 17 2 2 2 2 3" xfId="1284"/>
    <cellStyle name="Normal 17 2 2 2 2 4" xfId="1048"/>
    <cellStyle name="Normal 17 2 2 2 3" xfId="906"/>
    <cellStyle name="Normal 17 2 2 2 3 2" xfId="1344"/>
    <cellStyle name="Normal 17 2 2 2 3 3" xfId="1111"/>
    <cellStyle name="Normal 17 2 2 2 4" xfId="1228"/>
    <cellStyle name="Normal 17 2 2 2 5" xfId="991"/>
    <cellStyle name="Normal 17 2 2 3" xfId="803"/>
    <cellStyle name="Normal 17 2 2 3 2" xfId="1137"/>
    <cellStyle name="Normal 17 2 2 3 2 2" xfId="1370"/>
    <cellStyle name="Normal 17 2 2 3 3" xfId="1254"/>
    <cellStyle name="Normal 17 2 2 3 4" xfId="1018"/>
    <cellStyle name="Normal 17 2 2 4" xfId="876"/>
    <cellStyle name="Normal 17 2 2 4 2" xfId="1318"/>
    <cellStyle name="Normal 17 2 2 4 3" xfId="1085"/>
    <cellStyle name="Normal 17 2 2 5" xfId="1202"/>
    <cellStyle name="Normal 17 2 2 6" xfId="965"/>
    <cellStyle name="Normal 17 2 3" xfId="628"/>
    <cellStyle name="Normal 17 2 3 2" xfId="665"/>
    <cellStyle name="Normal 17 2 3 2 2" xfId="844"/>
    <cellStyle name="Normal 17 2 3 2 2 2" xfId="1175"/>
    <cellStyle name="Normal 17 2 3 2 2 2 2" xfId="1408"/>
    <cellStyle name="Normal 17 2 3 2 2 3" xfId="1292"/>
    <cellStyle name="Normal 17 2 3 2 2 4" xfId="1056"/>
    <cellStyle name="Normal 17 2 3 2 3" xfId="914"/>
    <cellStyle name="Normal 17 2 3 2 3 2" xfId="1352"/>
    <cellStyle name="Normal 17 2 3 2 3 3" xfId="1119"/>
    <cellStyle name="Normal 17 2 3 2 4" xfId="1236"/>
    <cellStyle name="Normal 17 2 3 2 5" xfId="999"/>
    <cellStyle name="Normal 17 2 3 3" xfId="811"/>
    <cellStyle name="Normal 17 2 3 3 2" xfId="1145"/>
    <cellStyle name="Normal 17 2 3 3 2 2" xfId="1378"/>
    <cellStyle name="Normal 17 2 3 3 3" xfId="1262"/>
    <cellStyle name="Normal 17 2 3 3 4" xfId="1026"/>
    <cellStyle name="Normal 17 2 3 4" xfId="884"/>
    <cellStyle name="Normal 17 2 3 4 2" xfId="1326"/>
    <cellStyle name="Normal 17 2 3 4 3" xfId="1093"/>
    <cellStyle name="Normal 17 2 3 5" xfId="1210"/>
    <cellStyle name="Normal 17 2 3 6" xfId="973"/>
    <cellStyle name="Normal 17 2 4" xfId="649"/>
    <cellStyle name="Normal 17 2 4 2" xfId="828"/>
    <cellStyle name="Normal 17 2 4 2 2" xfId="1159"/>
    <cellStyle name="Normal 17 2 4 2 2 2" xfId="1392"/>
    <cellStyle name="Normal 17 2 4 2 3" xfId="1276"/>
    <cellStyle name="Normal 17 2 4 2 4" xfId="1040"/>
    <cellStyle name="Normal 17 2 4 3" xfId="898"/>
    <cellStyle name="Normal 17 2 4 3 2" xfId="1310"/>
    <cellStyle name="Normal 17 2 4 3 3" xfId="1077"/>
    <cellStyle name="Normal 17 2 4 4" xfId="1194"/>
    <cellStyle name="Normal 17 2 4 5" xfId="957"/>
    <cellStyle name="Normal 17 2 5" xfId="792"/>
    <cellStyle name="Normal 17 2 5 2" xfId="1103"/>
    <cellStyle name="Normal 17 2 5 2 2" xfId="1336"/>
    <cellStyle name="Normal 17 2 5 3" xfId="1220"/>
    <cellStyle name="Normal 17 2 5 4" xfId="983"/>
    <cellStyle name="Normal 17 2 6" xfId="868"/>
    <cellStyle name="Normal 17 2 6 2" xfId="1129"/>
    <cellStyle name="Normal 17 2 6 2 2" xfId="1362"/>
    <cellStyle name="Normal 17 2 6 3" xfId="1246"/>
    <cellStyle name="Normal 17 2 6 4" xfId="1010"/>
    <cellStyle name="Normal 17 2 7" xfId="1070"/>
    <cellStyle name="Normal 17 2 7 2" xfId="1303"/>
    <cellStyle name="Normal 17 2 8" xfId="1187"/>
    <cellStyle name="Normal 17 2 9" xfId="950"/>
    <cellStyle name="Normal 17 3" xfId="592"/>
    <cellStyle name="Normal 17 3 2" xfId="646"/>
    <cellStyle name="Normal 17 3 2 2" xfId="825"/>
    <cellStyle name="Normal 17 3 2 2 2" xfId="1156"/>
    <cellStyle name="Normal 17 3 2 2 2 2" xfId="1389"/>
    <cellStyle name="Normal 17 3 2 2 3" xfId="1273"/>
    <cellStyle name="Normal 17 3 2 2 4" xfId="1037"/>
    <cellStyle name="Normal 17 3 2 3" xfId="895"/>
    <cellStyle name="Normal 17 3 2 3 2" xfId="1333"/>
    <cellStyle name="Normal 17 3 2 3 3" xfId="1100"/>
    <cellStyle name="Normal 17 3 2 4" xfId="1217"/>
    <cellStyle name="Normal 17 3 2 5" xfId="980"/>
    <cellStyle name="Normal 17 3 3" xfId="786"/>
    <cellStyle name="Normal 17 3 3 2" xfId="1126"/>
    <cellStyle name="Normal 17 3 3 2 2" xfId="1359"/>
    <cellStyle name="Normal 17 3 3 3" xfId="1243"/>
    <cellStyle name="Normal 17 3 3 4" xfId="1007"/>
    <cellStyle name="Normal 17 3 4" xfId="865"/>
    <cellStyle name="Normal 17 3 4 2" xfId="1307"/>
    <cellStyle name="Normal 17 3 4 3" xfId="1074"/>
    <cellStyle name="Normal 17 3 5" xfId="1191"/>
    <cellStyle name="Normal 17 3 6" xfId="954"/>
    <cellStyle name="Normal 17 4" xfId="617"/>
    <cellStyle name="Normal 17 4 2" xfId="654"/>
    <cellStyle name="Normal 17 4 2 2" xfId="833"/>
    <cellStyle name="Normal 17 4 2 2 2" xfId="1164"/>
    <cellStyle name="Normal 17 4 2 2 2 2" xfId="1397"/>
    <cellStyle name="Normal 17 4 2 2 3" xfId="1281"/>
    <cellStyle name="Normal 17 4 2 2 4" xfId="1045"/>
    <cellStyle name="Normal 17 4 2 3" xfId="903"/>
    <cellStyle name="Normal 17 4 2 3 2" xfId="1341"/>
    <cellStyle name="Normal 17 4 2 3 3" xfId="1108"/>
    <cellStyle name="Normal 17 4 2 4" xfId="1225"/>
    <cellStyle name="Normal 17 4 2 5" xfId="988"/>
    <cellStyle name="Normal 17 4 3" xfId="800"/>
    <cellStyle name="Normal 17 4 3 2" xfId="1134"/>
    <cellStyle name="Normal 17 4 3 2 2" xfId="1367"/>
    <cellStyle name="Normal 17 4 3 3" xfId="1251"/>
    <cellStyle name="Normal 17 4 3 4" xfId="1015"/>
    <cellStyle name="Normal 17 4 4" xfId="873"/>
    <cellStyle name="Normal 17 4 4 2" xfId="1315"/>
    <cellStyle name="Normal 17 4 4 3" xfId="1082"/>
    <cellStyle name="Normal 17 4 5" xfId="1199"/>
    <cellStyle name="Normal 17 4 6" xfId="962"/>
    <cellStyle name="Normal 17 5" xfId="625"/>
    <cellStyle name="Normal 17 5 2" xfId="662"/>
    <cellStyle name="Normal 17 5 2 2" xfId="841"/>
    <cellStyle name="Normal 17 5 2 2 2" xfId="1172"/>
    <cellStyle name="Normal 17 5 2 2 2 2" xfId="1405"/>
    <cellStyle name="Normal 17 5 2 2 3" xfId="1289"/>
    <cellStyle name="Normal 17 5 2 2 4" xfId="1053"/>
    <cellStyle name="Normal 17 5 2 3" xfId="911"/>
    <cellStyle name="Normal 17 5 2 3 2" xfId="1349"/>
    <cellStyle name="Normal 17 5 2 3 3" xfId="1116"/>
    <cellStyle name="Normal 17 5 2 4" xfId="1233"/>
    <cellStyle name="Normal 17 5 2 5" xfId="996"/>
    <cellStyle name="Normal 17 5 3" xfId="808"/>
    <cellStyle name="Normal 17 5 3 2" xfId="1142"/>
    <cellStyle name="Normal 17 5 3 2 2" xfId="1375"/>
    <cellStyle name="Normal 17 5 3 3" xfId="1259"/>
    <cellStyle name="Normal 17 5 3 4" xfId="1023"/>
    <cellStyle name="Normal 17 5 4" xfId="881"/>
    <cellStyle name="Normal 17 5 4 2" xfId="1323"/>
    <cellStyle name="Normal 17 5 4 3" xfId="1090"/>
    <cellStyle name="Normal 17 5 5" xfId="1207"/>
    <cellStyle name="Normal 17 5 6" xfId="970"/>
    <cellStyle name="Normal 17 6" xfId="643"/>
    <cellStyle name="Normal 17 6 2" xfId="822"/>
    <cellStyle name="Normal 17 6 2 2" xfId="1154"/>
    <cellStyle name="Normal 17 6 2 2 2" xfId="1387"/>
    <cellStyle name="Normal 17 6 2 3" xfId="1271"/>
    <cellStyle name="Normal 17 6 2 4" xfId="1035"/>
    <cellStyle name="Normal 17 6 3" xfId="893"/>
    <cellStyle name="Normal 17 6 3 2" xfId="1305"/>
    <cellStyle name="Normal 17 6 3 3" xfId="1072"/>
    <cellStyle name="Normal 17 6 4" xfId="1189"/>
    <cellStyle name="Normal 17 6 5" xfId="952"/>
    <cellStyle name="Normal 17 7" xfId="772"/>
    <cellStyle name="Normal 17 7 2" xfId="1098"/>
    <cellStyle name="Normal 17 7 2 2" xfId="1331"/>
    <cellStyle name="Normal 17 7 3" xfId="1215"/>
    <cellStyle name="Normal 17 7 4" xfId="978"/>
    <cellStyle name="Normal 17 8" xfId="862"/>
    <cellStyle name="Normal 17 8 2" xfId="1124"/>
    <cellStyle name="Normal 17 8 2 2" xfId="1357"/>
    <cellStyle name="Normal 17 8 3" xfId="1241"/>
    <cellStyle name="Normal 17 8 4" xfId="1005"/>
    <cellStyle name="Normal 17 9" xfId="1065"/>
    <cellStyle name="Normal 17 9 2" xfId="1300"/>
    <cellStyle name="Normal 18" xfId="518"/>
    <cellStyle name="Normal 19" xfId="519"/>
    <cellStyle name="Normal 19 2" xfId="604"/>
    <cellStyle name="Normal 19 3" xfId="593"/>
    <cellStyle name="Normal 2" xfId="520"/>
    <cellStyle name="Normal 2 2" xfId="605"/>
    <cellStyle name="Normal 2 2 2" xfId="621"/>
    <cellStyle name="Normal 2 2 2 2" xfId="658"/>
    <cellStyle name="Normal 2 2 2 2 2" xfId="837"/>
    <cellStyle name="Normal 2 2 2 2 2 2" xfId="1168"/>
    <cellStyle name="Normal 2 2 2 2 2 2 2" xfId="1401"/>
    <cellStyle name="Normal 2 2 2 2 2 3" xfId="1285"/>
    <cellStyle name="Normal 2 2 2 2 2 4" xfId="1049"/>
    <cellStyle name="Normal 2 2 2 2 3" xfId="907"/>
    <cellStyle name="Normal 2 2 2 2 3 2" xfId="1345"/>
    <cellStyle name="Normal 2 2 2 2 3 3" xfId="1112"/>
    <cellStyle name="Normal 2 2 2 2 4" xfId="1229"/>
    <cellStyle name="Normal 2 2 2 2 5" xfId="992"/>
    <cellStyle name="Normal 2 2 2 3" xfId="804"/>
    <cellStyle name="Normal 2 2 2 3 2" xfId="1138"/>
    <cellStyle name="Normal 2 2 2 3 2 2" xfId="1371"/>
    <cellStyle name="Normal 2 2 2 3 3" xfId="1255"/>
    <cellStyle name="Normal 2 2 2 3 4" xfId="1019"/>
    <cellStyle name="Normal 2 2 2 4" xfId="877"/>
    <cellStyle name="Normal 2 2 2 4 2" xfId="1319"/>
    <cellStyle name="Normal 2 2 2 4 3" xfId="1086"/>
    <cellStyle name="Normal 2 2 2 5" xfId="1203"/>
    <cellStyle name="Normal 2 2 2 6" xfId="966"/>
    <cellStyle name="Normal 2 2 3" xfId="629"/>
    <cellStyle name="Normal 2 2 3 2" xfId="666"/>
    <cellStyle name="Normal 2 2 3 2 2" xfId="845"/>
    <cellStyle name="Normal 2 2 3 2 2 2" xfId="1176"/>
    <cellStyle name="Normal 2 2 3 2 2 2 2" xfId="1409"/>
    <cellStyle name="Normal 2 2 3 2 2 3" xfId="1293"/>
    <cellStyle name="Normal 2 2 3 2 2 4" xfId="1057"/>
    <cellStyle name="Normal 2 2 3 2 3" xfId="915"/>
    <cellStyle name="Normal 2 2 3 2 3 2" xfId="1353"/>
    <cellStyle name="Normal 2 2 3 2 3 3" xfId="1120"/>
    <cellStyle name="Normal 2 2 3 2 4" xfId="1237"/>
    <cellStyle name="Normal 2 2 3 2 5" xfId="1000"/>
    <cellStyle name="Normal 2 2 3 3" xfId="812"/>
    <cellStyle name="Normal 2 2 3 3 2" xfId="1146"/>
    <cellStyle name="Normal 2 2 3 3 2 2" xfId="1379"/>
    <cellStyle name="Normal 2 2 3 3 3" xfId="1263"/>
    <cellStyle name="Normal 2 2 3 3 4" xfId="1027"/>
    <cellStyle name="Normal 2 2 3 4" xfId="885"/>
    <cellStyle name="Normal 2 2 3 4 2" xfId="1327"/>
    <cellStyle name="Normal 2 2 3 4 3" xfId="1094"/>
    <cellStyle name="Normal 2 2 3 5" xfId="1211"/>
    <cellStyle name="Normal 2 2 3 6" xfId="974"/>
    <cellStyle name="Normal 2 2 4" xfId="650"/>
    <cellStyle name="Normal 2 2 4 2" xfId="829"/>
    <cellStyle name="Normal 2 2 4 2 2" xfId="1160"/>
    <cellStyle name="Normal 2 2 4 2 2 2" xfId="1393"/>
    <cellStyle name="Normal 2 2 4 2 3" xfId="1277"/>
    <cellStyle name="Normal 2 2 4 2 4" xfId="1041"/>
    <cellStyle name="Normal 2 2 4 3" xfId="899"/>
    <cellStyle name="Normal 2 2 4 3 2" xfId="1311"/>
    <cellStyle name="Normal 2 2 4 3 3" xfId="1078"/>
    <cellStyle name="Normal 2 2 4 4" xfId="1195"/>
    <cellStyle name="Normal 2 2 4 5" xfId="958"/>
    <cellStyle name="Normal 2 2 5" xfId="793"/>
    <cellStyle name="Normal 2 2 5 2" xfId="1104"/>
    <cellStyle name="Normal 2 2 5 2 2" xfId="1337"/>
    <cellStyle name="Normal 2 2 5 3" xfId="1221"/>
    <cellStyle name="Normal 2 2 5 4" xfId="984"/>
    <cellStyle name="Normal 2 2 6" xfId="869"/>
    <cellStyle name="Normal 2 2 6 2" xfId="1130"/>
    <cellStyle name="Normal 2 2 6 2 2" xfId="1363"/>
    <cellStyle name="Normal 2 2 6 3" xfId="1247"/>
    <cellStyle name="Normal 2 2 6 4" xfId="1011"/>
    <cellStyle name="Normal 2 2 7" xfId="1068"/>
    <cellStyle name="Normal 2 2 7 2" xfId="1301"/>
    <cellStyle name="Normal 2 2 8" xfId="1185"/>
    <cellStyle name="Normal 2 2 9" xfId="947"/>
    <cellStyle name="Normal 2 3" xfId="636"/>
    <cellStyle name="Normal 2 4" xfId="696"/>
    <cellStyle name="Normal 20" xfId="521"/>
    <cellStyle name="Normal 21" xfId="606"/>
    <cellStyle name="Normal 22" xfId="632"/>
    <cellStyle name="Normal 22 2" xfId="640"/>
    <cellStyle name="Normal 22 3" xfId="815"/>
    <cellStyle name="Normal 22 3 2" xfId="1382"/>
    <cellStyle name="Normal 22 3 3" xfId="1149"/>
    <cellStyle name="Normal 22 4" xfId="888"/>
    <cellStyle name="Normal 22 4 2" xfId="1266"/>
    <cellStyle name="Normal 22 5" xfId="1030"/>
    <cellStyle name="Normal 23" xfId="637"/>
    <cellStyle name="Normal 23 2" xfId="818"/>
    <cellStyle name="Normal 23 2 2" xfId="1383"/>
    <cellStyle name="Normal 23 2 3" xfId="1150"/>
    <cellStyle name="Normal 23 3" xfId="889"/>
    <cellStyle name="Normal 23 3 2" xfId="1267"/>
    <cellStyle name="Normal 23 4" xfId="1031"/>
    <cellStyle name="Normal 24" xfId="848"/>
    <cellStyle name="Normal 24 2" xfId="1062"/>
    <cellStyle name="Normal 25" xfId="859"/>
    <cellStyle name="Normal 25 2" xfId="1298"/>
    <cellStyle name="Normal 25 3" xfId="1061"/>
    <cellStyle name="Normal 26" xfId="849"/>
    <cellStyle name="Normal 26 2" xfId="1180"/>
    <cellStyle name="Normal 27" xfId="855"/>
    <cellStyle name="Normal 28" xfId="860"/>
    <cellStyle name="Normal 29" xfId="930"/>
    <cellStyle name="Normal 3" xfId="522"/>
    <cellStyle name="Normal 3 2" xfId="607"/>
    <cellStyle name="Normal 3 3" xfId="608"/>
    <cellStyle name="Normal 3 3 2" xfId="601"/>
    <cellStyle name="Normal 3 4" xfId="633"/>
    <cellStyle name="Normal 3 4 2" xfId="816"/>
    <cellStyle name="Normal 3 5" xfId="700"/>
    <cellStyle name="Normal 3 6" xfId="923"/>
    <cellStyle name="Normal 30" xfId="926"/>
    <cellStyle name="Normal 31" xfId="1413"/>
    <cellStyle name="Normal 32" xfId="924"/>
    <cellStyle name="Normal 33" xfId="928"/>
    <cellStyle name="Normal 34" xfId="938"/>
    <cellStyle name="Normal 35" xfId="1422"/>
    <cellStyle name="Normal 36" xfId="1424"/>
    <cellStyle name="Normal 37" xfId="1426"/>
    <cellStyle name="Normal 38" xfId="1428"/>
    <cellStyle name="Normal 39" xfId="1430"/>
    <cellStyle name="Normal 4" xfId="523"/>
    <cellStyle name="Normal 4 2" xfId="609"/>
    <cellStyle name="Normal 4 3" xfId="739"/>
    <cellStyle name="Normal 40" xfId="1432"/>
    <cellStyle name="Normal 41" xfId="1434"/>
    <cellStyle name="Normal 42" xfId="1436"/>
    <cellStyle name="Normal 43" xfId="1438"/>
    <cellStyle name="Normal 44" xfId="1440"/>
    <cellStyle name="Normal 45" xfId="1442"/>
    <cellStyle name="Normal 46" xfId="1444"/>
    <cellStyle name="Normal 5" xfId="524"/>
    <cellStyle name="Normal 5 2" xfId="767"/>
    <cellStyle name="Normal 5 3" xfId="741"/>
    <cellStyle name="Normal 6" xfId="525"/>
    <cellStyle name="Normal 6 2" xfId="744"/>
    <cellStyle name="Normal 7" xfId="526"/>
    <cellStyle name="Normal 8" xfId="527"/>
    <cellStyle name="Normal 9" xfId="528"/>
    <cellStyle name="Note 10" xfId="529"/>
    <cellStyle name="Note 11" xfId="530"/>
    <cellStyle name="Note 12" xfId="531"/>
    <cellStyle name="Note 13" xfId="532"/>
    <cellStyle name="Note 14" xfId="533"/>
    <cellStyle name="Note 15" xfId="534"/>
    <cellStyle name="Note 16" xfId="777"/>
    <cellStyle name="Note 2" xfId="535"/>
    <cellStyle name="Note 2 2" xfId="712"/>
    <cellStyle name="Note 3" xfId="536"/>
    <cellStyle name="Note 4" xfId="537"/>
    <cellStyle name="Note 5" xfId="538"/>
    <cellStyle name="Note 6" xfId="539"/>
    <cellStyle name="Note 7" xfId="540"/>
    <cellStyle name="Note 8" xfId="541"/>
    <cellStyle name="Note 9" xfId="542"/>
    <cellStyle name="Output 10" xfId="543"/>
    <cellStyle name="Output 11" xfId="544"/>
    <cellStyle name="Output 12" xfId="545"/>
    <cellStyle name="Output 13" xfId="546"/>
    <cellStyle name="Output 14" xfId="547"/>
    <cellStyle name="Output 15" xfId="548"/>
    <cellStyle name="Output 16" xfId="774"/>
    <cellStyle name="Output 2" xfId="549"/>
    <cellStyle name="Output 2 2" xfId="707"/>
    <cellStyle name="Output 3" xfId="550"/>
    <cellStyle name="Output 4" xfId="551"/>
    <cellStyle name="Output 5" xfId="552"/>
    <cellStyle name="Output 6" xfId="553"/>
    <cellStyle name="Output 7" xfId="554"/>
    <cellStyle name="Output 8" xfId="555"/>
    <cellStyle name="Output 9" xfId="556"/>
    <cellStyle name="Percent" xfId="557" builtinId="5"/>
    <cellStyle name="Percent [2]" xfId="766"/>
    <cellStyle name="Percent 10" xfId="856"/>
    <cellStyle name="Percent 11" xfId="863"/>
    <cellStyle name="Percent 12" xfId="941"/>
    <cellStyle name="Percent 13" xfId="925"/>
    <cellStyle name="Percent 14" xfId="929"/>
    <cellStyle name="Percent 15" xfId="918"/>
    <cellStyle name="Percent 16" xfId="1414"/>
    <cellStyle name="Percent 17" xfId="934"/>
    <cellStyle name="Percent 18" xfId="943"/>
    <cellStyle name="Percent 19" xfId="920"/>
    <cellStyle name="Percent 2" xfId="558"/>
    <cellStyle name="Percent 2 2" xfId="610"/>
    <cellStyle name="Percent 2 2 2" xfId="622"/>
    <cellStyle name="Percent 2 2 2 2" xfId="659"/>
    <cellStyle name="Percent 2 2 2 2 2" xfId="838"/>
    <cellStyle name="Percent 2 2 2 2 2 2" xfId="1169"/>
    <cellStyle name="Percent 2 2 2 2 2 2 2" xfId="1402"/>
    <cellStyle name="Percent 2 2 2 2 2 3" xfId="1286"/>
    <cellStyle name="Percent 2 2 2 2 2 4" xfId="1050"/>
    <cellStyle name="Percent 2 2 2 2 3" xfId="908"/>
    <cellStyle name="Percent 2 2 2 2 3 2" xfId="1346"/>
    <cellStyle name="Percent 2 2 2 2 3 3" xfId="1113"/>
    <cellStyle name="Percent 2 2 2 2 4" xfId="1230"/>
    <cellStyle name="Percent 2 2 2 2 5" xfId="993"/>
    <cellStyle name="Percent 2 2 2 3" xfId="805"/>
    <cellStyle name="Percent 2 2 2 3 2" xfId="1139"/>
    <cellStyle name="Percent 2 2 2 3 2 2" xfId="1372"/>
    <cellStyle name="Percent 2 2 2 3 3" xfId="1256"/>
    <cellStyle name="Percent 2 2 2 3 4" xfId="1020"/>
    <cellStyle name="Percent 2 2 2 4" xfId="878"/>
    <cellStyle name="Percent 2 2 2 4 2" xfId="1320"/>
    <cellStyle name="Percent 2 2 2 4 3" xfId="1087"/>
    <cellStyle name="Percent 2 2 2 5" xfId="1204"/>
    <cellStyle name="Percent 2 2 2 6" xfId="967"/>
    <cellStyle name="Percent 2 2 3" xfId="630"/>
    <cellStyle name="Percent 2 2 3 2" xfId="667"/>
    <cellStyle name="Percent 2 2 3 2 2" xfId="846"/>
    <cellStyle name="Percent 2 2 3 2 2 2" xfId="1177"/>
    <cellStyle name="Percent 2 2 3 2 2 2 2" xfId="1410"/>
    <cellStyle name="Percent 2 2 3 2 2 3" xfId="1294"/>
    <cellStyle name="Percent 2 2 3 2 2 4" xfId="1058"/>
    <cellStyle name="Percent 2 2 3 2 3" xfId="916"/>
    <cellStyle name="Percent 2 2 3 2 3 2" xfId="1354"/>
    <cellStyle name="Percent 2 2 3 2 3 3" xfId="1121"/>
    <cellStyle name="Percent 2 2 3 2 4" xfId="1238"/>
    <cellStyle name="Percent 2 2 3 2 5" xfId="1001"/>
    <cellStyle name="Percent 2 2 3 3" xfId="813"/>
    <cellStyle name="Percent 2 2 3 3 2" xfId="1147"/>
    <cellStyle name="Percent 2 2 3 3 2 2" xfId="1380"/>
    <cellStyle name="Percent 2 2 3 3 3" xfId="1264"/>
    <cellStyle name="Percent 2 2 3 3 4" xfId="1028"/>
    <cellStyle name="Percent 2 2 3 4" xfId="886"/>
    <cellStyle name="Percent 2 2 3 4 2" xfId="1328"/>
    <cellStyle name="Percent 2 2 3 4 3" xfId="1095"/>
    <cellStyle name="Percent 2 2 3 5" xfId="1212"/>
    <cellStyle name="Percent 2 2 3 6" xfId="975"/>
    <cellStyle name="Percent 2 2 4" xfId="651"/>
    <cellStyle name="Percent 2 2 4 2" xfId="830"/>
    <cellStyle name="Percent 2 2 4 2 2" xfId="1161"/>
    <cellStyle name="Percent 2 2 4 2 2 2" xfId="1394"/>
    <cellStyle name="Percent 2 2 4 2 3" xfId="1278"/>
    <cellStyle name="Percent 2 2 4 2 4" xfId="1042"/>
    <cellStyle name="Percent 2 2 4 3" xfId="900"/>
    <cellStyle name="Percent 2 2 4 3 2" xfId="1338"/>
    <cellStyle name="Percent 2 2 4 3 3" xfId="1105"/>
    <cellStyle name="Percent 2 2 4 4" xfId="1222"/>
    <cellStyle name="Percent 2 2 4 5" xfId="985"/>
    <cellStyle name="Percent 2 2 5" xfId="797"/>
    <cellStyle name="Percent 2 2 5 2" xfId="1131"/>
    <cellStyle name="Percent 2 2 5 2 2" xfId="1364"/>
    <cellStyle name="Percent 2 2 5 3" xfId="1248"/>
    <cellStyle name="Percent 2 2 5 4" xfId="1012"/>
    <cellStyle name="Percent 2 2 6" xfId="870"/>
    <cellStyle name="Percent 2 2 6 2" xfId="1312"/>
    <cellStyle name="Percent 2 2 6 3" xfId="1079"/>
    <cellStyle name="Percent 2 2 7" xfId="1196"/>
    <cellStyle name="Percent 2 2 8" xfId="959"/>
    <cellStyle name="Percent 2 3" xfId="615"/>
    <cellStyle name="Percent 2 3 2" xfId="623"/>
    <cellStyle name="Percent 2 3 2 2" xfId="660"/>
    <cellStyle name="Percent 2 3 2 2 2" xfId="839"/>
    <cellStyle name="Percent 2 3 2 2 2 2" xfId="1170"/>
    <cellStyle name="Percent 2 3 2 2 2 2 2" xfId="1403"/>
    <cellStyle name="Percent 2 3 2 2 2 3" xfId="1287"/>
    <cellStyle name="Percent 2 3 2 2 2 4" xfId="1051"/>
    <cellStyle name="Percent 2 3 2 2 3" xfId="909"/>
    <cellStyle name="Percent 2 3 2 2 3 2" xfId="1347"/>
    <cellStyle name="Percent 2 3 2 2 3 3" xfId="1114"/>
    <cellStyle name="Percent 2 3 2 2 4" xfId="1231"/>
    <cellStyle name="Percent 2 3 2 2 5" xfId="994"/>
    <cellStyle name="Percent 2 3 2 3" xfId="806"/>
    <cellStyle name="Percent 2 3 2 3 2" xfId="1140"/>
    <cellStyle name="Percent 2 3 2 3 2 2" xfId="1373"/>
    <cellStyle name="Percent 2 3 2 3 3" xfId="1257"/>
    <cellStyle name="Percent 2 3 2 3 4" xfId="1021"/>
    <cellStyle name="Percent 2 3 2 4" xfId="879"/>
    <cellStyle name="Percent 2 3 2 4 2" xfId="1321"/>
    <cellStyle name="Percent 2 3 2 4 3" xfId="1088"/>
    <cellStyle name="Percent 2 3 2 5" xfId="1205"/>
    <cellStyle name="Percent 2 3 2 6" xfId="968"/>
    <cellStyle name="Percent 2 3 3" xfId="631"/>
    <cellStyle name="Percent 2 3 3 2" xfId="668"/>
    <cellStyle name="Percent 2 3 3 2 2" xfId="847"/>
    <cellStyle name="Percent 2 3 3 2 2 2" xfId="1178"/>
    <cellStyle name="Percent 2 3 3 2 2 2 2" xfId="1411"/>
    <cellStyle name="Percent 2 3 3 2 2 3" xfId="1295"/>
    <cellStyle name="Percent 2 3 3 2 2 4" xfId="1059"/>
    <cellStyle name="Percent 2 3 3 2 3" xfId="917"/>
    <cellStyle name="Percent 2 3 3 2 3 2" xfId="1355"/>
    <cellStyle name="Percent 2 3 3 2 3 3" xfId="1122"/>
    <cellStyle name="Percent 2 3 3 2 4" xfId="1239"/>
    <cellStyle name="Percent 2 3 3 2 5" xfId="1002"/>
    <cellStyle name="Percent 2 3 3 3" xfId="814"/>
    <cellStyle name="Percent 2 3 3 3 2" xfId="1148"/>
    <cellStyle name="Percent 2 3 3 3 2 2" xfId="1381"/>
    <cellStyle name="Percent 2 3 3 3 3" xfId="1265"/>
    <cellStyle name="Percent 2 3 3 3 4" xfId="1029"/>
    <cellStyle name="Percent 2 3 3 4" xfId="887"/>
    <cellStyle name="Percent 2 3 3 4 2" xfId="1329"/>
    <cellStyle name="Percent 2 3 3 4 3" xfId="1096"/>
    <cellStyle name="Percent 2 3 3 5" xfId="1213"/>
    <cellStyle name="Percent 2 3 3 6" xfId="976"/>
    <cellStyle name="Percent 2 3 4" xfId="652"/>
    <cellStyle name="Percent 2 3 4 2" xfId="831"/>
    <cellStyle name="Percent 2 3 4 2 2" xfId="1162"/>
    <cellStyle name="Percent 2 3 4 2 2 2" xfId="1395"/>
    <cellStyle name="Percent 2 3 4 2 3" xfId="1279"/>
    <cellStyle name="Percent 2 3 4 2 4" xfId="1043"/>
    <cellStyle name="Percent 2 3 4 3" xfId="901"/>
    <cellStyle name="Percent 2 3 4 3 2" xfId="1339"/>
    <cellStyle name="Percent 2 3 4 3 3" xfId="1106"/>
    <cellStyle name="Percent 2 3 4 4" xfId="1223"/>
    <cellStyle name="Percent 2 3 4 5" xfId="986"/>
    <cellStyle name="Percent 2 3 5" xfId="798"/>
    <cellStyle name="Percent 2 3 5 2" xfId="1132"/>
    <cellStyle name="Percent 2 3 5 2 2" xfId="1365"/>
    <cellStyle name="Percent 2 3 5 3" xfId="1249"/>
    <cellStyle name="Percent 2 3 5 4" xfId="1013"/>
    <cellStyle name="Percent 2 3 6" xfId="871"/>
    <cellStyle name="Percent 2 3 6 2" xfId="1313"/>
    <cellStyle name="Percent 2 3 6 3" xfId="1080"/>
    <cellStyle name="Percent 2 3 7" xfId="1197"/>
    <cellStyle name="Percent 2 3 8" xfId="960"/>
    <cellStyle name="Percent 2 4" xfId="1415"/>
    <cellStyle name="Percent 20" xfId="919"/>
    <cellStyle name="Percent 21" xfId="921"/>
    <cellStyle name="Percent 22" xfId="932"/>
    <cellStyle name="Percent 23" xfId="1416"/>
    <cellStyle name="Percent 24" xfId="935"/>
    <cellStyle name="Percent 25" xfId="1418"/>
    <cellStyle name="Percent 26" xfId="945"/>
    <cellStyle name="Percent 27" xfId="922"/>
    <cellStyle name="Percent 28" xfId="931"/>
    <cellStyle name="Percent 29" xfId="1420"/>
    <cellStyle name="Percent 3" xfId="559"/>
    <cellStyle name="Percent 3 2" xfId="611"/>
    <cellStyle name="Percent 3 2 2" xfId="769"/>
    <cellStyle name="Percent 3 3" xfId="635"/>
    <cellStyle name="Percent 3 4" xfId="743"/>
    <cellStyle name="Percent 30" xfId="942"/>
    <cellStyle name="Percent 31" xfId="944"/>
    <cellStyle name="Percent 32" xfId="933"/>
    <cellStyle name="Percent 33" xfId="1419"/>
    <cellStyle name="Percent 34" xfId="927"/>
    <cellStyle name="Percent 35" xfId="1417"/>
    <cellStyle name="Percent 36" xfId="1421"/>
    <cellStyle name="Percent 37" xfId="1423"/>
    <cellStyle name="Percent 38" xfId="1425"/>
    <cellStyle name="Percent 39" xfId="1427"/>
    <cellStyle name="Percent 4" xfId="612"/>
    <cellStyle name="Percent 4 2" xfId="788"/>
    <cellStyle name="Percent 40" xfId="1429"/>
    <cellStyle name="Percent 41" xfId="1431"/>
    <cellStyle name="Percent 42" xfId="1433"/>
    <cellStyle name="Percent 43" xfId="1435"/>
    <cellStyle name="Percent 44" xfId="1437"/>
    <cellStyle name="Percent 45" xfId="1439"/>
    <cellStyle name="Percent 46" xfId="1441"/>
    <cellStyle name="Percent 47" xfId="1443"/>
    <cellStyle name="Percent 48" xfId="1445"/>
    <cellStyle name="Percent 5" xfId="644"/>
    <cellStyle name="Percent 6" xfId="639"/>
    <cellStyle name="Percent 6 2" xfId="820"/>
    <cellStyle name="Percent 6 2 2" xfId="1385"/>
    <cellStyle name="Percent 6 2 3" xfId="1152"/>
    <cellStyle name="Percent 6 3" xfId="891"/>
    <cellStyle name="Percent 6 3 2" xfId="1269"/>
    <cellStyle name="Percent 6 4" xfId="1033"/>
    <cellStyle name="Percent 7" xfId="853"/>
    <cellStyle name="Percent 7 2" xfId="1066"/>
    <cellStyle name="Percent 8" xfId="854"/>
    <cellStyle name="Percent 8 2" xfId="1182"/>
    <cellStyle name="Percent 9" xfId="857"/>
    <cellStyle name="Style 23" xfId="613"/>
    <cellStyle name="Style 23 2" xfId="614"/>
    <cellStyle name="Title" xfId="560" builtinId="15" customBuiltin="1"/>
    <cellStyle name="Title 2" xfId="697"/>
    <cellStyle name="Title 2 2" xfId="946"/>
    <cellStyle name="Title 3" xfId="693"/>
    <cellStyle name="Total 10" xfId="561"/>
    <cellStyle name="Total 11" xfId="562"/>
    <cellStyle name="Total 12" xfId="563"/>
    <cellStyle name="Total 13" xfId="564"/>
    <cellStyle name="Total 14" xfId="565"/>
    <cellStyle name="Total 15" xfId="566"/>
    <cellStyle name="Total 16" xfId="694"/>
    <cellStyle name="Total 2" xfId="567"/>
    <cellStyle name="Total 2 2" xfId="714"/>
    <cellStyle name="Total 3" xfId="568"/>
    <cellStyle name="Total 4" xfId="569"/>
    <cellStyle name="Total 5" xfId="570"/>
    <cellStyle name="Total 6" xfId="571"/>
    <cellStyle name="Total 7" xfId="572"/>
    <cellStyle name="Total 8" xfId="573"/>
    <cellStyle name="Total 9" xfId="574"/>
    <cellStyle name="Warning Text 10" xfId="575"/>
    <cellStyle name="Warning Text 11" xfId="576"/>
    <cellStyle name="Warning Text 12" xfId="577"/>
    <cellStyle name="Warning Text 13" xfId="578"/>
    <cellStyle name="Warning Text 14" xfId="579"/>
    <cellStyle name="Warning Text 15" xfId="580"/>
    <cellStyle name="Warning Text 16" xfId="695"/>
    <cellStyle name="Warning Text 2" xfId="581"/>
    <cellStyle name="Warning Text 2 2" xfId="711"/>
    <cellStyle name="Warning Text 3" xfId="582"/>
    <cellStyle name="Warning Text 4" xfId="583"/>
    <cellStyle name="Warning Text 5" xfId="584"/>
    <cellStyle name="Warning Text 6" xfId="585"/>
    <cellStyle name="Warning Text 7" xfId="586"/>
    <cellStyle name="Warning Text 8" xfId="587"/>
    <cellStyle name="Warning Text 9" xfId="588"/>
  </cellStyles>
  <dxfs count="0"/>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onnections" Target="connection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653356015307445E-2"/>
          <c:y val="3.5542275424528813E-2"/>
          <c:w val="0.72609264993784484"/>
          <c:h val="0.76901503668994686"/>
        </c:manualLayout>
      </c:layout>
      <c:barChart>
        <c:barDir val="col"/>
        <c:grouping val="clustered"/>
        <c:varyColors val="0"/>
        <c:ser>
          <c:idx val="2"/>
          <c:order val="0"/>
          <c:tx>
            <c:strRef>
              <c:f>'6. WS Regression Analysis'!$V$58</c:f>
              <c:strCache>
                <c:ptCount val="1"/>
                <c:pt idx="0">
                  <c:v>kWh Purchased</c:v>
                </c:pt>
              </c:strCache>
            </c:strRef>
          </c:tx>
          <c:invertIfNegative val="0"/>
          <c:cat>
            <c:numRef>
              <c:f>'6. WS Regression Analysis'!$U$59:$U$68</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Analysis'!$V$59:$V$68</c:f>
              <c:numCache>
                <c:formatCode>_-* #,##0.00_-;\-* #,##0.00_-;_-* "-"??_-;_-@_-</c:formatCode>
                <c:ptCount val="10"/>
                <c:pt idx="0">
                  <c:v>240687668</c:v>
                </c:pt>
                <c:pt idx="1">
                  <c:v>248683053.34999996</c:v>
                </c:pt>
                <c:pt idx="2">
                  <c:v>241507708</c:v>
                </c:pt>
                <c:pt idx="3">
                  <c:v>236526800</c:v>
                </c:pt>
                <c:pt idx="4">
                  <c:v>244543390.56</c:v>
                </c:pt>
                <c:pt idx="5">
                  <c:v>248601682.74000001</c:v>
                </c:pt>
                <c:pt idx="6">
                  <c:v>250144401.56999999</c:v>
                </c:pt>
                <c:pt idx="7">
                  <c:v>246166626.33000001</c:v>
                </c:pt>
                <c:pt idx="8">
                  <c:v>242535263.39000002</c:v>
                </c:pt>
                <c:pt idx="9">
                  <c:v>239401282.51999998</c:v>
                </c:pt>
              </c:numCache>
            </c:numRef>
          </c:val>
        </c:ser>
        <c:ser>
          <c:idx val="0"/>
          <c:order val="1"/>
          <c:tx>
            <c:strRef>
              <c:f>'6. WS Regression Analysis'!$W$58</c:f>
              <c:strCache>
                <c:ptCount val="1"/>
                <c:pt idx="0">
                  <c:v>Adjusted</c:v>
                </c:pt>
              </c:strCache>
            </c:strRef>
          </c:tx>
          <c:invertIfNegative val="0"/>
          <c:cat>
            <c:numRef>
              <c:f>'6. WS Regression Analysis'!$U$59:$U$68</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Analysis'!$W$59:$W$68</c:f>
              <c:numCache>
                <c:formatCode>_-* #,##0.00_-;\-* #,##0.00_-;_-* "-"??_-;_-@_-</c:formatCode>
                <c:ptCount val="10"/>
                <c:pt idx="0">
                  <c:v>244958698.73945877</c:v>
                </c:pt>
                <c:pt idx="1">
                  <c:v>248683575.31460232</c:v>
                </c:pt>
                <c:pt idx="2">
                  <c:v>247069840.93236792</c:v>
                </c:pt>
                <c:pt idx="3">
                  <c:v>245470671.7507762</c:v>
                </c:pt>
                <c:pt idx="4">
                  <c:v>247205392.77313605</c:v>
                </c:pt>
                <c:pt idx="5">
                  <c:v>248673994.55355757</c:v>
                </c:pt>
                <c:pt idx="6">
                  <c:v>250342774.98395351</c:v>
                </c:pt>
                <c:pt idx="7">
                  <c:v>249342246.0888707</c:v>
                </c:pt>
                <c:pt idx="8">
                  <c:v>249658428.47991201</c:v>
                </c:pt>
                <c:pt idx="9">
                  <c:v>247399736.29403827</c:v>
                </c:pt>
              </c:numCache>
            </c:numRef>
          </c:val>
        </c:ser>
        <c:dLbls>
          <c:showLegendKey val="0"/>
          <c:showVal val="0"/>
          <c:showCatName val="0"/>
          <c:showSerName val="0"/>
          <c:showPercent val="0"/>
          <c:showBubbleSize val="0"/>
        </c:dLbls>
        <c:gapWidth val="150"/>
        <c:axId val="356380776"/>
        <c:axId val="356383520"/>
      </c:barChart>
      <c:dateAx>
        <c:axId val="356380776"/>
        <c:scaling>
          <c:orientation val="minMax"/>
        </c:scaling>
        <c:delete val="0"/>
        <c:axPos val="b"/>
        <c:title>
          <c:tx>
            <c:rich>
              <a:bodyPr/>
              <a:lstStyle/>
              <a:p>
                <a:pPr>
                  <a:defRPr/>
                </a:pPr>
                <a:r>
                  <a:rPr lang="en-US"/>
                  <a:t>Year</a:t>
                </a:r>
              </a:p>
            </c:rich>
          </c:tx>
          <c:overlay val="0"/>
        </c:title>
        <c:numFmt formatCode="@" sourceLinked="1"/>
        <c:majorTickMark val="out"/>
        <c:minorTickMark val="none"/>
        <c:tickLblPos val="nextTo"/>
        <c:crossAx val="356383520"/>
        <c:crosses val="autoZero"/>
        <c:auto val="0"/>
        <c:lblOffset val="100"/>
        <c:baseTimeUnit val="days"/>
      </c:dateAx>
      <c:valAx>
        <c:axId val="356383520"/>
        <c:scaling>
          <c:orientation val="minMax"/>
          <c:min val="0"/>
        </c:scaling>
        <c:delete val="0"/>
        <c:axPos val="l"/>
        <c:majorGridlines/>
        <c:numFmt formatCode="#,##0" sourceLinked="0"/>
        <c:majorTickMark val="out"/>
        <c:minorTickMark val="none"/>
        <c:tickLblPos val="nextTo"/>
        <c:crossAx val="356380776"/>
        <c:crossesAt val="1"/>
        <c:crossBetween val="between"/>
        <c:dispUnits>
          <c:builtInUnit val="millions"/>
        </c:dispUnits>
      </c:valAx>
      <c:spPr>
        <a:noFill/>
        <a:ln w="25400">
          <a:noFill/>
        </a:ln>
      </c:spPr>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329045</xdr:colOff>
      <xdr:row>23</xdr:row>
      <xdr:rowOff>8659</xdr:rowOff>
    </xdr:from>
    <xdr:to>
      <xdr:col>11</xdr:col>
      <xdr:colOff>472723</xdr:colOff>
      <xdr:row>23</xdr:row>
      <xdr:rowOff>151694</xdr:rowOff>
    </xdr:to>
    <xdr:sp macro="" textlink="">
      <xdr:nvSpPr>
        <xdr:cNvPr id="7" name="Rectangle 6"/>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329045</xdr:colOff>
      <xdr:row>23</xdr:row>
      <xdr:rowOff>8659</xdr:rowOff>
    </xdr:from>
    <xdr:to>
      <xdr:col>12</xdr:col>
      <xdr:colOff>481262</xdr:colOff>
      <xdr:row>23</xdr:row>
      <xdr:rowOff>155408</xdr:rowOff>
    </xdr:to>
    <xdr:sp macro="" textlink="">
      <xdr:nvSpPr>
        <xdr:cNvPr id="8" name="Rectangle 7"/>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341231</xdr:colOff>
      <xdr:row>23</xdr:row>
      <xdr:rowOff>7056</xdr:rowOff>
    </xdr:from>
    <xdr:to>
      <xdr:col>17</xdr:col>
      <xdr:colOff>493888</xdr:colOff>
      <xdr:row>23</xdr:row>
      <xdr:rowOff>151694</xdr:rowOff>
    </xdr:to>
    <xdr:sp macro="" textlink="">
      <xdr:nvSpPr>
        <xdr:cNvPr id="9" name="Rectangle 8"/>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351495</xdr:colOff>
      <xdr:row>23</xdr:row>
      <xdr:rowOff>11866</xdr:rowOff>
    </xdr:from>
    <xdr:to>
      <xdr:col>18</xdr:col>
      <xdr:colOff>490361</xdr:colOff>
      <xdr:row>23</xdr:row>
      <xdr:rowOff>151694</xdr:rowOff>
    </xdr:to>
    <xdr:sp macro="" textlink="">
      <xdr:nvSpPr>
        <xdr:cNvPr id="10" name="Rectangle 9"/>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14</xdr:col>
      <xdr:colOff>341231</xdr:colOff>
      <xdr:row>23</xdr:row>
      <xdr:rowOff>7056</xdr:rowOff>
    </xdr:from>
    <xdr:to>
      <xdr:col>14</xdr:col>
      <xdr:colOff>493888</xdr:colOff>
      <xdr:row>23</xdr:row>
      <xdr:rowOff>151694</xdr:rowOff>
    </xdr:to>
    <xdr:sp macro="" textlink="">
      <xdr:nvSpPr>
        <xdr:cNvPr id="12" name="Rectangle 11"/>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351495</xdr:colOff>
      <xdr:row>23</xdr:row>
      <xdr:rowOff>11866</xdr:rowOff>
    </xdr:from>
    <xdr:to>
      <xdr:col>15</xdr:col>
      <xdr:colOff>490361</xdr:colOff>
      <xdr:row>23</xdr:row>
      <xdr:rowOff>151694</xdr:rowOff>
    </xdr:to>
    <xdr:sp macro="" textlink="">
      <xdr:nvSpPr>
        <xdr:cNvPr id="13" name="Rectangle 12"/>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346363</xdr:colOff>
      <xdr:row>23</xdr:row>
      <xdr:rowOff>6735</xdr:rowOff>
    </xdr:from>
    <xdr:to>
      <xdr:col>20</xdr:col>
      <xdr:colOff>483304</xdr:colOff>
      <xdr:row>23</xdr:row>
      <xdr:rowOff>148167</xdr:rowOff>
    </xdr:to>
    <xdr:sp macro="" textlink="">
      <xdr:nvSpPr>
        <xdr:cNvPr id="16" name="Rectangle 15"/>
        <xdr:cNvSpPr/>
      </xdr:nvSpPr>
      <xdr:spPr>
        <a:xfrm>
          <a:off x="133956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23</xdr:col>
      <xdr:colOff>346363</xdr:colOff>
      <xdr:row>23</xdr:row>
      <xdr:rowOff>6735</xdr:rowOff>
    </xdr:from>
    <xdr:to>
      <xdr:col>23</xdr:col>
      <xdr:colOff>483304</xdr:colOff>
      <xdr:row>23</xdr:row>
      <xdr:rowOff>148167</xdr:rowOff>
    </xdr:to>
    <xdr:sp macro="" textlink="">
      <xdr:nvSpPr>
        <xdr:cNvPr id="17" name="Rectangle 16"/>
        <xdr:cNvSpPr/>
      </xdr:nvSpPr>
      <xdr:spPr>
        <a:xfrm>
          <a:off x="15100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25</xdr:col>
      <xdr:colOff>346363</xdr:colOff>
      <xdr:row>23</xdr:row>
      <xdr:rowOff>6735</xdr:rowOff>
    </xdr:from>
    <xdr:to>
      <xdr:col>25</xdr:col>
      <xdr:colOff>483304</xdr:colOff>
      <xdr:row>23</xdr:row>
      <xdr:rowOff>148167</xdr:rowOff>
    </xdr:to>
    <xdr:sp macro="" textlink="">
      <xdr:nvSpPr>
        <xdr:cNvPr id="18" name="Rectangle 17"/>
        <xdr:cNvSpPr/>
      </xdr:nvSpPr>
      <xdr:spPr>
        <a:xfrm>
          <a:off x="167484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346363</xdr:colOff>
      <xdr:row>23</xdr:row>
      <xdr:rowOff>6735</xdr:rowOff>
    </xdr:from>
    <xdr:to>
      <xdr:col>9</xdr:col>
      <xdr:colOff>483304</xdr:colOff>
      <xdr:row>23</xdr:row>
      <xdr:rowOff>148167</xdr:rowOff>
    </xdr:to>
    <xdr:sp macro="" textlink="">
      <xdr:nvSpPr>
        <xdr:cNvPr id="23" name="Rectangle 22"/>
        <xdr:cNvSpPr/>
      </xdr:nvSpPr>
      <xdr:spPr>
        <a:xfrm>
          <a:off x="5956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21</xdr:col>
      <xdr:colOff>346363</xdr:colOff>
      <xdr:row>23</xdr:row>
      <xdr:rowOff>6735</xdr:rowOff>
    </xdr:from>
    <xdr:to>
      <xdr:col>21</xdr:col>
      <xdr:colOff>483304</xdr:colOff>
      <xdr:row>23</xdr:row>
      <xdr:rowOff>148167</xdr:rowOff>
    </xdr:to>
    <xdr:sp macro="" textlink="">
      <xdr:nvSpPr>
        <xdr:cNvPr id="21" name="Rectangle 20"/>
        <xdr:cNvSpPr/>
      </xdr:nvSpPr>
      <xdr:spPr>
        <a:xfrm>
          <a:off x="16691263" y="259753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104775</xdr:colOff>
      <xdr:row>31</xdr:row>
      <xdr:rowOff>133349</xdr:rowOff>
    </xdr:from>
    <xdr:to>
      <xdr:col>16</xdr:col>
      <xdr:colOff>190500</xdr:colOff>
      <xdr:row>32</xdr:row>
      <xdr:rowOff>133349</xdr:rowOff>
    </xdr:to>
    <xdr:sp macro="" textlink="">
      <xdr:nvSpPr>
        <xdr:cNvPr id="10" name="Down Arrow 9"/>
        <xdr:cNvSpPr/>
      </xdr:nvSpPr>
      <xdr:spPr>
        <a:xfrm>
          <a:off x="12830175" y="5838824"/>
          <a:ext cx="85725" cy="161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406213</xdr:colOff>
      <xdr:row>17</xdr:row>
      <xdr:rowOff>87406</xdr:rowOff>
    </xdr:from>
    <xdr:to>
      <xdr:col>2</xdr:col>
      <xdr:colOff>587188</xdr:colOff>
      <xdr:row>17</xdr:row>
      <xdr:rowOff>258856</xdr:rowOff>
    </xdr:to>
    <xdr:sp macro="" textlink="">
      <xdr:nvSpPr>
        <xdr:cNvPr id="3" name="Isosceles Triangle 2"/>
        <xdr:cNvSpPr/>
      </xdr:nvSpPr>
      <xdr:spPr>
        <a:xfrm>
          <a:off x="1907801" y="849406"/>
          <a:ext cx="180975"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428625</xdr:colOff>
      <xdr:row>17</xdr:row>
      <xdr:rowOff>104775</xdr:rowOff>
    </xdr:from>
    <xdr:to>
      <xdr:col>17</xdr:col>
      <xdr:colOff>676275</xdr:colOff>
      <xdr:row>17</xdr:row>
      <xdr:rowOff>333375</xdr:rowOff>
    </xdr:to>
    <xdr:sp macro="" textlink="">
      <xdr:nvSpPr>
        <xdr:cNvPr id="2" name="5-Point Star 1"/>
        <xdr:cNvSpPr/>
      </xdr:nvSpPr>
      <xdr:spPr>
        <a:xfrm>
          <a:off x="13420725" y="723900"/>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9</xdr:col>
      <xdr:colOff>95250</xdr:colOff>
      <xdr:row>18</xdr:row>
      <xdr:rowOff>178734</xdr:rowOff>
    </xdr:from>
    <xdr:to>
      <xdr:col>9</xdr:col>
      <xdr:colOff>910477</xdr:colOff>
      <xdr:row>18</xdr:row>
      <xdr:rowOff>205403</xdr:rowOff>
    </xdr:to>
    <xdr:sp macro="" textlink="">
      <xdr:nvSpPr>
        <xdr:cNvPr id="6" name="Right Arrow 5"/>
        <xdr:cNvSpPr/>
      </xdr:nvSpPr>
      <xdr:spPr>
        <a:xfrm>
          <a:off x="9058275" y="4122084"/>
          <a:ext cx="815227" cy="266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24</xdr:col>
      <xdr:colOff>323850</xdr:colOff>
      <xdr:row>57</xdr:row>
      <xdr:rowOff>0</xdr:rowOff>
    </xdr:from>
    <xdr:to>
      <xdr:col>35</xdr:col>
      <xdr:colOff>140494</xdr:colOff>
      <xdr:row>80</xdr:row>
      <xdr:rowOff>125413</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1315081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173394</xdr:colOff>
      <xdr:row>30</xdr:row>
      <xdr:rowOff>34636</xdr:rowOff>
    </xdr:from>
    <xdr:to>
      <xdr:col>0</xdr:col>
      <xdr:colOff>536863</xdr:colOff>
      <xdr:row>33</xdr:row>
      <xdr:rowOff>164521</xdr:rowOff>
    </xdr:to>
    <xdr:sp macro="" textlink="">
      <xdr:nvSpPr>
        <xdr:cNvPr id="2" name="Right Brace 1"/>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180108</xdr:colOff>
      <xdr:row>33</xdr:row>
      <xdr:rowOff>0</xdr:rowOff>
    </xdr:from>
    <xdr:to>
      <xdr:col>4</xdr:col>
      <xdr:colOff>435552</xdr:colOff>
      <xdr:row>36</xdr:row>
      <xdr:rowOff>141143</xdr:rowOff>
    </xdr:to>
    <xdr:sp macro="" textlink="">
      <xdr:nvSpPr>
        <xdr:cNvPr id="3" name="Down Arrow 2"/>
        <xdr:cNvSpPr/>
      </xdr:nvSpPr>
      <xdr:spPr>
        <a:xfrm>
          <a:off x="3590058" y="69723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79663</xdr:colOff>
      <xdr:row>33</xdr:row>
      <xdr:rowOff>38100</xdr:rowOff>
    </xdr:from>
    <xdr:to>
      <xdr:col>12</xdr:col>
      <xdr:colOff>344632</xdr:colOff>
      <xdr:row>36</xdr:row>
      <xdr:rowOff>161059</xdr:rowOff>
    </xdr:to>
    <xdr:sp macro="" textlink="">
      <xdr:nvSpPr>
        <xdr:cNvPr id="4" name="Down Arrow 3"/>
        <xdr:cNvSpPr/>
      </xdr:nvSpPr>
      <xdr:spPr>
        <a:xfrm>
          <a:off x="9680863" y="70104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166253</xdr:colOff>
      <xdr:row>33</xdr:row>
      <xdr:rowOff>47624</xdr:rowOff>
    </xdr:from>
    <xdr:to>
      <xdr:col>20</xdr:col>
      <xdr:colOff>431222</xdr:colOff>
      <xdr:row>37</xdr:row>
      <xdr:rowOff>19915</xdr:rowOff>
    </xdr:to>
    <xdr:sp macro="" textlink="">
      <xdr:nvSpPr>
        <xdr:cNvPr id="5" name="Down Arrow 4"/>
        <xdr:cNvSpPr/>
      </xdr:nvSpPr>
      <xdr:spPr>
        <a:xfrm>
          <a:off x="15949178" y="701992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xdr:col>
      <xdr:colOff>247650</xdr:colOff>
      <xdr:row>19</xdr:row>
      <xdr:rowOff>76200</xdr:rowOff>
    </xdr:from>
    <xdr:to>
      <xdr:col>4</xdr:col>
      <xdr:colOff>495300</xdr:colOff>
      <xdr:row>19</xdr:row>
      <xdr:rowOff>238125</xdr:rowOff>
    </xdr:to>
    <xdr:sp macro="" textlink="">
      <xdr:nvSpPr>
        <xdr:cNvPr id="6" name="5-Point Star 5"/>
        <xdr:cNvSpPr/>
      </xdr:nvSpPr>
      <xdr:spPr>
        <a:xfrm>
          <a:off x="365760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12</xdr:col>
      <xdr:colOff>209550</xdr:colOff>
      <xdr:row>19</xdr:row>
      <xdr:rowOff>104775</xdr:rowOff>
    </xdr:from>
    <xdr:to>
      <xdr:col>12</xdr:col>
      <xdr:colOff>457200</xdr:colOff>
      <xdr:row>19</xdr:row>
      <xdr:rowOff>257175</xdr:rowOff>
    </xdr:to>
    <xdr:sp macro="" textlink="">
      <xdr:nvSpPr>
        <xdr:cNvPr id="7" name="5-Point Star 6"/>
        <xdr:cNvSpPr/>
      </xdr:nvSpPr>
      <xdr:spPr>
        <a:xfrm>
          <a:off x="9810750" y="4171950"/>
          <a:ext cx="247650" cy="1524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20</xdr:col>
      <xdr:colOff>228600</xdr:colOff>
      <xdr:row>19</xdr:row>
      <xdr:rowOff>114300</xdr:rowOff>
    </xdr:from>
    <xdr:to>
      <xdr:col>20</xdr:col>
      <xdr:colOff>476250</xdr:colOff>
      <xdr:row>19</xdr:row>
      <xdr:rowOff>276225</xdr:rowOff>
    </xdr:to>
    <xdr:sp macro="" textlink="">
      <xdr:nvSpPr>
        <xdr:cNvPr id="8" name="5-Point Star 7"/>
        <xdr:cNvSpPr/>
      </xdr:nvSpPr>
      <xdr:spPr>
        <a:xfrm>
          <a:off x="16011525" y="41814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323850</xdr:colOff>
      <xdr:row>19</xdr:row>
      <xdr:rowOff>104774</xdr:rowOff>
    </xdr:from>
    <xdr:to>
      <xdr:col>2</xdr:col>
      <xdr:colOff>523875</xdr:colOff>
      <xdr:row>19</xdr:row>
      <xdr:rowOff>247649</xdr:rowOff>
    </xdr:to>
    <xdr:sp macro="" textlink="">
      <xdr:nvSpPr>
        <xdr:cNvPr id="10" name="Rectangle 9"/>
        <xdr:cNvSpPr/>
      </xdr:nvSpPr>
      <xdr:spPr>
        <a:xfrm>
          <a:off x="1962150" y="4171949"/>
          <a:ext cx="200025" cy="14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10</xdr:col>
      <xdr:colOff>323850</xdr:colOff>
      <xdr:row>19</xdr:row>
      <xdr:rowOff>133350</xdr:rowOff>
    </xdr:from>
    <xdr:to>
      <xdr:col>10</xdr:col>
      <xdr:colOff>523875</xdr:colOff>
      <xdr:row>19</xdr:row>
      <xdr:rowOff>266700</xdr:rowOff>
    </xdr:to>
    <xdr:sp macro="" textlink="">
      <xdr:nvSpPr>
        <xdr:cNvPr id="11" name="Rectangle 10"/>
        <xdr:cNvSpPr/>
      </xdr:nvSpPr>
      <xdr:spPr>
        <a:xfrm>
          <a:off x="8210550" y="4200525"/>
          <a:ext cx="200025" cy="133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314325</xdr:colOff>
      <xdr:row>19</xdr:row>
      <xdr:rowOff>133350</xdr:rowOff>
    </xdr:from>
    <xdr:to>
      <xdr:col>18</xdr:col>
      <xdr:colOff>514350</xdr:colOff>
      <xdr:row>19</xdr:row>
      <xdr:rowOff>257175</xdr:rowOff>
    </xdr:to>
    <xdr:sp macro="" textlink="">
      <xdr:nvSpPr>
        <xdr:cNvPr id="12" name="Rectangle 11"/>
        <xdr:cNvSpPr/>
      </xdr:nvSpPr>
      <xdr:spPr>
        <a:xfrm>
          <a:off x="14382750" y="42005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19</xdr:col>
      <xdr:colOff>295275</xdr:colOff>
      <xdr:row>19</xdr:row>
      <xdr:rowOff>133349</xdr:rowOff>
    </xdr:from>
    <xdr:to>
      <xdr:col>19</xdr:col>
      <xdr:colOff>495300</xdr:colOff>
      <xdr:row>19</xdr:row>
      <xdr:rowOff>257174</xdr:rowOff>
    </xdr:to>
    <xdr:sp macro="" textlink="">
      <xdr:nvSpPr>
        <xdr:cNvPr id="13" name="Isosceles Triangle 12"/>
        <xdr:cNvSpPr/>
      </xdr:nvSpPr>
      <xdr:spPr>
        <a:xfrm>
          <a:off x="15220950" y="420052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276225</xdr:colOff>
      <xdr:row>19</xdr:row>
      <xdr:rowOff>114300</xdr:rowOff>
    </xdr:from>
    <xdr:to>
      <xdr:col>11</xdr:col>
      <xdr:colOff>514350</xdr:colOff>
      <xdr:row>19</xdr:row>
      <xdr:rowOff>276225</xdr:rowOff>
    </xdr:to>
    <xdr:sp macro="" textlink="">
      <xdr:nvSpPr>
        <xdr:cNvPr id="14" name="Isosceles Triangle 13"/>
        <xdr:cNvSpPr/>
      </xdr:nvSpPr>
      <xdr:spPr>
        <a:xfrm>
          <a:off x="9020175" y="4181475"/>
          <a:ext cx="238125" cy="1619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295275</xdr:colOff>
      <xdr:row>19</xdr:row>
      <xdr:rowOff>85725</xdr:rowOff>
    </xdr:from>
    <xdr:to>
      <xdr:col>3</xdr:col>
      <xdr:colOff>523875</xdr:colOff>
      <xdr:row>19</xdr:row>
      <xdr:rowOff>257175</xdr:rowOff>
    </xdr:to>
    <xdr:sp macro="" textlink="">
      <xdr:nvSpPr>
        <xdr:cNvPr id="15" name="Isosceles Triangle 14"/>
        <xdr:cNvSpPr/>
      </xdr:nvSpPr>
      <xdr:spPr>
        <a:xfrm>
          <a:off x="2847975" y="4152900"/>
          <a:ext cx="228600"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147203</xdr:colOff>
      <xdr:row>33</xdr:row>
      <xdr:rowOff>38099</xdr:rowOff>
    </xdr:from>
    <xdr:to>
      <xdr:col>28</xdr:col>
      <xdr:colOff>412172</xdr:colOff>
      <xdr:row>37</xdr:row>
      <xdr:rowOff>10390</xdr:rowOff>
    </xdr:to>
    <xdr:sp macro="" textlink="">
      <xdr:nvSpPr>
        <xdr:cNvPr id="16" name="Down Arrow 15"/>
        <xdr:cNvSpPr/>
      </xdr:nvSpPr>
      <xdr:spPr>
        <a:xfrm>
          <a:off x="22102328" y="7010399"/>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247650</xdr:colOff>
      <xdr:row>19</xdr:row>
      <xdr:rowOff>85725</xdr:rowOff>
    </xdr:from>
    <xdr:to>
      <xdr:col>28</xdr:col>
      <xdr:colOff>495300</xdr:colOff>
      <xdr:row>19</xdr:row>
      <xdr:rowOff>247650</xdr:rowOff>
    </xdr:to>
    <xdr:sp macro="" textlink="">
      <xdr:nvSpPr>
        <xdr:cNvPr id="17" name="5-Point Star 16"/>
        <xdr:cNvSpPr/>
      </xdr:nvSpPr>
      <xdr:spPr>
        <a:xfrm>
          <a:off x="22202775" y="4152900"/>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26</xdr:col>
      <xdr:colOff>304800</xdr:colOff>
      <xdr:row>19</xdr:row>
      <xdr:rowOff>114300</xdr:rowOff>
    </xdr:from>
    <xdr:to>
      <xdr:col>26</xdr:col>
      <xdr:colOff>504825</xdr:colOff>
      <xdr:row>19</xdr:row>
      <xdr:rowOff>238125</xdr:rowOff>
    </xdr:to>
    <xdr:sp macro="" textlink="">
      <xdr:nvSpPr>
        <xdr:cNvPr id="18" name="Rectangle 17"/>
        <xdr:cNvSpPr/>
      </xdr:nvSpPr>
      <xdr:spPr>
        <a:xfrm>
          <a:off x="20545425" y="418147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27</xdr:col>
      <xdr:colOff>295275</xdr:colOff>
      <xdr:row>19</xdr:row>
      <xdr:rowOff>114299</xdr:rowOff>
    </xdr:from>
    <xdr:to>
      <xdr:col>27</xdr:col>
      <xdr:colOff>495300</xdr:colOff>
      <xdr:row>19</xdr:row>
      <xdr:rowOff>238124</xdr:rowOff>
    </xdr:to>
    <xdr:sp macro="" textlink="">
      <xdr:nvSpPr>
        <xdr:cNvPr id="19" name="Isosceles Triangle 18"/>
        <xdr:cNvSpPr/>
      </xdr:nvSpPr>
      <xdr:spPr>
        <a:xfrm>
          <a:off x="21393150" y="418147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147203</xdr:colOff>
      <xdr:row>33</xdr:row>
      <xdr:rowOff>28574</xdr:rowOff>
    </xdr:from>
    <xdr:to>
      <xdr:col>36</xdr:col>
      <xdr:colOff>412172</xdr:colOff>
      <xdr:row>37</xdr:row>
      <xdr:rowOff>865</xdr:rowOff>
    </xdr:to>
    <xdr:sp macro="" textlink="">
      <xdr:nvSpPr>
        <xdr:cNvPr id="23" name="Down Arrow 22"/>
        <xdr:cNvSpPr/>
      </xdr:nvSpPr>
      <xdr:spPr>
        <a:xfrm>
          <a:off x="28265003" y="700087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247650</xdr:colOff>
      <xdr:row>19</xdr:row>
      <xdr:rowOff>76200</xdr:rowOff>
    </xdr:from>
    <xdr:to>
      <xdr:col>36</xdr:col>
      <xdr:colOff>495300</xdr:colOff>
      <xdr:row>19</xdr:row>
      <xdr:rowOff>238125</xdr:rowOff>
    </xdr:to>
    <xdr:sp macro="" textlink="">
      <xdr:nvSpPr>
        <xdr:cNvPr id="24" name="5-Point Star 23"/>
        <xdr:cNvSpPr/>
      </xdr:nvSpPr>
      <xdr:spPr>
        <a:xfrm>
          <a:off x="2836545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34</xdr:col>
      <xdr:colOff>276225</xdr:colOff>
      <xdr:row>19</xdr:row>
      <xdr:rowOff>95250</xdr:rowOff>
    </xdr:from>
    <xdr:to>
      <xdr:col>34</xdr:col>
      <xdr:colOff>476250</xdr:colOff>
      <xdr:row>19</xdr:row>
      <xdr:rowOff>219075</xdr:rowOff>
    </xdr:to>
    <xdr:sp macro="" textlink="">
      <xdr:nvSpPr>
        <xdr:cNvPr id="25" name="Rectangle 24"/>
        <xdr:cNvSpPr/>
      </xdr:nvSpPr>
      <xdr:spPr>
        <a:xfrm>
          <a:off x="26679525" y="41624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35</xdr:col>
      <xdr:colOff>257175</xdr:colOff>
      <xdr:row>19</xdr:row>
      <xdr:rowOff>85724</xdr:rowOff>
    </xdr:from>
    <xdr:to>
      <xdr:col>35</xdr:col>
      <xdr:colOff>457200</xdr:colOff>
      <xdr:row>19</xdr:row>
      <xdr:rowOff>209549</xdr:rowOff>
    </xdr:to>
    <xdr:sp macro="" textlink="">
      <xdr:nvSpPr>
        <xdr:cNvPr id="26" name="Isosceles Triangle 25"/>
        <xdr:cNvSpPr/>
      </xdr:nvSpPr>
      <xdr:spPr>
        <a:xfrm>
          <a:off x="27517725" y="4152899"/>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484908</xdr:colOff>
      <xdr:row>41</xdr:row>
      <xdr:rowOff>66675</xdr:rowOff>
    </xdr:from>
    <xdr:to>
      <xdr:col>5</xdr:col>
      <xdr:colOff>740352</xdr:colOff>
      <xdr:row>45</xdr:row>
      <xdr:rowOff>45893</xdr:rowOff>
    </xdr:to>
    <xdr:sp macro="" textlink="">
      <xdr:nvSpPr>
        <xdr:cNvPr id="8" name="Down Arrow 7"/>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41</xdr:row>
      <xdr:rowOff>57150</xdr:rowOff>
    </xdr:from>
    <xdr:to>
      <xdr:col>17</xdr:col>
      <xdr:colOff>226002</xdr:colOff>
      <xdr:row>45</xdr:row>
      <xdr:rowOff>36368</xdr:rowOff>
    </xdr:to>
    <xdr:sp macro="" textlink="">
      <xdr:nvSpPr>
        <xdr:cNvPr id="9" name="Down Arrow 8"/>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41</xdr:row>
      <xdr:rowOff>76200</xdr:rowOff>
    </xdr:from>
    <xdr:to>
      <xdr:col>27</xdr:col>
      <xdr:colOff>159327</xdr:colOff>
      <xdr:row>45</xdr:row>
      <xdr:rowOff>55418</xdr:rowOff>
    </xdr:to>
    <xdr:sp macro="" textlink="">
      <xdr:nvSpPr>
        <xdr:cNvPr id="10" name="Down Arrow 9"/>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41</xdr:row>
      <xdr:rowOff>57150</xdr:rowOff>
    </xdr:from>
    <xdr:to>
      <xdr:col>37</xdr:col>
      <xdr:colOff>321252</xdr:colOff>
      <xdr:row>45</xdr:row>
      <xdr:rowOff>36368</xdr:rowOff>
    </xdr:to>
    <xdr:sp macro="" textlink="">
      <xdr:nvSpPr>
        <xdr:cNvPr id="11" name="Down Arrow 10"/>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46</xdr:col>
      <xdr:colOff>799233</xdr:colOff>
      <xdr:row>41</xdr:row>
      <xdr:rowOff>76200</xdr:rowOff>
    </xdr:from>
    <xdr:to>
      <xdr:col>47</xdr:col>
      <xdr:colOff>187902</xdr:colOff>
      <xdr:row>45</xdr:row>
      <xdr:rowOff>55418</xdr:rowOff>
    </xdr:to>
    <xdr:sp macro="" textlink="">
      <xdr:nvSpPr>
        <xdr:cNvPr id="12" name="Down Arrow 11"/>
        <xdr:cNvSpPr/>
      </xdr:nvSpPr>
      <xdr:spPr>
        <a:xfrm>
          <a:off x="3786100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13</xdr:col>
      <xdr:colOff>0</xdr:colOff>
      <xdr:row>30</xdr:row>
      <xdr:rowOff>0</xdr:rowOff>
    </xdr:from>
    <xdr:to>
      <xdr:col>13</xdr:col>
      <xdr:colOff>790575</xdr:colOff>
      <xdr:row>31</xdr:row>
      <xdr:rowOff>9525</xdr:rowOff>
    </xdr:to>
    <xdr:pic>
      <xdr:nvPicPr>
        <xdr:cNvPr id="14" name="Picture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44150" y="5581650"/>
          <a:ext cx="790575"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twoCellAnchor>
    <xdr:from>
      <xdr:col>0</xdr:col>
      <xdr:colOff>561975</xdr:colOff>
      <xdr:row>15</xdr:row>
      <xdr:rowOff>0</xdr:rowOff>
    </xdr:from>
    <xdr:to>
      <xdr:col>0</xdr:col>
      <xdr:colOff>762000</xdr:colOff>
      <xdr:row>22</xdr:row>
      <xdr:rowOff>152400</xdr:rowOff>
    </xdr:to>
    <xdr:sp macro="" textlink="">
      <xdr:nvSpPr>
        <xdr:cNvPr id="4" name="Left Brace 3"/>
        <xdr:cNvSpPr/>
      </xdr:nvSpPr>
      <xdr:spPr>
        <a:xfrm>
          <a:off x="561975" y="2600325"/>
          <a:ext cx="200025" cy="1285875"/>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647700</xdr:colOff>
      <xdr:row>23</xdr:row>
      <xdr:rowOff>19050</xdr:rowOff>
    </xdr:from>
    <xdr:to>
      <xdr:col>0</xdr:col>
      <xdr:colOff>733425</xdr:colOff>
      <xdr:row>54</xdr:row>
      <xdr:rowOff>19050</xdr:rowOff>
    </xdr:to>
    <xdr:sp macro="" textlink="">
      <xdr:nvSpPr>
        <xdr:cNvPr id="5" name="Left Brace 4"/>
        <xdr:cNvSpPr/>
      </xdr:nvSpPr>
      <xdr:spPr>
        <a:xfrm>
          <a:off x="647700" y="3914775"/>
          <a:ext cx="85725" cy="34099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B34"/>
  <sheetViews>
    <sheetView showGridLines="0" workbookViewId="0">
      <selection activeCell="F30" sqref="F30"/>
    </sheetView>
  </sheetViews>
  <sheetFormatPr defaultRowHeight="12.75" x14ac:dyDescent="0.2"/>
  <cols>
    <col min="1" max="1" width="13.6640625" style="1" customWidth="1"/>
    <col min="2" max="16384" width="9.33203125" style="1"/>
  </cols>
  <sheetData>
    <row r="1" spans="1:28" s="532" customFormat="1" x14ac:dyDescent="0.2">
      <c r="A1" s="726" t="s">
        <v>266</v>
      </c>
      <c r="B1" s="726"/>
    </row>
    <row r="2" spans="1:28" s="532" customFormat="1" x14ac:dyDescent="0.2"/>
    <row r="3" spans="1:28" s="532" customFormat="1" x14ac:dyDescent="0.2"/>
    <row r="4" spans="1:28" s="532" customFormat="1" x14ac:dyDescent="0.2"/>
    <row r="5" spans="1:28" s="532" customFormat="1" x14ac:dyDescent="0.2"/>
    <row r="6" spans="1:28" s="532" customFormat="1" x14ac:dyDescent="0.2"/>
    <row r="7" spans="1:28" s="532" customFormat="1" x14ac:dyDescent="0.2"/>
    <row r="8" spans="1:28" s="532" customFormat="1" x14ac:dyDescent="0.2"/>
    <row r="9" spans="1:28" s="532" customFormat="1" x14ac:dyDescent="0.2"/>
    <row r="10" spans="1:28" customFormat="1" ht="12.75" customHeight="1" x14ac:dyDescent="0.2">
      <c r="B10" s="881"/>
      <c r="C10" s="881"/>
      <c r="D10" s="881"/>
      <c r="E10" s="881"/>
      <c r="F10" s="881"/>
      <c r="G10" s="881"/>
      <c r="H10" s="881"/>
      <c r="I10" s="881"/>
      <c r="J10" s="136"/>
      <c r="K10" s="136"/>
      <c r="L10" s="136"/>
      <c r="M10" s="136"/>
    </row>
    <row r="11" spans="1:28" customFormat="1" ht="23.25" x14ac:dyDescent="0.2">
      <c r="B11" s="882" t="s">
        <v>100</v>
      </c>
      <c r="C11" s="882"/>
      <c r="D11" s="882"/>
      <c r="E11" s="882"/>
      <c r="F11" s="882"/>
      <c r="G11" s="882"/>
      <c r="H11" s="882"/>
      <c r="I11" s="882"/>
      <c r="J11" s="136"/>
      <c r="K11" s="136"/>
      <c r="L11" s="136"/>
      <c r="M11" s="136"/>
    </row>
    <row r="12" spans="1:28" x14ac:dyDescent="0.2">
      <c r="M12"/>
    </row>
    <row r="13" spans="1:28" ht="15" x14ac:dyDescent="0.2">
      <c r="B13" s="155" t="s">
        <v>86</v>
      </c>
      <c r="F13" s="143"/>
      <c r="G13" s="143"/>
      <c r="H13" s="143"/>
      <c r="I13" s="143"/>
      <c r="J13" s="143"/>
      <c r="K13" s="139"/>
      <c r="L13" s="139"/>
      <c r="AB13" s="133"/>
    </row>
    <row r="14" spans="1:28" x14ac:dyDescent="0.2">
      <c r="B14" s="156"/>
      <c r="F14" s="137"/>
      <c r="G14" s="138"/>
      <c r="H14" s="137"/>
      <c r="I14" s="137"/>
      <c r="J14" s="137"/>
      <c r="K14" s="140"/>
      <c r="L14" s="140"/>
      <c r="AB14" s="133"/>
    </row>
    <row r="15" spans="1:28" ht="15" x14ac:dyDescent="0.2">
      <c r="B15" s="155" t="s">
        <v>87</v>
      </c>
      <c r="F15" s="879"/>
      <c r="G15" s="879"/>
      <c r="H15" s="879"/>
      <c r="I15" s="879"/>
      <c r="J15" s="879"/>
      <c r="K15" s="140"/>
      <c r="L15" s="140"/>
      <c r="AB15" s="133"/>
    </row>
    <row r="16" spans="1:28" x14ac:dyDescent="0.2">
      <c r="B16" s="157"/>
      <c r="F16" s="134"/>
      <c r="G16" s="134"/>
      <c r="H16" s="134"/>
      <c r="I16" s="134"/>
      <c r="J16" s="134"/>
      <c r="K16" s="134"/>
      <c r="L16" s="134"/>
      <c r="AB16" s="133"/>
    </row>
    <row r="17" spans="2:28" ht="15" x14ac:dyDescent="0.2">
      <c r="B17" s="155" t="s">
        <v>88</v>
      </c>
      <c r="F17" s="879"/>
      <c r="G17" s="879"/>
      <c r="H17" s="879"/>
      <c r="I17" s="879"/>
      <c r="J17" s="879"/>
      <c r="K17" s="134"/>
      <c r="L17" s="134"/>
      <c r="AB17" s="133"/>
    </row>
    <row r="18" spans="2:28" x14ac:dyDescent="0.2">
      <c r="B18" s="157"/>
      <c r="F18" s="134"/>
      <c r="G18" s="134"/>
      <c r="H18" s="134"/>
      <c r="I18" s="134"/>
      <c r="J18" s="134"/>
      <c r="K18" s="134"/>
      <c r="L18" s="134"/>
      <c r="AB18" s="133"/>
    </row>
    <row r="19" spans="2:28" ht="15" x14ac:dyDescent="0.2">
      <c r="B19" s="155" t="s">
        <v>89</v>
      </c>
      <c r="F19" s="879"/>
      <c r="G19" s="879"/>
      <c r="H19" s="879"/>
      <c r="I19" s="879"/>
      <c r="J19" s="879"/>
      <c r="K19" s="880"/>
      <c r="L19" s="880"/>
      <c r="AB19" s="133"/>
    </row>
    <row r="20" spans="2:28" x14ac:dyDescent="0.2">
      <c r="B20" s="156"/>
      <c r="F20" s="141"/>
      <c r="G20" s="142"/>
      <c r="H20" s="141"/>
      <c r="I20" s="141"/>
      <c r="J20" s="141"/>
      <c r="K20" s="134"/>
      <c r="L20" s="134"/>
      <c r="AB20" s="133"/>
    </row>
    <row r="21" spans="2:28" ht="15" x14ac:dyDescent="0.2">
      <c r="B21" s="155" t="s">
        <v>90</v>
      </c>
      <c r="F21" s="879"/>
      <c r="G21" s="879"/>
      <c r="H21" s="879"/>
      <c r="I21" s="879"/>
      <c r="J21" s="879"/>
      <c r="K21" s="134"/>
      <c r="L21" s="134"/>
      <c r="AB21" s="133"/>
    </row>
    <row r="22" spans="2:28" x14ac:dyDescent="0.2">
      <c r="B22" s="156"/>
      <c r="F22" s="141"/>
      <c r="G22" s="142"/>
      <c r="H22" s="141"/>
      <c r="I22" s="141"/>
      <c r="J22" s="141"/>
      <c r="K22" s="134"/>
      <c r="L22" s="134"/>
      <c r="AB22" s="133"/>
    </row>
    <row r="23" spans="2:28" ht="15" x14ac:dyDescent="0.2">
      <c r="B23" s="155" t="s">
        <v>91</v>
      </c>
      <c r="F23" s="878"/>
      <c r="G23" s="879"/>
      <c r="H23" s="879"/>
      <c r="I23" s="879"/>
      <c r="J23" s="879"/>
      <c r="K23" s="134"/>
      <c r="L23" s="134"/>
      <c r="AB23" s="133"/>
    </row>
    <row r="24" spans="2:28" x14ac:dyDescent="0.2">
      <c r="B24" s="156"/>
      <c r="F24" s="141"/>
      <c r="G24" s="142"/>
      <c r="H24" s="141"/>
      <c r="I24" s="141"/>
      <c r="J24" s="141"/>
      <c r="K24" s="134"/>
      <c r="L24" s="134"/>
      <c r="AB24" s="133"/>
    </row>
    <row r="25" spans="2:28" ht="15" x14ac:dyDescent="0.2">
      <c r="B25" s="155" t="s">
        <v>92</v>
      </c>
      <c r="F25" s="159" t="s">
        <v>270</v>
      </c>
      <c r="G25" s="160"/>
      <c r="H25" s="160"/>
      <c r="I25" s="141"/>
      <c r="J25" s="141"/>
      <c r="K25" s="134"/>
      <c r="L25" s="134"/>
      <c r="AB25" s="133"/>
    </row>
    <row r="26" spans="2:28" x14ac:dyDescent="0.2">
      <c r="B26" s="55"/>
      <c r="F26" s="52"/>
      <c r="G26" s="161"/>
      <c r="H26" s="161"/>
      <c r="AB26" s="133"/>
    </row>
    <row r="27" spans="2:28" ht="15" x14ac:dyDescent="0.2">
      <c r="B27" s="155" t="s">
        <v>93</v>
      </c>
      <c r="F27" s="159" t="s">
        <v>271</v>
      </c>
      <c r="G27" s="160"/>
      <c r="H27" s="160"/>
      <c r="AB27" s="133"/>
    </row>
    <row r="28" spans="2:28" x14ac:dyDescent="0.2">
      <c r="B28" s="158"/>
      <c r="F28" s="52"/>
      <c r="G28" s="161"/>
      <c r="H28" s="161"/>
      <c r="AB28" s="133"/>
    </row>
    <row r="29" spans="2:28" ht="15" x14ac:dyDescent="0.2">
      <c r="B29" s="155" t="s">
        <v>94</v>
      </c>
      <c r="F29" s="159" t="s">
        <v>272</v>
      </c>
      <c r="G29" s="160"/>
      <c r="H29" s="160"/>
      <c r="AB29" s="133"/>
    </row>
    <row r="30" spans="2:28" x14ac:dyDescent="0.2">
      <c r="AB30" s="133"/>
    </row>
    <row r="32" spans="2:28" x14ac:dyDescent="0.2">
      <c r="B32" s="177" t="s">
        <v>269</v>
      </c>
      <c r="D32" s="56"/>
    </row>
    <row r="33" spans="2:4" x14ac:dyDescent="0.2">
      <c r="B33" s="1" t="s">
        <v>267</v>
      </c>
      <c r="D33" s="727"/>
    </row>
    <row r="34" spans="2:4" x14ac:dyDescent="0.2">
      <c r="B34" s="1" t="s">
        <v>268</v>
      </c>
      <c r="D34" s="731"/>
    </row>
  </sheetData>
  <mergeCells count="8">
    <mergeCell ref="F23:J23"/>
    <mergeCell ref="K19:L19"/>
    <mergeCell ref="F21:J21"/>
    <mergeCell ref="B10:I10"/>
    <mergeCell ref="B11:I11"/>
    <mergeCell ref="F15:J15"/>
    <mergeCell ref="F17:J17"/>
    <mergeCell ref="F19:J19"/>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M36"/>
  <sheetViews>
    <sheetView showGridLines="0" zoomScaleNormal="100" workbookViewId="0">
      <selection activeCell="C20" sqref="C20"/>
    </sheetView>
  </sheetViews>
  <sheetFormatPr defaultRowHeight="12.75" x14ac:dyDescent="0.2"/>
  <cols>
    <col min="1" max="1" width="13.6640625" customWidth="1"/>
    <col min="2" max="2" width="68.6640625" customWidth="1"/>
    <col min="3" max="3" width="25.1640625" customWidth="1"/>
    <col min="4" max="4" width="29.5" style="135" customWidth="1"/>
    <col min="5" max="5" width="4.83203125" style="135" customWidth="1"/>
    <col min="6" max="6" width="12" style="135" customWidth="1"/>
    <col min="7" max="7" width="18" customWidth="1"/>
    <col min="9" max="9" width="14.83203125" bestFit="1" customWidth="1"/>
    <col min="10" max="10" width="2.1640625" bestFit="1" customWidth="1"/>
  </cols>
  <sheetData>
    <row r="1" spans="1:13" s="532" customFormat="1" x14ac:dyDescent="0.2">
      <c r="A1" s="726" t="s">
        <v>266</v>
      </c>
    </row>
    <row r="2" spans="1:13" s="532" customFormat="1" x14ac:dyDescent="0.2"/>
    <row r="3" spans="1:13" s="532" customFormat="1" x14ac:dyDescent="0.2"/>
    <row r="4" spans="1:13" s="532" customFormat="1" x14ac:dyDescent="0.2"/>
    <row r="5" spans="1:13" s="532" customFormat="1" x14ac:dyDescent="0.2"/>
    <row r="6" spans="1:13" s="532" customFormat="1" x14ac:dyDescent="0.2"/>
    <row r="7" spans="1:13" s="532" customFormat="1" x14ac:dyDescent="0.2"/>
    <row r="8" spans="1:13" s="532" customFormat="1" x14ac:dyDescent="0.2"/>
    <row r="9" spans="1:13" s="532" customFormat="1" x14ac:dyDescent="0.2"/>
    <row r="10" spans="1:13" ht="12.75" customHeight="1" x14ac:dyDescent="0.2">
      <c r="B10" s="881"/>
      <c r="C10" s="881"/>
      <c r="D10" s="881"/>
      <c r="E10" s="881"/>
      <c r="F10" s="881"/>
      <c r="G10" s="881"/>
      <c r="H10" s="881"/>
      <c r="I10" s="881"/>
      <c r="J10" s="511"/>
      <c r="K10" s="511"/>
      <c r="L10" s="511"/>
      <c r="M10" s="511"/>
    </row>
    <row r="11" spans="1:13" ht="23.25" x14ac:dyDescent="0.2">
      <c r="B11" s="882" t="s">
        <v>148</v>
      </c>
      <c r="C11" s="882"/>
      <c r="D11" s="162"/>
      <c r="E11"/>
      <c r="F11" s="136"/>
      <c r="G11" s="136"/>
      <c r="H11" s="136"/>
    </row>
    <row r="12" spans="1:13" ht="18.75" thickBot="1" x14ac:dyDescent="0.25">
      <c r="C12" s="136"/>
      <c r="D12" s="136"/>
      <c r="E12" s="136"/>
      <c r="F12" s="136"/>
      <c r="G12" s="136"/>
      <c r="H12" s="136"/>
      <c r="I12" s="136"/>
      <c r="J12" s="136"/>
    </row>
    <row r="13" spans="1:13" ht="72" customHeight="1" x14ac:dyDescent="0.2">
      <c r="B13" s="711" t="s">
        <v>95</v>
      </c>
      <c r="C13" s="712" t="s">
        <v>125</v>
      </c>
      <c r="D13" s="713" t="s">
        <v>126</v>
      </c>
      <c r="E13"/>
      <c r="F13"/>
    </row>
    <row r="14" spans="1:13" x14ac:dyDescent="0.2">
      <c r="B14" s="707" t="s">
        <v>6</v>
      </c>
      <c r="C14" s="732" t="s">
        <v>124</v>
      </c>
      <c r="D14" s="733" t="s">
        <v>127</v>
      </c>
      <c r="F14" s="883" t="s">
        <v>170</v>
      </c>
      <c r="G14" s="883"/>
      <c r="I14" s="512" t="s">
        <v>36</v>
      </c>
    </row>
    <row r="15" spans="1:13" x14ac:dyDescent="0.2">
      <c r="B15" s="707" t="s">
        <v>96</v>
      </c>
      <c r="C15" s="732" t="s">
        <v>124</v>
      </c>
      <c r="D15" s="733" t="s">
        <v>127</v>
      </c>
      <c r="E15" s="706"/>
      <c r="F15" s="883"/>
      <c r="G15" s="883"/>
      <c r="I15" s="512" t="s">
        <v>36</v>
      </c>
    </row>
    <row r="16" spans="1:13" x14ac:dyDescent="0.2">
      <c r="B16" s="707" t="s">
        <v>103</v>
      </c>
      <c r="C16" s="732" t="s">
        <v>124</v>
      </c>
      <c r="D16" s="733" t="s">
        <v>42</v>
      </c>
      <c r="E16" s="706"/>
      <c r="F16" s="883"/>
      <c r="G16" s="883"/>
      <c r="I16" s="512" t="s">
        <v>36</v>
      </c>
    </row>
    <row r="17" spans="2:9" ht="13.5" thickBot="1" x14ac:dyDescent="0.25">
      <c r="B17" s="708"/>
      <c r="C17" s="734" t="s">
        <v>127</v>
      </c>
      <c r="D17" s="735" t="s">
        <v>127</v>
      </c>
      <c r="E17" s="706"/>
      <c r="F17" s="883"/>
      <c r="G17" s="883"/>
    </row>
    <row r="18" spans="2:9" ht="13.5" customHeight="1" x14ac:dyDescent="0.2">
      <c r="B18" s="709" t="s">
        <v>274</v>
      </c>
      <c r="C18" s="736" t="s">
        <v>124</v>
      </c>
      <c r="D18" s="737" t="s">
        <v>42</v>
      </c>
      <c r="E18"/>
      <c r="F18" s="884" t="s">
        <v>171</v>
      </c>
      <c r="G18" s="884"/>
      <c r="I18" s="512" t="s">
        <v>37</v>
      </c>
    </row>
    <row r="19" spans="2:9" x14ac:dyDescent="0.2">
      <c r="B19" s="710" t="s">
        <v>102</v>
      </c>
      <c r="C19" s="732" t="s">
        <v>42</v>
      </c>
      <c r="D19" s="733" t="s">
        <v>42</v>
      </c>
      <c r="E19"/>
      <c r="F19" s="884"/>
      <c r="G19" s="884"/>
      <c r="I19" s="512" t="s">
        <v>37</v>
      </c>
    </row>
    <row r="20" spans="2:9" ht="13.5" thickBot="1" x14ac:dyDescent="0.25">
      <c r="B20" s="714" t="s">
        <v>85</v>
      </c>
      <c r="C20" s="738" t="s">
        <v>42</v>
      </c>
      <c r="D20" s="739" t="s">
        <v>42</v>
      </c>
      <c r="E20"/>
      <c r="F20" s="884"/>
      <c r="G20" s="884"/>
      <c r="I20" s="512" t="s">
        <v>37</v>
      </c>
    </row>
    <row r="21" spans="2:9" ht="13.5" thickBot="1" x14ac:dyDescent="0.25">
      <c r="B21" s="715" t="s">
        <v>273</v>
      </c>
      <c r="C21" s="740" t="s">
        <v>42</v>
      </c>
      <c r="D21" s="741" t="s">
        <v>42</v>
      </c>
      <c r="E21"/>
      <c r="F21" s="505"/>
      <c r="G21" s="505"/>
      <c r="I21" s="512" t="s">
        <v>37</v>
      </c>
    </row>
    <row r="22" spans="2:9" hidden="1" x14ac:dyDescent="0.2">
      <c r="B22" s="502" t="s">
        <v>104</v>
      </c>
      <c r="C22" s="503" t="s">
        <v>127</v>
      </c>
      <c r="D22" s="504" t="s">
        <v>127</v>
      </c>
      <c r="E22"/>
      <c r="F22"/>
    </row>
    <row r="23" spans="2:9" ht="13.5" hidden="1" thickBot="1" x14ac:dyDescent="0.25">
      <c r="B23" s="290" t="s">
        <v>104</v>
      </c>
      <c r="C23" s="288" t="s">
        <v>127</v>
      </c>
      <c r="D23" s="289" t="s">
        <v>127</v>
      </c>
      <c r="E23"/>
      <c r="F23"/>
    </row>
    <row r="24" spans="2:9" x14ac:dyDescent="0.2">
      <c r="D24"/>
      <c r="E24"/>
      <c r="F24"/>
    </row>
    <row r="25" spans="2:9" x14ac:dyDescent="0.2">
      <c r="D25"/>
      <c r="E25"/>
      <c r="F25"/>
    </row>
    <row r="26" spans="2:9" x14ac:dyDescent="0.2">
      <c r="D26"/>
      <c r="E26"/>
      <c r="F26"/>
    </row>
    <row r="27" spans="2:9" x14ac:dyDescent="0.2">
      <c r="D27"/>
      <c r="E27"/>
      <c r="F27"/>
    </row>
    <row r="28" spans="2:9" x14ac:dyDescent="0.2">
      <c r="D28"/>
      <c r="E28"/>
      <c r="F28"/>
    </row>
    <row r="29" spans="2:9" x14ac:dyDescent="0.2">
      <c r="D29"/>
      <c r="E29"/>
      <c r="F29"/>
    </row>
    <row r="30" spans="2:9" x14ac:dyDescent="0.2">
      <c r="D30"/>
      <c r="E30"/>
      <c r="F30"/>
    </row>
    <row r="31" spans="2:9" x14ac:dyDescent="0.2">
      <c r="D31"/>
      <c r="E31"/>
      <c r="F31"/>
    </row>
    <row r="32" spans="2:9" x14ac:dyDescent="0.2">
      <c r="D32"/>
      <c r="E32"/>
      <c r="F32"/>
    </row>
    <row r="33" spans="3:6" x14ac:dyDescent="0.2">
      <c r="D33"/>
      <c r="E33"/>
      <c r="F33"/>
    </row>
    <row r="34" spans="3:6" x14ac:dyDescent="0.2">
      <c r="D34"/>
      <c r="E34"/>
      <c r="F34"/>
    </row>
    <row r="35" spans="3:6" x14ac:dyDescent="0.2">
      <c r="D35"/>
      <c r="E35"/>
      <c r="F35"/>
    </row>
    <row r="36" spans="3:6" x14ac:dyDescent="0.2">
      <c r="C36" s="135"/>
      <c r="F36"/>
    </row>
  </sheetData>
  <mergeCells count="4">
    <mergeCell ref="B11:C11"/>
    <mergeCell ref="F14:G17"/>
    <mergeCell ref="F18:G20"/>
    <mergeCell ref="B10:I10"/>
  </mergeCells>
  <dataValidations count="1">
    <dataValidation type="list" allowBlank="1" showInputMessage="1" showErrorMessage="1" sqref="C14:D23">
      <formula1>"Weather-Sensitive,Non-Weather Sensitive,n/a"</formula1>
    </dataValidation>
  </dataValidations>
  <pageMargins left="0.7" right="0.7" top="0.75" bottom="0.75" header="0.3" footer="0.3"/>
  <pageSetup scale="71"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D174"/>
  <sheetViews>
    <sheetView showGridLines="0" topLeftCell="K71" zoomScaleNormal="100" workbookViewId="0">
      <selection activeCell="AD145" sqref="AD145"/>
    </sheetView>
  </sheetViews>
  <sheetFormatPr defaultRowHeight="12.75" x14ac:dyDescent="0.2"/>
  <cols>
    <col min="1" max="1" width="13.6640625" style="24" customWidth="1"/>
    <col min="2" max="2" width="18" style="24" customWidth="1"/>
    <col min="3" max="3" width="16.83203125" style="26" customWidth="1"/>
    <col min="4" max="4" width="14.1640625" style="26" customWidth="1"/>
    <col min="5" max="5" width="14.1640625" style="25" customWidth="1"/>
    <col min="6" max="6" width="14.1640625" style="26" customWidth="1"/>
    <col min="7" max="7" width="14.1640625" style="25" customWidth="1"/>
    <col min="8" max="8" width="14.1640625" style="26" customWidth="1"/>
    <col min="9" max="9" width="15.1640625" style="25" customWidth="1"/>
    <col min="10" max="10" width="14.1640625" style="25" customWidth="1"/>
    <col min="11" max="11" width="13.33203125" style="25" bestFit="1" customWidth="1"/>
    <col min="12" max="13" width="14.1640625" style="26" customWidth="1"/>
    <col min="14" max="14" width="14.1640625" style="25" customWidth="1"/>
    <col min="15" max="16" width="14.1640625" style="26" customWidth="1"/>
    <col min="17" max="17" width="14.1640625" style="25" customWidth="1"/>
    <col min="18" max="19" width="14.1640625" style="26" customWidth="1"/>
    <col min="20" max="20" width="14.1640625" style="25" customWidth="1"/>
    <col min="21" max="21" width="13.5" style="26" customWidth="1"/>
    <col min="22" max="22" width="13.5" style="533" customWidth="1"/>
    <col min="23" max="23" width="13.5" style="25" customWidth="1"/>
    <col min="24" max="27" width="13.5" style="24" customWidth="1"/>
    <col min="28" max="28" width="11.83203125" style="24" bestFit="1" customWidth="1"/>
    <col min="29" max="29" width="13" style="24" bestFit="1" customWidth="1"/>
    <col min="30" max="16384" width="9.33203125" style="24"/>
  </cols>
  <sheetData>
    <row r="1" spans="1:23" s="532" customFormat="1" x14ac:dyDescent="0.2">
      <c r="A1" s="726" t="s">
        <v>266</v>
      </c>
    </row>
    <row r="2" spans="1:23" s="532" customFormat="1" x14ac:dyDescent="0.2"/>
    <row r="3" spans="1:23" s="532" customFormat="1" x14ac:dyDescent="0.2"/>
    <row r="4" spans="1:23" s="532" customFormat="1" x14ac:dyDescent="0.2"/>
    <row r="5" spans="1:23" s="532" customFormat="1" x14ac:dyDescent="0.2"/>
    <row r="6" spans="1:23" s="532" customFormat="1" x14ac:dyDescent="0.2"/>
    <row r="7" spans="1:23" s="532" customFormat="1" x14ac:dyDescent="0.2"/>
    <row r="8" spans="1:23" s="532" customFormat="1" x14ac:dyDescent="0.2"/>
    <row r="9" spans="1:23" s="532" customFormat="1" x14ac:dyDescent="0.2"/>
    <row r="10" spans="1:23" customFormat="1" ht="12.75" customHeight="1" x14ac:dyDescent="0.2">
      <c r="B10" s="881"/>
      <c r="C10" s="881"/>
      <c r="D10" s="881"/>
      <c r="E10" s="881"/>
      <c r="F10" s="881"/>
      <c r="G10" s="881"/>
      <c r="H10" s="881"/>
      <c r="I10" s="881"/>
      <c r="J10" s="511"/>
      <c r="K10" s="511"/>
      <c r="L10" s="511"/>
      <c r="M10" s="511"/>
    </row>
    <row r="11" spans="1:23" s="1" customFormat="1" ht="23.25" x14ac:dyDescent="0.2">
      <c r="A11"/>
      <c r="B11" s="132" t="s">
        <v>99</v>
      </c>
      <c r="D11" s="52"/>
      <c r="E11" s="52"/>
      <c r="F11" s="52"/>
      <c r="G11" s="52"/>
      <c r="L11" s="52"/>
      <c r="N11" s="52"/>
      <c r="O11" s="52"/>
      <c r="Q11" s="52"/>
      <c r="V11" s="532"/>
    </row>
    <row r="12" spans="1:23" ht="15" x14ac:dyDescent="0.2">
      <c r="B12" s="57" t="s">
        <v>63</v>
      </c>
      <c r="C12" s="24"/>
      <c r="D12" s="98"/>
      <c r="E12" s="98"/>
      <c r="F12" s="98"/>
      <c r="G12" s="98"/>
      <c r="H12"/>
      <c r="L12" s="98"/>
      <c r="M12" s="98"/>
      <c r="N12" s="98"/>
      <c r="O12" s="98"/>
      <c r="P12" s="98"/>
      <c r="Q12" s="98"/>
      <c r="R12" s="98"/>
      <c r="T12" s="533"/>
      <c r="U12" s="25"/>
      <c r="V12" s="24"/>
      <c r="W12" s="24"/>
    </row>
    <row r="13" spans="1:23" ht="14.25" x14ac:dyDescent="0.2">
      <c r="B13" s="99" t="s">
        <v>67</v>
      </c>
      <c r="C13" s="24"/>
      <c r="D13" s="99"/>
      <c r="E13" s="99"/>
      <c r="F13" s="99"/>
      <c r="G13" s="98"/>
      <c r="L13" s="98"/>
      <c r="M13" s="98"/>
      <c r="N13" s="98"/>
      <c r="O13" s="98"/>
      <c r="P13" s="98"/>
      <c r="Q13" s="98"/>
      <c r="R13" s="98"/>
      <c r="T13" s="533"/>
      <c r="U13" s="25"/>
      <c r="V13" s="24"/>
      <c r="W13" s="24"/>
    </row>
    <row r="14" spans="1:23" ht="14.25" x14ac:dyDescent="0.2">
      <c r="B14" s="99" t="s">
        <v>66</v>
      </c>
      <c r="C14" s="24"/>
      <c r="D14" s="99"/>
      <c r="E14" s="99"/>
      <c r="F14" s="99"/>
      <c r="G14" s="98"/>
      <c r="L14" s="98"/>
      <c r="M14" s="98"/>
      <c r="N14" s="98"/>
      <c r="O14" s="98"/>
      <c r="P14" s="98"/>
      <c r="Q14" s="98"/>
      <c r="R14" s="98"/>
      <c r="S14" s="98"/>
      <c r="T14" s="98"/>
    </row>
    <row r="15" spans="1:23" ht="14.25" x14ac:dyDescent="0.2">
      <c r="B15" s="99" t="s">
        <v>68</v>
      </c>
      <c r="C15" s="24"/>
      <c r="D15" s="99"/>
      <c r="E15" s="99"/>
      <c r="F15" s="99"/>
      <c r="G15" s="98"/>
      <c r="L15" s="98"/>
      <c r="M15" s="98"/>
      <c r="N15" s="98"/>
      <c r="O15" s="98"/>
      <c r="P15" s="98"/>
      <c r="Q15" s="98"/>
      <c r="R15" s="98"/>
      <c r="S15" s="98"/>
      <c r="T15" s="98"/>
    </row>
    <row r="16" spans="1:23" ht="14.25" x14ac:dyDescent="0.2">
      <c r="B16" s="99" t="s">
        <v>65</v>
      </c>
      <c r="C16" s="24"/>
      <c r="D16" s="99"/>
      <c r="E16" s="99"/>
      <c r="F16" s="99"/>
      <c r="G16" s="98"/>
      <c r="L16" s="98"/>
      <c r="M16" s="98"/>
      <c r="N16" s="98"/>
      <c r="O16" s="98"/>
      <c r="P16" s="98"/>
      <c r="Q16" s="98"/>
      <c r="R16" s="98"/>
      <c r="S16" s="98"/>
      <c r="T16" s="98"/>
    </row>
    <row r="17" spans="2:27" ht="14.25" x14ac:dyDescent="0.2">
      <c r="C17" s="99"/>
      <c r="D17" s="99"/>
      <c r="E17" s="99"/>
      <c r="F17" s="99"/>
      <c r="G17" s="98"/>
      <c r="L17" s="98"/>
      <c r="M17" s="98"/>
      <c r="N17" s="98"/>
      <c r="O17" s="98"/>
      <c r="P17" s="98"/>
      <c r="Q17" s="98"/>
      <c r="R17" s="98"/>
      <c r="S17" s="98"/>
      <c r="T17" s="98"/>
    </row>
    <row r="18" spans="2:27" ht="15" x14ac:dyDescent="0.25">
      <c r="B18" s="100" t="s">
        <v>64</v>
      </c>
      <c r="C18" s="24"/>
      <c r="D18" s="100"/>
      <c r="E18" s="99"/>
      <c r="F18" s="99"/>
      <c r="G18" s="98"/>
      <c r="L18" s="98"/>
      <c r="M18" s="98"/>
      <c r="N18" s="98"/>
      <c r="O18" s="98"/>
      <c r="P18" s="98"/>
      <c r="Q18" s="98"/>
      <c r="R18" s="98"/>
      <c r="S18" s="98"/>
      <c r="T18" s="98"/>
    </row>
    <row r="19" spans="2:27" ht="13.5" thickBot="1" x14ac:dyDescent="0.25"/>
    <row r="20" spans="2:27" ht="12.75" customHeight="1" x14ac:dyDescent="0.2">
      <c r="B20" s="27"/>
      <c r="C20" s="27"/>
      <c r="D20" s="894" t="str">
        <f>'2. Customer Classes'!B14</f>
        <v>Residential</v>
      </c>
      <c r="E20" s="895"/>
      <c r="F20" s="894" t="str">
        <f>'2. Customer Classes'!B15</f>
        <v>General Service &lt; 50 kW</v>
      </c>
      <c r="G20" s="895"/>
      <c r="H20" s="897" t="str">
        <f>+'2. Customer Classes'!B16</f>
        <v>Unmetered Scattered Load</v>
      </c>
      <c r="I20" s="898"/>
      <c r="J20" s="899">
        <f>+'2. Customer Classes'!B17</f>
        <v>0</v>
      </c>
      <c r="K20" s="889"/>
      <c r="L20" s="894" t="str">
        <f>'2. Customer Classes'!B18</f>
        <v>General Service &gt; 50 kW - 2999 kW</v>
      </c>
      <c r="M20" s="896"/>
      <c r="N20" s="895"/>
      <c r="O20" s="885" t="str">
        <f>'2. Customer Classes'!B19</f>
        <v>Streetlighting</v>
      </c>
      <c r="P20" s="886"/>
      <c r="Q20" s="887"/>
      <c r="R20" s="885" t="str">
        <f>'2. Customer Classes'!B20</f>
        <v>Sentinel Lighting</v>
      </c>
      <c r="S20" s="886"/>
      <c r="T20" s="887"/>
      <c r="U20" s="888" t="str">
        <f>'2. Customer Classes'!B21</f>
        <v>General Service 3000-4999 kW</v>
      </c>
      <c r="V20" s="892"/>
      <c r="W20" s="889"/>
      <c r="X20" s="888" t="str">
        <f>'2. Customer Classes'!B22</f>
        <v>other</v>
      </c>
      <c r="Y20" s="889"/>
      <c r="Z20" s="888" t="str">
        <f>'2. Customer Classes'!B23</f>
        <v>other</v>
      </c>
      <c r="AA20" s="889"/>
    </row>
    <row r="21" spans="2:27" ht="12.75" customHeight="1" x14ac:dyDescent="0.2">
      <c r="B21" s="165"/>
      <c r="C21" s="165"/>
      <c r="D21" s="890" t="s">
        <v>119</v>
      </c>
      <c r="E21" s="891"/>
      <c r="F21" s="890" t="s">
        <v>119</v>
      </c>
      <c r="G21" s="891"/>
      <c r="H21" s="890" t="s">
        <v>119</v>
      </c>
      <c r="I21" s="891"/>
      <c r="J21" s="890" t="s">
        <v>119</v>
      </c>
      <c r="K21" s="891"/>
      <c r="L21" s="890" t="s">
        <v>119</v>
      </c>
      <c r="M21" s="893"/>
      <c r="N21" s="891"/>
      <c r="O21" s="890" t="s">
        <v>119</v>
      </c>
      <c r="P21" s="893"/>
      <c r="Q21" s="891"/>
      <c r="R21" s="890" t="s">
        <v>119</v>
      </c>
      <c r="S21" s="893"/>
      <c r="T21" s="891"/>
      <c r="U21" s="890" t="s">
        <v>119</v>
      </c>
      <c r="V21" s="893"/>
      <c r="W21" s="891"/>
      <c r="X21" s="890" t="s">
        <v>119</v>
      </c>
      <c r="Y21" s="891"/>
      <c r="Z21" s="890" t="s">
        <v>119</v>
      </c>
      <c r="AA21" s="891"/>
    </row>
    <row r="22" spans="2:27" x14ac:dyDescent="0.2">
      <c r="B22" s="28"/>
      <c r="C22" s="28"/>
      <c r="D22" s="29"/>
      <c r="E22" s="30" t="s">
        <v>35</v>
      </c>
      <c r="F22" s="29"/>
      <c r="G22" s="30" t="s">
        <v>35</v>
      </c>
      <c r="H22" s="29"/>
      <c r="I22" s="30" t="s">
        <v>35</v>
      </c>
      <c r="J22" s="29"/>
      <c r="K22" s="30" t="s">
        <v>35</v>
      </c>
      <c r="L22" s="29"/>
      <c r="M22" s="16"/>
      <c r="N22" s="30" t="s">
        <v>35</v>
      </c>
      <c r="O22" s="29"/>
      <c r="P22" s="16"/>
      <c r="Q22" s="30" t="s">
        <v>35</v>
      </c>
      <c r="R22" s="29"/>
      <c r="S22" s="16"/>
      <c r="T22" s="30" t="s">
        <v>35</v>
      </c>
      <c r="U22" s="29"/>
      <c r="V22" s="515"/>
      <c r="W22" s="30" t="s">
        <v>35</v>
      </c>
      <c r="X22" s="29"/>
      <c r="Y22" s="30" t="s">
        <v>35</v>
      </c>
      <c r="Z22" s="29"/>
      <c r="AA22" s="30" t="s">
        <v>35</v>
      </c>
    </row>
    <row r="23" spans="2:27" ht="13.5" thickBot="1" x14ac:dyDescent="0.25">
      <c r="B23" s="31"/>
      <c r="C23" s="31"/>
      <c r="D23" s="32" t="s">
        <v>36</v>
      </c>
      <c r="E23" s="33" t="s">
        <v>0</v>
      </c>
      <c r="F23" s="32" t="s">
        <v>36</v>
      </c>
      <c r="G23" s="33" t="s">
        <v>0</v>
      </c>
      <c r="H23" s="34" t="s">
        <v>36</v>
      </c>
      <c r="I23" s="35" t="s">
        <v>0</v>
      </c>
      <c r="J23" s="34" t="s">
        <v>36</v>
      </c>
      <c r="K23" s="35" t="s">
        <v>0</v>
      </c>
      <c r="L23" s="32" t="s">
        <v>36</v>
      </c>
      <c r="M23" s="18" t="s">
        <v>37</v>
      </c>
      <c r="N23" s="33" t="s">
        <v>0</v>
      </c>
      <c r="O23" s="32" t="s">
        <v>36</v>
      </c>
      <c r="P23" s="18" t="s">
        <v>37</v>
      </c>
      <c r="Q23" s="33" t="s">
        <v>0</v>
      </c>
      <c r="R23" s="32" t="s">
        <v>36</v>
      </c>
      <c r="S23" s="18" t="s">
        <v>37</v>
      </c>
      <c r="T23" s="33" t="s">
        <v>0</v>
      </c>
      <c r="U23" s="34" t="s">
        <v>36</v>
      </c>
      <c r="V23" s="534" t="s">
        <v>37</v>
      </c>
      <c r="W23" s="35" t="s">
        <v>0</v>
      </c>
      <c r="X23" s="34" t="s">
        <v>36</v>
      </c>
      <c r="Y23" s="35" t="s">
        <v>0</v>
      </c>
      <c r="Z23" s="34" t="s">
        <v>36</v>
      </c>
      <c r="AA23" s="35" t="s">
        <v>0</v>
      </c>
    </row>
    <row r="24" spans="2:27" ht="15.75" customHeight="1" thickBot="1" x14ac:dyDescent="0.25">
      <c r="B24" s="27" t="s">
        <v>33</v>
      </c>
      <c r="C24" s="27" t="s">
        <v>105</v>
      </c>
      <c r="D24" s="284"/>
      <c r="E24" s="285"/>
      <c r="F24" s="284"/>
      <c r="G24" s="285"/>
      <c r="H24" s="286"/>
      <c r="I24" s="285"/>
      <c r="J24" s="286"/>
      <c r="K24" s="285"/>
      <c r="L24" s="284"/>
      <c r="M24" s="287"/>
      <c r="N24" s="285"/>
      <c r="O24" s="284"/>
      <c r="P24" s="287"/>
      <c r="Q24" s="285"/>
      <c r="R24" s="284"/>
      <c r="S24" s="287"/>
      <c r="T24" s="285"/>
      <c r="U24" s="37"/>
      <c r="V24" s="535"/>
      <c r="W24" s="36"/>
      <c r="X24" s="37"/>
      <c r="Y24" s="36"/>
      <c r="Z24" s="37"/>
      <c r="AA24" s="36"/>
    </row>
    <row r="25" spans="2:27" x14ac:dyDescent="0.2">
      <c r="B25" s="166">
        <f>'1. LDC Info'!$F$27-11</f>
        <v>2006</v>
      </c>
      <c r="C25" s="38" t="s">
        <v>110</v>
      </c>
      <c r="D25" s="520">
        <v>7300752</v>
      </c>
      <c r="E25" s="537">
        <v>7627</v>
      </c>
      <c r="F25" s="520">
        <v>2930015</v>
      </c>
      <c r="G25" s="537">
        <v>1029</v>
      </c>
      <c r="H25" s="539">
        <v>48281</v>
      </c>
      <c r="I25" s="537">
        <v>58</v>
      </c>
      <c r="J25" s="539"/>
      <c r="K25" s="537"/>
      <c r="L25" s="520">
        <v>10265894</v>
      </c>
      <c r="M25" s="538">
        <v>25126.3</v>
      </c>
      <c r="N25" s="537">
        <v>149</v>
      </c>
      <c r="O25" s="520">
        <v>202108</v>
      </c>
      <c r="P25" s="538">
        <v>434.6</v>
      </c>
      <c r="Q25" s="537">
        <v>2649</v>
      </c>
      <c r="R25" s="539">
        <v>5005.9821428571395</v>
      </c>
      <c r="S25" s="538">
        <v>13.905505952380942</v>
      </c>
      <c r="T25" s="537">
        <v>55</v>
      </c>
      <c r="U25" s="539">
        <v>1773711</v>
      </c>
      <c r="V25" s="538">
        <v>4008.0999999999995</v>
      </c>
      <c r="W25" s="537">
        <v>1</v>
      </c>
      <c r="X25" s="221"/>
      <c r="Y25" s="219"/>
      <c r="Z25" s="221"/>
      <c r="AA25" s="40"/>
    </row>
    <row r="26" spans="2:27" x14ac:dyDescent="0.2">
      <c r="B26" s="166">
        <f>'1. LDC Info'!$F$27-11</f>
        <v>2006</v>
      </c>
      <c r="C26" s="38" t="s">
        <v>111</v>
      </c>
      <c r="D26" s="520">
        <v>6348471</v>
      </c>
      <c r="E26" s="537">
        <v>7656</v>
      </c>
      <c r="F26" s="520">
        <v>2761922</v>
      </c>
      <c r="G26" s="537">
        <v>1038</v>
      </c>
      <c r="H26" s="539">
        <v>48281</v>
      </c>
      <c r="I26" s="537">
        <v>58</v>
      </c>
      <c r="J26" s="539"/>
      <c r="K26" s="537"/>
      <c r="L26" s="520">
        <v>9772851</v>
      </c>
      <c r="M26" s="538">
        <v>24406.6</v>
      </c>
      <c r="N26" s="537">
        <v>140</v>
      </c>
      <c r="O26" s="520">
        <v>167336</v>
      </c>
      <c r="P26" s="538">
        <v>434.6</v>
      </c>
      <c r="Q26" s="537">
        <v>2657</v>
      </c>
      <c r="R26" s="539">
        <v>5554.0178571428578</v>
      </c>
      <c r="S26" s="538">
        <v>15.427827380952383</v>
      </c>
      <c r="T26" s="537">
        <v>55</v>
      </c>
      <c r="U26" s="539">
        <v>2088608</v>
      </c>
      <c r="V26" s="538">
        <v>4977.1000000000004</v>
      </c>
      <c r="W26" s="537">
        <v>1</v>
      </c>
      <c r="X26" s="221"/>
      <c r="Y26" s="219"/>
      <c r="Z26" s="221"/>
      <c r="AA26" s="40"/>
    </row>
    <row r="27" spans="2:27" x14ac:dyDescent="0.2">
      <c r="B27" s="166">
        <f>'1. LDC Info'!$F$27-11</f>
        <v>2006</v>
      </c>
      <c r="C27" s="38" t="s">
        <v>112</v>
      </c>
      <c r="D27" s="520">
        <v>6372359</v>
      </c>
      <c r="E27" s="537">
        <v>7656</v>
      </c>
      <c r="F27" s="520">
        <v>2913477</v>
      </c>
      <c r="G27" s="537">
        <v>1036</v>
      </c>
      <c r="H27" s="539">
        <v>49841</v>
      </c>
      <c r="I27" s="537">
        <v>58</v>
      </c>
      <c r="J27" s="539"/>
      <c r="K27" s="537"/>
      <c r="L27" s="520">
        <v>10557668</v>
      </c>
      <c r="M27" s="538">
        <v>24256.6</v>
      </c>
      <c r="N27" s="537">
        <v>140</v>
      </c>
      <c r="O27" s="520">
        <v>169024</v>
      </c>
      <c r="P27" s="538">
        <v>434.8</v>
      </c>
      <c r="Q27" s="537">
        <v>2657</v>
      </c>
      <c r="R27" s="539">
        <v>4806.6071428571404</v>
      </c>
      <c r="S27" s="538">
        <v>13.351686507936501</v>
      </c>
      <c r="T27" s="537">
        <v>55</v>
      </c>
      <c r="U27" s="539">
        <v>2656351</v>
      </c>
      <c r="V27" s="538">
        <v>4972.3999999999996</v>
      </c>
      <c r="W27" s="537">
        <v>1</v>
      </c>
      <c r="X27" s="221"/>
      <c r="Y27" s="219"/>
      <c r="Z27" s="221"/>
      <c r="AA27" s="40"/>
    </row>
    <row r="28" spans="2:27" x14ac:dyDescent="0.2">
      <c r="B28" s="166">
        <f>'1. LDC Info'!$F$27-11</f>
        <v>2006</v>
      </c>
      <c r="C28" s="38" t="s">
        <v>113</v>
      </c>
      <c r="D28" s="520">
        <v>5389827</v>
      </c>
      <c r="E28" s="537">
        <v>7686</v>
      </c>
      <c r="F28" s="520">
        <v>2529409</v>
      </c>
      <c r="G28" s="537">
        <v>1043</v>
      </c>
      <c r="H28" s="539">
        <v>49660.77752402702</v>
      </c>
      <c r="I28" s="537">
        <v>58</v>
      </c>
      <c r="J28" s="539"/>
      <c r="K28" s="537"/>
      <c r="L28" s="520">
        <v>9685903</v>
      </c>
      <c r="M28" s="538">
        <v>24940.7</v>
      </c>
      <c r="N28" s="537">
        <v>140</v>
      </c>
      <c r="O28" s="520">
        <v>143611.82253306688</v>
      </c>
      <c r="P28" s="538">
        <v>434.8</v>
      </c>
      <c r="Q28" s="537">
        <v>2657</v>
      </c>
      <c r="R28" s="539">
        <v>6492.7417286218442</v>
      </c>
      <c r="S28" s="538">
        <v>18.100845410628022</v>
      </c>
      <c r="T28" s="537">
        <v>55</v>
      </c>
      <c r="U28" s="539">
        <v>2554129</v>
      </c>
      <c r="V28" s="538">
        <v>4608.6000000000004</v>
      </c>
      <c r="W28" s="537">
        <v>1</v>
      </c>
      <c r="X28" s="221"/>
      <c r="Y28" s="219"/>
      <c r="Z28" s="221"/>
      <c r="AA28" s="40"/>
    </row>
    <row r="29" spans="2:27" x14ac:dyDescent="0.2">
      <c r="B29" s="166">
        <f>'1. LDC Info'!$F$27-11</f>
        <v>2006</v>
      </c>
      <c r="C29" s="38" t="s">
        <v>114</v>
      </c>
      <c r="D29" s="520">
        <v>5080428</v>
      </c>
      <c r="E29" s="537">
        <v>7692</v>
      </c>
      <c r="F29" s="520">
        <v>2528254</v>
      </c>
      <c r="G29" s="537">
        <v>1043</v>
      </c>
      <c r="H29" s="539">
        <v>49841</v>
      </c>
      <c r="I29" s="537">
        <v>58</v>
      </c>
      <c r="J29" s="539"/>
      <c r="K29" s="537"/>
      <c r="L29" s="520">
        <v>9983253</v>
      </c>
      <c r="M29" s="538">
        <v>24060.5</v>
      </c>
      <c r="N29" s="537">
        <v>140</v>
      </c>
      <c r="O29" s="520">
        <v>131959</v>
      </c>
      <c r="P29" s="538">
        <v>434.8</v>
      </c>
      <c r="Q29" s="537">
        <v>2677</v>
      </c>
      <c r="R29" s="539">
        <v>5170.8695652173901</v>
      </c>
      <c r="S29" s="538">
        <v>14.363526570048306</v>
      </c>
      <c r="T29" s="537">
        <v>55</v>
      </c>
      <c r="U29" s="539">
        <v>2231737</v>
      </c>
      <c r="V29" s="538">
        <v>4333</v>
      </c>
      <c r="W29" s="537">
        <v>1</v>
      </c>
      <c r="X29" s="221"/>
      <c r="Y29" s="219"/>
      <c r="Z29" s="221"/>
      <c r="AA29" s="40"/>
    </row>
    <row r="30" spans="2:27" x14ac:dyDescent="0.2">
      <c r="B30" s="166">
        <f>'1. LDC Info'!$F$27-11</f>
        <v>2006</v>
      </c>
      <c r="C30" s="38" t="s">
        <v>115</v>
      </c>
      <c r="D30" s="520">
        <v>5168425</v>
      </c>
      <c r="E30" s="537">
        <v>7703</v>
      </c>
      <c r="F30" s="520">
        <v>2645963</v>
      </c>
      <c r="G30" s="537">
        <v>1042</v>
      </c>
      <c r="H30" s="539">
        <v>49841</v>
      </c>
      <c r="I30" s="537">
        <v>78</v>
      </c>
      <c r="J30" s="539"/>
      <c r="K30" s="537"/>
      <c r="L30" s="520">
        <v>10241009</v>
      </c>
      <c r="M30" s="538">
        <v>25334.400000000001</v>
      </c>
      <c r="N30" s="537">
        <v>140</v>
      </c>
      <c r="O30" s="520">
        <v>117817</v>
      </c>
      <c r="P30" s="538">
        <v>435.2</v>
      </c>
      <c r="Q30" s="537">
        <v>2677</v>
      </c>
      <c r="R30" s="539">
        <v>7893.954545454546</v>
      </c>
      <c r="S30" s="538">
        <v>21.927651515151513</v>
      </c>
      <c r="T30" s="537">
        <v>55</v>
      </c>
      <c r="U30" s="539">
        <v>2396213</v>
      </c>
      <c r="V30" s="538">
        <v>4523.3999999999996</v>
      </c>
      <c r="W30" s="537">
        <v>1</v>
      </c>
      <c r="X30" s="221"/>
      <c r="Y30" s="219"/>
      <c r="Z30" s="221"/>
      <c r="AA30" s="40"/>
    </row>
    <row r="31" spans="2:27" x14ac:dyDescent="0.2">
      <c r="B31" s="166">
        <f>'1. LDC Info'!$F$27-11</f>
        <v>2006</v>
      </c>
      <c r="C31" s="38" t="s">
        <v>116</v>
      </c>
      <c r="D31" s="520">
        <v>5687825</v>
      </c>
      <c r="E31" s="537">
        <v>7732</v>
      </c>
      <c r="F31" s="520">
        <v>2870298</v>
      </c>
      <c r="G31" s="537">
        <v>1042</v>
      </c>
      <c r="H31" s="539">
        <v>49841</v>
      </c>
      <c r="I31" s="537">
        <v>79</v>
      </c>
      <c r="J31" s="539"/>
      <c r="K31" s="537"/>
      <c r="L31" s="520">
        <v>10368462</v>
      </c>
      <c r="M31" s="538">
        <v>24997</v>
      </c>
      <c r="N31" s="537">
        <v>140</v>
      </c>
      <c r="O31" s="520">
        <v>124670</v>
      </c>
      <c r="P31" s="538">
        <v>435.2</v>
      </c>
      <c r="Q31" s="537">
        <v>2693</v>
      </c>
      <c r="R31" s="539">
        <v>7356.5999999999995</v>
      </c>
      <c r="S31" s="538">
        <v>20.434999999999999</v>
      </c>
      <c r="T31" s="537">
        <v>55</v>
      </c>
      <c r="U31" s="539">
        <v>1690009</v>
      </c>
      <c r="V31" s="538">
        <v>3806.2</v>
      </c>
      <c r="W31" s="537">
        <v>1</v>
      </c>
      <c r="X31" s="221"/>
      <c r="Y31" s="219"/>
      <c r="Z31" s="221"/>
      <c r="AA31" s="40"/>
    </row>
    <row r="32" spans="2:27" x14ac:dyDescent="0.2">
      <c r="B32" s="166">
        <f>'1. LDC Info'!$F$27-11</f>
        <v>2006</v>
      </c>
      <c r="C32" s="38" t="s">
        <v>117</v>
      </c>
      <c r="D32" s="520">
        <v>5571804</v>
      </c>
      <c r="E32" s="537">
        <v>7737</v>
      </c>
      <c r="F32" s="520">
        <v>2779493</v>
      </c>
      <c r="G32" s="537">
        <v>1047</v>
      </c>
      <c r="H32" s="539">
        <v>49841</v>
      </c>
      <c r="I32" s="537">
        <v>79</v>
      </c>
      <c r="J32" s="539"/>
      <c r="K32" s="537"/>
      <c r="L32" s="520">
        <v>10464948</v>
      </c>
      <c r="M32" s="538">
        <v>25681.4</v>
      </c>
      <c r="N32" s="537">
        <v>140</v>
      </c>
      <c r="O32" s="520">
        <v>141195</v>
      </c>
      <c r="P32" s="538">
        <v>435.5</v>
      </c>
      <c r="Q32" s="537">
        <v>2693</v>
      </c>
      <c r="R32" s="539">
        <v>7096.74</v>
      </c>
      <c r="S32" s="538">
        <v>19.713166666666666</v>
      </c>
      <c r="T32" s="537">
        <v>55</v>
      </c>
      <c r="U32" s="539">
        <v>1809678</v>
      </c>
      <c r="V32" s="538">
        <v>4296.3999999999996</v>
      </c>
      <c r="W32" s="537">
        <v>1</v>
      </c>
      <c r="X32" s="221"/>
      <c r="Y32" s="219"/>
      <c r="Z32" s="221"/>
      <c r="AA32" s="40"/>
    </row>
    <row r="33" spans="2:27" x14ac:dyDescent="0.2">
      <c r="B33" s="166">
        <f>'1. LDC Info'!$F$27-11</f>
        <v>2006</v>
      </c>
      <c r="C33" s="38" t="s">
        <v>107</v>
      </c>
      <c r="D33" s="520">
        <v>5073158</v>
      </c>
      <c r="E33" s="537">
        <v>7757</v>
      </c>
      <c r="F33" s="520">
        <v>2447829</v>
      </c>
      <c r="G33" s="537">
        <v>1045</v>
      </c>
      <c r="H33" s="539">
        <v>49841</v>
      </c>
      <c r="I33" s="537">
        <v>79</v>
      </c>
      <c r="J33" s="539"/>
      <c r="K33" s="537"/>
      <c r="L33" s="520">
        <v>9997621</v>
      </c>
      <c r="M33" s="538">
        <v>25546.6</v>
      </c>
      <c r="N33" s="537">
        <v>140</v>
      </c>
      <c r="O33" s="520">
        <v>152952</v>
      </c>
      <c r="P33" s="538">
        <v>435.5</v>
      </c>
      <c r="Q33" s="537">
        <v>2693</v>
      </c>
      <c r="R33" s="539">
        <v>7024.76</v>
      </c>
      <c r="S33" s="538">
        <v>19.513222222222222</v>
      </c>
      <c r="T33" s="537">
        <v>55</v>
      </c>
      <c r="U33" s="539">
        <v>1560923</v>
      </c>
      <c r="V33" s="538">
        <v>3464.8999999999996</v>
      </c>
      <c r="W33" s="537">
        <v>1</v>
      </c>
      <c r="X33" s="221"/>
      <c r="Y33" s="219"/>
      <c r="Z33" s="221"/>
      <c r="AA33" s="40"/>
    </row>
    <row r="34" spans="2:27" x14ac:dyDescent="0.2">
      <c r="B34" s="166">
        <f>'1. LDC Info'!$F$27-11</f>
        <v>2006</v>
      </c>
      <c r="C34" s="38" t="s">
        <v>108</v>
      </c>
      <c r="D34" s="520">
        <v>5463031</v>
      </c>
      <c r="E34" s="537">
        <v>7798</v>
      </c>
      <c r="F34" s="520">
        <v>2506700</v>
      </c>
      <c r="G34" s="537">
        <v>1046</v>
      </c>
      <c r="H34" s="539">
        <v>49841</v>
      </c>
      <c r="I34" s="537">
        <v>79</v>
      </c>
      <c r="J34" s="539"/>
      <c r="K34" s="537"/>
      <c r="L34" s="520">
        <v>10128900</v>
      </c>
      <c r="M34" s="538">
        <v>24925.200000000001</v>
      </c>
      <c r="N34" s="537">
        <v>140</v>
      </c>
      <c r="O34" s="520">
        <v>178208</v>
      </c>
      <c r="P34" s="538">
        <v>435.5</v>
      </c>
      <c r="Q34" s="537">
        <v>2693</v>
      </c>
      <c r="R34" s="539">
        <v>6318.5</v>
      </c>
      <c r="S34" s="538">
        <v>17.551388888888887</v>
      </c>
      <c r="T34" s="537">
        <v>55</v>
      </c>
      <c r="U34" s="539">
        <v>1423298</v>
      </c>
      <c r="V34" s="538">
        <v>3193.2000000000007</v>
      </c>
      <c r="W34" s="537">
        <v>1</v>
      </c>
      <c r="X34" s="221"/>
      <c r="Y34" s="219"/>
      <c r="Z34" s="221"/>
      <c r="AA34" s="40"/>
    </row>
    <row r="35" spans="2:27" x14ac:dyDescent="0.2">
      <c r="B35" s="166">
        <f>'1. LDC Info'!$F$27-11</f>
        <v>2006</v>
      </c>
      <c r="C35" s="38" t="s">
        <v>109</v>
      </c>
      <c r="D35" s="520">
        <v>5992249</v>
      </c>
      <c r="E35" s="537">
        <v>7781</v>
      </c>
      <c r="F35" s="520">
        <v>2605868</v>
      </c>
      <c r="G35" s="537">
        <v>1041</v>
      </c>
      <c r="H35" s="539">
        <v>49841</v>
      </c>
      <c r="I35" s="537">
        <v>79</v>
      </c>
      <c r="J35" s="539"/>
      <c r="K35" s="537"/>
      <c r="L35" s="520">
        <v>9888279</v>
      </c>
      <c r="M35" s="538">
        <v>24552.9</v>
      </c>
      <c r="N35" s="537">
        <v>140</v>
      </c>
      <c r="O35" s="520">
        <v>188876</v>
      </c>
      <c r="P35" s="538">
        <v>435.5</v>
      </c>
      <c r="Q35" s="537">
        <v>2693</v>
      </c>
      <c r="R35" s="539">
        <v>6220</v>
      </c>
      <c r="S35" s="538">
        <v>17.277777777777779</v>
      </c>
      <c r="T35" s="537">
        <v>55</v>
      </c>
      <c r="U35" s="539">
        <v>1844230</v>
      </c>
      <c r="V35" s="538">
        <v>3447.8500000000004</v>
      </c>
      <c r="W35" s="537">
        <v>1</v>
      </c>
      <c r="X35" s="221"/>
      <c r="Y35" s="219"/>
      <c r="Z35" s="221"/>
      <c r="AA35" s="40"/>
    </row>
    <row r="36" spans="2:27" x14ac:dyDescent="0.2">
      <c r="B36" s="166">
        <f>'1. LDC Info'!$F$27-11</f>
        <v>2006</v>
      </c>
      <c r="C36" s="38" t="s">
        <v>106</v>
      </c>
      <c r="D36" s="520">
        <v>6894335</v>
      </c>
      <c r="E36" s="537">
        <v>7781</v>
      </c>
      <c r="F36" s="520">
        <v>2853942</v>
      </c>
      <c r="G36" s="537">
        <v>1044</v>
      </c>
      <c r="H36" s="539">
        <v>50300</v>
      </c>
      <c r="I36" s="537">
        <v>79</v>
      </c>
      <c r="J36" s="539"/>
      <c r="K36" s="537"/>
      <c r="L36" s="520">
        <v>9620914</v>
      </c>
      <c r="M36" s="538">
        <v>23649.1</v>
      </c>
      <c r="N36" s="537">
        <v>142</v>
      </c>
      <c r="O36" s="520">
        <v>205533</v>
      </c>
      <c r="P36" s="538">
        <v>435.5</v>
      </c>
      <c r="Q36" s="537">
        <v>2693</v>
      </c>
      <c r="R36" s="539">
        <v>7122.9230769230771</v>
      </c>
      <c r="S36" s="538">
        <v>19.785897435897436</v>
      </c>
      <c r="T36" s="537">
        <v>55</v>
      </c>
      <c r="U36" s="539">
        <v>1414303</v>
      </c>
      <c r="V36" s="538">
        <v>2847.7999999999993</v>
      </c>
      <c r="W36" s="537">
        <v>1</v>
      </c>
      <c r="X36" s="221"/>
      <c r="Y36" s="219"/>
      <c r="Z36" s="221"/>
      <c r="AA36" s="40"/>
    </row>
    <row r="37" spans="2:27" x14ac:dyDescent="0.2">
      <c r="B37" s="166">
        <f>'1. LDC Info'!$F$27-10</f>
        <v>2007</v>
      </c>
      <c r="C37" s="38" t="s">
        <v>110</v>
      </c>
      <c r="D37" s="520">
        <v>7474072</v>
      </c>
      <c r="E37" s="537">
        <v>7806</v>
      </c>
      <c r="F37" s="520">
        <v>2958704</v>
      </c>
      <c r="G37" s="537">
        <v>1042</v>
      </c>
      <c r="H37" s="540">
        <v>50300</v>
      </c>
      <c r="I37" s="537">
        <v>80</v>
      </c>
      <c r="J37" s="540"/>
      <c r="K37" s="537"/>
      <c r="L37" s="520">
        <v>10302859</v>
      </c>
      <c r="M37" s="538">
        <v>24192.9</v>
      </c>
      <c r="N37" s="537">
        <v>142</v>
      </c>
      <c r="O37" s="520">
        <v>202485</v>
      </c>
      <c r="P37" s="538">
        <v>435.5</v>
      </c>
      <c r="Q37" s="537">
        <v>2693</v>
      </c>
      <c r="R37" s="539">
        <v>5061.3461538461497</v>
      </c>
      <c r="S37" s="538">
        <v>14.05929487179486</v>
      </c>
      <c r="T37" s="537">
        <v>55</v>
      </c>
      <c r="U37" s="540">
        <v>1825623</v>
      </c>
      <c r="V37" s="538">
        <v>3706.2000000000007</v>
      </c>
      <c r="W37" s="537">
        <v>1</v>
      </c>
      <c r="X37" s="221"/>
      <c r="Y37" s="219"/>
      <c r="Z37" s="221"/>
      <c r="AA37" s="40"/>
    </row>
    <row r="38" spans="2:27" x14ac:dyDescent="0.2">
      <c r="B38" s="166">
        <f>'1. LDC Info'!$F$27-10</f>
        <v>2007</v>
      </c>
      <c r="C38" s="38" t="s">
        <v>111</v>
      </c>
      <c r="D38" s="520">
        <v>6905296</v>
      </c>
      <c r="E38" s="537">
        <v>7806</v>
      </c>
      <c r="F38" s="520">
        <v>3042367</v>
      </c>
      <c r="G38" s="537">
        <v>1058</v>
      </c>
      <c r="H38" s="540">
        <v>50300</v>
      </c>
      <c r="I38" s="537">
        <v>80</v>
      </c>
      <c r="J38" s="540"/>
      <c r="K38" s="537"/>
      <c r="L38" s="520">
        <v>9896543</v>
      </c>
      <c r="M38" s="538">
        <v>24741.5</v>
      </c>
      <c r="N38" s="537">
        <v>131</v>
      </c>
      <c r="O38" s="520">
        <v>167649</v>
      </c>
      <c r="P38" s="538">
        <v>435.5</v>
      </c>
      <c r="Q38" s="537">
        <v>2693</v>
      </c>
      <c r="R38" s="539">
        <v>7041.7692307692496</v>
      </c>
      <c r="S38" s="538">
        <v>19.560470085470136</v>
      </c>
      <c r="T38" s="537">
        <v>55</v>
      </c>
      <c r="U38" s="540">
        <v>1915433</v>
      </c>
      <c r="V38" s="538">
        <v>4300.5</v>
      </c>
      <c r="W38" s="537">
        <v>1</v>
      </c>
      <c r="X38" s="221"/>
      <c r="Y38" s="219"/>
      <c r="Z38" s="221"/>
      <c r="AA38" s="40"/>
    </row>
    <row r="39" spans="2:27" x14ac:dyDescent="0.2">
      <c r="B39" s="166">
        <f>'1. LDC Info'!$F$27-10</f>
        <v>2007</v>
      </c>
      <c r="C39" s="38" t="s">
        <v>112</v>
      </c>
      <c r="D39" s="520">
        <v>6959117</v>
      </c>
      <c r="E39" s="537">
        <v>7808</v>
      </c>
      <c r="F39" s="520">
        <v>3159610</v>
      </c>
      <c r="G39" s="537">
        <v>1057</v>
      </c>
      <c r="H39" s="540">
        <v>50300</v>
      </c>
      <c r="I39" s="537">
        <v>80</v>
      </c>
      <c r="J39" s="540"/>
      <c r="K39" s="537"/>
      <c r="L39" s="520">
        <v>10659680</v>
      </c>
      <c r="M39" s="538">
        <v>25079.3</v>
      </c>
      <c r="N39" s="537">
        <v>131</v>
      </c>
      <c r="O39" s="520">
        <v>169281</v>
      </c>
      <c r="P39" s="538">
        <v>435.5</v>
      </c>
      <c r="Q39" s="537">
        <v>2693</v>
      </c>
      <c r="R39" s="539">
        <v>7349.3846153846152</v>
      </c>
      <c r="S39" s="538">
        <v>20.414957264957263</v>
      </c>
      <c r="T39" s="537">
        <v>55</v>
      </c>
      <c r="U39" s="540">
        <v>2426025</v>
      </c>
      <c r="V39" s="538">
        <v>4487.2000000000007</v>
      </c>
      <c r="W39" s="537">
        <v>1</v>
      </c>
      <c r="X39" s="221"/>
      <c r="Y39" s="219"/>
      <c r="Z39" s="221"/>
      <c r="AA39" s="40"/>
    </row>
    <row r="40" spans="2:27" x14ac:dyDescent="0.2">
      <c r="B40" s="166">
        <f>'1. LDC Info'!$F$27-10</f>
        <v>2007</v>
      </c>
      <c r="C40" s="38" t="s">
        <v>113</v>
      </c>
      <c r="D40" s="520">
        <v>5686517</v>
      </c>
      <c r="E40" s="537">
        <v>7805</v>
      </c>
      <c r="F40" s="520">
        <v>2680164</v>
      </c>
      <c r="G40" s="537">
        <v>1050</v>
      </c>
      <c r="H40" s="540">
        <v>50300</v>
      </c>
      <c r="I40" s="537">
        <v>82</v>
      </c>
      <c r="J40" s="540"/>
      <c r="K40" s="537"/>
      <c r="L40" s="520">
        <v>9498379</v>
      </c>
      <c r="M40" s="538">
        <v>24263.7</v>
      </c>
      <c r="N40" s="537">
        <v>130</v>
      </c>
      <c r="O40" s="520">
        <v>144352</v>
      </c>
      <c r="P40" s="538">
        <v>435.5</v>
      </c>
      <c r="Q40" s="537">
        <v>2693</v>
      </c>
      <c r="R40" s="539">
        <v>7796.4878048780492</v>
      </c>
      <c r="S40" s="538">
        <v>21.656910569105694</v>
      </c>
      <c r="T40" s="537">
        <v>55</v>
      </c>
      <c r="U40" s="540">
        <v>2464608</v>
      </c>
      <c r="V40" s="538">
        <v>4764.7000000000007</v>
      </c>
      <c r="W40" s="537">
        <v>1</v>
      </c>
      <c r="X40" s="221"/>
      <c r="Y40" s="219"/>
      <c r="Z40" s="221"/>
      <c r="AA40" s="40"/>
    </row>
    <row r="41" spans="2:27" x14ac:dyDescent="0.2">
      <c r="B41" s="166">
        <f>'1. LDC Info'!$F$27-10</f>
        <v>2007</v>
      </c>
      <c r="C41" s="38" t="s">
        <v>114</v>
      </c>
      <c r="D41" s="520">
        <v>5201753</v>
      </c>
      <c r="E41" s="537">
        <v>7808</v>
      </c>
      <c r="F41" s="520">
        <v>2632488</v>
      </c>
      <c r="G41" s="537">
        <v>1039</v>
      </c>
      <c r="H41" s="540">
        <v>50300</v>
      </c>
      <c r="I41" s="537">
        <v>82</v>
      </c>
      <c r="J41" s="540"/>
      <c r="K41" s="537"/>
      <c r="L41" s="520">
        <v>9577169</v>
      </c>
      <c r="M41" s="538">
        <v>23771.200000000001</v>
      </c>
      <c r="N41" s="537">
        <v>129</v>
      </c>
      <c r="O41" s="520">
        <v>132159</v>
      </c>
      <c r="P41" s="538">
        <v>435.5</v>
      </c>
      <c r="Q41" s="537">
        <v>2693</v>
      </c>
      <c r="R41" s="539">
        <v>3116.7599999999998</v>
      </c>
      <c r="S41" s="538">
        <v>8.6576666666666657</v>
      </c>
      <c r="T41" s="537">
        <v>55</v>
      </c>
      <c r="U41" s="540">
        <v>2207305</v>
      </c>
      <c r="V41" s="538">
        <v>4345.3</v>
      </c>
      <c r="W41" s="537">
        <v>1</v>
      </c>
      <c r="X41" s="221"/>
      <c r="Y41" s="219"/>
      <c r="Z41" s="221"/>
      <c r="AA41" s="40"/>
    </row>
    <row r="42" spans="2:27" x14ac:dyDescent="0.2">
      <c r="B42" s="166">
        <f>'1. LDC Info'!$F$27-10</f>
        <v>2007</v>
      </c>
      <c r="C42" s="38" t="s">
        <v>115</v>
      </c>
      <c r="D42" s="520">
        <v>5104206</v>
      </c>
      <c r="E42" s="537">
        <v>7811</v>
      </c>
      <c r="F42" s="520">
        <v>2713078</v>
      </c>
      <c r="G42" s="537">
        <v>1038</v>
      </c>
      <c r="H42" s="540">
        <v>50300</v>
      </c>
      <c r="I42" s="537">
        <v>80</v>
      </c>
      <c r="J42" s="540"/>
      <c r="K42" s="537"/>
      <c r="L42" s="520">
        <v>10263136</v>
      </c>
      <c r="M42" s="538">
        <v>25232.799999999999</v>
      </c>
      <c r="N42" s="537">
        <v>129</v>
      </c>
      <c r="O42" s="520">
        <v>117898</v>
      </c>
      <c r="P42" s="538">
        <v>435.5</v>
      </c>
      <c r="Q42" s="537">
        <v>2693</v>
      </c>
      <c r="R42" s="539">
        <v>6370.0975609756097</v>
      </c>
      <c r="S42" s="538">
        <v>17.694715447154472</v>
      </c>
      <c r="T42" s="537">
        <v>55</v>
      </c>
      <c r="U42" s="540">
        <v>1558995.9</v>
      </c>
      <c r="V42" s="538">
        <v>4405.9000000000005</v>
      </c>
      <c r="W42" s="537">
        <v>1</v>
      </c>
      <c r="X42" s="221"/>
      <c r="Y42" s="219"/>
      <c r="Z42" s="221"/>
      <c r="AA42" s="40"/>
    </row>
    <row r="43" spans="2:27" x14ac:dyDescent="0.2">
      <c r="B43" s="166">
        <f>'1. LDC Info'!$F$27-10</f>
        <v>2007</v>
      </c>
      <c r="C43" s="38" t="s">
        <v>116</v>
      </c>
      <c r="D43" s="520">
        <v>5541854</v>
      </c>
      <c r="E43" s="537">
        <v>7813</v>
      </c>
      <c r="F43" s="520">
        <v>2861486</v>
      </c>
      <c r="G43" s="537">
        <v>1037</v>
      </c>
      <c r="H43" s="540">
        <v>50300</v>
      </c>
      <c r="I43" s="537">
        <v>80</v>
      </c>
      <c r="J43" s="540"/>
      <c r="K43" s="537"/>
      <c r="L43" s="520">
        <v>9983112</v>
      </c>
      <c r="M43" s="538">
        <v>25114.5</v>
      </c>
      <c r="N43" s="537">
        <v>130</v>
      </c>
      <c r="O43" s="520">
        <v>124756</v>
      </c>
      <c r="P43" s="538">
        <v>435.5</v>
      </c>
      <c r="Q43" s="537">
        <v>2693</v>
      </c>
      <c r="R43" s="539">
        <v>5282.5588235293999</v>
      </c>
      <c r="S43" s="538">
        <v>14.673774509803888</v>
      </c>
      <c r="T43" s="537">
        <v>55</v>
      </c>
      <c r="U43" s="540">
        <v>1016601</v>
      </c>
      <c r="V43" s="538">
        <v>2468.5</v>
      </c>
      <c r="W43" s="537">
        <v>1</v>
      </c>
      <c r="X43" s="221"/>
      <c r="Y43" s="219"/>
      <c r="Z43" s="221"/>
      <c r="AA43" s="40"/>
    </row>
    <row r="44" spans="2:27" x14ac:dyDescent="0.2">
      <c r="B44" s="166">
        <f>'1. LDC Info'!$F$27-10</f>
        <v>2007</v>
      </c>
      <c r="C44" s="38" t="s">
        <v>117</v>
      </c>
      <c r="D44" s="520">
        <v>5563548</v>
      </c>
      <c r="E44" s="537">
        <v>7854</v>
      </c>
      <c r="F44" s="520">
        <v>2891889</v>
      </c>
      <c r="G44" s="537">
        <v>1034</v>
      </c>
      <c r="H44" s="540">
        <v>50300</v>
      </c>
      <c r="I44" s="537">
        <v>80</v>
      </c>
      <c r="J44" s="540"/>
      <c r="K44" s="537"/>
      <c r="L44" s="520">
        <v>10907434</v>
      </c>
      <c r="M44" s="538">
        <v>25443.1</v>
      </c>
      <c r="N44" s="537">
        <v>130</v>
      </c>
      <c r="O44" s="520">
        <v>141195</v>
      </c>
      <c r="P44" s="538">
        <v>435.5</v>
      </c>
      <c r="Q44" s="537">
        <v>2693</v>
      </c>
      <c r="R44" s="539">
        <v>7581</v>
      </c>
      <c r="S44" s="538">
        <v>21.058333333333334</v>
      </c>
      <c r="T44" s="537">
        <v>55</v>
      </c>
      <c r="U44" s="540">
        <v>1281199.6000000001</v>
      </c>
      <c r="V44" s="538">
        <v>2700</v>
      </c>
      <c r="W44" s="537">
        <v>1</v>
      </c>
      <c r="X44" s="221"/>
      <c r="Y44" s="219"/>
      <c r="Z44" s="221"/>
      <c r="AA44" s="40"/>
    </row>
    <row r="45" spans="2:27" x14ac:dyDescent="0.2">
      <c r="B45" s="166">
        <f>'1. LDC Info'!$F$27-10</f>
        <v>2007</v>
      </c>
      <c r="C45" s="38" t="s">
        <v>107</v>
      </c>
      <c r="D45" s="520">
        <v>5096979</v>
      </c>
      <c r="E45" s="537">
        <v>7872</v>
      </c>
      <c r="F45" s="520">
        <v>2651573</v>
      </c>
      <c r="G45" s="537">
        <v>1037</v>
      </c>
      <c r="H45" s="540">
        <v>50300</v>
      </c>
      <c r="I45" s="537">
        <v>80</v>
      </c>
      <c r="J45" s="540"/>
      <c r="K45" s="537"/>
      <c r="L45" s="520">
        <v>10588626</v>
      </c>
      <c r="M45" s="538">
        <v>25461.4</v>
      </c>
      <c r="N45" s="537">
        <v>132</v>
      </c>
      <c r="O45" s="520">
        <v>152952</v>
      </c>
      <c r="P45" s="538">
        <v>435.5</v>
      </c>
      <c r="Q45" s="537">
        <v>2693</v>
      </c>
      <c r="R45" s="539">
        <v>7245.3333333333339</v>
      </c>
      <c r="S45" s="538">
        <v>20.125925925925927</v>
      </c>
      <c r="T45" s="537">
        <v>55</v>
      </c>
      <c r="U45" s="540">
        <v>1330747.2000000002</v>
      </c>
      <c r="V45" s="538">
        <v>5218</v>
      </c>
      <c r="W45" s="537">
        <v>1</v>
      </c>
      <c r="X45" s="221"/>
      <c r="Y45" s="219"/>
      <c r="Z45" s="221"/>
      <c r="AA45" s="40"/>
    </row>
    <row r="46" spans="2:27" x14ac:dyDescent="0.2">
      <c r="B46" s="166">
        <f>'1. LDC Info'!$F$27-10</f>
        <v>2007</v>
      </c>
      <c r="C46" s="38" t="s">
        <v>108</v>
      </c>
      <c r="D46" s="520">
        <v>5337475</v>
      </c>
      <c r="E46" s="537">
        <v>7875</v>
      </c>
      <c r="F46" s="520">
        <v>2688452</v>
      </c>
      <c r="G46" s="537">
        <v>1041</v>
      </c>
      <c r="H46" s="540">
        <v>50300</v>
      </c>
      <c r="I46" s="537">
        <v>80</v>
      </c>
      <c r="J46" s="540"/>
      <c r="K46" s="537"/>
      <c r="L46" s="520">
        <v>10688243</v>
      </c>
      <c r="M46" s="538">
        <v>25262.6</v>
      </c>
      <c r="N46" s="537">
        <v>132</v>
      </c>
      <c r="O46" s="520">
        <v>178208</v>
      </c>
      <c r="P46" s="538">
        <v>435.5</v>
      </c>
      <c r="Q46" s="537">
        <v>2693</v>
      </c>
      <c r="R46" s="539">
        <v>7139.25</v>
      </c>
      <c r="S46" s="538">
        <v>19.831250000000001</v>
      </c>
      <c r="T46" s="537">
        <v>55</v>
      </c>
      <c r="U46" s="540">
        <v>1439149.2999999998</v>
      </c>
      <c r="V46" s="538">
        <v>2880.3999999999996</v>
      </c>
      <c r="W46" s="537">
        <v>1</v>
      </c>
      <c r="X46" s="221"/>
      <c r="Y46" s="219"/>
      <c r="Z46" s="221"/>
      <c r="AA46" s="40"/>
    </row>
    <row r="47" spans="2:27" x14ac:dyDescent="0.2">
      <c r="B47" s="166">
        <f>'1. LDC Info'!$F$27-10</f>
        <v>2007</v>
      </c>
      <c r="C47" s="38" t="s">
        <v>109</v>
      </c>
      <c r="D47" s="520">
        <v>6070463</v>
      </c>
      <c r="E47" s="537">
        <v>7879</v>
      </c>
      <c r="F47" s="520">
        <v>2822735</v>
      </c>
      <c r="G47" s="537">
        <v>1047</v>
      </c>
      <c r="H47" s="540">
        <v>51164</v>
      </c>
      <c r="I47" s="537">
        <v>81</v>
      </c>
      <c r="J47" s="540"/>
      <c r="K47" s="537"/>
      <c r="L47" s="520">
        <v>10410695</v>
      </c>
      <c r="M47" s="538">
        <v>25206.2</v>
      </c>
      <c r="N47" s="537">
        <v>132</v>
      </c>
      <c r="O47" s="520">
        <v>188876</v>
      </c>
      <c r="P47" s="538">
        <v>435.5</v>
      </c>
      <c r="Q47" s="537">
        <v>2792</v>
      </c>
      <c r="R47" s="539">
        <v>6430.9411764705801</v>
      </c>
      <c r="S47" s="538">
        <v>17.863725490196053</v>
      </c>
      <c r="T47" s="537">
        <v>55</v>
      </c>
      <c r="U47" s="540">
        <v>1692527.7999999998</v>
      </c>
      <c r="V47" s="538">
        <v>3570.8999999999996</v>
      </c>
      <c r="W47" s="537">
        <v>1</v>
      </c>
      <c r="X47" s="221"/>
      <c r="Y47" s="219"/>
      <c r="Z47" s="221"/>
      <c r="AA47" s="40"/>
    </row>
    <row r="48" spans="2:27" x14ac:dyDescent="0.2">
      <c r="B48" s="166">
        <f>'1. LDC Info'!$F$27-10</f>
        <v>2007</v>
      </c>
      <c r="C48" s="38" t="s">
        <v>106</v>
      </c>
      <c r="D48" s="520">
        <v>7160075</v>
      </c>
      <c r="E48" s="537">
        <v>7878</v>
      </c>
      <c r="F48" s="520">
        <v>3020385</v>
      </c>
      <c r="G48" s="537">
        <v>1044</v>
      </c>
      <c r="H48" s="539">
        <v>51164</v>
      </c>
      <c r="I48" s="537">
        <v>81</v>
      </c>
      <c r="J48" s="539"/>
      <c r="K48" s="537"/>
      <c r="L48" s="520">
        <v>9641305</v>
      </c>
      <c r="M48" s="538">
        <v>27039.9</v>
      </c>
      <c r="N48" s="537">
        <v>153</v>
      </c>
      <c r="O48" s="520">
        <v>212117</v>
      </c>
      <c r="P48" s="538">
        <v>449.4</v>
      </c>
      <c r="Q48" s="537">
        <v>2793</v>
      </c>
      <c r="R48" s="539">
        <v>6027.2222222222226</v>
      </c>
      <c r="S48" s="538">
        <v>16.742283950617285</v>
      </c>
      <c r="T48" s="537">
        <v>55</v>
      </c>
      <c r="U48" s="539">
        <v>1425400.3</v>
      </c>
      <c r="V48" s="538">
        <v>3379</v>
      </c>
      <c r="W48" s="537">
        <v>1</v>
      </c>
      <c r="X48" s="221"/>
      <c r="Y48" s="219"/>
      <c r="Z48" s="221"/>
      <c r="AA48" s="40"/>
    </row>
    <row r="49" spans="2:27" x14ac:dyDescent="0.2">
      <c r="B49" s="166">
        <f>'1. LDC Info'!$F$27-9</f>
        <v>2008</v>
      </c>
      <c r="C49" s="38" t="s">
        <v>110</v>
      </c>
      <c r="D49" s="520">
        <v>7483894</v>
      </c>
      <c r="E49" s="537">
        <v>7889</v>
      </c>
      <c r="F49" s="520">
        <v>3377051</v>
      </c>
      <c r="G49" s="537">
        <v>1043</v>
      </c>
      <c r="H49" s="540">
        <v>51164</v>
      </c>
      <c r="I49" s="537">
        <v>82</v>
      </c>
      <c r="J49" s="540"/>
      <c r="K49" s="537"/>
      <c r="L49" s="520">
        <v>10485719</v>
      </c>
      <c r="M49" s="538">
        <v>25249.4</v>
      </c>
      <c r="N49" s="537">
        <v>132</v>
      </c>
      <c r="O49" s="520">
        <v>208972</v>
      </c>
      <c r="P49" s="538">
        <v>449.4</v>
      </c>
      <c r="Q49" s="537">
        <v>2793</v>
      </c>
      <c r="R49" s="539">
        <v>6673.75</v>
      </c>
      <c r="S49" s="538">
        <v>18.538194444444446</v>
      </c>
      <c r="T49" s="537">
        <v>55</v>
      </c>
      <c r="U49" s="540">
        <v>2132961</v>
      </c>
      <c r="V49" s="538">
        <v>4242.8999999999996</v>
      </c>
      <c r="W49" s="537">
        <v>1</v>
      </c>
      <c r="X49" s="221"/>
      <c r="Y49" s="219"/>
      <c r="Z49" s="221"/>
      <c r="AA49" s="40"/>
    </row>
    <row r="50" spans="2:27" x14ac:dyDescent="0.2">
      <c r="B50" s="166">
        <f>'1. LDC Info'!$F$27-9</f>
        <v>2008</v>
      </c>
      <c r="C50" s="38" t="s">
        <v>111</v>
      </c>
      <c r="D50" s="520">
        <v>6878615</v>
      </c>
      <c r="E50" s="537">
        <v>7892</v>
      </c>
      <c r="F50" s="520">
        <v>3032937</v>
      </c>
      <c r="G50" s="537">
        <v>1041</v>
      </c>
      <c r="H50" s="540">
        <v>50446</v>
      </c>
      <c r="I50" s="537">
        <v>83</v>
      </c>
      <c r="J50" s="540"/>
      <c r="K50" s="537"/>
      <c r="L50" s="520">
        <v>10240909</v>
      </c>
      <c r="M50" s="538">
        <v>25006.400000000001</v>
      </c>
      <c r="N50" s="537">
        <v>132</v>
      </c>
      <c r="O50" s="520">
        <v>179198</v>
      </c>
      <c r="P50" s="538">
        <v>449.4</v>
      </c>
      <c r="Q50" s="537">
        <v>2793</v>
      </c>
      <c r="R50" s="539">
        <v>8038.78125</v>
      </c>
      <c r="S50" s="538">
        <v>22.329947916666665</v>
      </c>
      <c r="T50" s="537">
        <v>55</v>
      </c>
      <c r="U50" s="540">
        <v>1768153</v>
      </c>
      <c r="V50" s="538">
        <v>3792.6</v>
      </c>
      <c r="W50" s="537">
        <v>1</v>
      </c>
      <c r="X50" s="221"/>
      <c r="Y50" s="219"/>
      <c r="Z50" s="221"/>
      <c r="AA50" s="40"/>
    </row>
    <row r="51" spans="2:27" x14ac:dyDescent="0.2">
      <c r="B51" s="166">
        <f>'1. LDC Info'!$F$27-9</f>
        <v>2008</v>
      </c>
      <c r="C51" s="38" t="s">
        <v>112</v>
      </c>
      <c r="D51" s="520">
        <v>6751127</v>
      </c>
      <c r="E51" s="537">
        <v>7895</v>
      </c>
      <c r="F51" s="520">
        <v>3033738</v>
      </c>
      <c r="G51" s="537">
        <v>1039</v>
      </c>
      <c r="H51" s="540">
        <v>57935</v>
      </c>
      <c r="I51" s="537">
        <v>92</v>
      </c>
      <c r="J51" s="540"/>
      <c r="K51" s="537"/>
      <c r="L51" s="520">
        <v>10387412</v>
      </c>
      <c r="M51" s="538">
        <v>25006.799999999999</v>
      </c>
      <c r="N51" s="537">
        <v>133</v>
      </c>
      <c r="O51" s="520">
        <v>172196</v>
      </c>
      <c r="P51" s="538">
        <v>443</v>
      </c>
      <c r="Q51" s="537">
        <v>2793</v>
      </c>
      <c r="R51" s="539">
        <v>6652.1111111111113</v>
      </c>
      <c r="S51" s="538">
        <v>18.478086419753087</v>
      </c>
      <c r="T51" s="537">
        <v>55</v>
      </c>
      <c r="U51" s="540">
        <v>1674289</v>
      </c>
      <c r="V51" s="538">
        <v>3523.9</v>
      </c>
      <c r="W51" s="537">
        <v>1</v>
      </c>
      <c r="X51" s="221"/>
      <c r="Y51" s="219"/>
      <c r="Z51" s="221"/>
      <c r="AA51" s="40"/>
    </row>
    <row r="52" spans="2:27" x14ac:dyDescent="0.2">
      <c r="B52" s="166">
        <f>'1. LDC Info'!$F$27-9</f>
        <v>2008</v>
      </c>
      <c r="C52" s="38" t="s">
        <v>113</v>
      </c>
      <c r="D52" s="520">
        <v>5538476</v>
      </c>
      <c r="E52" s="537">
        <v>7897</v>
      </c>
      <c r="F52" s="520">
        <v>2674755</v>
      </c>
      <c r="G52" s="537">
        <v>1039</v>
      </c>
      <c r="H52" s="540">
        <v>59572</v>
      </c>
      <c r="I52" s="537">
        <v>96</v>
      </c>
      <c r="J52" s="540"/>
      <c r="K52" s="537"/>
      <c r="L52" s="520">
        <v>9777040</v>
      </c>
      <c r="M52" s="538">
        <v>24685.9</v>
      </c>
      <c r="N52" s="537">
        <v>133</v>
      </c>
      <c r="O52" s="520">
        <v>146174</v>
      </c>
      <c r="P52" s="538">
        <v>443</v>
      </c>
      <c r="Q52" s="537">
        <v>2793</v>
      </c>
      <c r="R52" s="539">
        <v>7145.5833333333339</v>
      </c>
      <c r="S52" s="538">
        <v>19.848842592592593</v>
      </c>
      <c r="T52" s="537">
        <v>55</v>
      </c>
      <c r="U52" s="540">
        <v>1801153.5</v>
      </c>
      <c r="V52" s="538">
        <v>3400.2999999999997</v>
      </c>
      <c r="W52" s="537">
        <v>1</v>
      </c>
      <c r="X52" s="221"/>
      <c r="Y52" s="219"/>
      <c r="Z52" s="221"/>
      <c r="AA52" s="40"/>
    </row>
    <row r="53" spans="2:27" x14ac:dyDescent="0.2">
      <c r="B53" s="166">
        <f>'1. LDC Info'!$F$27-9</f>
        <v>2008</v>
      </c>
      <c r="C53" s="38" t="s">
        <v>114</v>
      </c>
      <c r="D53" s="520">
        <v>5154485</v>
      </c>
      <c r="E53" s="537">
        <v>7898</v>
      </c>
      <c r="F53" s="520">
        <v>2551153</v>
      </c>
      <c r="G53" s="537">
        <v>1041</v>
      </c>
      <c r="H53" s="540">
        <v>61689</v>
      </c>
      <c r="I53" s="537">
        <v>96</v>
      </c>
      <c r="J53" s="540"/>
      <c r="K53" s="537"/>
      <c r="L53" s="520">
        <v>9623583</v>
      </c>
      <c r="M53" s="538">
        <v>24617.3</v>
      </c>
      <c r="N53" s="537">
        <v>133</v>
      </c>
      <c r="O53" s="520">
        <v>133882</v>
      </c>
      <c r="P53" s="538">
        <v>443</v>
      </c>
      <c r="Q53" s="537">
        <v>2793</v>
      </c>
      <c r="R53" s="539">
        <v>6360.7346938775599</v>
      </c>
      <c r="S53" s="538">
        <v>17.668707482993224</v>
      </c>
      <c r="T53" s="537">
        <v>55</v>
      </c>
      <c r="U53" s="540">
        <v>1531545.4</v>
      </c>
      <c r="V53" s="538">
        <v>3447.6000000000004</v>
      </c>
      <c r="W53" s="537">
        <v>1</v>
      </c>
      <c r="X53" s="221"/>
      <c r="Y53" s="219"/>
      <c r="Z53" s="221"/>
      <c r="AA53" s="40"/>
    </row>
    <row r="54" spans="2:27" x14ac:dyDescent="0.2">
      <c r="B54" s="166">
        <f>'1. LDC Info'!$F$27-9</f>
        <v>2008</v>
      </c>
      <c r="C54" s="38" t="s">
        <v>115</v>
      </c>
      <c r="D54" s="520">
        <v>5121822</v>
      </c>
      <c r="E54" s="537">
        <v>7907</v>
      </c>
      <c r="F54" s="520">
        <v>2651204</v>
      </c>
      <c r="G54" s="537">
        <v>1042</v>
      </c>
      <c r="H54" s="540">
        <v>62303.742717983012</v>
      </c>
      <c r="I54" s="537">
        <v>96</v>
      </c>
      <c r="J54" s="540"/>
      <c r="K54" s="537"/>
      <c r="L54" s="520">
        <v>10074899</v>
      </c>
      <c r="M54" s="538">
        <v>24008.2</v>
      </c>
      <c r="N54" s="537">
        <v>132</v>
      </c>
      <c r="O54" s="520">
        <v>120396.52153566996</v>
      </c>
      <c r="P54" s="538">
        <v>443</v>
      </c>
      <c r="Q54" s="537">
        <v>2793</v>
      </c>
      <c r="R54" s="539">
        <v>6235.8235021778592</v>
      </c>
      <c r="S54" s="538">
        <v>17.206702898550724</v>
      </c>
      <c r="T54" s="537">
        <v>61</v>
      </c>
      <c r="U54" s="540">
        <v>1483481.9</v>
      </c>
      <c r="V54" s="538">
        <v>3087.2</v>
      </c>
      <c r="W54" s="537">
        <v>1</v>
      </c>
      <c r="X54" s="221"/>
      <c r="Y54" s="219"/>
      <c r="Z54" s="221"/>
      <c r="AA54" s="40"/>
    </row>
    <row r="55" spans="2:27" x14ac:dyDescent="0.2">
      <c r="B55" s="166">
        <f>'1. LDC Info'!$F$27-9</f>
        <v>2008</v>
      </c>
      <c r="C55" s="38" t="s">
        <v>116</v>
      </c>
      <c r="D55" s="520">
        <v>5501402</v>
      </c>
      <c r="E55" s="537">
        <v>7917</v>
      </c>
      <c r="F55" s="520">
        <v>2888471</v>
      </c>
      <c r="G55" s="537">
        <v>1043</v>
      </c>
      <c r="H55" s="540">
        <v>62599.000000000007</v>
      </c>
      <c r="I55" s="537">
        <v>97</v>
      </c>
      <c r="J55" s="540"/>
      <c r="K55" s="537"/>
      <c r="L55" s="520">
        <v>10548104</v>
      </c>
      <c r="M55" s="538">
        <v>25267.200000000001</v>
      </c>
      <c r="N55" s="537">
        <v>132</v>
      </c>
      <c r="O55" s="520">
        <v>127016</v>
      </c>
      <c r="P55" s="538">
        <v>443</v>
      </c>
      <c r="Q55" s="537">
        <v>2793</v>
      </c>
      <c r="R55" s="539">
        <v>6758.8846153846152</v>
      </c>
      <c r="S55" s="538">
        <v>18.774679487179487</v>
      </c>
      <c r="T55" s="537">
        <v>61</v>
      </c>
      <c r="U55" s="540">
        <v>1640411.2999999998</v>
      </c>
      <c r="V55" s="538">
        <v>3252</v>
      </c>
      <c r="W55" s="537">
        <v>1</v>
      </c>
      <c r="X55" s="221"/>
      <c r="Y55" s="219"/>
      <c r="Z55" s="221"/>
      <c r="AA55" s="40"/>
    </row>
    <row r="56" spans="2:27" x14ac:dyDescent="0.2">
      <c r="B56" s="166">
        <f>'1. LDC Info'!$F$27-9</f>
        <v>2008</v>
      </c>
      <c r="C56" s="38" t="s">
        <v>117</v>
      </c>
      <c r="D56" s="520">
        <v>5472077</v>
      </c>
      <c r="E56" s="537">
        <v>7915</v>
      </c>
      <c r="F56" s="520">
        <v>2833285</v>
      </c>
      <c r="G56" s="537">
        <v>1043</v>
      </c>
      <c r="H56" s="540">
        <v>62079</v>
      </c>
      <c r="I56" s="537">
        <v>97</v>
      </c>
      <c r="J56" s="540"/>
      <c r="K56" s="537"/>
      <c r="L56" s="520">
        <v>10126348</v>
      </c>
      <c r="M56" s="538">
        <v>25272.5</v>
      </c>
      <c r="N56" s="537">
        <v>132</v>
      </c>
      <c r="O56" s="520">
        <v>144181</v>
      </c>
      <c r="P56" s="538">
        <v>443</v>
      </c>
      <c r="Q56" s="537">
        <v>2793</v>
      </c>
      <c r="R56" s="539">
        <v>7602.7941176470586</v>
      </c>
      <c r="S56" s="538">
        <v>21.118872549019606</v>
      </c>
      <c r="T56" s="537">
        <v>61</v>
      </c>
      <c r="U56" s="540">
        <v>1062188</v>
      </c>
      <c r="V56" s="538">
        <v>3439.1000000000004</v>
      </c>
      <c r="W56" s="537">
        <v>1</v>
      </c>
      <c r="X56" s="221"/>
      <c r="Y56" s="219"/>
      <c r="Z56" s="221"/>
      <c r="AA56" s="40"/>
    </row>
    <row r="57" spans="2:27" x14ac:dyDescent="0.2">
      <c r="B57" s="166">
        <f>'1. LDC Info'!$F$27-9</f>
        <v>2008</v>
      </c>
      <c r="C57" s="38" t="s">
        <v>107</v>
      </c>
      <c r="D57" s="520">
        <v>5086238</v>
      </c>
      <c r="E57" s="537">
        <v>7932</v>
      </c>
      <c r="F57" s="520">
        <v>2637269</v>
      </c>
      <c r="G57" s="537">
        <v>1040</v>
      </c>
      <c r="H57" s="540">
        <v>63462.999999999993</v>
      </c>
      <c r="I57" s="537">
        <v>98</v>
      </c>
      <c r="J57" s="540"/>
      <c r="K57" s="537"/>
      <c r="L57" s="520">
        <v>10239212</v>
      </c>
      <c r="M57" s="538">
        <v>24989.9</v>
      </c>
      <c r="N57" s="537">
        <v>133</v>
      </c>
      <c r="O57" s="520">
        <v>156140</v>
      </c>
      <c r="P57" s="538">
        <v>443</v>
      </c>
      <c r="Q57" s="537">
        <v>2793</v>
      </c>
      <c r="R57" s="539">
        <v>6276.1071428571431</v>
      </c>
      <c r="S57" s="538">
        <v>17.433630952380952</v>
      </c>
      <c r="T57" s="537">
        <v>61</v>
      </c>
      <c r="U57" s="540">
        <v>1678443</v>
      </c>
      <c r="V57" s="538">
        <v>3600.2</v>
      </c>
      <c r="W57" s="537">
        <v>1</v>
      </c>
      <c r="X57" s="221"/>
      <c r="Y57" s="219"/>
      <c r="Z57" s="221"/>
      <c r="AA57" s="40"/>
    </row>
    <row r="58" spans="2:27" x14ac:dyDescent="0.2">
      <c r="B58" s="166">
        <f>'1. LDC Info'!$F$27-9</f>
        <v>2008</v>
      </c>
      <c r="C58" s="38" t="s">
        <v>108</v>
      </c>
      <c r="D58" s="520">
        <v>5400379</v>
      </c>
      <c r="E58" s="537">
        <v>8052</v>
      </c>
      <c r="F58" s="520">
        <v>2668598</v>
      </c>
      <c r="G58" s="537">
        <v>1052</v>
      </c>
      <c r="H58" s="540">
        <v>62943</v>
      </c>
      <c r="I58" s="537">
        <v>98</v>
      </c>
      <c r="J58" s="540"/>
      <c r="K58" s="537"/>
      <c r="L58" s="520">
        <v>10096532</v>
      </c>
      <c r="M58" s="538">
        <v>25549.1</v>
      </c>
      <c r="N58" s="537">
        <v>133</v>
      </c>
      <c r="O58" s="520">
        <v>149422</v>
      </c>
      <c r="P58" s="538">
        <v>363.8</v>
      </c>
      <c r="Q58" s="537">
        <v>2793</v>
      </c>
      <c r="R58" s="539">
        <v>7349.7428571428572</v>
      </c>
      <c r="S58" s="538">
        <v>20.41595238095238</v>
      </c>
      <c r="T58" s="537">
        <v>61</v>
      </c>
      <c r="U58" s="540">
        <v>1500377.3</v>
      </c>
      <c r="V58" s="538">
        <v>2810.0000000000005</v>
      </c>
      <c r="W58" s="537">
        <v>1</v>
      </c>
      <c r="X58" s="221"/>
      <c r="Y58" s="219"/>
      <c r="Z58" s="221"/>
      <c r="AA58" s="40"/>
    </row>
    <row r="59" spans="2:27" x14ac:dyDescent="0.2">
      <c r="B59" s="166">
        <f>'1. LDC Info'!$F$27-9</f>
        <v>2008</v>
      </c>
      <c r="C59" s="38" t="s">
        <v>109</v>
      </c>
      <c r="D59" s="520">
        <v>6282236</v>
      </c>
      <c r="E59" s="537">
        <v>8084</v>
      </c>
      <c r="F59" s="520">
        <v>2862777</v>
      </c>
      <c r="G59" s="537">
        <v>1051</v>
      </c>
      <c r="H59" s="540">
        <v>63462.999999999993</v>
      </c>
      <c r="I59" s="537">
        <v>98</v>
      </c>
      <c r="J59" s="540"/>
      <c r="K59" s="537"/>
      <c r="L59" s="520">
        <v>9776177</v>
      </c>
      <c r="M59" s="538">
        <v>24612.2</v>
      </c>
      <c r="N59" s="537">
        <v>134</v>
      </c>
      <c r="O59" s="520">
        <v>158245</v>
      </c>
      <c r="P59" s="538">
        <v>363.8</v>
      </c>
      <c r="Q59" s="537">
        <v>2793</v>
      </c>
      <c r="R59" s="539">
        <v>6626.5090909091005</v>
      </c>
      <c r="S59" s="538">
        <v>18.406969696969725</v>
      </c>
      <c r="T59" s="537">
        <v>61</v>
      </c>
      <c r="U59" s="540">
        <v>1600666.3</v>
      </c>
      <c r="V59" s="538">
        <v>3201.4000000000005</v>
      </c>
      <c r="W59" s="537">
        <v>1</v>
      </c>
      <c r="X59" s="221"/>
      <c r="Y59" s="219"/>
      <c r="Z59" s="221"/>
      <c r="AA59" s="40"/>
    </row>
    <row r="60" spans="2:27" x14ac:dyDescent="0.2">
      <c r="B60" s="166">
        <f>'1. LDC Info'!$F$27-9</f>
        <v>2008</v>
      </c>
      <c r="C60" s="38" t="s">
        <v>106</v>
      </c>
      <c r="D60" s="520">
        <v>7515253</v>
      </c>
      <c r="E60" s="537">
        <v>8023</v>
      </c>
      <c r="F60" s="520">
        <v>3245558</v>
      </c>
      <c r="G60" s="537">
        <v>1052</v>
      </c>
      <c r="H60" s="539">
        <v>62743.000000000007</v>
      </c>
      <c r="I60" s="537">
        <v>98</v>
      </c>
      <c r="J60" s="539"/>
      <c r="K60" s="537"/>
      <c r="L60" s="520">
        <v>9627441</v>
      </c>
      <c r="M60" s="538">
        <v>24647.5</v>
      </c>
      <c r="N60" s="537">
        <v>134</v>
      </c>
      <c r="O60" s="520">
        <v>171977</v>
      </c>
      <c r="P60" s="538">
        <v>363.8</v>
      </c>
      <c r="Q60" s="537">
        <v>2793</v>
      </c>
      <c r="R60" s="539">
        <v>5332.9777777777781</v>
      </c>
      <c r="S60" s="538">
        <v>14.813827160493828</v>
      </c>
      <c r="T60" s="537">
        <v>61</v>
      </c>
      <c r="U60" s="539">
        <v>931835.7</v>
      </c>
      <c r="V60" s="538">
        <v>2666.6</v>
      </c>
      <c r="W60" s="537">
        <v>1</v>
      </c>
      <c r="X60" s="221"/>
      <c r="Y60" s="219"/>
      <c r="Z60" s="221"/>
      <c r="AA60" s="40"/>
    </row>
    <row r="61" spans="2:27" x14ac:dyDescent="0.2">
      <c r="B61" s="166">
        <f>'1. LDC Info'!$F$27-8</f>
        <v>2009</v>
      </c>
      <c r="C61" s="38" t="s">
        <v>110</v>
      </c>
      <c r="D61" s="520">
        <v>7866405</v>
      </c>
      <c r="E61" s="537">
        <v>8132</v>
      </c>
      <c r="F61" s="539">
        <v>3373321.16</v>
      </c>
      <c r="G61" s="537">
        <v>1060</v>
      </c>
      <c r="H61" s="540">
        <v>63263</v>
      </c>
      <c r="I61" s="537">
        <v>97</v>
      </c>
      <c r="J61" s="540"/>
      <c r="K61" s="537"/>
      <c r="L61" s="520">
        <v>9990638</v>
      </c>
      <c r="M61" s="538">
        <v>24548.799999999999</v>
      </c>
      <c r="N61" s="537">
        <v>129</v>
      </c>
      <c r="O61" s="520">
        <v>169158</v>
      </c>
      <c r="P61" s="538">
        <v>363.8</v>
      </c>
      <c r="Q61" s="537">
        <v>2886</v>
      </c>
      <c r="R61" s="539">
        <v>6423.1923076923076</v>
      </c>
      <c r="S61" s="538">
        <v>17.842200854700856</v>
      </c>
      <c r="T61" s="537">
        <v>62</v>
      </c>
      <c r="U61" s="540">
        <v>1512592.9</v>
      </c>
      <c r="V61" s="538">
        <v>3346</v>
      </c>
      <c r="W61" s="537">
        <v>1</v>
      </c>
      <c r="X61" s="221"/>
      <c r="Y61" s="219"/>
      <c r="Z61" s="221"/>
      <c r="AA61" s="40"/>
    </row>
    <row r="62" spans="2:27" x14ac:dyDescent="0.2">
      <c r="B62" s="166">
        <f>'1. LDC Info'!$F$27-8</f>
        <v>2009</v>
      </c>
      <c r="C62" s="38" t="s">
        <v>111</v>
      </c>
      <c r="D62" s="520">
        <v>6760650</v>
      </c>
      <c r="E62" s="537">
        <v>8131</v>
      </c>
      <c r="F62" s="539">
        <v>3021045</v>
      </c>
      <c r="G62" s="537">
        <v>1061</v>
      </c>
      <c r="H62" s="540">
        <v>62743.000000000007</v>
      </c>
      <c r="I62" s="537">
        <v>97</v>
      </c>
      <c r="J62" s="540"/>
      <c r="K62" s="537"/>
      <c r="L62" s="520">
        <v>9262361</v>
      </c>
      <c r="M62" s="538">
        <v>24764.3</v>
      </c>
      <c r="N62" s="537">
        <v>130</v>
      </c>
      <c r="O62" s="520">
        <v>126954</v>
      </c>
      <c r="P62" s="538">
        <v>329.8</v>
      </c>
      <c r="Q62" s="537">
        <v>2886</v>
      </c>
      <c r="R62" s="539">
        <v>7147.6388888888887</v>
      </c>
      <c r="S62" s="538">
        <v>19.8545524691358</v>
      </c>
      <c r="T62" s="537">
        <v>62</v>
      </c>
      <c r="U62" s="540">
        <v>1657022</v>
      </c>
      <c r="V62" s="538">
        <v>3608.2</v>
      </c>
      <c r="W62" s="537">
        <v>1</v>
      </c>
      <c r="X62" s="221"/>
      <c r="Y62" s="219"/>
      <c r="Z62" s="221"/>
      <c r="AA62" s="40"/>
    </row>
    <row r="63" spans="2:27" x14ac:dyDescent="0.2">
      <c r="B63" s="166">
        <f>'1. LDC Info'!$F$27-8</f>
        <v>2009</v>
      </c>
      <c r="C63" s="38" t="s">
        <v>112</v>
      </c>
      <c r="D63" s="520">
        <v>6632476</v>
      </c>
      <c r="E63" s="537">
        <v>8151</v>
      </c>
      <c r="F63" s="539">
        <v>3070816</v>
      </c>
      <c r="G63" s="537">
        <v>1060</v>
      </c>
      <c r="H63" s="540">
        <v>63263</v>
      </c>
      <c r="I63" s="537">
        <v>97</v>
      </c>
      <c r="J63" s="540"/>
      <c r="K63" s="537"/>
      <c r="L63" s="520">
        <v>9986968</v>
      </c>
      <c r="M63" s="538">
        <v>24347.9</v>
      </c>
      <c r="N63" s="537">
        <v>131</v>
      </c>
      <c r="O63" s="520">
        <v>127778</v>
      </c>
      <c r="P63" s="538">
        <v>329.8</v>
      </c>
      <c r="Q63" s="537">
        <v>2886</v>
      </c>
      <c r="R63" s="539">
        <v>6507.9583333333339</v>
      </c>
      <c r="S63" s="538">
        <v>18.07766203703704</v>
      </c>
      <c r="T63" s="537">
        <v>62</v>
      </c>
      <c r="U63" s="540">
        <v>1438631.69</v>
      </c>
      <c r="V63" s="538">
        <v>4236.1000000000004</v>
      </c>
      <c r="W63" s="537">
        <v>1</v>
      </c>
      <c r="X63" s="221"/>
      <c r="Y63" s="219"/>
      <c r="Z63" s="221"/>
      <c r="AA63" s="40"/>
    </row>
    <row r="64" spans="2:27" x14ac:dyDescent="0.2">
      <c r="B64" s="166">
        <f>'1. LDC Info'!$F$27-8</f>
        <v>2009</v>
      </c>
      <c r="C64" s="38" t="s">
        <v>113</v>
      </c>
      <c r="D64" s="520">
        <v>5541968</v>
      </c>
      <c r="E64" s="537">
        <v>8181</v>
      </c>
      <c r="F64" s="539">
        <v>2674378</v>
      </c>
      <c r="G64" s="537">
        <v>1064</v>
      </c>
      <c r="H64" s="540">
        <v>62743.000000000007</v>
      </c>
      <c r="I64" s="537">
        <v>97</v>
      </c>
      <c r="J64" s="540"/>
      <c r="K64" s="537"/>
      <c r="L64" s="520">
        <v>9128521</v>
      </c>
      <c r="M64" s="538">
        <v>23610.9</v>
      </c>
      <c r="N64" s="537">
        <v>131</v>
      </c>
      <c r="O64" s="520">
        <v>108818</v>
      </c>
      <c r="P64" s="538">
        <v>329.8</v>
      </c>
      <c r="Q64" s="537">
        <v>2886</v>
      </c>
      <c r="R64" s="539">
        <v>7354.5294117647054</v>
      </c>
      <c r="S64" s="538">
        <v>20.429248366013073</v>
      </c>
      <c r="T64" s="537">
        <v>57</v>
      </c>
      <c r="U64" s="540">
        <v>1582039</v>
      </c>
      <c r="V64" s="538">
        <v>4091.5</v>
      </c>
      <c r="W64" s="537">
        <v>1</v>
      </c>
      <c r="X64" s="221"/>
      <c r="Y64" s="219"/>
      <c r="Z64" s="221"/>
      <c r="AA64" s="40"/>
    </row>
    <row r="65" spans="2:28" x14ac:dyDescent="0.2">
      <c r="B65" s="166">
        <f>'1. LDC Info'!$F$27-8</f>
        <v>2009</v>
      </c>
      <c r="C65" s="38" t="s">
        <v>114</v>
      </c>
      <c r="D65" s="520">
        <v>5117567</v>
      </c>
      <c r="E65" s="537">
        <v>8191</v>
      </c>
      <c r="F65" s="539">
        <v>2653110</v>
      </c>
      <c r="G65" s="537">
        <v>1051</v>
      </c>
      <c r="H65" s="540">
        <v>63213</v>
      </c>
      <c r="I65" s="537">
        <v>96</v>
      </c>
      <c r="J65" s="540"/>
      <c r="K65" s="537"/>
      <c r="L65" s="520">
        <v>9208490</v>
      </c>
      <c r="M65" s="538">
        <v>24000.7</v>
      </c>
      <c r="N65" s="537">
        <v>131</v>
      </c>
      <c r="O65" s="520">
        <v>99667</v>
      </c>
      <c r="P65" s="538">
        <v>329.8</v>
      </c>
      <c r="Q65" s="537">
        <v>2733</v>
      </c>
      <c r="R65" s="539">
        <v>6159.521739130435</v>
      </c>
      <c r="S65" s="538">
        <v>17.109782608695653</v>
      </c>
      <c r="T65" s="537">
        <v>57</v>
      </c>
      <c r="U65" s="540">
        <v>1832551</v>
      </c>
      <c r="V65" s="538">
        <v>4727</v>
      </c>
      <c r="W65" s="537">
        <v>1</v>
      </c>
      <c r="X65" s="221"/>
      <c r="Y65" s="219"/>
      <c r="Z65" s="221"/>
      <c r="AA65" s="40"/>
    </row>
    <row r="66" spans="2:28" x14ac:dyDescent="0.2">
      <c r="B66" s="166">
        <f>'1. LDC Info'!$F$27-8</f>
        <v>2009</v>
      </c>
      <c r="C66" s="38" t="s">
        <v>115</v>
      </c>
      <c r="D66" s="520">
        <v>4951914</v>
      </c>
      <c r="E66" s="537">
        <v>8195</v>
      </c>
      <c r="F66" s="539">
        <v>2637237</v>
      </c>
      <c r="G66" s="537">
        <v>1058</v>
      </c>
      <c r="H66" s="540">
        <v>62693</v>
      </c>
      <c r="I66" s="537">
        <v>96</v>
      </c>
      <c r="J66" s="540"/>
      <c r="K66" s="537"/>
      <c r="L66" s="520">
        <v>9666388</v>
      </c>
      <c r="M66" s="538">
        <v>23560.3</v>
      </c>
      <c r="N66" s="537">
        <v>130</v>
      </c>
      <c r="O66" s="520">
        <v>82945</v>
      </c>
      <c r="P66" s="538">
        <v>307.3</v>
      </c>
      <c r="Q66" s="537">
        <v>2641</v>
      </c>
      <c r="R66" s="539">
        <v>6613.0750000000007</v>
      </c>
      <c r="S66" s="538">
        <v>18.36965277777778</v>
      </c>
      <c r="T66" s="537">
        <v>57</v>
      </c>
      <c r="U66" s="540">
        <v>1897917</v>
      </c>
      <c r="V66" s="538">
        <v>4612.3</v>
      </c>
      <c r="W66" s="537">
        <v>1</v>
      </c>
      <c r="X66" s="221"/>
      <c r="Y66" s="219"/>
      <c r="Z66" s="221"/>
      <c r="AA66" s="40"/>
    </row>
    <row r="67" spans="2:28" x14ac:dyDescent="0.2">
      <c r="B67" s="166">
        <f>'1. LDC Info'!$F$27-8</f>
        <v>2009</v>
      </c>
      <c r="C67" s="38" t="s">
        <v>116</v>
      </c>
      <c r="D67" s="520">
        <v>5396409</v>
      </c>
      <c r="E67" s="537">
        <v>8203</v>
      </c>
      <c r="F67" s="539">
        <v>2874677</v>
      </c>
      <c r="G67" s="537">
        <v>1060</v>
      </c>
      <c r="H67" s="540">
        <v>63213</v>
      </c>
      <c r="I67" s="537">
        <v>96</v>
      </c>
      <c r="J67" s="540"/>
      <c r="K67" s="537"/>
      <c r="L67" s="520">
        <v>9765834</v>
      </c>
      <c r="M67" s="538">
        <v>24621.9</v>
      </c>
      <c r="N67" s="537">
        <v>129</v>
      </c>
      <c r="O67" s="520">
        <v>77686</v>
      </c>
      <c r="P67" s="538">
        <v>271</v>
      </c>
      <c r="Q67" s="537">
        <v>2642</v>
      </c>
      <c r="R67" s="539">
        <v>6475.217391304348</v>
      </c>
      <c r="S67" s="538">
        <v>17.986714975845413</v>
      </c>
      <c r="T67" s="537">
        <v>57</v>
      </c>
      <c r="U67" s="540">
        <v>1678303</v>
      </c>
      <c r="V67" s="538">
        <v>4217.5</v>
      </c>
      <c r="W67" s="537">
        <v>1</v>
      </c>
      <c r="X67" s="221"/>
      <c r="Y67" s="219"/>
      <c r="Z67" s="221"/>
      <c r="AA67" s="40"/>
    </row>
    <row r="68" spans="2:28" x14ac:dyDescent="0.2">
      <c r="B68" s="166">
        <f>'1. LDC Info'!$F$27-8</f>
        <v>2009</v>
      </c>
      <c r="C68" s="38" t="s">
        <v>117</v>
      </c>
      <c r="D68" s="520">
        <v>5625332</v>
      </c>
      <c r="E68" s="537">
        <v>8219</v>
      </c>
      <c r="F68" s="539">
        <v>2967579</v>
      </c>
      <c r="G68" s="537">
        <v>1062</v>
      </c>
      <c r="H68" s="540">
        <v>62952.999999999993</v>
      </c>
      <c r="I68" s="537">
        <v>96</v>
      </c>
      <c r="J68" s="540"/>
      <c r="K68" s="537"/>
      <c r="L68" s="520">
        <v>10129093</v>
      </c>
      <c r="M68" s="538">
        <v>24304.3</v>
      </c>
      <c r="N68" s="537">
        <v>129</v>
      </c>
      <c r="O68" s="520">
        <v>88190</v>
      </c>
      <c r="P68" s="538">
        <v>271</v>
      </c>
      <c r="Q68" s="537">
        <v>2705</v>
      </c>
      <c r="R68" s="539">
        <v>6932.4000000000005</v>
      </c>
      <c r="S68" s="538">
        <v>19.256666666666668</v>
      </c>
      <c r="T68" s="537">
        <v>57</v>
      </c>
      <c r="U68" s="540">
        <v>1565396</v>
      </c>
      <c r="V68" s="538">
        <v>4434.1000000000004</v>
      </c>
      <c r="W68" s="537">
        <v>1</v>
      </c>
      <c r="X68" s="221"/>
      <c r="Y68" s="219"/>
      <c r="Z68" s="221"/>
      <c r="AA68" s="40"/>
    </row>
    <row r="69" spans="2:28" x14ac:dyDescent="0.2">
      <c r="B69" s="166">
        <f>'1. LDC Info'!$F$27-8</f>
        <v>2009</v>
      </c>
      <c r="C69" s="38" t="s">
        <v>107</v>
      </c>
      <c r="D69" s="520">
        <v>5229017</v>
      </c>
      <c r="E69" s="537">
        <v>8230</v>
      </c>
      <c r="F69" s="539">
        <v>2674140</v>
      </c>
      <c r="G69" s="537">
        <v>1063</v>
      </c>
      <c r="H69" s="540">
        <v>62952.999999999993</v>
      </c>
      <c r="I69" s="537">
        <v>95</v>
      </c>
      <c r="J69" s="540"/>
      <c r="K69" s="537"/>
      <c r="L69" s="520">
        <v>9710715</v>
      </c>
      <c r="M69" s="538">
        <v>25263.8</v>
      </c>
      <c r="N69" s="537">
        <v>129</v>
      </c>
      <c r="O69" s="520">
        <v>97876</v>
      </c>
      <c r="P69" s="538">
        <v>277.7</v>
      </c>
      <c r="Q69" s="537">
        <v>2735</v>
      </c>
      <c r="R69" s="539">
        <v>7801.0952380952394</v>
      </c>
      <c r="S69" s="538">
        <v>21.669708994708994</v>
      </c>
      <c r="T69" s="537">
        <v>57</v>
      </c>
      <c r="U69" s="540">
        <v>1527190</v>
      </c>
      <c r="V69" s="538">
        <v>3800.5</v>
      </c>
      <c r="W69" s="537">
        <v>1</v>
      </c>
      <c r="X69" s="221"/>
      <c r="Y69" s="219"/>
      <c r="Z69" s="221"/>
      <c r="AA69" s="40"/>
    </row>
    <row r="70" spans="2:28" x14ac:dyDescent="0.2">
      <c r="B70" s="166">
        <f>'1. LDC Info'!$F$27-8</f>
        <v>2009</v>
      </c>
      <c r="C70" s="38" t="s">
        <v>108</v>
      </c>
      <c r="D70" s="520">
        <v>5448050</v>
      </c>
      <c r="E70" s="537">
        <v>8234</v>
      </c>
      <c r="F70" s="539">
        <v>2694171</v>
      </c>
      <c r="G70" s="537">
        <v>1063</v>
      </c>
      <c r="H70" s="540">
        <v>56645</v>
      </c>
      <c r="I70" s="537">
        <v>96</v>
      </c>
      <c r="J70" s="540"/>
      <c r="K70" s="537"/>
      <c r="L70" s="520">
        <v>9546808</v>
      </c>
      <c r="M70" s="538">
        <v>24143.9</v>
      </c>
      <c r="N70" s="537">
        <v>129</v>
      </c>
      <c r="O70" s="520">
        <v>116281</v>
      </c>
      <c r="P70" s="538">
        <v>280.7</v>
      </c>
      <c r="Q70" s="537">
        <v>2745</v>
      </c>
      <c r="R70" s="539">
        <v>6408.8157894736842</v>
      </c>
      <c r="S70" s="538">
        <v>17.802266081871345</v>
      </c>
      <c r="T70" s="537">
        <v>57</v>
      </c>
      <c r="U70" s="540">
        <v>1612105</v>
      </c>
      <c r="V70" s="538">
        <v>3949.4</v>
      </c>
      <c r="W70" s="537">
        <v>1</v>
      </c>
      <c r="X70" s="221"/>
      <c r="Y70" s="219"/>
      <c r="Z70" s="221"/>
      <c r="AA70" s="40"/>
    </row>
    <row r="71" spans="2:28" x14ac:dyDescent="0.2">
      <c r="B71" s="166">
        <f>'1. LDC Info'!$F$27-8</f>
        <v>2009</v>
      </c>
      <c r="C71" s="38" t="s">
        <v>109</v>
      </c>
      <c r="D71" s="520">
        <v>5954931</v>
      </c>
      <c r="E71" s="537">
        <v>8237</v>
      </c>
      <c r="F71" s="539">
        <v>2725548</v>
      </c>
      <c r="G71" s="537">
        <v>1063</v>
      </c>
      <c r="H71" s="540">
        <v>63213</v>
      </c>
      <c r="I71" s="537">
        <v>96</v>
      </c>
      <c r="J71" s="540"/>
      <c r="K71" s="537"/>
      <c r="L71" s="520">
        <v>9055750</v>
      </c>
      <c r="M71" s="538">
        <v>23440.7</v>
      </c>
      <c r="N71" s="537">
        <v>129</v>
      </c>
      <c r="O71" s="520">
        <v>122409</v>
      </c>
      <c r="P71" s="538">
        <v>281.7</v>
      </c>
      <c r="Q71" s="537">
        <v>2745</v>
      </c>
      <c r="R71" s="539">
        <v>6551.6153846153802</v>
      </c>
      <c r="S71" s="538">
        <v>18.198931623931614</v>
      </c>
      <c r="T71" s="537">
        <v>57</v>
      </c>
      <c r="U71" s="540">
        <v>1800121</v>
      </c>
      <c r="V71" s="538">
        <v>4158.6000000000004</v>
      </c>
      <c r="W71" s="537">
        <v>1</v>
      </c>
      <c r="X71" s="221"/>
      <c r="Y71" s="219"/>
      <c r="Z71" s="221"/>
      <c r="AA71" s="40"/>
    </row>
    <row r="72" spans="2:28" x14ac:dyDescent="0.2">
      <c r="B72" s="166">
        <f>'1. LDC Info'!$F$27-8</f>
        <v>2009</v>
      </c>
      <c r="C72" s="38" t="s">
        <v>106</v>
      </c>
      <c r="D72" s="520">
        <v>7412279</v>
      </c>
      <c r="E72" s="537">
        <v>8243</v>
      </c>
      <c r="F72" s="520">
        <v>3132924</v>
      </c>
      <c r="G72" s="537">
        <v>1065</v>
      </c>
      <c r="H72" s="539">
        <v>60979.034247225121</v>
      </c>
      <c r="I72" s="537">
        <v>94</v>
      </c>
      <c r="J72" s="539"/>
      <c r="K72" s="537"/>
      <c r="L72" s="520">
        <v>9424394</v>
      </c>
      <c r="M72" s="538">
        <v>23535.1</v>
      </c>
      <c r="N72" s="537">
        <v>130</v>
      </c>
      <c r="O72" s="520">
        <v>133139.17085665496</v>
      </c>
      <c r="P72" s="538">
        <v>281.7</v>
      </c>
      <c r="Q72" s="537">
        <v>2745</v>
      </c>
      <c r="R72" s="539">
        <v>4424.6276444360119</v>
      </c>
      <c r="S72" s="538">
        <v>15.510912698412699</v>
      </c>
      <c r="T72" s="537">
        <v>57</v>
      </c>
      <c r="U72" s="539">
        <v>1450498</v>
      </c>
      <c r="V72" s="538">
        <v>4447.7</v>
      </c>
      <c r="W72" s="537">
        <v>1</v>
      </c>
      <c r="X72" s="221"/>
      <c r="Y72" s="219"/>
      <c r="Z72" s="221"/>
      <c r="AA72" s="40"/>
    </row>
    <row r="73" spans="2:28" x14ac:dyDescent="0.2">
      <c r="B73" s="166">
        <f>'1. LDC Info'!$F$27-7</f>
        <v>2010</v>
      </c>
      <c r="C73" s="38" t="s">
        <v>110</v>
      </c>
      <c r="D73" s="520">
        <v>7764497</v>
      </c>
      <c r="E73" s="537">
        <v>8242</v>
      </c>
      <c r="F73" s="539">
        <v>3326441</v>
      </c>
      <c r="G73" s="537">
        <v>1066</v>
      </c>
      <c r="H73" s="540">
        <v>62693.292856465232</v>
      </c>
      <c r="I73" s="537">
        <v>94</v>
      </c>
      <c r="J73" s="540"/>
      <c r="K73" s="537"/>
      <c r="L73" s="520">
        <v>10389064</v>
      </c>
      <c r="M73" s="538">
        <v>24787</v>
      </c>
      <c r="N73" s="537">
        <v>130</v>
      </c>
      <c r="O73" s="520">
        <v>130958.16336210986</v>
      </c>
      <c r="P73" s="538">
        <v>281.7</v>
      </c>
      <c r="Q73" s="537">
        <v>2745</v>
      </c>
      <c r="R73" s="539">
        <v>2855.5165544066026</v>
      </c>
      <c r="S73" s="538">
        <v>17.84375</v>
      </c>
      <c r="T73" s="537">
        <v>57</v>
      </c>
      <c r="U73" s="540">
        <v>1493109</v>
      </c>
      <c r="V73" s="538">
        <v>3716.3</v>
      </c>
      <c r="W73" s="537">
        <v>1</v>
      </c>
      <c r="X73" s="221"/>
      <c r="Y73" s="219"/>
      <c r="Z73" s="221"/>
      <c r="AA73" s="40"/>
      <c r="AB73" s="846">
        <f>D73+F73+H73+L73+O73+R73+U73</f>
        <v>23169617.972772982</v>
      </c>
    </row>
    <row r="74" spans="2:28" x14ac:dyDescent="0.2">
      <c r="B74" s="166">
        <f>'1. LDC Info'!$F$27-7</f>
        <v>2010</v>
      </c>
      <c r="C74" s="38" t="s">
        <v>111</v>
      </c>
      <c r="D74" s="520">
        <v>6490321</v>
      </c>
      <c r="E74" s="537">
        <v>8244</v>
      </c>
      <c r="F74" s="539">
        <v>2949100</v>
      </c>
      <c r="G74" s="537">
        <v>1064</v>
      </c>
      <c r="H74" s="540">
        <v>63752.964614362958</v>
      </c>
      <c r="I74" s="537">
        <v>95</v>
      </c>
      <c r="J74" s="540"/>
      <c r="K74" s="537"/>
      <c r="L74" s="520">
        <v>9634785</v>
      </c>
      <c r="M74" s="538">
        <v>25055.599999999999</v>
      </c>
      <c r="N74" s="537">
        <v>131</v>
      </c>
      <c r="O74" s="520">
        <v>108428.04288018214</v>
      </c>
      <c r="P74" s="538">
        <v>281.7</v>
      </c>
      <c r="Q74" s="537">
        <v>2745</v>
      </c>
      <c r="R74" s="539">
        <v>4787.0221041646901</v>
      </c>
      <c r="S74" s="538">
        <v>16.698837209302322</v>
      </c>
      <c r="T74" s="537">
        <v>57</v>
      </c>
      <c r="U74" s="540">
        <v>1671448</v>
      </c>
      <c r="V74" s="538">
        <v>3833.2</v>
      </c>
      <c r="W74" s="537">
        <v>1</v>
      </c>
      <c r="X74" s="221"/>
      <c r="Y74" s="219"/>
      <c r="Z74" s="221"/>
      <c r="AA74" s="40"/>
      <c r="AB74" s="846">
        <f t="shared" ref="AB74:AB137" si="0">D74+F74+H74+L74+O74+R74+U74</f>
        <v>20922622.029598709</v>
      </c>
    </row>
    <row r="75" spans="2:28" x14ac:dyDescent="0.2">
      <c r="B75" s="166">
        <f>'1. LDC Info'!$F$27-7</f>
        <v>2010</v>
      </c>
      <c r="C75" s="38" t="s">
        <v>112</v>
      </c>
      <c r="D75" s="520">
        <v>6072098</v>
      </c>
      <c r="E75" s="537">
        <v>8261</v>
      </c>
      <c r="F75" s="539">
        <v>2860303</v>
      </c>
      <c r="G75" s="537">
        <v>1063</v>
      </c>
      <c r="H75" s="540">
        <v>63752.964614362958</v>
      </c>
      <c r="I75" s="537">
        <v>96</v>
      </c>
      <c r="J75" s="540"/>
      <c r="K75" s="537"/>
      <c r="L75" s="520">
        <v>10091212</v>
      </c>
      <c r="M75" s="538">
        <v>24525</v>
      </c>
      <c r="N75" s="537">
        <v>131</v>
      </c>
      <c r="O75" s="520">
        <v>106016.50697277297</v>
      </c>
      <c r="P75" s="538">
        <v>273.60000000000002</v>
      </c>
      <c r="Q75" s="537">
        <v>2754</v>
      </c>
      <c r="R75" s="539">
        <v>3219.8083673275778</v>
      </c>
      <c r="S75" s="538">
        <v>17.888888888888889</v>
      </c>
      <c r="T75" s="537">
        <v>57</v>
      </c>
      <c r="U75" s="540">
        <v>2063110</v>
      </c>
      <c r="V75" s="538">
        <v>4535.6000000000004</v>
      </c>
      <c r="W75" s="537">
        <v>1</v>
      </c>
      <c r="X75" s="221"/>
      <c r="Y75" s="219"/>
      <c r="Z75" s="221"/>
      <c r="AA75" s="40"/>
      <c r="AB75" s="846">
        <f t="shared" si="0"/>
        <v>21259712.27995446</v>
      </c>
    </row>
    <row r="76" spans="2:28" x14ac:dyDescent="0.2">
      <c r="B76" s="166">
        <f>'1. LDC Info'!$F$27-7</f>
        <v>2010</v>
      </c>
      <c r="C76" s="38" t="s">
        <v>113</v>
      </c>
      <c r="D76" s="520">
        <v>5314621</v>
      </c>
      <c r="E76" s="537">
        <v>8286</v>
      </c>
      <c r="F76" s="539">
        <v>2568070</v>
      </c>
      <c r="G76" s="537">
        <v>1061</v>
      </c>
      <c r="H76" s="540">
        <v>63233.089839673652</v>
      </c>
      <c r="I76" s="537">
        <v>97</v>
      </c>
      <c r="J76" s="540"/>
      <c r="K76" s="537"/>
      <c r="L76" s="520">
        <v>9738508</v>
      </c>
      <c r="M76" s="538">
        <v>23927.200000000001</v>
      </c>
      <c r="N76" s="537">
        <v>131</v>
      </c>
      <c r="O76" s="520">
        <v>90285.551655440664</v>
      </c>
      <c r="P76" s="538">
        <v>273.60000000000002</v>
      </c>
      <c r="Q76" s="537">
        <v>2754</v>
      </c>
      <c r="R76" s="539">
        <v>4513.8032444739583</v>
      </c>
      <c r="S76" s="538">
        <v>19.345714285714283</v>
      </c>
      <c r="T76" s="537">
        <v>57</v>
      </c>
      <c r="U76" s="540">
        <v>2169883</v>
      </c>
      <c r="V76" s="538">
        <v>4397.3999999999996</v>
      </c>
      <c r="W76" s="537">
        <v>1</v>
      </c>
      <c r="X76" s="221"/>
      <c r="Y76" s="219"/>
      <c r="Z76" s="221"/>
      <c r="AA76" s="40"/>
      <c r="AB76" s="846">
        <f t="shared" si="0"/>
        <v>19949114.444739591</v>
      </c>
    </row>
    <row r="77" spans="2:28" x14ac:dyDescent="0.2">
      <c r="B77" s="166">
        <f>'1. LDC Info'!$F$27-7</f>
        <v>2010</v>
      </c>
      <c r="C77" s="38" t="s">
        <v>114</v>
      </c>
      <c r="D77" s="520">
        <v>5267795</v>
      </c>
      <c r="E77" s="537">
        <v>8292</v>
      </c>
      <c r="F77" s="539">
        <v>2659492</v>
      </c>
      <c r="G77" s="537">
        <v>1063</v>
      </c>
      <c r="H77" s="540">
        <v>63752.964614362958</v>
      </c>
      <c r="I77" s="537">
        <v>95</v>
      </c>
      <c r="J77" s="540"/>
      <c r="K77" s="537"/>
      <c r="L77" s="520">
        <v>10023048</v>
      </c>
      <c r="M77" s="538">
        <v>25436.9</v>
      </c>
      <c r="N77" s="537">
        <v>131</v>
      </c>
      <c r="O77" s="520">
        <v>82692.344179869076</v>
      </c>
      <c r="P77" s="538">
        <v>273.60000000000002</v>
      </c>
      <c r="Q77" s="537">
        <v>2754</v>
      </c>
      <c r="R77" s="539">
        <v>3082.2502608860636</v>
      </c>
      <c r="S77" s="538">
        <v>17.786538461538445</v>
      </c>
      <c r="T77" s="537">
        <v>57</v>
      </c>
      <c r="U77" s="540">
        <v>2187136</v>
      </c>
      <c r="V77" s="538">
        <v>4653.1000000000004</v>
      </c>
      <c r="W77" s="537">
        <v>1</v>
      </c>
      <c r="X77" s="221"/>
      <c r="Y77" s="219"/>
      <c r="Z77" s="221"/>
      <c r="AA77" s="40"/>
      <c r="AB77" s="846">
        <f t="shared" si="0"/>
        <v>20286998.559055116</v>
      </c>
    </row>
    <row r="78" spans="2:28" x14ac:dyDescent="0.2">
      <c r="B78" s="166">
        <f>'1. LDC Info'!$F$27-7</f>
        <v>2010</v>
      </c>
      <c r="C78" s="38" t="s">
        <v>115</v>
      </c>
      <c r="D78" s="520">
        <v>5484743</v>
      </c>
      <c r="E78" s="537">
        <v>8306</v>
      </c>
      <c r="F78" s="539">
        <v>2779559</v>
      </c>
      <c r="G78" s="537">
        <v>1064</v>
      </c>
      <c r="H78" s="540">
        <v>56913.95503272934</v>
      </c>
      <c r="I78" s="537">
        <v>95</v>
      </c>
      <c r="J78" s="540"/>
      <c r="K78" s="537"/>
      <c r="L78" s="520">
        <v>10316562</v>
      </c>
      <c r="M78" s="538">
        <v>25785</v>
      </c>
      <c r="N78" s="537">
        <v>132</v>
      </c>
      <c r="O78" s="520">
        <v>73869.651835689205</v>
      </c>
      <c r="P78" s="538">
        <v>273.60000000000002</v>
      </c>
      <c r="Q78" s="537">
        <v>2754</v>
      </c>
      <c r="R78" s="539">
        <v>4991.9362489327386</v>
      </c>
      <c r="S78" s="538">
        <v>17.018181818181816</v>
      </c>
      <c r="T78" s="537">
        <v>57</v>
      </c>
      <c r="U78" s="540">
        <v>1938469</v>
      </c>
      <c r="V78" s="538">
        <v>4074.5</v>
      </c>
      <c r="W78" s="537">
        <v>1</v>
      </c>
      <c r="X78" s="221"/>
      <c r="Y78" s="219"/>
      <c r="Z78" s="221"/>
      <c r="AA78" s="40"/>
      <c r="AB78" s="846">
        <f t="shared" si="0"/>
        <v>20655108.543117348</v>
      </c>
    </row>
    <row r="79" spans="2:28" x14ac:dyDescent="0.2">
      <c r="B79" s="166">
        <f>'1. LDC Info'!$F$27-7</f>
        <v>2010</v>
      </c>
      <c r="C79" s="38" t="s">
        <v>116</v>
      </c>
      <c r="D79" s="520">
        <v>6120843</v>
      </c>
      <c r="E79" s="537">
        <v>8315</v>
      </c>
      <c r="F79" s="539">
        <v>3022126</v>
      </c>
      <c r="G79" s="537">
        <v>1067</v>
      </c>
      <c r="H79" s="540">
        <v>57433.829807418646</v>
      </c>
      <c r="I79" s="537">
        <v>95</v>
      </c>
      <c r="J79" s="540"/>
      <c r="K79" s="537"/>
      <c r="L79" s="520">
        <v>10419758</v>
      </c>
      <c r="M79" s="538">
        <v>25761.599999999999</v>
      </c>
      <c r="N79" s="537">
        <v>132</v>
      </c>
      <c r="O79" s="520">
        <v>78452.708471681995</v>
      </c>
      <c r="P79" s="538">
        <v>273.60000000000002</v>
      </c>
      <c r="Q79" s="537">
        <v>2754</v>
      </c>
      <c r="R79" s="539">
        <v>2877.3361161180151</v>
      </c>
      <c r="S79" s="538">
        <v>17.987500000000001</v>
      </c>
      <c r="T79" s="537">
        <v>57</v>
      </c>
      <c r="U79" s="540">
        <v>1435239</v>
      </c>
      <c r="V79" s="538">
        <v>3955.1</v>
      </c>
      <c r="W79" s="537">
        <v>1</v>
      </c>
      <c r="X79" s="221"/>
      <c r="Y79" s="219"/>
      <c r="Z79" s="221"/>
      <c r="AA79" s="40"/>
      <c r="AB79" s="846">
        <f t="shared" si="0"/>
        <v>21136729.874395218</v>
      </c>
    </row>
    <row r="80" spans="2:28" x14ac:dyDescent="0.2">
      <c r="B80" s="166">
        <f>'1. LDC Info'!$F$27-7</f>
        <v>2010</v>
      </c>
      <c r="C80" s="38" t="s">
        <v>117</v>
      </c>
      <c r="D80" s="520">
        <v>6016644</v>
      </c>
      <c r="E80" s="537">
        <v>8316</v>
      </c>
      <c r="F80" s="539">
        <v>2931180</v>
      </c>
      <c r="G80" s="537">
        <v>1069</v>
      </c>
      <c r="H80" s="540">
        <v>56913.95503272934</v>
      </c>
      <c r="I80" s="537">
        <v>95</v>
      </c>
      <c r="J80" s="540"/>
      <c r="K80" s="537"/>
      <c r="L80" s="520">
        <v>11803879</v>
      </c>
      <c r="M80" s="538">
        <v>25590.5</v>
      </c>
      <c r="N80" s="537">
        <v>132</v>
      </c>
      <c r="O80" s="520">
        <v>89215.444454985292</v>
      </c>
      <c r="P80" s="538">
        <v>274.10000000000002</v>
      </c>
      <c r="Q80" s="537">
        <v>2759</v>
      </c>
      <c r="R80" s="539">
        <v>4855.3268190873732</v>
      </c>
      <c r="S80" s="538">
        <v>20.80714285714286</v>
      </c>
      <c r="T80" s="537">
        <v>57</v>
      </c>
      <c r="U80" s="540">
        <v>1249785</v>
      </c>
      <c r="V80" s="538">
        <v>3351.9</v>
      </c>
      <c r="W80" s="537">
        <v>1</v>
      </c>
      <c r="X80" s="221"/>
      <c r="Y80" s="219"/>
      <c r="Z80" s="221"/>
      <c r="AA80" s="40"/>
      <c r="AB80" s="846">
        <f t="shared" si="0"/>
        <v>22152472.726306804</v>
      </c>
    </row>
    <row r="81" spans="2:30" x14ac:dyDescent="0.2">
      <c r="B81" s="166">
        <f>'1. LDC Info'!$F$27-7</f>
        <v>2010</v>
      </c>
      <c r="C81" s="38" t="s">
        <v>107</v>
      </c>
      <c r="D81" s="520">
        <v>5253197</v>
      </c>
      <c r="E81" s="537">
        <v>8348</v>
      </c>
      <c r="F81" s="539">
        <v>2566360</v>
      </c>
      <c r="G81" s="537">
        <v>1070</v>
      </c>
      <c r="H81" s="540">
        <v>57433.829807418646</v>
      </c>
      <c r="I81" s="537">
        <v>95</v>
      </c>
      <c r="J81" s="540"/>
      <c r="K81" s="537"/>
      <c r="L81" s="520">
        <v>9556779</v>
      </c>
      <c r="M81" s="538">
        <v>25568.7</v>
      </c>
      <c r="N81" s="537">
        <v>132</v>
      </c>
      <c r="O81" s="520">
        <v>96617.019258134897</v>
      </c>
      <c r="P81" s="538">
        <v>274.10000000000002</v>
      </c>
      <c r="Q81" s="537">
        <v>2759</v>
      </c>
      <c r="R81" s="539">
        <v>2877.3361161180151</v>
      </c>
      <c r="S81" s="538">
        <v>17.987500000000001</v>
      </c>
      <c r="T81" s="537">
        <v>57</v>
      </c>
      <c r="U81" s="540">
        <v>1520762</v>
      </c>
      <c r="V81" s="538">
        <v>3926.4</v>
      </c>
      <c r="W81" s="537">
        <v>1</v>
      </c>
      <c r="X81" s="221"/>
      <c r="Y81" s="219"/>
      <c r="Z81" s="221"/>
      <c r="AA81" s="40"/>
      <c r="AB81" s="846">
        <f t="shared" si="0"/>
        <v>19054026.18518167</v>
      </c>
    </row>
    <row r="82" spans="2:30" x14ac:dyDescent="0.2">
      <c r="B82" s="166">
        <f>'1. LDC Info'!$F$27-7</f>
        <v>2010</v>
      </c>
      <c r="C82" s="38" t="s">
        <v>108</v>
      </c>
      <c r="D82" s="520">
        <v>5493832</v>
      </c>
      <c r="E82" s="537">
        <v>8351</v>
      </c>
      <c r="F82" s="539">
        <v>2603494</v>
      </c>
      <c r="G82" s="537">
        <v>1071</v>
      </c>
      <c r="H82" s="540">
        <v>56914</v>
      </c>
      <c r="I82" s="537">
        <v>95</v>
      </c>
      <c r="J82" s="540"/>
      <c r="K82" s="537"/>
      <c r="L82" s="520">
        <v>9836994</v>
      </c>
      <c r="M82" s="538">
        <v>25627.21</v>
      </c>
      <c r="N82" s="537">
        <v>132</v>
      </c>
      <c r="O82" s="520">
        <v>112582.29769471586</v>
      </c>
      <c r="P82" s="538">
        <v>274.10000000000002</v>
      </c>
      <c r="Q82" s="537">
        <v>2759</v>
      </c>
      <c r="R82" s="539">
        <v>6687.2432432432433</v>
      </c>
      <c r="S82" s="538">
        <v>18.575675675675676</v>
      </c>
      <c r="T82" s="537">
        <v>57</v>
      </c>
      <c r="U82" s="540">
        <v>952609</v>
      </c>
      <c r="V82" s="538">
        <v>2960.9</v>
      </c>
      <c r="W82" s="537">
        <v>1</v>
      </c>
      <c r="X82" s="221"/>
      <c r="Y82" s="219"/>
      <c r="Z82" s="221"/>
      <c r="AA82" s="40"/>
      <c r="AB82" s="846">
        <f t="shared" si="0"/>
        <v>19063112.54093796</v>
      </c>
    </row>
    <row r="83" spans="2:30" x14ac:dyDescent="0.2">
      <c r="B83" s="166">
        <f>'1. LDC Info'!$F$27-7</f>
        <v>2010</v>
      </c>
      <c r="C83" s="38" t="s">
        <v>109</v>
      </c>
      <c r="D83" s="520">
        <v>5954931</v>
      </c>
      <c r="E83" s="537">
        <v>8351</v>
      </c>
      <c r="F83" s="539">
        <v>2725548</v>
      </c>
      <c r="G83" s="537">
        <v>1071</v>
      </c>
      <c r="H83" s="540">
        <v>56914</v>
      </c>
      <c r="I83" s="537">
        <v>95</v>
      </c>
      <c r="J83" s="540"/>
      <c r="K83" s="537"/>
      <c r="L83" s="520">
        <v>9055750</v>
      </c>
      <c r="M83" s="538">
        <v>23440.7</v>
      </c>
      <c r="N83" s="537">
        <v>132</v>
      </c>
      <c r="O83" s="520">
        <v>112582</v>
      </c>
      <c r="P83" s="538">
        <v>274.10000000000002</v>
      </c>
      <c r="Q83" s="537">
        <v>2759</v>
      </c>
      <c r="R83" s="539">
        <v>6687.2432432432433</v>
      </c>
      <c r="S83" s="538">
        <v>18.575675675675676</v>
      </c>
      <c r="T83" s="537">
        <v>57</v>
      </c>
      <c r="U83" s="540">
        <v>1033367.01</v>
      </c>
      <c r="V83" s="538">
        <v>2454.84</v>
      </c>
      <c r="W83" s="537">
        <v>1</v>
      </c>
      <c r="X83" s="221"/>
      <c r="Y83" s="219"/>
      <c r="Z83" s="221"/>
      <c r="AA83" s="40"/>
      <c r="AB83" s="846">
        <f t="shared" si="0"/>
        <v>18945779.253243245</v>
      </c>
    </row>
    <row r="84" spans="2:30" x14ac:dyDescent="0.2">
      <c r="B84" s="166">
        <f>'1. LDC Info'!$F$27-7</f>
        <v>2010</v>
      </c>
      <c r="C84" s="38" t="s">
        <v>106</v>
      </c>
      <c r="D84" s="520">
        <v>7412279</v>
      </c>
      <c r="E84" s="537">
        <v>8351</v>
      </c>
      <c r="F84" s="520">
        <v>3132924</v>
      </c>
      <c r="G84" s="537">
        <v>1071</v>
      </c>
      <c r="H84" s="539">
        <v>56914</v>
      </c>
      <c r="I84" s="537">
        <v>96</v>
      </c>
      <c r="J84" s="539"/>
      <c r="K84" s="537"/>
      <c r="L84" s="520">
        <v>9424394</v>
      </c>
      <c r="M84" s="538">
        <v>23535.1</v>
      </c>
      <c r="N84" s="537">
        <v>132</v>
      </c>
      <c r="O84" s="520">
        <v>112582</v>
      </c>
      <c r="P84" s="538">
        <v>274.10000000000002</v>
      </c>
      <c r="Q84" s="537">
        <v>2759</v>
      </c>
      <c r="R84" s="539">
        <v>6687.2432432432433</v>
      </c>
      <c r="S84" s="538">
        <v>18.575675675675676</v>
      </c>
      <c r="T84" s="537">
        <v>53</v>
      </c>
      <c r="U84" s="539">
        <v>1321427.46</v>
      </c>
      <c r="V84" s="538">
        <v>3396.48</v>
      </c>
      <c r="W84" s="537">
        <v>1</v>
      </c>
      <c r="X84" s="221"/>
      <c r="Y84" s="219"/>
      <c r="Z84" s="221"/>
      <c r="AA84" s="40"/>
      <c r="AB84" s="846">
        <f t="shared" si="0"/>
        <v>21467207.703243244</v>
      </c>
      <c r="AC84" s="846">
        <f>SUM(AB73:AB84)</f>
        <v>248062502.11254635</v>
      </c>
      <c r="AD84" s="24">
        <v>2010</v>
      </c>
    </row>
    <row r="85" spans="2:30" x14ac:dyDescent="0.2">
      <c r="B85" s="166">
        <f>'1. LDC Info'!$F$27-6</f>
        <v>2011</v>
      </c>
      <c r="C85" s="38" t="s">
        <v>110</v>
      </c>
      <c r="D85" s="520">
        <v>6554103</v>
      </c>
      <c r="E85" s="537">
        <v>8369</v>
      </c>
      <c r="F85" s="520">
        <v>2776298</v>
      </c>
      <c r="G85" s="537">
        <v>1069</v>
      </c>
      <c r="H85" s="540">
        <v>54656</v>
      </c>
      <c r="I85" s="537">
        <v>97</v>
      </c>
      <c r="J85" s="540"/>
      <c r="K85" s="537"/>
      <c r="L85" s="520">
        <v>8708269</v>
      </c>
      <c r="M85" s="521">
        <v>24695.4</v>
      </c>
      <c r="N85" s="537">
        <v>131</v>
      </c>
      <c r="O85" s="520">
        <v>129576</v>
      </c>
      <c r="P85" s="521">
        <v>274</v>
      </c>
      <c r="Q85" s="537">
        <v>2759</v>
      </c>
      <c r="R85" s="539">
        <v>4513</v>
      </c>
      <c r="S85" s="538">
        <v>11</v>
      </c>
      <c r="T85" s="537">
        <v>53</v>
      </c>
      <c r="U85" s="540">
        <v>1321427</v>
      </c>
      <c r="V85" s="538">
        <v>3614</v>
      </c>
      <c r="W85" s="537">
        <v>1</v>
      </c>
      <c r="X85" s="221"/>
      <c r="Y85" s="219"/>
      <c r="Z85" s="221"/>
      <c r="AA85" s="40"/>
      <c r="AB85" s="846">
        <f t="shared" si="0"/>
        <v>19548842</v>
      </c>
    </row>
    <row r="86" spans="2:30" x14ac:dyDescent="0.2">
      <c r="B86" s="166">
        <f>'1. LDC Info'!$F$27-6</f>
        <v>2011</v>
      </c>
      <c r="C86" s="38" t="s">
        <v>111</v>
      </c>
      <c r="D86" s="520">
        <v>7713927</v>
      </c>
      <c r="E86" s="537">
        <v>8372</v>
      </c>
      <c r="F86" s="520">
        <v>4052117</v>
      </c>
      <c r="G86" s="537">
        <v>1069</v>
      </c>
      <c r="H86" s="540">
        <v>55176</v>
      </c>
      <c r="I86" s="537">
        <v>97</v>
      </c>
      <c r="J86" s="540"/>
      <c r="K86" s="537"/>
      <c r="L86" s="520">
        <v>11771518</v>
      </c>
      <c r="M86" s="521">
        <v>24772</v>
      </c>
      <c r="N86" s="537">
        <v>130</v>
      </c>
      <c r="O86" s="520">
        <v>128708</v>
      </c>
      <c r="P86" s="521">
        <v>277</v>
      </c>
      <c r="Q86" s="537">
        <v>2759</v>
      </c>
      <c r="R86" s="539">
        <v>2939</v>
      </c>
      <c r="S86" s="538">
        <v>11</v>
      </c>
      <c r="T86" s="537">
        <v>53</v>
      </c>
      <c r="U86" s="540">
        <v>1448905</v>
      </c>
      <c r="V86" s="538">
        <v>3706</v>
      </c>
      <c r="W86" s="537">
        <v>1</v>
      </c>
      <c r="X86" s="221"/>
      <c r="Y86" s="219"/>
      <c r="Z86" s="221"/>
      <c r="AA86" s="40"/>
      <c r="AB86" s="846">
        <f t="shared" si="0"/>
        <v>25173290</v>
      </c>
    </row>
    <row r="87" spans="2:30" x14ac:dyDescent="0.2">
      <c r="B87" s="166">
        <f>'1. LDC Info'!$F$27-6</f>
        <v>2011</v>
      </c>
      <c r="C87" s="38" t="s">
        <v>112</v>
      </c>
      <c r="D87" s="520">
        <v>8556772</v>
      </c>
      <c r="E87" s="537">
        <v>8375</v>
      </c>
      <c r="F87" s="520">
        <v>3559983</v>
      </c>
      <c r="G87" s="537">
        <v>1074</v>
      </c>
      <c r="H87" s="540">
        <v>55520</v>
      </c>
      <c r="I87" s="537">
        <v>96</v>
      </c>
      <c r="J87" s="540"/>
      <c r="K87" s="537"/>
      <c r="L87" s="520">
        <v>10361108</v>
      </c>
      <c r="M87" s="521">
        <v>25054.5</v>
      </c>
      <c r="N87" s="537">
        <v>130</v>
      </c>
      <c r="O87" s="520">
        <v>106564</v>
      </c>
      <c r="P87" s="521">
        <v>277</v>
      </c>
      <c r="Q87" s="537">
        <v>2759</v>
      </c>
      <c r="R87" s="539">
        <v>4096</v>
      </c>
      <c r="S87" s="538">
        <v>11</v>
      </c>
      <c r="T87" s="537">
        <v>53</v>
      </c>
      <c r="U87" s="540">
        <v>1450616</v>
      </c>
      <c r="V87" s="538">
        <v>3723</v>
      </c>
      <c r="W87" s="537">
        <v>1</v>
      </c>
      <c r="X87" s="221"/>
      <c r="Y87" s="219"/>
      <c r="Z87" s="221"/>
      <c r="AA87" s="40"/>
      <c r="AB87" s="846">
        <f t="shared" si="0"/>
        <v>24094659</v>
      </c>
    </row>
    <row r="88" spans="2:30" x14ac:dyDescent="0.2">
      <c r="B88" s="166">
        <f>'1. LDC Info'!$F$27-6</f>
        <v>2011</v>
      </c>
      <c r="C88" s="38" t="s">
        <v>113</v>
      </c>
      <c r="D88" s="520">
        <v>6453981</v>
      </c>
      <c r="E88" s="537">
        <v>8394</v>
      </c>
      <c r="F88" s="520">
        <v>2785413</v>
      </c>
      <c r="G88" s="537">
        <v>1075</v>
      </c>
      <c r="H88" s="540">
        <v>56040</v>
      </c>
      <c r="I88" s="537">
        <v>96</v>
      </c>
      <c r="J88" s="540"/>
      <c r="K88" s="537"/>
      <c r="L88" s="520">
        <v>9718344</v>
      </c>
      <c r="M88" s="521">
        <v>24418.400000000001</v>
      </c>
      <c r="N88" s="537">
        <v>130</v>
      </c>
      <c r="O88" s="520">
        <v>107256</v>
      </c>
      <c r="P88" s="521">
        <v>277</v>
      </c>
      <c r="Q88" s="537">
        <v>2759</v>
      </c>
      <c r="R88" s="539">
        <v>2939</v>
      </c>
      <c r="S88" s="538">
        <v>11</v>
      </c>
      <c r="T88" s="537">
        <v>53</v>
      </c>
      <c r="U88" s="540">
        <v>2054608</v>
      </c>
      <c r="V88" s="538">
        <v>4375.8999999999996</v>
      </c>
      <c r="W88" s="537">
        <v>1</v>
      </c>
      <c r="X88" s="221"/>
      <c r="Y88" s="219"/>
      <c r="Z88" s="221"/>
      <c r="AA88" s="40"/>
      <c r="AB88" s="846">
        <f t="shared" si="0"/>
        <v>21178581</v>
      </c>
    </row>
    <row r="89" spans="2:30" x14ac:dyDescent="0.2">
      <c r="B89" s="166">
        <f>'1. LDC Info'!$F$27-6</f>
        <v>2011</v>
      </c>
      <c r="C89" s="38" t="s">
        <v>114</v>
      </c>
      <c r="D89" s="520">
        <v>6122592</v>
      </c>
      <c r="E89" s="537">
        <v>8401</v>
      </c>
      <c r="F89" s="520">
        <v>3468546</v>
      </c>
      <c r="G89" s="537">
        <v>1076</v>
      </c>
      <c r="H89" s="540">
        <v>55520</v>
      </c>
      <c r="I89" s="537">
        <v>96</v>
      </c>
      <c r="J89" s="540"/>
      <c r="K89" s="537"/>
      <c r="L89" s="520">
        <v>10134569</v>
      </c>
      <c r="M89" s="521">
        <v>24605.5</v>
      </c>
      <c r="N89" s="537">
        <v>130</v>
      </c>
      <c r="O89" s="520">
        <v>91341</v>
      </c>
      <c r="P89" s="521">
        <v>277</v>
      </c>
      <c r="Q89" s="537">
        <v>2759</v>
      </c>
      <c r="R89" s="539">
        <v>4369</v>
      </c>
      <c r="S89" s="538">
        <v>11</v>
      </c>
      <c r="T89" s="537">
        <v>53</v>
      </c>
      <c r="U89" s="540">
        <v>1789131</v>
      </c>
      <c r="V89" s="538">
        <v>4405.2</v>
      </c>
      <c r="W89" s="537">
        <v>1</v>
      </c>
      <c r="X89" s="221"/>
      <c r="Y89" s="219"/>
      <c r="Z89" s="221"/>
      <c r="AA89" s="40"/>
      <c r="AB89" s="846">
        <f t="shared" si="0"/>
        <v>21666068</v>
      </c>
    </row>
    <row r="90" spans="2:30" x14ac:dyDescent="0.2">
      <c r="B90" s="166">
        <f>'1. LDC Info'!$F$27-6</f>
        <v>2011</v>
      </c>
      <c r="C90" s="38" t="s">
        <v>115</v>
      </c>
      <c r="D90" s="520">
        <v>5185840</v>
      </c>
      <c r="E90" s="537">
        <v>8401</v>
      </c>
      <c r="F90" s="520">
        <v>2706200</v>
      </c>
      <c r="G90" s="537">
        <v>1075</v>
      </c>
      <c r="H90" s="540">
        <v>56040</v>
      </c>
      <c r="I90" s="537">
        <v>96</v>
      </c>
      <c r="J90" s="540"/>
      <c r="K90" s="537"/>
      <c r="L90" s="520">
        <v>9488200</v>
      </c>
      <c r="M90" s="521">
        <v>25134.2</v>
      </c>
      <c r="N90" s="537">
        <v>129</v>
      </c>
      <c r="O90" s="520">
        <v>83660</v>
      </c>
      <c r="P90" s="521">
        <v>277</v>
      </c>
      <c r="Q90" s="537">
        <v>2759</v>
      </c>
      <c r="R90" s="539">
        <v>2803</v>
      </c>
      <c r="S90" s="538">
        <v>11</v>
      </c>
      <c r="T90" s="537">
        <v>53</v>
      </c>
      <c r="U90" s="540">
        <v>1582482</v>
      </c>
      <c r="V90" s="538">
        <v>4255</v>
      </c>
      <c r="W90" s="537">
        <v>1</v>
      </c>
      <c r="X90" s="221"/>
      <c r="Y90" s="219"/>
      <c r="Z90" s="221"/>
      <c r="AA90" s="40"/>
      <c r="AB90" s="846">
        <f t="shared" si="0"/>
        <v>19105225</v>
      </c>
    </row>
    <row r="91" spans="2:30" x14ac:dyDescent="0.2">
      <c r="B91" s="166">
        <f>'1. LDC Info'!$F$27-6</f>
        <v>2011</v>
      </c>
      <c r="C91" s="38" t="s">
        <v>116</v>
      </c>
      <c r="D91" s="520">
        <v>4973050</v>
      </c>
      <c r="E91" s="537">
        <v>8416</v>
      </c>
      <c r="F91" s="520">
        <v>3090189</v>
      </c>
      <c r="G91" s="537">
        <v>1075</v>
      </c>
      <c r="H91" s="540">
        <v>55520</v>
      </c>
      <c r="I91" s="537">
        <v>96</v>
      </c>
      <c r="J91" s="540"/>
      <c r="K91" s="537"/>
      <c r="L91" s="520">
        <v>9812363</v>
      </c>
      <c r="M91" s="521">
        <v>25620.699999999997</v>
      </c>
      <c r="N91" s="537">
        <v>129</v>
      </c>
      <c r="O91" s="520">
        <v>74734</v>
      </c>
      <c r="P91" s="521">
        <v>277</v>
      </c>
      <c r="Q91" s="537">
        <v>2759</v>
      </c>
      <c r="R91" s="539">
        <v>4814</v>
      </c>
      <c r="S91" s="538">
        <v>11</v>
      </c>
      <c r="T91" s="537">
        <v>53</v>
      </c>
      <c r="U91" s="540">
        <v>1133216</v>
      </c>
      <c r="V91" s="538">
        <v>3445.1</v>
      </c>
      <c r="W91" s="537">
        <v>1</v>
      </c>
      <c r="X91" s="221"/>
      <c r="Y91" s="219"/>
      <c r="Z91" s="221"/>
      <c r="AA91" s="40"/>
      <c r="AB91" s="846">
        <f t="shared" si="0"/>
        <v>19143886</v>
      </c>
    </row>
    <row r="92" spans="2:30" x14ac:dyDescent="0.2">
      <c r="B92" s="166">
        <f>'1. LDC Info'!$F$27-6</f>
        <v>2011</v>
      </c>
      <c r="C92" s="38" t="s">
        <v>117</v>
      </c>
      <c r="D92" s="520">
        <v>5077797</v>
      </c>
      <c r="E92" s="537">
        <v>8430</v>
      </c>
      <c r="F92" s="520">
        <v>3461820</v>
      </c>
      <c r="G92" s="537">
        <v>1074</v>
      </c>
      <c r="H92" s="540">
        <v>56040</v>
      </c>
      <c r="I92" s="537">
        <v>95</v>
      </c>
      <c r="J92" s="540"/>
      <c r="K92" s="537"/>
      <c r="L92" s="520">
        <v>10255976</v>
      </c>
      <c r="M92" s="521">
        <v>25728.1</v>
      </c>
      <c r="N92" s="537">
        <v>129</v>
      </c>
      <c r="O92" s="520">
        <v>79369</v>
      </c>
      <c r="P92" s="521">
        <v>277</v>
      </c>
      <c r="Q92" s="537">
        <v>2759</v>
      </c>
      <c r="R92" s="539">
        <v>2945</v>
      </c>
      <c r="S92" s="538">
        <v>11</v>
      </c>
      <c r="T92" s="537">
        <v>53</v>
      </c>
      <c r="U92" s="540">
        <v>917248</v>
      </c>
      <c r="V92" s="538">
        <v>3612.9</v>
      </c>
      <c r="W92" s="537">
        <v>1</v>
      </c>
      <c r="X92" s="221"/>
      <c r="Y92" s="219"/>
      <c r="Z92" s="221"/>
      <c r="AA92" s="40"/>
      <c r="AB92" s="846">
        <f t="shared" si="0"/>
        <v>19851195</v>
      </c>
    </row>
    <row r="93" spans="2:30" x14ac:dyDescent="0.2">
      <c r="B93" s="166">
        <f>'1. LDC Info'!$F$27-6</f>
        <v>2011</v>
      </c>
      <c r="C93" s="38" t="s">
        <v>107</v>
      </c>
      <c r="D93" s="520">
        <v>5415807</v>
      </c>
      <c r="E93" s="537">
        <v>8437</v>
      </c>
      <c r="F93" s="520">
        <v>2944776</v>
      </c>
      <c r="G93" s="537">
        <v>1072</v>
      </c>
      <c r="H93" s="540">
        <v>1156</v>
      </c>
      <c r="I93" s="537">
        <v>95</v>
      </c>
      <c r="J93" s="540"/>
      <c r="K93" s="537"/>
      <c r="L93" s="520">
        <v>9847716</v>
      </c>
      <c r="M93" s="521">
        <v>25651.5</v>
      </c>
      <c r="N93" s="537">
        <v>130</v>
      </c>
      <c r="O93" s="520">
        <v>90095</v>
      </c>
      <c r="P93" s="521">
        <v>277</v>
      </c>
      <c r="Q93" s="537">
        <v>2759</v>
      </c>
      <c r="R93" s="539">
        <v>3818</v>
      </c>
      <c r="S93" s="538">
        <v>11</v>
      </c>
      <c r="T93" s="537">
        <v>53</v>
      </c>
      <c r="U93" s="540">
        <v>995920</v>
      </c>
      <c r="V93" s="538">
        <v>3602.9</v>
      </c>
      <c r="W93" s="537">
        <v>1</v>
      </c>
      <c r="X93" s="221"/>
      <c r="Y93" s="219"/>
      <c r="Z93" s="221"/>
      <c r="AA93" s="40"/>
      <c r="AB93" s="846">
        <f t="shared" si="0"/>
        <v>19299288</v>
      </c>
    </row>
    <row r="94" spans="2:30" x14ac:dyDescent="0.2">
      <c r="B94" s="166">
        <f>'1. LDC Info'!$F$27-6</f>
        <v>2011</v>
      </c>
      <c r="C94" s="38" t="s">
        <v>108</v>
      </c>
      <c r="D94" s="520">
        <v>6292561</v>
      </c>
      <c r="E94" s="537">
        <v>8442</v>
      </c>
      <c r="F94" s="520">
        <v>3729962</v>
      </c>
      <c r="G94" s="537">
        <v>1074</v>
      </c>
      <c r="H94" s="540">
        <v>108380</v>
      </c>
      <c r="I94" s="537">
        <v>95</v>
      </c>
      <c r="J94" s="540"/>
      <c r="K94" s="537"/>
      <c r="L94" s="520">
        <v>10772286</v>
      </c>
      <c r="M94" s="521">
        <v>25963.1</v>
      </c>
      <c r="N94" s="537">
        <v>131</v>
      </c>
      <c r="O94" s="520">
        <v>97569</v>
      </c>
      <c r="P94" s="521">
        <v>277</v>
      </c>
      <c r="Q94" s="537">
        <v>2759</v>
      </c>
      <c r="R94" s="539">
        <v>3350</v>
      </c>
      <c r="S94" s="538">
        <v>11</v>
      </c>
      <c r="T94" s="537">
        <v>53</v>
      </c>
      <c r="U94" s="540">
        <v>881375</v>
      </c>
      <c r="V94" s="538">
        <v>2888.9</v>
      </c>
      <c r="W94" s="537">
        <v>1</v>
      </c>
      <c r="X94" s="221"/>
      <c r="Y94" s="219"/>
      <c r="Z94" s="221"/>
      <c r="AA94" s="40"/>
      <c r="AB94" s="846">
        <f t="shared" si="0"/>
        <v>21885483</v>
      </c>
    </row>
    <row r="95" spans="2:30" x14ac:dyDescent="0.2">
      <c r="B95" s="166">
        <f>'1. LDC Info'!$F$27-6</f>
        <v>2011</v>
      </c>
      <c r="C95" s="38" t="s">
        <v>109</v>
      </c>
      <c r="D95" s="520">
        <v>5956185</v>
      </c>
      <c r="E95" s="537">
        <v>8447</v>
      </c>
      <c r="F95" s="520">
        <v>3262189</v>
      </c>
      <c r="G95" s="537">
        <v>1075</v>
      </c>
      <c r="H95" s="540">
        <v>53023</v>
      </c>
      <c r="I95" s="537">
        <v>95</v>
      </c>
      <c r="J95" s="540"/>
      <c r="K95" s="537"/>
      <c r="L95" s="520">
        <v>9677006</v>
      </c>
      <c r="M95" s="521">
        <v>24796.400000000001</v>
      </c>
      <c r="N95" s="537">
        <v>131</v>
      </c>
      <c r="O95" s="520">
        <v>113692</v>
      </c>
      <c r="P95" s="521">
        <v>277</v>
      </c>
      <c r="Q95" s="537">
        <v>2759</v>
      </c>
      <c r="R95" s="539">
        <v>4233</v>
      </c>
      <c r="S95" s="538">
        <v>11</v>
      </c>
      <c r="T95" s="537">
        <v>53</v>
      </c>
      <c r="U95" s="540">
        <v>775755</v>
      </c>
      <c r="V95" s="538">
        <v>2587.6999999999998</v>
      </c>
      <c r="W95" s="537">
        <v>1</v>
      </c>
      <c r="X95" s="221"/>
      <c r="Y95" s="219"/>
      <c r="Z95" s="221"/>
      <c r="AA95" s="40"/>
      <c r="AB95" s="846">
        <f t="shared" si="0"/>
        <v>19842083</v>
      </c>
    </row>
    <row r="96" spans="2:30" x14ac:dyDescent="0.2">
      <c r="B96" s="166">
        <f>'1. LDC Info'!$F$27-6</f>
        <v>2011</v>
      </c>
      <c r="C96" s="38" t="s">
        <v>106</v>
      </c>
      <c r="D96" s="520">
        <v>4869502</v>
      </c>
      <c r="E96" s="537">
        <v>8481</v>
      </c>
      <c r="F96" s="520">
        <v>2966207</v>
      </c>
      <c r="G96" s="537">
        <v>1076</v>
      </c>
      <c r="H96" s="539">
        <v>52503</v>
      </c>
      <c r="I96" s="537">
        <v>95</v>
      </c>
      <c r="J96" s="539"/>
      <c r="K96" s="537"/>
      <c r="L96" s="520">
        <v>10287559</v>
      </c>
      <c r="M96" s="538">
        <v>23689.5</v>
      </c>
      <c r="N96" s="537">
        <v>132</v>
      </c>
      <c r="O96" s="520">
        <v>120403</v>
      </c>
      <c r="P96" s="538">
        <v>277</v>
      </c>
      <c r="Q96" s="537">
        <v>2759</v>
      </c>
      <c r="R96" s="539">
        <v>2939</v>
      </c>
      <c r="S96" s="538">
        <v>11</v>
      </c>
      <c r="T96" s="537">
        <v>53</v>
      </c>
      <c r="U96" s="539">
        <v>700999</v>
      </c>
      <c r="V96" s="538">
        <v>2119.3000000000002</v>
      </c>
      <c r="W96" s="537">
        <v>1</v>
      </c>
      <c r="X96" s="221"/>
      <c r="Y96" s="219"/>
      <c r="Z96" s="221"/>
      <c r="AA96" s="40"/>
      <c r="AB96" s="846">
        <f t="shared" si="0"/>
        <v>19000112</v>
      </c>
      <c r="AC96" s="846">
        <f>SUM(AB85:AB96)</f>
        <v>249788712</v>
      </c>
      <c r="AD96" s="24">
        <v>2011</v>
      </c>
    </row>
    <row r="97" spans="2:30" x14ac:dyDescent="0.2">
      <c r="B97" s="166">
        <f>'1. LDC Info'!$F$27-5</f>
        <v>2012</v>
      </c>
      <c r="C97" s="38" t="s">
        <v>110</v>
      </c>
      <c r="D97" s="520">
        <v>6216544</v>
      </c>
      <c r="E97" s="537">
        <v>8475</v>
      </c>
      <c r="F97" s="520">
        <v>2269581</v>
      </c>
      <c r="G97" s="537">
        <v>1077</v>
      </c>
      <c r="H97" s="541">
        <v>53023</v>
      </c>
      <c r="I97" s="537">
        <v>95</v>
      </c>
      <c r="J97" s="541"/>
      <c r="K97" s="537"/>
      <c r="L97" s="520">
        <v>8294749</v>
      </c>
      <c r="M97" s="538">
        <v>24139</v>
      </c>
      <c r="N97" s="537">
        <v>134</v>
      </c>
      <c r="O97" s="520">
        <v>130852</v>
      </c>
      <c r="P97" s="538">
        <v>277</v>
      </c>
      <c r="Q97" s="537">
        <v>2759</v>
      </c>
      <c r="R97" s="539">
        <v>4198</v>
      </c>
      <c r="S97" s="538">
        <v>11</v>
      </c>
      <c r="T97" s="537">
        <v>54</v>
      </c>
      <c r="U97" s="541">
        <v>814703</v>
      </c>
      <c r="V97" s="538">
        <v>3118.8</v>
      </c>
      <c r="W97" s="537">
        <v>1</v>
      </c>
      <c r="X97" s="43"/>
      <c r="Y97" s="219"/>
      <c r="Z97" s="43"/>
      <c r="AA97" s="40"/>
      <c r="AB97" s="846">
        <f t="shared" si="0"/>
        <v>17783650</v>
      </c>
    </row>
    <row r="98" spans="2:30" x14ac:dyDescent="0.2">
      <c r="B98" s="166">
        <f>'1. LDC Info'!$F$27-5</f>
        <v>2012</v>
      </c>
      <c r="C98" s="38" t="s">
        <v>111</v>
      </c>
      <c r="D98" s="520">
        <v>6436875</v>
      </c>
      <c r="E98" s="537">
        <v>8479</v>
      </c>
      <c r="F98" s="520">
        <v>3492604</v>
      </c>
      <c r="G98" s="537">
        <v>1073</v>
      </c>
      <c r="H98" s="541">
        <v>53023</v>
      </c>
      <c r="I98" s="537">
        <v>92</v>
      </c>
      <c r="J98" s="541"/>
      <c r="K98" s="537"/>
      <c r="L98" s="520">
        <v>13129611</v>
      </c>
      <c r="M98" s="538">
        <v>28323</v>
      </c>
      <c r="N98" s="537">
        <v>134</v>
      </c>
      <c r="O98" s="520">
        <v>128708</v>
      </c>
      <c r="P98" s="538">
        <v>277</v>
      </c>
      <c r="Q98" s="537">
        <v>2759</v>
      </c>
      <c r="R98" s="539">
        <v>2905</v>
      </c>
      <c r="S98" s="538">
        <v>11</v>
      </c>
      <c r="T98" s="537">
        <v>54</v>
      </c>
      <c r="U98" s="541">
        <v>1388461</v>
      </c>
      <c r="V98" s="538">
        <v>3422.2</v>
      </c>
      <c r="W98" s="537">
        <v>1</v>
      </c>
      <c r="X98" s="43"/>
      <c r="Y98" s="219"/>
      <c r="Z98" s="43"/>
      <c r="AA98" s="40"/>
      <c r="AB98" s="846">
        <f t="shared" si="0"/>
        <v>24632187</v>
      </c>
    </row>
    <row r="99" spans="2:30" x14ac:dyDescent="0.2">
      <c r="B99" s="166">
        <f>'1. LDC Info'!$F$27-5</f>
        <v>2012</v>
      </c>
      <c r="C99" s="38" t="s">
        <v>112</v>
      </c>
      <c r="D99" s="520">
        <v>7529265</v>
      </c>
      <c r="E99" s="537">
        <v>8487</v>
      </c>
      <c r="F99" s="520">
        <v>3236548</v>
      </c>
      <c r="G99" s="537">
        <v>1075</v>
      </c>
      <c r="H99" s="541">
        <v>52503</v>
      </c>
      <c r="I99" s="537">
        <v>94</v>
      </c>
      <c r="J99" s="541"/>
      <c r="K99" s="537"/>
      <c r="L99" s="520">
        <v>10820247</v>
      </c>
      <c r="M99" s="538">
        <v>26598</v>
      </c>
      <c r="N99" s="537">
        <v>136</v>
      </c>
      <c r="O99" s="520">
        <v>110370</v>
      </c>
      <c r="P99" s="538">
        <v>277</v>
      </c>
      <c r="Q99" s="537">
        <v>2759</v>
      </c>
      <c r="R99" s="539">
        <v>4198</v>
      </c>
      <c r="S99" s="538">
        <v>11</v>
      </c>
      <c r="T99" s="537">
        <v>54</v>
      </c>
      <c r="U99" s="541">
        <v>1616316</v>
      </c>
      <c r="V99" s="538">
        <v>3595.6</v>
      </c>
      <c r="W99" s="537">
        <v>1</v>
      </c>
      <c r="X99" s="43"/>
      <c r="Y99" s="219"/>
      <c r="Z99" s="43"/>
      <c r="AA99" s="40"/>
      <c r="AB99" s="846">
        <f t="shared" si="0"/>
        <v>23369447</v>
      </c>
    </row>
    <row r="100" spans="2:30" x14ac:dyDescent="0.2">
      <c r="B100" s="166">
        <f>'1. LDC Info'!$F$27-5</f>
        <v>2012</v>
      </c>
      <c r="C100" s="38" t="s">
        <v>113</v>
      </c>
      <c r="D100" s="520">
        <v>6336198</v>
      </c>
      <c r="E100" s="537">
        <v>8505</v>
      </c>
      <c r="F100" s="520">
        <v>2773186</v>
      </c>
      <c r="G100" s="537">
        <v>1076</v>
      </c>
      <c r="H100" s="541">
        <v>53023</v>
      </c>
      <c r="I100" s="537">
        <v>94</v>
      </c>
      <c r="J100" s="541"/>
      <c r="K100" s="537"/>
      <c r="L100" s="520">
        <v>10622442</v>
      </c>
      <c r="M100" s="538">
        <v>26504</v>
      </c>
      <c r="N100" s="537">
        <v>136</v>
      </c>
      <c r="O100" s="520">
        <v>107256</v>
      </c>
      <c r="P100" s="538">
        <v>277</v>
      </c>
      <c r="Q100" s="537">
        <v>2759</v>
      </c>
      <c r="R100" s="539">
        <v>2905</v>
      </c>
      <c r="S100" s="538">
        <v>11</v>
      </c>
      <c r="T100" s="537">
        <v>54</v>
      </c>
      <c r="U100" s="541">
        <v>1750524</v>
      </c>
      <c r="V100" s="538">
        <v>3859.9</v>
      </c>
      <c r="W100" s="537">
        <v>1</v>
      </c>
      <c r="X100" s="43"/>
      <c r="Y100" s="219"/>
      <c r="Z100" s="43"/>
      <c r="AA100" s="40"/>
      <c r="AB100" s="846">
        <f t="shared" si="0"/>
        <v>21645534</v>
      </c>
    </row>
    <row r="101" spans="2:30" x14ac:dyDescent="0.2">
      <c r="B101" s="166">
        <f>'1. LDC Info'!$F$27-5</f>
        <v>2012</v>
      </c>
      <c r="C101" s="38" t="s">
        <v>114</v>
      </c>
      <c r="D101" s="520">
        <v>5500261</v>
      </c>
      <c r="E101" s="537">
        <v>8508</v>
      </c>
      <c r="F101" s="520">
        <v>2604582</v>
      </c>
      <c r="G101" s="537">
        <v>1077</v>
      </c>
      <c r="H101" s="541">
        <v>52503</v>
      </c>
      <c r="I101" s="537">
        <v>94</v>
      </c>
      <c r="J101" s="541"/>
      <c r="K101" s="537"/>
      <c r="L101" s="520">
        <v>9633098</v>
      </c>
      <c r="M101" s="538">
        <v>25262</v>
      </c>
      <c r="N101" s="537">
        <v>136</v>
      </c>
      <c r="O101" s="520">
        <v>91341</v>
      </c>
      <c r="P101" s="538">
        <v>277</v>
      </c>
      <c r="Q101" s="537">
        <v>2759</v>
      </c>
      <c r="R101" s="539">
        <v>3754</v>
      </c>
      <c r="S101" s="538">
        <v>11</v>
      </c>
      <c r="T101" s="537">
        <v>54</v>
      </c>
      <c r="U101" s="541">
        <v>1543861</v>
      </c>
      <c r="V101" s="538">
        <v>3570.5</v>
      </c>
      <c r="W101" s="537">
        <v>1</v>
      </c>
      <c r="X101" s="43"/>
      <c r="Y101" s="219"/>
      <c r="Z101" s="43"/>
      <c r="AA101" s="40"/>
      <c r="AB101" s="846">
        <f t="shared" si="0"/>
        <v>19429400</v>
      </c>
    </row>
    <row r="102" spans="2:30" x14ac:dyDescent="0.2">
      <c r="B102" s="166">
        <f>'1. LDC Info'!$F$27-5</f>
        <v>2012</v>
      </c>
      <c r="C102" s="38" t="s">
        <v>115</v>
      </c>
      <c r="D102" s="520">
        <v>5696737</v>
      </c>
      <c r="E102" s="537">
        <v>8515</v>
      </c>
      <c r="F102" s="520">
        <v>2752139</v>
      </c>
      <c r="G102" s="537">
        <v>1071</v>
      </c>
      <c r="H102" s="541">
        <v>53023</v>
      </c>
      <c r="I102" s="537">
        <v>94</v>
      </c>
      <c r="J102" s="541"/>
      <c r="K102" s="537"/>
      <c r="L102" s="520">
        <v>10661158</v>
      </c>
      <c r="M102" s="538">
        <v>28164</v>
      </c>
      <c r="N102" s="537">
        <v>136</v>
      </c>
      <c r="O102" s="520">
        <v>82035</v>
      </c>
      <c r="P102" s="538">
        <v>277</v>
      </c>
      <c r="Q102" s="537">
        <v>2805</v>
      </c>
      <c r="R102" s="539">
        <v>3213</v>
      </c>
      <c r="S102" s="538">
        <v>11</v>
      </c>
      <c r="T102" s="537">
        <v>54</v>
      </c>
      <c r="U102" s="541">
        <v>1442834</v>
      </c>
      <c r="V102" s="538">
        <v>3454.2</v>
      </c>
      <c r="W102" s="537">
        <v>1</v>
      </c>
      <c r="X102" s="43"/>
      <c r="Y102" s="219"/>
      <c r="Z102" s="43"/>
      <c r="AA102" s="40"/>
      <c r="AB102" s="846">
        <f t="shared" si="0"/>
        <v>20691139</v>
      </c>
    </row>
    <row r="103" spans="2:30" x14ac:dyDescent="0.2">
      <c r="B103" s="166">
        <f>'1. LDC Info'!$F$27-5</f>
        <v>2012</v>
      </c>
      <c r="C103" s="38" t="s">
        <v>116</v>
      </c>
      <c r="D103" s="520">
        <v>5153043</v>
      </c>
      <c r="E103" s="537">
        <v>8526</v>
      </c>
      <c r="F103" s="520">
        <v>2797420</v>
      </c>
      <c r="G103" s="537">
        <v>1071</v>
      </c>
      <c r="H103" s="541">
        <v>52503</v>
      </c>
      <c r="I103" s="537">
        <v>94</v>
      </c>
      <c r="J103" s="541"/>
      <c r="K103" s="537"/>
      <c r="L103" s="520">
        <v>10529491</v>
      </c>
      <c r="M103" s="538">
        <v>27471</v>
      </c>
      <c r="N103" s="537">
        <v>137</v>
      </c>
      <c r="O103" s="520">
        <v>75156</v>
      </c>
      <c r="P103" s="538">
        <v>278</v>
      </c>
      <c r="Q103" s="537">
        <v>2805</v>
      </c>
      <c r="R103" s="539">
        <v>4335</v>
      </c>
      <c r="S103" s="538">
        <v>11</v>
      </c>
      <c r="T103" s="537">
        <v>54</v>
      </c>
      <c r="U103" s="541">
        <v>1273812</v>
      </c>
      <c r="V103" s="538">
        <v>3185.8</v>
      </c>
      <c r="W103" s="537">
        <v>1</v>
      </c>
      <c r="X103" s="43"/>
      <c r="Y103" s="219"/>
      <c r="Z103" s="43"/>
      <c r="AA103" s="40"/>
      <c r="AB103" s="846">
        <f t="shared" si="0"/>
        <v>19885760</v>
      </c>
    </row>
    <row r="104" spans="2:30" x14ac:dyDescent="0.2">
      <c r="B104" s="166">
        <f>'1. LDC Info'!$F$27-5</f>
        <v>2012</v>
      </c>
      <c r="C104" s="38" t="s">
        <v>117</v>
      </c>
      <c r="D104" s="520">
        <v>5791711</v>
      </c>
      <c r="E104" s="537">
        <v>8547</v>
      </c>
      <c r="F104" s="520">
        <v>2689392</v>
      </c>
      <c r="G104" s="537">
        <v>1071</v>
      </c>
      <c r="H104" s="541">
        <v>53023</v>
      </c>
      <c r="I104" s="537">
        <v>94</v>
      </c>
      <c r="J104" s="541"/>
      <c r="K104" s="537"/>
      <c r="L104" s="520">
        <v>10810375</v>
      </c>
      <c r="M104" s="538">
        <v>27608</v>
      </c>
      <c r="N104" s="537">
        <v>140</v>
      </c>
      <c r="O104" s="520">
        <v>78570</v>
      </c>
      <c r="P104" s="538">
        <v>280</v>
      </c>
      <c r="Q104" s="537">
        <v>2805</v>
      </c>
      <c r="R104" s="539">
        <v>2905</v>
      </c>
      <c r="S104" s="538">
        <v>11</v>
      </c>
      <c r="T104" s="537">
        <v>54</v>
      </c>
      <c r="U104" s="541">
        <v>1331320</v>
      </c>
      <c r="V104" s="538">
        <v>3360.6</v>
      </c>
      <c r="W104" s="537">
        <v>1</v>
      </c>
      <c r="X104" s="43"/>
      <c r="Y104" s="219"/>
      <c r="Z104" s="43"/>
      <c r="AA104" s="40"/>
      <c r="AB104" s="846">
        <f t="shared" si="0"/>
        <v>20757296</v>
      </c>
    </row>
    <row r="105" spans="2:30" x14ac:dyDescent="0.2">
      <c r="B105" s="166">
        <f>'1. LDC Info'!$F$27-5</f>
        <v>2012</v>
      </c>
      <c r="C105" s="38" t="s">
        <v>107</v>
      </c>
      <c r="D105" s="520">
        <v>6067565</v>
      </c>
      <c r="E105" s="537">
        <v>8557</v>
      </c>
      <c r="F105" s="520">
        <v>3183887</v>
      </c>
      <c r="G105" s="537">
        <v>1071</v>
      </c>
      <c r="H105" s="541">
        <v>1206</v>
      </c>
      <c r="I105" s="537">
        <v>93</v>
      </c>
      <c r="J105" s="541"/>
      <c r="K105" s="537"/>
      <c r="L105" s="520">
        <v>11858807</v>
      </c>
      <c r="M105" s="538">
        <v>28229</v>
      </c>
      <c r="N105" s="537">
        <v>140</v>
      </c>
      <c r="O105" s="520">
        <v>83127</v>
      </c>
      <c r="P105" s="538">
        <v>280</v>
      </c>
      <c r="Q105" s="537">
        <v>2816</v>
      </c>
      <c r="R105" s="539">
        <v>4130</v>
      </c>
      <c r="S105" s="538">
        <v>11</v>
      </c>
      <c r="T105" s="537">
        <v>54</v>
      </c>
      <c r="U105" s="541">
        <v>1035915</v>
      </c>
      <c r="V105" s="538">
        <v>3614.9</v>
      </c>
      <c r="W105" s="537">
        <v>1</v>
      </c>
      <c r="X105" s="43"/>
      <c r="Y105" s="219"/>
      <c r="Z105" s="43"/>
      <c r="AA105" s="40"/>
      <c r="AB105" s="846">
        <f t="shared" si="0"/>
        <v>22234637</v>
      </c>
    </row>
    <row r="106" spans="2:30" x14ac:dyDescent="0.2">
      <c r="B106" s="166">
        <f>'1. LDC Info'!$F$27-5</f>
        <v>2012</v>
      </c>
      <c r="C106" s="38" t="s">
        <v>108</v>
      </c>
      <c r="D106" s="520">
        <v>6218895</v>
      </c>
      <c r="E106" s="537">
        <v>8556</v>
      </c>
      <c r="F106" s="520">
        <v>2276693</v>
      </c>
      <c r="G106" s="537">
        <v>1058</v>
      </c>
      <c r="H106" s="541">
        <v>101730</v>
      </c>
      <c r="I106" s="537">
        <v>94</v>
      </c>
      <c r="J106" s="541"/>
      <c r="K106" s="537"/>
      <c r="L106" s="520">
        <v>10187763</v>
      </c>
      <c r="M106" s="538">
        <v>26574</v>
      </c>
      <c r="N106" s="537">
        <v>138</v>
      </c>
      <c r="O106" s="520">
        <v>98466</v>
      </c>
      <c r="P106" s="538">
        <v>280</v>
      </c>
      <c r="Q106" s="537">
        <v>2816</v>
      </c>
      <c r="R106" s="539">
        <v>2529</v>
      </c>
      <c r="S106" s="538">
        <v>11</v>
      </c>
      <c r="T106" s="537">
        <v>54</v>
      </c>
      <c r="U106" s="541">
        <v>977779</v>
      </c>
      <c r="V106" s="538">
        <v>3298.2</v>
      </c>
      <c r="W106" s="537">
        <v>1</v>
      </c>
      <c r="X106" s="43"/>
      <c r="Y106" s="219"/>
      <c r="Z106" s="43"/>
      <c r="AA106" s="40"/>
      <c r="AB106" s="846">
        <f t="shared" si="0"/>
        <v>19863855</v>
      </c>
    </row>
    <row r="107" spans="2:30" x14ac:dyDescent="0.2">
      <c r="B107" s="166">
        <f>'1. LDC Info'!$F$27-5</f>
        <v>2012</v>
      </c>
      <c r="C107" s="38" t="s">
        <v>109</v>
      </c>
      <c r="D107" s="520">
        <v>5216085</v>
      </c>
      <c r="E107" s="537">
        <v>8555</v>
      </c>
      <c r="F107" s="520">
        <v>2471177</v>
      </c>
      <c r="G107" s="537">
        <v>1057</v>
      </c>
      <c r="H107" s="541">
        <v>51183</v>
      </c>
      <c r="I107" s="537">
        <v>94</v>
      </c>
      <c r="J107" s="541"/>
      <c r="K107" s="537"/>
      <c r="L107" s="520">
        <v>11173996</v>
      </c>
      <c r="M107" s="538">
        <v>28947</v>
      </c>
      <c r="N107" s="537">
        <v>139</v>
      </c>
      <c r="O107" s="520">
        <v>114737</v>
      </c>
      <c r="P107" s="538">
        <v>280</v>
      </c>
      <c r="Q107" s="537">
        <v>2845</v>
      </c>
      <c r="R107" s="539">
        <v>4575</v>
      </c>
      <c r="S107" s="538">
        <v>11</v>
      </c>
      <c r="T107" s="537">
        <v>54</v>
      </c>
      <c r="U107" s="541">
        <v>1111452</v>
      </c>
      <c r="V107" s="538">
        <v>2743.1</v>
      </c>
      <c r="W107" s="537">
        <v>1</v>
      </c>
      <c r="X107" s="43"/>
      <c r="Y107" s="219"/>
      <c r="Z107" s="43"/>
      <c r="AA107" s="40"/>
      <c r="AB107" s="846">
        <f t="shared" si="0"/>
        <v>20143205</v>
      </c>
    </row>
    <row r="108" spans="2:30" x14ac:dyDescent="0.2">
      <c r="B108" s="166">
        <f>'1. LDC Info'!$F$27-5</f>
        <v>2012</v>
      </c>
      <c r="C108" s="38" t="s">
        <v>106</v>
      </c>
      <c r="D108" s="520">
        <v>4747092</v>
      </c>
      <c r="E108" s="537">
        <v>8575</v>
      </c>
      <c r="F108" s="520">
        <v>2626865</v>
      </c>
      <c r="G108" s="537">
        <v>1057</v>
      </c>
      <c r="H108" s="539">
        <v>50724</v>
      </c>
      <c r="I108" s="537">
        <v>94</v>
      </c>
      <c r="J108" s="539"/>
      <c r="K108" s="537"/>
      <c r="L108" s="520">
        <v>10810590</v>
      </c>
      <c r="M108" s="538">
        <v>24516</v>
      </c>
      <c r="N108" s="537">
        <v>140</v>
      </c>
      <c r="O108" s="520">
        <v>121510</v>
      </c>
      <c r="P108" s="538">
        <v>280</v>
      </c>
      <c r="Q108" s="537">
        <v>2845</v>
      </c>
      <c r="R108" s="539">
        <v>2291</v>
      </c>
      <c r="S108" s="538">
        <v>11</v>
      </c>
      <c r="T108" s="537">
        <v>54</v>
      </c>
      <c r="U108" s="539">
        <v>906371</v>
      </c>
      <c r="V108" s="538">
        <v>2438.8000000000002</v>
      </c>
      <c r="W108" s="537">
        <v>1</v>
      </c>
      <c r="X108" s="43"/>
      <c r="Y108" s="219"/>
      <c r="Z108" s="43"/>
      <c r="AA108" s="40"/>
      <c r="AB108" s="846">
        <f t="shared" si="0"/>
        <v>19265443</v>
      </c>
      <c r="AC108" s="846">
        <f>SUM(AB97:AB108)</f>
        <v>249701553</v>
      </c>
      <c r="AD108" s="24">
        <v>2012</v>
      </c>
    </row>
    <row r="109" spans="2:30" x14ac:dyDescent="0.2">
      <c r="B109" s="166">
        <f>'1. LDC Info'!$F$27-4</f>
        <v>2013</v>
      </c>
      <c r="C109" s="38" t="s">
        <v>110</v>
      </c>
      <c r="D109" s="539">
        <v>7215795</v>
      </c>
      <c r="E109" s="537">
        <v>8583</v>
      </c>
      <c r="F109" s="539">
        <v>2724360</v>
      </c>
      <c r="G109" s="537">
        <v>1057</v>
      </c>
      <c r="H109" s="541">
        <v>52212</v>
      </c>
      <c r="I109" s="537">
        <v>94</v>
      </c>
      <c r="J109" s="541"/>
      <c r="K109" s="537"/>
      <c r="L109" s="520">
        <v>9523660</v>
      </c>
      <c r="M109" s="538">
        <v>28369</v>
      </c>
      <c r="N109" s="537">
        <v>140</v>
      </c>
      <c r="O109" s="520">
        <v>133315</v>
      </c>
      <c r="P109" s="538">
        <v>281</v>
      </c>
      <c r="Q109" s="537">
        <v>2845</v>
      </c>
      <c r="R109" s="539">
        <v>5511</v>
      </c>
      <c r="S109" s="538">
        <v>11</v>
      </c>
      <c r="T109" s="537">
        <v>54</v>
      </c>
      <c r="U109" s="541">
        <v>876367</v>
      </c>
      <c r="V109" s="538">
        <v>2983</v>
      </c>
      <c r="W109" s="537">
        <v>1</v>
      </c>
      <c r="X109" s="43"/>
      <c r="Y109" s="219"/>
      <c r="Z109" s="43"/>
      <c r="AA109" s="40"/>
      <c r="AB109" s="846">
        <f t="shared" si="0"/>
        <v>20531220</v>
      </c>
    </row>
    <row r="110" spans="2:30" x14ac:dyDescent="0.2">
      <c r="B110" s="166">
        <f>'1. LDC Info'!$F$27-4</f>
        <v>2013</v>
      </c>
      <c r="C110" s="38" t="s">
        <v>111</v>
      </c>
      <c r="D110" s="539">
        <v>6452035</v>
      </c>
      <c r="E110" s="537">
        <v>8596</v>
      </c>
      <c r="F110" s="539">
        <v>3073929</v>
      </c>
      <c r="G110" s="537">
        <v>1055</v>
      </c>
      <c r="H110" s="541">
        <v>50597</v>
      </c>
      <c r="I110" s="537">
        <v>94</v>
      </c>
      <c r="J110" s="541"/>
      <c r="K110" s="537"/>
      <c r="L110" s="520">
        <v>12148846</v>
      </c>
      <c r="M110" s="538">
        <v>26210</v>
      </c>
      <c r="N110" s="537">
        <v>141</v>
      </c>
      <c r="O110" s="520">
        <v>131130</v>
      </c>
      <c r="P110" s="538">
        <v>281</v>
      </c>
      <c r="Q110" s="537">
        <v>2845</v>
      </c>
      <c r="R110" s="539">
        <v>1895</v>
      </c>
      <c r="S110" s="538">
        <v>11</v>
      </c>
      <c r="T110" s="537">
        <v>54</v>
      </c>
      <c r="U110" s="541">
        <v>1162232</v>
      </c>
      <c r="V110" s="538">
        <v>2891</v>
      </c>
      <c r="W110" s="537">
        <v>1</v>
      </c>
      <c r="X110" s="43"/>
      <c r="Y110" s="219"/>
      <c r="Z110" s="43"/>
      <c r="AA110" s="40"/>
      <c r="AB110" s="846">
        <f t="shared" si="0"/>
        <v>23020664</v>
      </c>
    </row>
    <row r="111" spans="2:30" x14ac:dyDescent="0.2">
      <c r="B111" s="166">
        <f>'1. LDC Info'!$F$27-4</f>
        <v>2013</v>
      </c>
      <c r="C111" s="38" t="s">
        <v>112</v>
      </c>
      <c r="D111" s="539">
        <v>7899287</v>
      </c>
      <c r="E111" s="537">
        <v>8598</v>
      </c>
      <c r="F111" s="539">
        <v>3344576</v>
      </c>
      <c r="G111" s="537">
        <v>1056</v>
      </c>
      <c r="H111" s="541">
        <v>52389</v>
      </c>
      <c r="I111" s="537">
        <v>94</v>
      </c>
      <c r="J111" s="541"/>
      <c r="K111" s="537"/>
      <c r="L111" s="520">
        <v>10545274</v>
      </c>
      <c r="M111" s="538">
        <v>26649</v>
      </c>
      <c r="N111" s="537">
        <v>142</v>
      </c>
      <c r="O111" s="520">
        <v>108570</v>
      </c>
      <c r="P111" s="538">
        <v>281</v>
      </c>
      <c r="Q111" s="537">
        <v>2845</v>
      </c>
      <c r="R111" s="539">
        <v>4917</v>
      </c>
      <c r="S111" s="538">
        <v>11</v>
      </c>
      <c r="T111" s="537">
        <v>54</v>
      </c>
      <c r="U111" s="541">
        <v>1310293</v>
      </c>
      <c r="V111" s="538">
        <v>3249</v>
      </c>
      <c r="W111" s="537">
        <v>1</v>
      </c>
      <c r="X111" s="43"/>
      <c r="Y111" s="219"/>
      <c r="Z111" s="43"/>
      <c r="AA111" s="40"/>
      <c r="AB111" s="846">
        <f t="shared" si="0"/>
        <v>23265306</v>
      </c>
    </row>
    <row r="112" spans="2:30" x14ac:dyDescent="0.2">
      <c r="B112" s="166">
        <f>'1. LDC Info'!$F$27-4</f>
        <v>2013</v>
      </c>
      <c r="C112" s="38" t="s">
        <v>113</v>
      </c>
      <c r="D112" s="539">
        <v>7434536</v>
      </c>
      <c r="E112" s="537">
        <v>8600</v>
      </c>
      <c r="F112" s="539">
        <v>2899058</v>
      </c>
      <c r="G112" s="537">
        <v>1062</v>
      </c>
      <c r="H112" s="541">
        <v>51753</v>
      </c>
      <c r="I112" s="537">
        <v>94</v>
      </c>
      <c r="J112" s="541"/>
      <c r="K112" s="537"/>
      <c r="L112" s="520">
        <v>11209418</v>
      </c>
      <c r="M112" s="538">
        <v>27103</v>
      </c>
      <c r="N112" s="537">
        <v>142</v>
      </c>
      <c r="O112" s="520">
        <v>109275</v>
      </c>
      <c r="P112" s="538">
        <v>281</v>
      </c>
      <c r="Q112" s="537">
        <v>2845</v>
      </c>
      <c r="R112" s="539">
        <v>3460</v>
      </c>
      <c r="S112" s="538">
        <v>11</v>
      </c>
      <c r="T112" s="537">
        <v>54</v>
      </c>
      <c r="U112" s="541">
        <v>1463064</v>
      </c>
      <c r="V112" s="538">
        <v>3670</v>
      </c>
      <c r="W112" s="537">
        <v>1</v>
      </c>
      <c r="X112" s="43"/>
      <c r="Y112" s="219"/>
      <c r="Z112" s="43"/>
      <c r="AA112" s="40"/>
      <c r="AB112" s="846">
        <f t="shared" si="0"/>
        <v>23170564</v>
      </c>
    </row>
    <row r="113" spans="2:30" x14ac:dyDescent="0.2">
      <c r="B113" s="166">
        <f>'1. LDC Info'!$F$27-4</f>
        <v>2013</v>
      </c>
      <c r="C113" s="38" t="s">
        <v>114</v>
      </c>
      <c r="D113" s="539">
        <v>5596371</v>
      </c>
      <c r="E113" s="537">
        <v>8616</v>
      </c>
      <c r="F113" s="539">
        <v>2788522</v>
      </c>
      <c r="G113" s="537">
        <v>1063</v>
      </c>
      <c r="H113" s="541">
        <v>51233</v>
      </c>
      <c r="I113" s="537">
        <v>94</v>
      </c>
      <c r="J113" s="541"/>
      <c r="K113" s="537"/>
      <c r="L113" s="520">
        <v>10154179</v>
      </c>
      <c r="M113" s="538">
        <v>26991</v>
      </c>
      <c r="N113" s="537">
        <v>141</v>
      </c>
      <c r="O113" s="520">
        <v>93061</v>
      </c>
      <c r="P113" s="538">
        <v>282</v>
      </c>
      <c r="Q113" s="537">
        <v>2845</v>
      </c>
      <c r="R113" s="539">
        <v>3644</v>
      </c>
      <c r="S113" s="538">
        <v>11</v>
      </c>
      <c r="T113" s="537">
        <v>54</v>
      </c>
      <c r="U113" s="541">
        <v>1628637</v>
      </c>
      <c r="V113" s="538">
        <v>4047.2</v>
      </c>
      <c r="W113" s="537">
        <v>1</v>
      </c>
      <c r="X113" s="43"/>
      <c r="Y113" s="219"/>
      <c r="Z113" s="43"/>
      <c r="AA113" s="40"/>
      <c r="AB113" s="846">
        <f t="shared" si="0"/>
        <v>20315647</v>
      </c>
    </row>
    <row r="114" spans="2:30" x14ac:dyDescent="0.2">
      <c r="B114" s="166">
        <f>'1. LDC Info'!$F$27-4</f>
        <v>2013</v>
      </c>
      <c r="C114" s="38" t="s">
        <v>115</v>
      </c>
      <c r="D114" s="539">
        <v>5941064</v>
      </c>
      <c r="E114" s="537">
        <v>8623</v>
      </c>
      <c r="F114" s="539">
        <v>2434525</v>
      </c>
      <c r="G114" s="537">
        <v>1069</v>
      </c>
      <c r="H114" s="541">
        <v>51753</v>
      </c>
      <c r="I114" s="537">
        <v>94</v>
      </c>
      <c r="J114" s="541"/>
      <c r="K114" s="537"/>
      <c r="L114" s="520">
        <v>10331894</v>
      </c>
      <c r="M114" s="538">
        <v>26991</v>
      </c>
      <c r="N114" s="537">
        <v>140</v>
      </c>
      <c r="O114" s="520">
        <v>85234</v>
      </c>
      <c r="P114" s="538">
        <v>282</v>
      </c>
      <c r="Q114" s="537">
        <v>2845</v>
      </c>
      <c r="R114" s="539">
        <v>3323</v>
      </c>
      <c r="S114" s="538">
        <v>11</v>
      </c>
      <c r="T114" s="537">
        <v>54</v>
      </c>
      <c r="U114" s="541">
        <v>1349184</v>
      </c>
      <c r="V114" s="538">
        <v>3272.2</v>
      </c>
      <c r="W114" s="537">
        <v>1</v>
      </c>
      <c r="X114" s="43"/>
      <c r="Y114" s="219"/>
      <c r="Z114" s="43"/>
      <c r="AA114" s="40"/>
      <c r="AB114" s="846">
        <f t="shared" si="0"/>
        <v>20196977</v>
      </c>
    </row>
    <row r="115" spans="2:30" x14ac:dyDescent="0.2">
      <c r="B115" s="166">
        <f>'1. LDC Info'!$F$27-4</f>
        <v>2013</v>
      </c>
      <c r="C115" s="38" t="s">
        <v>116</v>
      </c>
      <c r="D115" s="539">
        <v>5194618</v>
      </c>
      <c r="E115" s="537">
        <v>8633</v>
      </c>
      <c r="F115" s="539">
        <v>2581608</v>
      </c>
      <c r="G115" s="537">
        <v>1068</v>
      </c>
      <c r="H115" s="541">
        <v>51233</v>
      </c>
      <c r="I115" s="537">
        <v>94</v>
      </c>
      <c r="J115" s="541"/>
      <c r="K115" s="537"/>
      <c r="L115" s="520">
        <v>9916819</v>
      </c>
      <c r="M115" s="538">
        <v>27092</v>
      </c>
      <c r="N115" s="537">
        <v>140</v>
      </c>
      <c r="O115" s="520">
        <v>76141</v>
      </c>
      <c r="P115" s="538">
        <v>282</v>
      </c>
      <c r="Q115" s="537">
        <v>2859</v>
      </c>
      <c r="R115" s="539">
        <v>3849</v>
      </c>
      <c r="S115" s="538">
        <v>11</v>
      </c>
      <c r="T115" s="537">
        <v>54</v>
      </c>
      <c r="U115" s="541">
        <v>1313308</v>
      </c>
      <c r="V115" s="538">
        <v>3404.4</v>
      </c>
      <c r="W115" s="537">
        <v>1</v>
      </c>
      <c r="X115" s="43"/>
      <c r="Y115" s="219"/>
      <c r="Z115" s="43"/>
      <c r="AA115" s="40"/>
      <c r="AB115" s="846">
        <f t="shared" si="0"/>
        <v>19137576</v>
      </c>
    </row>
    <row r="116" spans="2:30" x14ac:dyDescent="0.2">
      <c r="B116" s="166">
        <f>'1. LDC Info'!$F$27-4</f>
        <v>2013</v>
      </c>
      <c r="C116" s="38" t="s">
        <v>117</v>
      </c>
      <c r="D116" s="539">
        <v>5843791</v>
      </c>
      <c r="E116" s="537">
        <v>8632</v>
      </c>
      <c r="F116" s="539">
        <v>2703537</v>
      </c>
      <c r="G116" s="537">
        <v>1068</v>
      </c>
      <c r="H116" s="541">
        <v>51753</v>
      </c>
      <c r="I116" s="537">
        <v>93</v>
      </c>
      <c r="J116" s="541"/>
      <c r="K116" s="537"/>
      <c r="L116" s="520">
        <v>11160487</v>
      </c>
      <c r="M116" s="538">
        <v>27993</v>
      </c>
      <c r="N116" s="537">
        <v>140</v>
      </c>
      <c r="O116" s="520">
        <v>81154</v>
      </c>
      <c r="P116" s="538">
        <v>282</v>
      </c>
      <c r="Q116" s="537">
        <v>2859</v>
      </c>
      <c r="R116" s="539">
        <v>3391</v>
      </c>
      <c r="S116" s="538">
        <v>11</v>
      </c>
      <c r="T116" s="537">
        <v>54</v>
      </c>
      <c r="U116" s="541">
        <v>1077980</v>
      </c>
      <c r="V116" s="538">
        <v>3039.7</v>
      </c>
      <c r="W116" s="537">
        <v>1</v>
      </c>
      <c r="X116" s="43"/>
      <c r="Y116" s="219"/>
      <c r="Z116" s="43"/>
      <c r="AA116" s="40"/>
      <c r="AB116" s="846">
        <f t="shared" si="0"/>
        <v>20922093</v>
      </c>
    </row>
    <row r="117" spans="2:30" x14ac:dyDescent="0.2">
      <c r="B117" s="166">
        <f>'1. LDC Info'!$F$27-4</f>
        <v>2013</v>
      </c>
      <c r="C117" s="38" t="s">
        <v>107</v>
      </c>
      <c r="D117" s="539">
        <v>5442302</v>
      </c>
      <c r="E117" s="537">
        <v>8664</v>
      </c>
      <c r="F117" s="539">
        <v>2707029</v>
      </c>
      <c r="G117" s="537">
        <v>1067</v>
      </c>
      <c r="H117" s="541">
        <v>51233</v>
      </c>
      <c r="I117" s="537">
        <v>94</v>
      </c>
      <c r="J117" s="541"/>
      <c r="K117" s="537"/>
      <c r="L117" s="520">
        <v>9949866</v>
      </c>
      <c r="M117" s="538">
        <v>26910</v>
      </c>
      <c r="N117" s="537">
        <v>141</v>
      </c>
      <c r="O117" s="520">
        <v>92121</v>
      </c>
      <c r="P117" s="538">
        <v>283</v>
      </c>
      <c r="Q117" s="537">
        <v>2859</v>
      </c>
      <c r="R117" s="539">
        <v>3699</v>
      </c>
      <c r="S117" s="538">
        <v>11</v>
      </c>
      <c r="T117" s="537">
        <v>54</v>
      </c>
      <c r="U117" s="541">
        <v>660137</v>
      </c>
      <c r="V117" s="538">
        <v>2754.1</v>
      </c>
      <c r="W117" s="537">
        <v>1</v>
      </c>
      <c r="X117" s="43"/>
      <c r="Y117" s="219"/>
      <c r="Z117" s="43"/>
      <c r="AA117" s="40"/>
      <c r="AB117" s="846">
        <f t="shared" si="0"/>
        <v>18906387</v>
      </c>
    </row>
    <row r="118" spans="2:30" x14ac:dyDescent="0.2">
      <c r="B118" s="166">
        <f>'1. LDC Info'!$F$27-4</f>
        <v>2013</v>
      </c>
      <c r="C118" s="38" t="s">
        <v>108</v>
      </c>
      <c r="D118" s="539">
        <v>6126576</v>
      </c>
      <c r="E118" s="537">
        <v>8672</v>
      </c>
      <c r="F118" s="539">
        <v>2551889</v>
      </c>
      <c r="G118" s="537">
        <v>1069</v>
      </c>
      <c r="H118" s="541">
        <v>51753</v>
      </c>
      <c r="I118" s="537">
        <v>93</v>
      </c>
      <c r="J118" s="541"/>
      <c r="K118" s="537"/>
      <c r="L118" s="520">
        <v>9688002</v>
      </c>
      <c r="M118" s="538">
        <v>26798</v>
      </c>
      <c r="N118" s="537">
        <v>141</v>
      </c>
      <c r="O118" s="520">
        <v>99763</v>
      </c>
      <c r="P118" s="538">
        <v>283</v>
      </c>
      <c r="Q118" s="537">
        <v>2859</v>
      </c>
      <c r="R118" s="539">
        <v>3494</v>
      </c>
      <c r="S118" s="538">
        <v>11</v>
      </c>
      <c r="T118" s="537">
        <v>54</v>
      </c>
      <c r="U118" s="541">
        <v>831390</v>
      </c>
      <c r="V118" s="538">
        <v>2952.5</v>
      </c>
      <c r="W118" s="537">
        <v>1</v>
      </c>
      <c r="X118" s="43"/>
      <c r="Y118" s="219"/>
      <c r="Z118" s="43"/>
      <c r="AA118" s="40"/>
      <c r="AB118" s="846">
        <f t="shared" si="0"/>
        <v>19352867</v>
      </c>
    </row>
    <row r="119" spans="2:30" x14ac:dyDescent="0.2">
      <c r="B119" s="166">
        <f>'1. LDC Info'!$F$27-4</f>
        <v>2013</v>
      </c>
      <c r="C119" s="38" t="s">
        <v>109</v>
      </c>
      <c r="D119" s="539">
        <v>4754810</v>
      </c>
      <c r="E119" s="537">
        <v>8713</v>
      </c>
      <c r="F119" s="539">
        <v>2306488</v>
      </c>
      <c r="G119" s="537">
        <v>1070</v>
      </c>
      <c r="H119" s="541">
        <v>51183</v>
      </c>
      <c r="I119" s="537">
        <v>93</v>
      </c>
      <c r="J119" s="541"/>
      <c r="K119" s="537"/>
      <c r="L119" s="520">
        <v>9797603</v>
      </c>
      <c r="M119" s="538">
        <v>25923</v>
      </c>
      <c r="N119" s="537">
        <v>142</v>
      </c>
      <c r="O119" s="520">
        <v>116248</v>
      </c>
      <c r="P119" s="538">
        <v>283</v>
      </c>
      <c r="Q119" s="537">
        <v>2873</v>
      </c>
      <c r="R119" s="539">
        <v>3678</v>
      </c>
      <c r="S119" s="538">
        <v>11</v>
      </c>
      <c r="T119" s="537">
        <v>54</v>
      </c>
      <c r="U119" s="541">
        <v>1194974</v>
      </c>
      <c r="V119" s="538">
        <v>2880.7</v>
      </c>
      <c r="W119" s="537">
        <v>1</v>
      </c>
      <c r="X119" s="43"/>
      <c r="Y119" s="219"/>
      <c r="Z119" s="43"/>
      <c r="AA119" s="40"/>
      <c r="AB119" s="846">
        <f t="shared" si="0"/>
        <v>18224984</v>
      </c>
    </row>
    <row r="120" spans="2:30" x14ac:dyDescent="0.2">
      <c r="B120" s="166">
        <f>'1. LDC Info'!$F$27-4</f>
        <v>2013</v>
      </c>
      <c r="C120" s="38" t="s">
        <v>106</v>
      </c>
      <c r="D120" s="520">
        <v>5486115</v>
      </c>
      <c r="E120" s="537">
        <v>8671</v>
      </c>
      <c r="F120" s="520">
        <v>2797400</v>
      </c>
      <c r="G120" s="537">
        <v>1059</v>
      </c>
      <c r="H120" s="539">
        <v>101310</v>
      </c>
      <c r="I120" s="537">
        <v>93</v>
      </c>
      <c r="J120" s="539"/>
      <c r="K120" s="537"/>
      <c r="L120" s="520">
        <v>10928771</v>
      </c>
      <c r="M120" s="538">
        <v>26398</v>
      </c>
      <c r="N120" s="537">
        <v>143</v>
      </c>
      <c r="O120" s="520">
        <v>123941</v>
      </c>
      <c r="P120" s="538">
        <v>285</v>
      </c>
      <c r="Q120" s="537">
        <v>2879</v>
      </c>
      <c r="R120" s="539">
        <v>3494</v>
      </c>
      <c r="S120" s="538">
        <v>11</v>
      </c>
      <c r="T120" s="537">
        <v>54</v>
      </c>
      <c r="U120" s="539">
        <v>1084885</v>
      </c>
      <c r="V120" s="538">
        <v>2798.8</v>
      </c>
      <c r="W120" s="537">
        <v>1</v>
      </c>
      <c r="X120" s="43"/>
      <c r="Y120" s="219"/>
      <c r="Z120" s="43"/>
      <c r="AA120" s="40"/>
      <c r="AB120" s="846">
        <f t="shared" si="0"/>
        <v>20525916</v>
      </c>
      <c r="AC120" s="846">
        <f>SUM(AB109:AB120)</f>
        <v>247570201</v>
      </c>
      <c r="AD120" s="24">
        <v>2013</v>
      </c>
    </row>
    <row r="121" spans="2:30" x14ac:dyDescent="0.2">
      <c r="B121" s="166">
        <f>'1. LDC Info'!$F$27-3</f>
        <v>2014</v>
      </c>
      <c r="C121" s="38" t="s">
        <v>110</v>
      </c>
      <c r="D121" s="539">
        <v>8499854</v>
      </c>
      <c r="E121" s="537">
        <v>8681</v>
      </c>
      <c r="F121" s="539">
        <v>2710757</v>
      </c>
      <c r="G121" s="537">
        <v>1060</v>
      </c>
      <c r="H121" s="540">
        <v>51753</v>
      </c>
      <c r="I121" s="537">
        <v>93</v>
      </c>
      <c r="J121" s="540"/>
      <c r="K121" s="537"/>
      <c r="L121" s="520">
        <v>8910571</v>
      </c>
      <c r="M121" s="538">
        <v>28369.399999999998</v>
      </c>
      <c r="N121" s="537">
        <v>142</v>
      </c>
      <c r="O121" s="520">
        <v>134488</v>
      </c>
      <c r="P121" s="538">
        <v>282.10000000000002</v>
      </c>
      <c r="Q121" s="537">
        <v>2574</v>
      </c>
      <c r="R121" s="539">
        <v>4054</v>
      </c>
      <c r="S121" s="538">
        <v>11</v>
      </c>
      <c r="T121" s="537">
        <v>54</v>
      </c>
      <c r="U121" s="540">
        <v>915522</v>
      </c>
      <c r="V121" s="538">
        <v>2983.9</v>
      </c>
      <c r="W121" s="537">
        <v>1</v>
      </c>
      <c r="X121" s="221"/>
      <c r="Y121" s="219"/>
      <c r="Z121" s="221"/>
      <c r="AA121" s="40"/>
      <c r="AB121" s="846">
        <f t="shared" si="0"/>
        <v>21226999</v>
      </c>
    </row>
    <row r="122" spans="2:30" x14ac:dyDescent="0.2">
      <c r="B122" s="166">
        <f>'1. LDC Info'!$F$27-3</f>
        <v>2014</v>
      </c>
      <c r="C122" s="38" t="s">
        <v>111</v>
      </c>
      <c r="D122" s="539">
        <v>5952715</v>
      </c>
      <c r="E122" s="537">
        <v>8686</v>
      </c>
      <c r="F122" s="539">
        <v>3954631</v>
      </c>
      <c r="G122" s="537">
        <v>1064</v>
      </c>
      <c r="H122" s="540">
        <v>51233</v>
      </c>
      <c r="I122" s="537">
        <v>94</v>
      </c>
      <c r="J122" s="540"/>
      <c r="K122" s="537"/>
      <c r="L122" s="520">
        <v>12063116</v>
      </c>
      <c r="M122" s="538">
        <v>26169.5</v>
      </c>
      <c r="N122" s="537">
        <v>142</v>
      </c>
      <c r="O122" s="520">
        <v>132283</v>
      </c>
      <c r="P122" s="538">
        <v>284.5</v>
      </c>
      <c r="Q122" s="537">
        <v>2574</v>
      </c>
      <c r="R122" s="539">
        <v>3049</v>
      </c>
      <c r="S122" s="538">
        <v>11</v>
      </c>
      <c r="T122" s="537">
        <v>54</v>
      </c>
      <c r="U122" s="540">
        <v>438012</v>
      </c>
      <c r="V122" s="538">
        <v>2535.6999999999998</v>
      </c>
      <c r="W122" s="537">
        <v>1</v>
      </c>
      <c r="X122" s="221"/>
      <c r="Y122" s="219"/>
      <c r="Z122" s="221"/>
      <c r="AA122" s="40"/>
      <c r="AB122" s="846">
        <f t="shared" si="0"/>
        <v>22595039</v>
      </c>
    </row>
    <row r="123" spans="2:30" x14ac:dyDescent="0.2">
      <c r="B123" s="166">
        <f>'1. LDC Info'!$F$27-3</f>
        <v>2014</v>
      </c>
      <c r="C123" s="38" t="s">
        <v>112</v>
      </c>
      <c r="D123" s="539">
        <v>10141471</v>
      </c>
      <c r="E123" s="537">
        <v>8699</v>
      </c>
      <c r="F123" s="539">
        <v>3290393</v>
      </c>
      <c r="G123" s="537">
        <v>1058</v>
      </c>
      <c r="H123" s="540">
        <v>52196</v>
      </c>
      <c r="I123" s="537">
        <v>94</v>
      </c>
      <c r="J123" s="540"/>
      <c r="K123" s="537"/>
      <c r="L123" s="520">
        <v>9805890</v>
      </c>
      <c r="M123" s="538">
        <v>26495.1</v>
      </c>
      <c r="N123" s="537">
        <v>147</v>
      </c>
      <c r="O123" s="520">
        <v>109525</v>
      </c>
      <c r="P123" s="538">
        <v>284.5</v>
      </c>
      <c r="Q123" s="537">
        <v>2694</v>
      </c>
      <c r="R123" s="539">
        <v>4054</v>
      </c>
      <c r="S123" s="538">
        <v>11</v>
      </c>
      <c r="T123" s="537">
        <v>54</v>
      </c>
      <c r="U123" s="540">
        <v>1078714</v>
      </c>
      <c r="V123" s="538">
        <v>3643</v>
      </c>
      <c r="W123" s="537">
        <v>1</v>
      </c>
      <c r="X123" s="221"/>
      <c r="Y123" s="219"/>
      <c r="Z123" s="221"/>
      <c r="AA123" s="40"/>
      <c r="AB123" s="846">
        <f t="shared" si="0"/>
        <v>24482243</v>
      </c>
    </row>
    <row r="124" spans="2:30" x14ac:dyDescent="0.2">
      <c r="B124" s="166">
        <f>'1. LDC Info'!$F$27-3</f>
        <v>2014</v>
      </c>
      <c r="C124" s="38" t="s">
        <v>113</v>
      </c>
      <c r="D124" s="539">
        <v>5396445</v>
      </c>
      <c r="E124" s="537">
        <v>8721</v>
      </c>
      <c r="F124" s="539">
        <v>2755815</v>
      </c>
      <c r="G124" s="537">
        <v>1060</v>
      </c>
      <c r="H124" s="540">
        <v>0</v>
      </c>
      <c r="I124" s="537">
        <v>94</v>
      </c>
      <c r="J124" s="540"/>
      <c r="K124" s="537"/>
      <c r="L124" s="520">
        <v>10199613</v>
      </c>
      <c r="M124" s="538">
        <v>26001</v>
      </c>
      <c r="N124" s="537">
        <v>147</v>
      </c>
      <c r="O124" s="520">
        <v>110235</v>
      </c>
      <c r="P124" s="538">
        <v>284</v>
      </c>
      <c r="Q124" s="537">
        <v>2694</v>
      </c>
      <c r="R124" s="539">
        <v>3118</v>
      </c>
      <c r="S124" s="538">
        <v>11</v>
      </c>
      <c r="T124" s="537">
        <v>54</v>
      </c>
      <c r="U124" s="540">
        <v>1401922</v>
      </c>
      <c r="V124" s="538">
        <v>3933</v>
      </c>
      <c r="W124" s="537">
        <v>1</v>
      </c>
      <c r="X124" s="221"/>
      <c r="Y124" s="219"/>
      <c r="Z124" s="221"/>
      <c r="AA124" s="40"/>
      <c r="AB124" s="846">
        <f t="shared" si="0"/>
        <v>19867148</v>
      </c>
    </row>
    <row r="125" spans="2:30" x14ac:dyDescent="0.2">
      <c r="B125" s="166">
        <f>'1. LDC Info'!$F$27-3</f>
        <v>2014</v>
      </c>
      <c r="C125" s="38" t="s">
        <v>114</v>
      </c>
      <c r="D125" s="539">
        <v>6318305</v>
      </c>
      <c r="E125" s="537">
        <v>8731</v>
      </c>
      <c r="F125" s="539">
        <v>2528537</v>
      </c>
      <c r="G125" s="537">
        <v>1059</v>
      </c>
      <c r="H125" s="540">
        <v>50337</v>
      </c>
      <c r="I125" s="537">
        <v>94</v>
      </c>
      <c r="J125" s="540"/>
      <c r="K125" s="537"/>
      <c r="L125" s="520">
        <v>9770455</v>
      </c>
      <c r="M125" s="538">
        <v>25350.5</v>
      </c>
      <c r="N125" s="537">
        <v>146</v>
      </c>
      <c r="O125" s="520">
        <v>93879</v>
      </c>
      <c r="P125" s="538">
        <v>284</v>
      </c>
      <c r="Q125" s="537">
        <v>2694</v>
      </c>
      <c r="R125" s="539">
        <v>3712</v>
      </c>
      <c r="S125" s="538">
        <v>11</v>
      </c>
      <c r="T125" s="537">
        <v>54</v>
      </c>
      <c r="U125" s="540">
        <v>1025400</v>
      </c>
      <c r="V125" s="538">
        <v>3014.5</v>
      </c>
      <c r="W125" s="537">
        <v>1</v>
      </c>
      <c r="X125" s="221"/>
      <c r="Y125" s="219"/>
      <c r="Z125" s="221"/>
      <c r="AA125" s="40"/>
      <c r="AB125" s="846">
        <f t="shared" si="0"/>
        <v>19790625</v>
      </c>
    </row>
    <row r="126" spans="2:30" x14ac:dyDescent="0.2">
      <c r="B126" s="166">
        <f>'1. LDC Info'!$F$27-3</f>
        <v>2014</v>
      </c>
      <c r="C126" s="38" t="s">
        <v>115</v>
      </c>
      <c r="D126" s="539">
        <v>5690246</v>
      </c>
      <c r="E126" s="537">
        <v>8753</v>
      </c>
      <c r="F126" s="539">
        <v>2179249</v>
      </c>
      <c r="G126" s="537">
        <v>1058</v>
      </c>
      <c r="H126" s="540">
        <v>1156</v>
      </c>
      <c r="I126" s="537">
        <v>94</v>
      </c>
      <c r="J126" s="540"/>
      <c r="K126" s="537"/>
      <c r="L126" s="520">
        <v>9427178</v>
      </c>
      <c r="M126" s="538">
        <v>25549.9</v>
      </c>
      <c r="N126" s="537">
        <v>146</v>
      </c>
      <c r="O126" s="520">
        <v>85984</v>
      </c>
      <c r="P126" s="538">
        <v>284.3</v>
      </c>
      <c r="Q126" s="537">
        <v>2694</v>
      </c>
      <c r="R126" s="539">
        <v>3254</v>
      </c>
      <c r="S126" s="538">
        <v>11</v>
      </c>
      <c r="T126" s="537">
        <v>54</v>
      </c>
      <c r="U126" s="540">
        <v>1025578</v>
      </c>
      <c r="V126" s="538">
        <v>3205.5</v>
      </c>
      <c r="W126" s="537">
        <v>1</v>
      </c>
      <c r="X126" s="221"/>
      <c r="Y126" s="219"/>
      <c r="Z126" s="221"/>
      <c r="AA126" s="40"/>
      <c r="AB126" s="846">
        <f t="shared" si="0"/>
        <v>18412645</v>
      </c>
    </row>
    <row r="127" spans="2:30" x14ac:dyDescent="0.2">
      <c r="B127" s="166">
        <f>'1. LDC Info'!$F$27-3</f>
        <v>2014</v>
      </c>
      <c r="C127" s="38" t="s">
        <v>116</v>
      </c>
      <c r="D127" s="539">
        <v>6110502</v>
      </c>
      <c r="E127" s="537">
        <v>8763</v>
      </c>
      <c r="F127" s="539">
        <v>2405406</v>
      </c>
      <c r="G127" s="537">
        <v>1059</v>
      </c>
      <c r="H127" s="540">
        <v>98998</v>
      </c>
      <c r="I127" s="537">
        <v>93</v>
      </c>
      <c r="J127" s="540"/>
      <c r="K127" s="537"/>
      <c r="L127" s="520">
        <v>10324790</v>
      </c>
      <c r="M127" s="538">
        <v>26198</v>
      </c>
      <c r="N127" s="537">
        <v>146</v>
      </c>
      <c r="O127" s="520">
        <v>76810</v>
      </c>
      <c r="P127" s="538">
        <v>284</v>
      </c>
      <c r="Q127" s="537">
        <v>2694</v>
      </c>
      <c r="R127" s="539">
        <v>4123</v>
      </c>
      <c r="S127" s="538">
        <v>11</v>
      </c>
      <c r="T127" s="537">
        <v>54</v>
      </c>
      <c r="U127" s="540">
        <v>1099006</v>
      </c>
      <c r="V127" s="538">
        <v>3325</v>
      </c>
      <c r="W127" s="537">
        <v>1</v>
      </c>
      <c r="X127" s="221"/>
      <c r="Y127" s="219"/>
      <c r="Z127" s="221"/>
      <c r="AA127" s="40"/>
      <c r="AB127" s="846">
        <f t="shared" si="0"/>
        <v>20119635</v>
      </c>
    </row>
    <row r="128" spans="2:30" x14ac:dyDescent="0.2">
      <c r="B128" s="166">
        <f>'1. LDC Info'!$F$27-3</f>
        <v>2014</v>
      </c>
      <c r="C128" s="38" t="s">
        <v>117</v>
      </c>
      <c r="D128" s="539">
        <v>4298701</v>
      </c>
      <c r="E128" s="537">
        <v>8764</v>
      </c>
      <c r="F128" s="539">
        <v>2335834</v>
      </c>
      <c r="G128" s="537">
        <v>1061</v>
      </c>
      <c r="H128" s="540">
        <v>49767</v>
      </c>
      <c r="I128" s="537">
        <v>93</v>
      </c>
      <c r="J128" s="540"/>
      <c r="K128" s="537"/>
      <c r="L128" s="520">
        <v>9727460</v>
      </c>
      <c r="M128" s="538">
        <v>26099.1</v>
      </c>
      <c r="N128" s="537">
        <v>146</v>
      </c>
      <c r="O128" s="520">
        <v>81574</v>
      </c>
      <c r="P128" s="538">
        <v>284.5</v>
      </c>
      <c r="Q128" s="537">
        <v>2694</v>
      </c>
      <c r="R128" s="539">
        <v>3118</v>
      </c>
      <c r="S128" s="538">
        <v>11</v>
      </c>
      <c r="T128" s="537">
        <v>54</v>
      </c>
      <c r="U128" s="540">
        <v>1007626</v>
      </c>
      <c r="V128" s="538">
        <v>3410.7</v>
      </c>
      <c r="W128" s="537">
        <v>1</v>
      </c>
      <c r="X128" s="221"/>
      <c r="Y128" s="219"/>
      <c r="Z128" s="221"/>
      <c r="AA128" s="40"/>
      <c r="AB128" s="846">
        <f t="shared" si="0"/>
        <v>17504080</v>
      </c>
    </row>
    <row r="129" spans="2:30" x14ac:dyDescent="0.2">
      <c r="B129" s="166">
        <f>'1. LDC Info'!$F$27-3</f>
        <v>2014</v>
      </c>
      <c r="C129" s="38" t="s">
        <v>107</v>
      </c>
      <c r="D129" s="539">
        <v>6463714</v>
      </c>
      <c r="E129" s="537">
        <v>8820</v>
      </c>
      <c r="F129" s="539">
        <v>2334190</v>
      </c>
      <c r="G129" s="537">
        <v>1062</v>
      </c>
      <c r="H129" s="540">
        <v>50287</v>
      </c>
      <c r="I129" s="537">
        <v>93</v>
      </c>
      <c r="J129" s="540"/>
      <c r="K129" s="537"/>
      <c r="L129" s="520">
        <v>9386422</v>
      </c>
      <c r="M129" s="538">
        <v>25997.8</v>
      </c>
      <c r="N129" s="537">
        <v>146</v>
      </c>
      <c r="O129" s="520">
        <v>92597</v>
      </c>
      <c r="P129" s="538">
        <v>284.2</v>
      </c>
      <c r="Q129" s="537">
        <v>2694</v>
      </c>
      <c r="R129" s="539">
        <v>3986</v>
      </c>
      <c r="S129" s="538">
        <v>11</v>
      </c>
      <c r="T129" s="537">
        <v>54</v>
      </c>
      <c r="U129" s="540">
        <v>931167</v>
      </c>
      <c r="V129" s="538">
        <v>3309.6</v>
      </c>
      <c r="W129" s="537">
        <v>1</v>
      </c>
      <c r="X129" s="221"/>
      <c r="Y129" s="219"/>
      <c r="Z129" s="221"/>
      <c r="AA129" s="40"/>
      <c r="AB129" s="846">
        <f t="shared" si="0"/>
        <v>19262363</v>
      </c>
    </row>
    <row r="130" spans="2:30" x14ac:dyDescent="0.2">
      <c r="B130" s="166">
        <f>'1. LDC Info'!$F$27-3</f>
        <v>2014</v>
      </c>
      <c r="C130" s="38" t="s">
        <v>108</v>
      </c>
      <c r="D130" s="539">
        <v>4113551</v>
      </c>
      <c r="E130" s="537">
        <v>8828</v>
      </c>
      <c r="F130" s="539">
        <v>2148423</v>
      </c>
      <c r="G130" s="537">
        <v>1076</v>
      </c>
      <c r="H130" s="540">
        <v>49767</v>
      </c>
      <c r="I130" s="537">
        <v>93</v>
      </c>
      <c r="J130" s="540"/>
      <c r="K130" s="537"/>
      <c r="L130" s="520">
        <v>10772608</v>
      </c>
      <c r="M130" s="538">
        <v>26997.800000000003</v>
      </c>
      <c r="N130" s="537">
        <v>136</v>
      </c>
      <c r="O130" s="520">
        <v>100280</v>
      </c>
      <c r="P130" s="538">
        <v>284.5</v>
      </c>
      <c r="Q130" s="537">
        <v>2694</v>
      </c>
      <c r="R130" s="539">
        <v>3111</v>
      </c>
      <c r="S130" s="538">
        <v>11</v>
      </c>
      <c r="T130" s="537">
        <v>54</v>
      </c>
      <c r="U130" s="540">
        <v>1247089</v>
      </c>
      <c r="V130" s="538">
        <v>1561.3</v>
      </c>
      <c r="W130" s="537">
        <v>1</v>
      </c>
      <c r="X130" s="221"/>
      <c r="Y130" s="219"/>
      <c r="Z130" s="221"/>
      <c r="AA130" s="40"/>
      <c r="AB130" s="846">
        <f t="shared" si="0"/>
        <v>18434829</v>
      </c>
    </row>
    <row r="131" spans="2:30" x14ac:dyDescent="0.2">
      <c r="B131" s="166">
        <f>'1. LDC Info'!$F$27-3</f>
        <v>2014</v>
      </c>
      <c r="C131" s="38" t="s">
        <v>109</v>
      </c>
      <c r="D131" s="539">
        <v>6361738</v>
      </c>
      <c r="E131" s="537">
        <v>8831</v>
      </c>
      <c r="F131" s="539">
        <v>2324461</v>
      </c>
      <c r="G131" s="537">
        <v>1075</v>
      </c>
      <c r="H131" s="540">
        <v>50287</v>
      </c>
      <c r="I131" s="537">
        <v>93</v>
      </c>
      <c r="J131" s="540"/>
      <c r="K131" s="537"/>
      <c r="L131" s="520">
        <v>9406996</v>
      </c>
      <c r="M131" s="538">
        <v>25733.1</v>
      </c>
      <c r="N131" s="537">
        <v>135</v>
      </c>
      <c r="O131" s="520">
        <v>116850</v>
      </c>
      <c r="P131" s="538">
        <v>284</v>
      </c>
      <c r="Q131" s="537">
        <v>2694</v>
      </c>
      <c r="R131" s="539">
        <v>4125</v>
      </c>
      <c r="S131" s="538">
        <v>11</v>
      </c>
      <c r="T131" s="537">
        <v>54</v>
      </c>
      <c r="U131" s="540">
        <v>1185114</v>
      </c>
      <c r="V131" s="538">
        <v>3048.4</v>
      </c>
      <c r="W131" s="537">
        <v>1</v>
      </c>
      <c r="X131" s="221"/>
      <c r="Y131" s="219"/>
      <c r="Z131" s="221"/>
      <c r="AA131" s="40"/>
      <c r="AB131" s="846">
        <f t="shared" si="0"/>
        <v>19449571</v>
      </c>
    </row>
    <row r="132" spans="2:30" x14ac:dyDescent="0.2">
      <c r="B132" s="166">
        <f>'1. LDC Info'!$F$27-3</f>
        <v>2014</v>
      </c>
      <c r="C132" s="38" t="s">
        <v>106</v>
      </c>
      <c r="D132" s="520">
        <v>4252969</v>
      </c>
      <c r="E132" s="537">
        <v>8840</v>
      </c>
      <c r="F132" s="520">
        <v>2533006</v>
      </c>
      <c r="G132" s="537">
        <v>1077</v>
      </c>
      <c r="H132" s="539">
        <v>49767</v>
      </c>
      <c r="I132" s="537">
        <v>93</v>
      </c>
      <c r="J132" s="539"/>
      <c r="K132" s="537"/>
      <c r="L132" s="520">
        <v>9541047</v>
      </c>
      <c r="M132" s="538">
        <v>25391</v>
      </c>
      <c r="N132" s="537">
        <v>134</v>
      </c>
      <c r="O132" s="520">
        <v>123748</v>
      </c>
      <c r="P132" s="538">
        <v>284</v>
      </c>
      <c r="Q132" s="537">
        <v>2694</v>
      </c>
      <c r="R132" s="539">
        <v>3239</v>
      </c>
      <c r="S132" s="538">
        <v>11</v>
      </c>
      <c r="T132" s="537">
        <v>54</v>
      </c>
      <c r="U132" s="539">
        <v>1229079</v>
      </c>
      <c r="V132" s="538">
        <v>2633</v>
      </c>
      <c r="W132" s="537">
        <v>1</v>
      </c>
      <c r="X132" s="221"/>
      <c r="Y132" s="219"/>
      <c r="Z132" s="221"/>
      <c r="AA132" s="40"/>
      <c r="AB132" s="846">
        <f t="shared" si="0"/>
        <v>17732855</v>
      </c>
      <c r="AC132" s="846">
        <f>SUM(AB121:AB132)</f>
        <v>238878032</v>
      </c>
      <c r="AD132" s="24">
        <v>2014</v>
      </c>
    </row>
    <row r="133" spans="2:30" x14ac:dyDescent="0.2">
      <c r="B133" s="166">
        <f>'1. LDC Info'!$F$27-2</f>
        <v>2015</v>
      </c>
      <c r="C133" s="38" t="s">
        <v>110</v>
      </c>
      <c r="D133" s="539">
        <v>7983857</v>
      </c>
      <c r="E133" s="537">
        <v>8844</v>
      </c>
      <c r="F133" s="539">
        <v>2673831</v>
      </c>
      <c r="G133" s="537">
        <v>1075</v>
      </c>
      <c r="H133" s="540">
        <v>50287</v>
      </c>
      <c r="I133" s="537">
        <v>93</v>
      </c>
      <c r="J133" s="540"/>
      <c r="K133" s="537"/>
      <c r="L133" s="520">
        <v>8536713</v>
      </c>
      <c r="M133" s="538">
        <v>25821.4</v>
      </c>
      <c r="N133" s="537">
        <v>134</v>
      </c>
      <c r="O133" s="520">
        <v>134488</v>
      </c>
      <c r="P133" s="538">
        <v>285</v>
      </c>
      <c r="Q133" s="537">
        <v>2694</v>
      </c>
      <c r="R133" s="539">
        <v>4118</v>
      </c>
      <c r="S133" s="538">
        <v>11</v>
      </c>
      <c r="T133" s="537">
        <v>54</v>
      </c>
      <c r="U133" s="540">
        <v>908190</v>
      </c>
      <c r="V133" s="538">
        <v>2590.9</v>
      </c>
      <c r="W133" s="537">
        <v>1</v>
      </c>
      <c r="X133" s="221"/>
      <c r="Y133" s="219"/>
      <c r="Z133" s="221"/>
      <c r="AA133" s="40"/>
      <c r="AB133" s="846">
        <f t="shared" si="0"/>
        <v>20291484</v>
      </c>
    </row>
    <row r="134" spans="2:30" x14ac:dyDescent="0.2">
      <c r="B134" s="166">
        <f>'1. LDC Info'!$F$27-2</f>
        <v>2015</v>
      </c>
      <c r="C134" s="38" t="s">
        <v>111</v>
      </c>
      <c r="D134" s="539">
        <v>5647769</v>
      </c>
      <c r="E134" s="537">
        <v>8846</v>
      </c>
      <c r="F134" s="539">
        <v>3188691</v>
      </c>
      <c r="G134" s="537">
        <v>1075</v>
      </c>
      <c r="H134" s="540">
        <v>49767</v>
      </c>
      <c r="I134" s="537">
        <v>93</v>
      </c>
      <c r="J134" s="540"/>
      <c r="K134" s="537"/>
      <c r="L134" s="520">
        <v>11690166</v>
      </c>
      <c r="M134" s="538">
        <v>24723.300000000003</v>
      </c>
      <c r="N134" s="537">
        <v>133</v>
      </c>
      <c r="O134" s="520">
        <v>132283</v>
      </c>
      <c r="P134" s="538">
        <v>285</v>
      </c>
      <c r="Q134" s="537">
        <v>2694</v>
      </c>
      <c r="R134" s="539">
        <v>2938</v>
      </c>
      <c r="S134" s="538">
        <v>11</v>
      </c>
      <c r="T134" s="537">
        <v>54</v>
      </c>
      <c r="U134" s="540">
        <v>1126355</v>
      </c>
      <c r="V134" s="538">
        <v>2542</v>
      </c>
      <c r="W134" s="537">
        <v>1</v>
      </c>
      <c r="X134" s="221"/>
      <c r="Y134" s="219"/>
      <c r="Z134" s="221"/>
      <c r="AA134" s="40"/>
      <c r="AB134" s="846">
        <f t="shared" si="0"/>
        <v>21837969</v>
      </c>
    </row>
    <row r="135" spans="2:30" x14ac:dyDescent="0.2">
      <c r="B135" s="166">
        <f>'1. LDC Info'!$F$27-2</f>
        <v>2015</v>
      </c>
      <c r="C135" s="38" t="s">
        <v>112</v>
      </c>
      <c r="D135" s="539">
        <v>9873655</v>
      </c>
      <c r="E135" s="537">
        <v>8846</v>
      </c>
      <c r="F135" s="539">
        <v>3426960</v>
      </c>
      <c r="G135" s="537">
        <v>1077</v>
      </c>
      <c r="H135" s="540">
        <v>50287</v>
      </c>
      <c r="I135" s="537">
        <v>93</v>
      </c>
      <c r="J135" s="540"/>
      <c r="K135" s="537"/>
      <c r="L135" s="520">
        <v>10195523</v>
      </c>
      <c r="M135" s="538">
        <v>27367.599999999999</v>
      </c>
      <c r="N135" s="537">
        <v>133</v>
      </c>
      <c r="O135" s="520">
        <v>109525</v>
      </c>
      <c r="P135" s="538">
        <v>285</v>
      </c>
      <c r="Q135" s="537">
        <v>2694</v>
      </c>
      <c r="R135" s="539">
        <v>4729</v>
      </c>
      <c r="S135" s="538">
        <v>11</v>
      </c>
      <c r="T135" s="537">
        <v>54</v>
      </c>
      <c r="U135" s="540">
        <v>1416587</v>
      </c>
      <c r="V135" s="538">
        <v>3188.9</v>
      </c>
      <c r="W135" s="537">
        <v>1</v>
      </c>
      <c r="X135" s="221"/>
      <c r="Y135" s="219"/>
      <c r="Z135" s="221"/>
      <c r="AA135" s="40"/>
      <c r="AB135" s="846">
        <f t="shared" si="0"/>
        <v>25077266</v>
      </c>
    </row>
    <row r="136" spans="2:30" x14ac:dyDescent="0.2">
      <c r="B136" s="166">
        <f>'1. LDC Info'!$F$27-2</f>
        <v>2015</v>
      </c>
      <c r="C136" s="38" t="s">
        <v>113</v>
      </c>
      <c r="D136" s="539">
        <v>5375350</v>
      </c>
      <c r="E136" s="537">
        <v>8851</v>
      </c>
      <c r="F136" s="539">
        <v>2807741</v>
      </c>
      <c r="G136" s="537">
        <v>1078</v>
      </c>
      <c r="H136" s="540">
        <v>49767</v>
      </c>
      <c r="I136" s="537">
        <v>93</v>
      </c>
      <c r="J136" s="540"/>
      <c r="K136" s="537"/>
      <c r="L136" s="520">
        <v>10708681</v>
      </c>
      <c r="M136" s="538">
        <v>25435</v>
      </c>
      <c r="N136" s="537">
        <v>133</v>
      </c>
      <c r="O136" s="520">
        <v>110235</v>
      </c>
      <c r="P136" s="538">
        <v>285</v>
      </c>
      <c r="Q136" s="537">
        <v>2694</v>
      </c>
      <c r="R136" s="539">
        <v>3245</v>
      </c>
      <c r="S136" s="538">
        <v>11</v>
      </c>
      <c r="T136" s="537">
        <v>54</v>
      </c>
      <c r="U136" s="540">
        <v>1460074</v>
      </c>
      <c r="V136" s="538">
        <v>2825.5</v>
      </c>
      <c r="W136" s="537">
        <v>1</v>
      </c>
      <c r="X136" s="221"/>
      <c r="Y136" s="219"/>
      <c r="Z136" s="221"/>
      <c r="AA136" s="40"/>
      <c r="AB136" s="846">
        <f t="shared" si="0"/>
        <v>20515093</v>
      </c>
    </row>
    <row r="137" spans="2:30" x14ac:dyDescent="0.2">
      <c r="B137" s="166">
        <f>'1. LDC Info'!$F$27-2</f>
        <v>2015</v>
      </c>
      <c r="C137" s="38" t="s">
        <v>114</v>
      </c>
      <c r="D137" s="539">
        <v>6314665</v>
      </c>
      <c r="E137" s="537">
        <v>8859</v>
      </c>
      <c r="F137" s="539">
        <v>2407875</v>
      </c>
      <c r="G137" s="537">
        <v>1078</v>
      </c>
      <c r="H137" s="540">
        <v>50287</v>
      </c>
      <c r="I137" s="537">
        <v>93</v>
      </c>
      <c r="J137" s="540"/>
      <c r="K137" s="537"/>
      <c r="L137" s="520">
        <v>8797111</v>
      </c>
      <c r="M137" s="538">
        <v>23972</v>
      </c>
      <c r="N137" s="537">
        <v>133</v>
      </c>
      <c r="O137" s="520">
        <v>93879</v>
      </c>
      <c r="P137" s="538">
        <v>285</v>
      </c>
      <c r="Q137" s="537">
        <v>2694</v>
      </c>
      <c r="R137" s="539">
        <v>3464</v>
      </c>
      <c r="S137" s="538">
        <v>11</v>
      </c>
      <c r="T137" s="537">
        <v>54</v>
      </c>
      <c r="U137" s="540">
        <v>1453204</v>
      </c>
      <c r="V137" s="538">
        <v>3136</v>
      </c>
      <c r="W137" s="537">
        <v>1</v>
      </c>
      <c r="X137" s="221"/>
      <c r="Y137" s="219"/>
      <c r="Z137" s="221"/>
      <c r="AA137" s="40"/>
      <c r="AB137" s="846">
        <f t="shared" si="0"/>
        <v>19120485</v>
      </c>
    </row>
    <row r="138" spans="2:30" x14ac:dyDescent="0.2">
      <c r="B138" s="166">
        <f>'1. LDC Info'!$F$27-2</f>
        <v>2015</v>
      </c>
      <c r="C138" s="38" t="s">
        <v>115</v>
      </c>
      <c r="D138" s="539">
        <v>5361913</v>
      </c>
      <c r="E138" s="537">
        <v>8866</v>
      </c>
      <c r="F138" s="539">
        <v>2276196</v>
      </c>
      <c r="G138" s="537">
        <v>1079</v>
      </c>
      <c r="H138" s="540">
        <v>49767</v>
      </c>
      <c r="I138" s="537">
        <v>93</v>
      </c>
      <c r="J138" s="540"/>
      <c r="K138" s="537"/>
      <c r="L138" s="520">
        <v>8996620</v>
      </c>
      <c r="M138" s="538">
        <v>22601.1</v>
      </c>
      <c r="N138" s="537">
        <v>133</v>
      </c>
      <c r="O138" s="520">
        <v>74057</v>
      </c>
      <c r="P138" s="538">
        <v>285</v>
      </c>
      <c r="Q138" s="537">
        <v>2694</v>
      </c>
      <c r="R138" s="539">
        <v>3622</v>
      </c>
      <c r="S138" s="538">
        <v>11</v>
      </c>
      <c r="T138" s="537">
        <v>54</v>
      </c>
      <c r="U138" s="540">
        <v>1474656</v>
      </c>
      <c r="V138" s="538">
        <v>3023.2</v>
      </c>
      <c r="W138" s="537">
        <v>1</v>
      </c>
      <c r="X138" s="221"/>
      <c r="Y138" s="219"/>
      <c r="Z138" s="221"/>
      <c r="AA138" s="40"/>
      <c r="AB138" s="846">
        <f t="shared" ref="AB138:AB144" si="1">D138+F138+H138+L138+O138+R138+U138</f>
        <v>18236831</v>
      </c>
    </row>
    <row r="139" spans="2:30" x14ac:dyDescent="0.2">
      <c r="B139" s="166">
        <f>'1. LDC Info'!$F$27-2</f>
        <v>2015</v>
      </c>
      <c r="C139" s="38" t="s">
        <v>116</v>
      </c>
      <c r="D139" s="807">
        <f>5535053+587289</f>
        <v>6122342</v>
      </c>
      <c r="E139" s="537">
        <f>7945+933</f>
        <v>8878</v>
      </c>
      <c r="F139" s="807">
        <f>2254026+149335</f>
        <v>2403361</v>
      </c>
      <c r="G139" s="537">
        <f>983+93</f>
        <v>1076</v>
      </c>
      <c r="H139" s="809">
        <v>50287</v>
      </c>
      <c r="I139" s="537">
        <v>88</v>
      </c>
      <c r="J139" s="774"/>
      <c r="K139" s="773"/>
      <c r="L139" s="808">
        <f>3799697+224680+5675854+389625</f>
        <v>10089856</v>
      </c>
      <c r="M139" s="810">
        <f>12773+1074+12896+909</f>
        <v>27652</v>
      </c>
      <c r="N139" s="537">
        <f t="shared" ref="N139:N144" si="2">110+6+17+1</f>
        <v>134</v>
      </c>
      <c r="O139" s="808">
        <f>124367+15846</f>
        <v>140213</v>
      </c>
      <c r="P139" s="810">
        <f>435+55</f>
        <v>490</v>
      </c>
      <c r="Q139" s="537">
        <v>2694</v>
      </c>
      <c r="R139" s="807">
        <v>4123</v>
      </c>
      <c r="S139" s="810">
        <v>11</v>
      </c>
      <c r="T139" s="537">
        <v>54</v>
      </c>
      <c r="U139" s="540">
        <v>1564420</v>
      </c>
      <c r="V139" s="538">
        <v>3197</v>
      </c>
      <c r="W139" s="537">
        <v>1</v>
      </c>
      <c r="X139" s="221"/>
      <c r="Y139" s="219"/>
      <c r="Z139" s="221"/>
      <c r="AA139" s="40"/>
      <c r="AB139" s="846">
        <f t="shared" si="1"/>
        <v>20374602</v>
      </c>
    </row>
    <row r="140" spans="2:30" x14ac:dyDescent="0.2">
      <c r="B140" s="166">
        <f>'1. LDC Info'!$F$27-2</f>
        <v>2015</v>
      </c>
      <c r="C140" s="38" t="s">
        <v>117</v>
      </c>
      <c r="D140" s="807">
        <f>3502870+782749</f>
        <v>4285619</v>
      </c>
      <c r="E140" s="537">
        <f>7963+931</f>
        <v>8894</v>
      </c>
      <c r="F140" s="807">
        <f>2224469+182101</f>
        <v>2406570</v>
      </c>
      <c r="G140" s="537">
        <f>987+92</f>
        <v>1079</v>
      </c>
      <c r="H140" s="809">
        <v>49767</v>
      </c>
      <c r="I140" s="537">
        <v>88</v>
      </c>
      <c r="J140" s="774"/>
      <c r="K140" s="773"/>
      <c r="L140" s="808">
        <f>3833159+215840+5026134+212615</f>
        <v>9287748</v>
      </c>
      <c r="M140" s="810">
        <f>12562+1083+11658+479</f>
        <v>25782</v>
      </c>
      <c r="N140" s="537">
        <f t="shared" si="2"/>
        <v>134</v>
      </c>
      <c r="O140" s="808">
        <f>49767+62319</f>
        <v>112086</v>
      </c>
      <c r="P140" s="810">
        <f>217+27</f>
        <v>244</v>
      </c>
      <c r="Q140" s="537">
        <v>2694</v>
      </c>
      <c r="R140" s="807">
        <v>3118</v>
      </c>
      <c r="S140" s="810">
        <v>11</v>
      </c>
      <c r="T140" s="537">
        <v>54</v>
      </c>
      <c r="U140" s="540">
        <v>1300702</v>
      </c>
      <c r="V140" s="538">
        <v>3116</v>
      </c>
      <c r="W140" s="537">
        <v>1</v>
      </c>
      <c r="X140" s="221"/>
      <c r="Y140" s="219"/>
      <c r="Z140" s="221"/>
      <c r="AA140" s="40"/>
      <c r="AB140" s="846">
        <f t="shared" si="1"/>
        <v>17445610</v>
      </c>
    </row>
    <row r="141" spans="2:30" x14ac:dyDescent="0.2">
      <c r="B141" s="166">
        <f>'1. LDC Info'!$F$27-2</f>
        <v>2015</v>
      </c>
      <c r="C141" s="38" t="s">
        <v>107</v>
      </c>
      <c r="D141" s="807">
        <f>6240500+641353</f>
        <v>6881853</v>
      </c>
      <c r="E141" s="537">
        <f>7977+932</f>
        <v>8909</v>
      </c>
      <c r="F141" s="807">
        <f>2568857+152017</f>
        <v>2720874</v>
      </c>
      <c r="G141" s="537">
        <f>988+92</f>
        <v>1080</v>
      </c>
      <c r="H141" s="809">
        <v>50287</v>
      </c>
      <c r="I141" s="537">
        <v>88</v>
      </c>
      <c r="J141" s="774"/>
      <c r="K141" s="773"/>
      <c r="L141" s="808">
        <f>4347791+218360+5049301+220939</f>
        <v>9836391</v>
      </c>
      <c r="M141" s="810">
        <f>13214+1093+11787+483</f>
        <v>26577</v>
      </c>
      <c r="N141" s="537">
        <f t="shared" si="2"/>
        <v>134</v>
      </c>
      <c r="O141" s="808">
        <f>50287+70740</f>
        <v>121027</v>
      </c>
      <c r="P141" s="810">
        <f>217+26</f>
        <v>243</v>
      </c>
      <c r="Q141" s="537">
        <v>2694</v>
      </c>
      <c r="R141" s="807">
        <v>3986</v>
      </c>
      <c r="S141" s="810">
        <v>11</v>
      </c>
      <c r="T141" s="537">
        <v>54</v>
      </c>
      <c r="U141" s="540">
        <v>1115527</v>
      </c>
      <c r="V141" s="538">
        <v>2918</v>
      </c>
      <c r="W141" s="537">
        <v>1</v>
      </c>
      <c r="X141" s="221"/>
      <c r="Y141" s="219"/>
      <c r="Z141" s="221"/>
      <c r="AA141" s="40"/>
      <c r="AB141" s="846">
        <f t="shared" si="1"/>
        <v>20729945</v>
      </c>
    </row>
    <row r="142" spans="2:30" x14ac:dyDescent="0.2">
      <c r="B142" s="166">
        <f>'1. LDC Info'!$F$27-2</f>
        <v>2015</v>
      </c>
      <c r="C142" s="38" t="s">
        <v>108</v>
      </c>
      <c r="D142" s="807">
        <f>6266438+663016</f>
        <v>6929454</v>
      </c>
      <c r="E142" s="537">
        <f>7981+935</f>
        <v>8916</v>
      </c>
      <c r="F142" s="807">
        <f>2588847+164059</f>
        <v>2752906</v>
      </c>
      <c r="G142" s="537">
        <f>988+92</f>
        <v>1080</v>
      </c>
      <c r="H142" s="809">
        <v>50287</v>
      </c>
      <c r="I142" s="537">
        <v>86</v>
      </c>
      <c r="J142" s="774"/>
      <c r="K142" s="773"/>
      <c r="L142" s="808">
        <f>4602508+349180+5066286+223701</f>
        <v>10241675</v>
      </c>
      <c r="M142" s="810">
        <f>13463+1240+11721+502</f>
        <v>26926</v>
      </c>
      <c r="N142" s="537">
        <f t="shared" si="2"/>
        <v>134</v>
      </c>
      <c r="O142" s="808">
        <f>50287+76609</f>
        <v>126896</v>
      </c>
      <c r="P142" s="810">
        <f>217+26</f>
        <v>243</v>
      </c>
      <c r="Q142" s="537">
        <v>2694</v>
      </c>
      <c r="R142" s="807">
        <v>3111</v>
      </c>
      <c r="S142" s="810">
        <v>11</v>
      </c>
      <c r="T142" s="537">
        <v>54</v>
      </c>
      <c r="U142" s="540">
        <v>1243106</v>
      </c>
      <c r="V142" s="538">
        <v>2824</v>
      </c>
      <c r="W142" s="537">
        <v>1</v>
      </c>
      <c r="X142" s="221"/>
      <c r="Y142" s="219"/>
      <c r="Z142" s="221"/>
      <c r="AA142" s="40"/>
      <c r="AB142" s="846">
        <f t="shared" si="1"/>
        <v>21347435</v>
      </c>
    </row>
    <row r="143" spans="2:30" x14ac:dyDescent="0.2">
      <c r="B143" s="166">
        <f>'1. LDC Info'!$F$27-2</f>
        <v>2015</v>
      </c>
      <c r="C143" s="38" t="s">
        <v>109</v>
      </c>
      <c r="D143" s="807">
        <f>5844166+698940</f>
        <v>6543106</v>
      </c>
      <c r="E143" s="537">
        <f>7983+935</f>
        <v>8918</v>
      </c>
      <c r="F143" s="807">
        <f>2169520+171041</f>
        <v>2340561</v>
      </c>
      <c r="G143" s="537">
        <f>989+92</f>
        <v>1081</v>
      </c>
      <c r="H143" s="809">
        <v>50287</v>
      </c>
      <c r="I143" s="537">
        <v>86</v>
      </c>
      <c r="J143" s="774"/>
      <c r="K143" s="773"/>
      <c r="L143" s="808">
        <f>4228957+258480+3707123+218625</f>
        <v>8413185</v>
      </c>
      <c r="M143" s="810">
        <f>12631+1226+10361+513</f>
        <v>24731</v>
      </c>
      <c r="N143" s="537">
        <f t="shared" si="2"/>
        <v>134</v>
      </c>
      <c r="O143" s="808">
        <f>50287+89268</f>
        <v>139555</v>
      </c>
      <c r="P143" s="810">
        <f>217+26</f>
        <v>243</v>
      </c>
      <c r="Q143" s="537">
        <v>2694</v>
      </c>
      <c r="R143" s="807">
        <v>4125</v>
      </c>
      <c r="S143" s="810">
        <v>11</v>
      </c>
      <c r="T143" s="537">
        <v>54</v>
      </c>
      <c r="U143" s="540">
        <v>985022</v>
      </c>
      <c r="V143" s="538">
        <v>2091</v>
      </c>
      <c r="W143" s="537">
        <v>1</v>
      </c>
      <c r="X143" s="221"/>
      <c r="Y143" s="219"/>
      <c r="Z143" s="221"/>
      <c r="AA143" s="40"/>
      <c r="AB143" s="846">
        <f t="shared" si="1"/>
        <v>18475841</v>
      </c>
    </row>
    <row r="144" spans="2:30" x14ac:dyDescent="0.2">
      <c r="B144" s="166">
        <f>'1. LDC Info'!$F$27-2</f>
        <v>2015</v>
      </c>
      <c r="C144" s="38" t="s">
        <v>106</v>
      </c>
      <c r="D144" s="808">
        <f>5080853+695074</f>
        <v>5775927</v>
      </c>
      <c r="E144" s="537">
        <f>7989+937</f>
        <v>8926</v>
      </c>
      <c r="F144" s="808">
        <f>2290723+169760</f>
        <v>2460483</v>
      </c>
      <c r="G144" s="537">
        <f>988+92</f>
        <v>1080</v>
      </c>
      <c r="H144" s="807">
        <v>51151</v>
      </c>
      <c r="I144" s="537">
        <v>87</v>
      </c>
      <c r="J144" s="772"/>
      <c r="K144" s="773"/>
      <c r="L144" s="808">
        <f>4609782+386140+3676195+220160</f>
        <v>8892277</v>
      </c>
      <c r="M144" s="810">
        <f>12959+1272+10381+614</f>
        <v>25226</v>
      </c>
      <c r="N144" s="537">
        <f t="shared" si="2"/>
        <v>134</v>
      </c>
      <c r="O144" s="808">
        <f>51151+94538</f>
        <v>145689</v>
      </c>
      <c r="P144" s="810">
        <f>217+26</f>
        <v>243</v>
      </c>
      <c r="Q144" s="537">
        <v>2694</v>
      </c>
      <c r="R144" s="807">
        <v>3239</v>
      </c>
      <c r="S144" s="810">
        <v>11</v>
      </c>
      <c r="T144" s="537">
        <v>54</v>
      </c>
      <c r="U144" s="539">
        <v>896017</v>
      </c>
      <c r="V144" s="538">
        <v>2415</v>
      </c>
      <c r="W144" s="537">
        <v>1</v>
      </c>
      <c r="X144" s="221"/>
      <c r="Y144" s="219"/>
      <c r="Z144" s="221"/>
      <c r="AA144" s="40"/>
      <c r="AB144" s="846">
        <f t="shared" si="1"/>
        <v>18224783</v>
      </c>
      <c r="AC144" s="846">
        <f>SUM(AB133:AB144)</f>
        <v>241677344</v>
      </c>
      <c r="AD144" s="24">
        <v>2015</v>
      </c>
    </row>
    <row r="145" spans="2:27" x14ac:dyDescent="0.2">
      <c r="B145" s="166">
        <f>'1. LDC Info'!$F$27-1</f>
        <v>2016</v>
      </c>
      <c r="C145" s="38" t="s">
        <v>110</v>
      </c>
      <c r="D145" s="2"/>
      <c r="E145" s="219"/>
      <c r="F145" s="2"/>
      <c r="G145" s="219"/>
      <c r="H145" s="221"/>
      <c r="I145" s="219"/>
      <c r="J145" s="282"/>
      <c r="K145" s="282"/>
      <c r="L145" s="39"/>
      <c r="M145" s="42"/>
      <c r="N145" s="219"/>
      <c r="O145" s="39"/>
      <c r="P145" s="42"/>
      <c r="Q145" s="219"/>
      <c r="R145" s="2"/>
      <c r="S145" s="21"/>
      <c r="T145" s="219"/>
      <c r="U145" s="221"/>
      <c r="V145" s="518"/>
      <c r="W145" s="219"/>
      <c r="X145" s="221"/>
      <c r="Y145" s="219"/>
      <c r="Z145" s="221"/>
      <c r="AA145" s="40"/>
    </row>
    <row r="146" spans="2:27" x14ac:dyDescent="0.2">
      <c r="B146" s="166">
        <f>'1. LDC Info'!$F$27-1</f>
        <v>2016</v>
      </c>
      <c r="C146" s="38" t="s">
        <v>111</v>
      </c>
      <c r="D146" s="2"/>
      <c r="E146" s="219"/>
      <c r="F146" s="2"/>
      <c r="G146" s="219"/>
      <c r="H146" s="221"/>
      <c r="I146" s="219"/>
      <c r="J146" s="282"/>
      <c r="K146" s="282"/>
      <c r="L146" s="39"/>
      <c r="M146" s="42"/>
      <c r="N146" s="219"/>
      <c r="O146" s="39"/>
      <c r="P146" s="42"/>
      <c r="Q146" s="219"/>
      <c r="R146" s="2"/>
      <c r="S146" s="21"/>
      <c r="T146" s="219"/>
      <c r="U146" s="221"/>
      <c r="V146" s="518"/>
      <c r="W146" s="219"/>
      <c r="X146" s="221"/>
      <c r="Y146" s="219"/>
      <c r="Z146" s="221"/>
      <c r="AA146" s="40"/>
    </row>
    <row r="147" spans="2:27" x14ac:dyDescent="0.2">
      <c r="B147" s="166">
        <f>'1. LDC Info'!$F$27-1</f>
        <v>2016</v>
      </c>
      <c r="C147" s="38" t="s">
        <v>112</v>
      </c>
      <c r="D147" s="2"/>
      <c r="E147" s="219"/>
      <c r="F147" s="2"/>
      <c r="G147" s="219"/>
      <c r="H147" s="221"/>
      <c r="I147" s="219"/>
      <c r="J147" s="282"/>
      <c r="K147" s="282"/>
      <c r="L147" s="39"/>
      <c r="M147" s="42"/>
      <c r="N147" s="219"/>
      <c r="O147" s="39"/>
      <c r="P147" s="42"/>
      <c r="Q147" s="219"/>
      <c r="R147" s="2"/>
      <c r="S147" s="21"/>
      <c r="T147" s="219"/>
      <c r="U147" s="221"/>
      <c r="V147" s="518"/>
      <c r="W147" s="219"/>
      <c r="X147" s="221"/>
      <c r="Y147" s="219"/>
      <c r="Z147" s="221"/>
      <c r="AA147" s="40"/>
    </row>
    <row r="148" spans="2:27" x14ac:dyDescent="0.2">
      <c r="B148" s="166">
        <f>'1. LDC Info'!$F$27-1</f>
        <v>2016</v>
      </c>
      <c r="C148" s="38" t="s">
        <v>113</v>
      </c>
      <c r="D148" s="2"/>
      <c r="E148" s="219"/>
      <c r="F148" s="2"/>
      <c r="G148" s="219"/>
      <c r="H148" s="221"/>
      <c r="I148" s="219"/>
      <c r="J148" s="282"/>
      <c r="K148" s="282"/>
      <c r="L148" s="39"/>
      <c r="M148" s="42"/>
      <c r="N148" s="219"/>
      <c r="O148" s="39"/>
      <c r="P148" s="42"/>
      <c r="Q148" s="219"/>
      <c r="R148" s="2"/>
      <c r="S148" s="21"/>
      <c r="T148" s="219"/>
      <c r="U148" s="221"/>
      <c r="V148" s="518"/>
      <c r="W148" s="219"/>
      <c r="X148" s="221"/>
      <c r="Y148" s="219"/>
      <c r="Z148" s="221"/>
      <c r="AA148" s="40"/>
    </row>
    <row r="149" spans="2:27" x14ac:dyDescent="0.2">
      <c r="B149" s="166">
        <f>'1. LDC Info'!$F$27-1</f>
        <v>2016</v>
      </c>
      <c r="C149" s="38" t="s">
        <v>114</v>
      </c>
      <c r="D149" s="2"/>
      <c r="E149" s="219"/>
      <c r="F149" s="2"/>
      <c r="G149" s="219"/>
      <c r="H149" s="221"/>
      <c r="I149" s="219"/>
      <c r="J149" s="282"/>
      <c r="K149" s="282"/>
      <c r="L149" s="39"/>
      <c r="M149" s="42"/>
      <c r="N149" s="219"/>
      <c r="O149" s="39"/>
      <c r="P149" s="42"/>
      <c r="Q149" s="219"/>
      <c r="R149" s="2"/>
      <c r="S149" s="21"/>
      <c r="T149" s="219"/>
      <c r="U149" s="221"/>
      <c r="V149" s="518"/>
      <c r="W149" s="219"/>
      <c r="X149" s="221"/>
      <c r="Y149" s="219"/>
      <c r="Z149" s="221"/>
      <c r="AA149" s="40"/>
    </row>
    <row r="150" spans="2:27" x14ac:dyDescent="0.2">
      <c r="B150" s="166">
        <f>'1. LDC Info'!$F$27-1</f>
        <v>2016</v>
      </c>
      <c r="C150" s="38" t="s">
        <v>115</v>
      </c>
      <c r="D150" s="2"/>
      <c r="E150" s="219"/>
      <c r="F150" s="2"/>
      <c r="G150" s="219"/>
      <c r="H150" s="221"/>
      <c r="I150" s="219"/>
      <c r="J150" s="282"/>
      <c r="K150" s="282"/>
      <c r="L150" s="39"/>
      <c r="M150" s="42"/>
      <c r="N150" s="219"/>
      <c r="O150" s="2"/>
      <c r="P150" s="21"/>
      <c r="Q150" s="219"/>
      <c r="R150" s="2"/>
      <c r="S150" s="21"/>
      <c r="T150" s="219"/>
      <c r="U150" s="221"/>
      <c r="V150" s="518"/>
      <c r="W150" s="219"/>
      <c r="X150" s="221"/>
      <c r="Y150" s="219"/>
      <c r="Z150" s="221"/>
      <c r="AA150" s="40"/>
    </row>
    <row r="151" spans="2:27" x14ac:dyDescent="0.2">
      <c r="B151" s="166">
        <f>'1. LDC Info'!$F$27-1</f>
        <v>2016</v>
      </c>
      <c r="C151" s="38" t="s">
        <v>116</v>
      </c>
      <c r="D151" s="2"/>
      <c r="E151" s="219"/>
      <c r="F151" s="2"/>
      <c r="G151" s="219"/>
      <c r="H151" s="221"/>
      <c r="I151" s="219"/>
      <c r="J151" s="282"/>
      <c r="K151" s="282"/>
      <c r="L151" s="39"/>
      <c r="M151" s="42"/>
      <c r="N151" s="219"/>
      <c r="O151" s="2"/>
      <c r="P151" s="21"/>
      <c r="Q151" s="219"/>
      <c r="R151" s="2"/>
      <c r="S151" s="21"/>
      <c r="T151" s="219"/>
      <c r="U151" s="221"/>
      <c r="V151" s="518"/>
      <c r="W151" s="219"/>
      <c r="X151" s="221"/>
      <c r="Y151" s="219"/>
      <c r="Z151" s="221"/>
      <c r="AA151" s="40"/>
    </row>
    <row r="152" spans="2:27" x14ac:dyDescent="0.2">
      <c r="B152" s="166">
        <f>'1. LDC Info'!$F$27-1</f>
        <v>2016</v>
      </c>
      <c r="C152" s="38" t="s">
        <v>117</v>
      </c>
      <c r="D152" s="2"/>
      <c r="E152" s="219"/>
      <c r="F152" s="2"/>
      <c r="G152" s="219"/>
      <c r="H152" s="221"/>
      <c r="I152" s="219"/>
      <c r="J152" s="282"/>
      <c r="K152" s="282"/>
      <c r="L152" s="39"/>
      <c r="M152" s="42"/>
      <c r="N152" s="219"/>
      <c r="O152" s="2"/>
      <c r="P152" s="21"/>
      <c r="Q152" s="219"/>
      <c r="R152" s="2"/>
      <c r="S152" s="21"/>
      <c r="T152" s="219"/>
      <c r="U152" s="221"/>
      <c r="V152" s="518"/>
      <c r="W152" s="219"/>
      <c r="X152" s="221"/>
      <c r="Y152" s="219"/>
      <c r="Z152" s="221"/>
      <c r="AA152" s="40"/>
    </row>
    <row r="153" spans="2:27" x14ac:dyDescent="0.2">
      <c r="B153" s="166">
        <f>'1. LDC Info'!$F$27-1</f>
        <v>2016</v>
      </c>
      <c r="C153" s="38" t="s">
        <v>107</v>
      </c>
      <c r="D153" s="2"/>
      <c r="E153" s="219"/>
      <c r="F153" s="2"/>
      <c r="G153" s="219"/>
      <c r="H153" s="221"/>
      <c r="I153" s="219"/>
      <c r="J153" s="282"/>
      <c r="K153" s="282"/>
      <c r="L153" s="39"/>
      <c r="M153" s="42"/>
      <c r="N153" s="219"/>
      <c r="O153" s="2"/>
      <c r="P153" s="21"/>
      <c r="Q153" s="219"/>
      <c r="R153" s="2"/>
      <c r="S153" s="21"/>
      <c r="T153" s="219"/>
      <c r="U153" s="221"/>
      <c r="V153" s="518"/>
      <c r="W153" s="219"/>
      <c r="X153" s="221"/>
      <c r="Y153" s="219"/>
      <c r="Z153" s="221"/>
      <c r="AA153" s="40"/>
    </row>
    <row r="154" spans="2:27" x14ac:dyDescent="0.2">
      <c r="B154" s="166">
        <f>'1. LDC Info'!$F$27-1</f>
        <v>2016</v>
      </c>
      <c r="C154" s="38" t="s">
        <v>108</v>
      </c>
      <c r="D154" s="2"/>
      <c r="E154" s="219"/>
      <c r="F154" s="44"/>
      <c r="G154" s="219"/>
      <c r="H154" s="221"/>
      <c r="I154" s="219"/>
      <c r="J154" s="282"/>
      <c r="K154" s="282"/>
      <c r="L154" s="39"/>
      <c r="M154" s="42"/>
      <c r="N154" s="219"/>
      <c r="O154" s="2"/>
      <c r="P154" s="21"/>
      <c r="Q154" s="219"/>
      <c r="R154" s="2"/>
      <c r="S154" s="21"/>
      <c r="T154" s="219"/>
      <c r="U154" s="221"/>
      <c r="V154" s="518"/>
      <c r="W154" s="219"/>
      <c r="X154" s="221"/>
      <c r="Y154" s="219"/>
      <c r="Z154" s="221"/>
      <c r="AA154" s="40"/>
    </row>
    <row r="155" spans="2:27" x14ac:dyDescent="0.2">
      <c r="B155" s="166">
        <f>'1. LDC Info'!$F$27-1</f>
        <v>2016</v>
      </c>
      <c r="C155" s="38" t="s">
        <v>109</v>
      </c>
      <c r="D155" s="2"/>
      <c r="E155" s="219"/>
      <c r="F155" s="2"/>
      <c r="G155" s="219"/>
      <c r="H155" s="221"/>
      <c r="I155" s="219"/>
      <c r="J155" s="282"/>
      <c r="K155" s="282"/>
      <c r="L155" s="39"/>
      <c r="M155" s="42"/>
      <c r="N155" s="219"/>
      <c r="O155" s="2"/>
      <c r="P155" s="21"/>
      <c r="Q155" s="219"/>
      <c r="R155" s="2"/>
      <c r="S155" s="21"/>
      <c r="T155" s="219"/>
      <c r="U155" s="221"/>
      <c r="V155" s="518"/>
      <c r="W155" s="219"/>
      <c r="X155" s="221"/>
      <c r="Y155" s="219"/>
      <c r="Z155" s="221"/>
      <c r="AA155" s="40"/>
    </row>
    <row r="156" spans="2:27" x14ac:dyDescent="0.2">
      <c r="B156" s="166">
        <f>'1. LDC Info'!$F$27-1</f>
        <v>2016</v>
      </c>
      <c r="C156" s="38" t="s">
        <v>106</v>
      </c>
      <c r="D156" s="520"/>
      <c r="E156" s="537"/>
      <c r="F156" s="520"/>
      <c r="G156" s="537"/>
      <c r="H156" s="539"/>
      <c r="I156" s="537"/>
      <c r="J156" s="539"/>
      <c r="K156" s="537"/>
      <c r="L156" s="520"/>
      <c r="M156" s="538"/>
      <c r="N156" s="537"/>
      <c r="O156" s="539"/>
      <c r="P156" s="538"/>
      <c r="Q156" s="537"/>
      <c r="R156" s="539"/>
      <c r="S156" s="538"/>
      <c r="T156" s="537"/>
      <c r="U156" s="539"/>
      <c r="V156" s="538"/>
      <c r="W156" s="537"/>
      <c r="X156" s="221"/>
      <c r="Y156" s="219"/>
      <c r="Z156" s="221"/>
      <c r="AA156" s="40"/>
    </row>
    <row r="157" spans="2:27" x14ac:dyDescent="0.2">
      <c r="B157" s="166" t="str">
        <f>'1. LDC Info'!$F$27</f>
        <v>2017</v>
      </c>
      <c r="C157" s="38" t="s">
        <v>110</v>
      </c>
      <c r="D157" s="39"/>
      <c r="E157" s="219"/>
      <c r="F157" s="39"/>
      <c r="G157" s="219"/>
      <c r="H157" s="221"/>
      <c r="I157" s="219"/>
      <c r="J157" s="282"/>
      <c r="K157" s="282"/>
      <c r="L157" s="39"/>
      <c r="M157" s="42"/>
      <c r="N157" s="219"/>
      <c r="O157" s="2"/>
      <c r="P157" s="21"/>
      <c r="Q157" s="219"/>
      <c r="R157" s="39"/>
      <c r="S157" s="21"/>
      <c r="T157" s="219"/>
      <c r="U157" s="221"/>
      <c r="V157" s="518"/>
      <c r="W157" s="219"/>
      <c r="X157" s="221"/>
      <c r="Y157" s="219"/>
      <c r="Z157" s="221"/>
      <c r="AA157" s="40"/>
    </row>
    <row r="158" spans="2:27" x14ac:dyDescent="0.2">
      <c r="B158" s="166" t="str">
        <f>'1. LDC Info'!$F$27</f>
        <v>2017</v>
      </c>
      <c r="C158" s="38" t="s">
        <v>111</v>
      </c>
      <c r="D158" s="39"/>
      <c r="E158" s="40"/>
      <c r="F158" s="39"/>
      <c r="G158" s="40"/>
      <c r="H158" s="221"/>
      <c r="I158" s="219"/>
      <c r="J158" s="282"/>
      <c r="K158" s="282"/>
      <c r="L158" s="39"/>
      <c r="M158" s="42"/>
      <c r="N158" s="40"/>
      <c r="O158" s="2"/>
      <c r="P158" s="21"/>
      <c r="Q158" s="40"/>
      <c r="R158" s="39"/>
      <c r="S158" s="21"/>
      <c r="T158" s="40"/>
      <c r="U158" s="41"/>
      <c r="V158" s="518"/>
      <c r="W158" s="40"/>
      <c r="X158" s="41"/>
      <c r="Y158" s="40"/>
      <c r="Z158" s="41"/>
      <c r="AA158" s="40"/>
    </row>
    <row r="159" spans="2:27" x14ac:dyDescent="0.2">
      <c r="B159" s="166" t="str">
        <f>'1. LDC Info'!$F$27</f>
        <v>2017</v>
      </c>
      <c r="C159" s="38" t="s">
        <v>112</v>
      </c>
      <c r="D159" s="45"/>
      <c r="E159" s="40"/>
      <c r="F159" s="45"/>
      <c r="G159" s="40"/>
      <c r="H159" s="221"/>
      <c r="I159" s="219"/>
      <c r="J159" s="282"/>
      <c r="K159" s="282"/>
      <c r="L159" s="39"/>
      <c r="M159" s="42"/>
      <c r="N159" s="40"/>
      <c r="O159" s="2"/>
      <c r="P159" s="21"/>
      <c r="Q159" s="40"/>
      <c r="R159" s="45"/>
      <c r="S159" s="21"/>
      <c r="T159" s="40"/>
      <c r="U159" s="41"/>
      <c r="V159" s="518"/>
      <c r="W159" s="40"/>
      <c r="X159" s="41"/>
      <c r="Y159" s="40"/>
      <c r="Z159" s="41"/>
      <c r="AA159" s="40"/>
    </row>
    <row r="160" spans="2:27" x14ac:dyDescent="0.2">
      <c r="B160" s="166" t="str">
        <f>'1. LDC Info'!$F$27</f>
        <v>2017</v>
      </c>
      <c r="C160" s="38" t="s">
        <v>113</v>
      </c>
      <c r="D160" s="39"/>
      <c r="E160" s="40"/>
      <c r="F160" s="39"/>
      <c r="G160" s="40"/>
      <c r="H160" s="221"/>
      <c r="I160" s="219"/>
      <c r="J160" s="282"/>
      <c r="K160" s="282"/>
      <c r="L160" s="39"/>
      <c r="M160" s="42"/>
      <c r="N160" s="40"/>
      <c r="O160" s="2"/>
      <c r="P160" s="21"/>
      <c r="Q160" s="40"/>
      <c r="R160" s="39"/>
      <c r="S160" s="21"/>
      <c r="T160" s="40"/>
      <c r="U160" s="41"/>
      <c r="V160" s="518"/>
      <c r="W160" s="40"/>
      <c r="X160" s="41"/>
      <c r="Y160" s="40"/>
      <c r="Z160" s="41"/>
      <c r="AA160" s="40"/>
    </row>
    <row r="161" spans="2:27" x14ac:dyDescent="0.2">
      <c r="B161" s="166" t="str">
        <f>'1. LDC Info'!$F$27</f>
        <v>2017</v>
      </c>
      <c r="C161" s="38" t="s">
        <v>114</v>
      </c>
      <c r="D161" s="39"/>
      <c r="E161" s="40"/>
      <c r="F161" s="39"/>
      <c r="G161" s="40"/>
      <c r="H161" s="221"/>
      <c r="I161" s="219"/>
      <c r="J161" s="282"/>
      <c r="K161" s="282"/>
      <c r="L161" s="39"/>
      <c r="M161" s="42"/>
      <c r="N161" s="40"/>
      <c r="O161" s="2"/>
      <c r="P161" s="21"/>
      <c r="Q161" s="40"/>
      <c r="R161" s="39"/>
      <c r="S161" s="21"/>
      <c r="T161" s="40"/>
      <c r="U161" s="41"/>
      <c r="V161" s="518"/>
      <c r="W161" s="40"/>
      <c r="X161" s="41"/>
      <c r="Y161" s="40"/>
      <c r="Z161" s="41"/>
      <c r="AA161" s="40"/>
    </row>
    <row r="162" spans="2:27" x14ac:dyDescent="0.2">
      <c r="B162" s="166" t="str">
        <f>'1. LDC Info'!$F$27</f>
        <v>2017</v>
      </c>
      <c r="C162" s="38" t="s">
        <v>115</v>
      </c>
      <c r="D162" s="39"/>
      <c r="E162" s="40"/>
      <c r="F162" s="39"/>
      <c r="G162" s="40"/>
      <c r="H162" s="221"/>
      <c r="I162" s="219"/>
      <c r="J162" s="282"/>
      <c r="K162" s="282"/>
      <c r="L162" s="39"/>
      <c r="M162" s="42"/>
      <c r="N162" s="40"/>
      <c r="O162" s="2"/>
      <c r="P162" s="21"/>
      <c r="Q162" s="40"/>
      <c r="R162" s="39"/>
      <c r="S162" s="21"/>
      <c r="T162" s="40"/>
      <c r="U162" s="41"/>
      <c r="V162" s="518"/>
      <c r="W162" s="40"/>
      <c r="X162" s="41"/>
      <c r="Y162" s="40"/>
      <c r="Z162" s="41"/>
      <c r="AA162" s="40"/>
    </row>
    <row r="163" spans="2:27" x14ac:dyDescent="0.2">
      <c r="B163" s="166" t="str">
        <f>'1. LDC Info'!$F$27</f>
        <v>2017</v>
      </c>
      <c r="C163" s="38" t="s">
        <v>116</v>
      </c>
      <c r="D163" s="39"/>
      <c r="E163" s="40"/>
      <c r="F163" s="39"/>
      <c r="G163" s="40"/>
      <c r="H163" s="221"/>
      <c r="I163" s="219"/>
      <c r="J163" s="282"/>
      <c r="K163" s="282"/>
      <c r="L163" s="39"/>
      <c r="M163" s="42"/>
      <c r="N163" s="40"/>
      <c r="O163" s="2"/>
      <c r="P163" s="21"/>
      <c r="Q163" s="40"/>
      <c r="R163" s="39"/>
      <c r="S163" s="21"/>
      <c r="T163" s="40"/>
      <c r="U163" s="41"/>
      <c r="V163" s="518"/>
      <c r="W163" s="40"/>
      <c r="X163" s="41"/>
      <c r="Y163" s="40"/>
      <c r="Z163" s="41"/>
      <c r="AA163" s="40"/>
    </row>
    <row r="164" spans="2:27" x14ac:dyDescent="0.2">
      <c r="B164" s="166" t="str">
        <f>'1. LDC Info'!$F$27</f>
        <v>2017</v>
      </c>
      <c r="C164" s="38" t="s">
        <v>117</v>
      </c>
      <c r="D164" s="39"/>
      <c r="E164" s="40"/>
      <c r="F164" s="39"/>
      <c r="G164" s="40"/>
      <c r="H164" s="221"/>
      <c r="I164" s="219"/>
      <c r="J164" s="282"/>
      <c r="K164" s="282"/>
      <c r="L164" s="39"/>
      <c r="M164" s="42"/>
      <c r="N164" s="40"/>
      <c r="O164" s="2"/>
      <c r="P164" s="21"/>
      <c r="Q164" s="40"/>
      <c r="R164" s="39"/>
      <c r="S164" s="21"/>
      <c r="T164" s="40"/>
      <c r="U164" s="41"/>
      <c r="V164" s="518"/>
      <c r="W164" s="40"/>
      <c r="X164" s="41"/>
      <c r="Y164" s="40"/>
      <c r="Z164" s="41"/>
      <c r="AA164" s="40"/>
    </row>
    <row r="165" spans="2:27" x14ac:dyDescent="0.2">
      <c r="B165" s="166" t="str">
        <f>'1. LDC Info'!$F$27</f>
        <v>2017</v>
      </c>
      <c r="C165" s="38" t="s">
        <v>107</v>
      </c>
      <c r="D165" s="46"/>
      <c r="E165" s="40"/>
      <c r="F165" s="46"/>
      <c r="G165" s="40"/>
      <c r="H165" s="221"/>
      <c r="I165" s="219"/>
      <c r="J165" s="282"/>
      <c r="K165" s="282"/>
      <c r="L165" s="39"/>
      <c r="M165" s="42"/>
      <c r="N165" s="40"/>
      <c r="O165" s="2"/>
      <c r="P165" s="21"/>
      <c r="Q165" s="40"/>
      <c r="R165" s="46"/>
      <c r="S165" s="21"/>
      <c r="T165" s="40"/>
      <c r="U165" s="41"/>
      <c r="V165" s="518"/>
      <c r="W165" s="40"/>
      <c r="X165" s="41"/>
      <c r="Y165" s="40"/>
      <c r="Z165" s="41"/>
      <c r="AA165" s="40"/>
    </row>
    <row r="166" spans="2:27" x14ac:dyDescent="0.2">
      <c r="B166" s="166" t="str">
        <f>'1. LDC Info'!$F$27</f>
        <v>2017</v>
      </c>
      <c r="C166" s="38" t="s">
        <v>108</v>
      </c>
      <c r="D166" s="39"/>
      <c r="E166" s="40"/>
      <c r="F166" s="39"/>
      <c r="G166" s="40"/>
      <c r="H166" s="221"/>
      <c r="I166" s="219"/>
      <c r="J166" s="282"/>
      <c r="K166" s="282"/>
      <c r="L166" s="39"/>
      <c r="M166" s="42"/>
      <c r="N166" s="40"/>
      <c r="O166" s="2"/>
      <c r="P166" s="21"/>
      <c r="Q166" s="40"/>
      <c r="R166" s="39"/>
      <c r="S166" s="21"/>
      <c r="T166" s="40"/>
      <c r="U166" s="41"/>
      <c r="V166" s="518"/>
      <c r="W166" s="40"/>
      <c r="X166" s="41"/>
      <c r="Y166" s="40"/>
      <c r="Z166" s="41"/>
      <c r="AA166" s="40"/>
    </row>
    <row r="167" spans="2:27" x14ac:dyDescent="0.2">
      <c r="B167" s="166" t="str">
        <f>'1. LDC Info'!$F$27</f>
        <v>2017</v>
      </c>
      <c r="C167" s="38" t="s">
        <v>109</v>
      </c>
      <c r="D167" s="39"/>
      <c r="E167" s="40"/>
      <c r="F167" s="39"/>
      <c r="G167" s="40"/>
      <c r="H167" s="221"/>
      <c r="I167" s="219"/>
      <c r="J167" s="282"/>
      <c r="K167" s="282"/>
      <c r="L167" s="39"/>
      <c r="M167" s="42"/>
      <c r="N167" s="40"/>
      <c r="O167" s="2"/>
      <c r="P167" s="21"/>
      <c r="Q167" s="40"/>
      <c r="R167" s="39"/>
      <c r="S167" s="21"/>
      <c r="T167" s="40"/>
      <c r="U167" s="41"/>
      <c r="V167" s="518"/>
      <c r="W167" s="40"/>
      <c r="X167" s="41"/>
      <c r="Y167" s="40"/>
      <c r="Z167" s="41"/>
      <c r="AA167" s="40"/>
    </row>
    <row r="168" spans="2:27" ht="13.5" thickBot="1" x14ac:dyDescent="0.25">
      <c r="B168" s="166" t="str">
        <f>'1. LDC Info'!$F$27</f>
        <v>2017</v>
      </c>
      <c r="C168" s="38" t="s">
        <v>106</v>
      </c>
      <c r="D168" s="47"/>
      <c r="E168" s="48"/>
      <c r="F168" s="47"/>
      <c r="G168" s="48"/>
      <c r="H168" s="50"/>
      <c r="I168" s="48"/>
      <c r="J168" s="283"/>
      <c r="K168" s="283"/>
      <c r="L168" s="47"/>
      <c r="M168" s="49"/>
      <c r="N168" s="48"/>
      <c r="O168" s="144"/>
      <c r="P168" s="22"/>
      <c r="Q168" s="48"/>
      <c r="R168" s="47"/>
      <c r="S168" s="22"/>
      <c r="T168" s="48"/>
      <c r="U168" s="50"/>
      <c r="V168" s="513"/>
      <c r="W168" s="48"/>
      <c r="X168" s="50"/>
      <c r="Y168" s="48"/>
      <c r="Z168" s="50"/>
      <c r="AA168" s="48"/>
    </row>
    <row r="169" spans="2:27" x14ac:dyDescent="0.2">
      <c r="O169" s="51"/>
      <c r="P169" s="51"/>
      <c r="R169" s="51"/>
      <c r="S169" s="51"/>
    </row>
    <row r="170" spans="2:27" x14ac:dyDescent="0.2">
      <c r="D170" s="51"/>
    </row>
    <row r="171" spans="2:27" x14ac:dyDescent="0.2">
      <c r="D171" s="233"/>
      <c r="E171" s="234"/>
      <c r="F171" s="233"/>
      <c r="G171" s="234"/>
      <c r="H171" s="233"/>
      <c r="I171" s="234"/>
      <c r="J171" s="234"/>
      <c r="K171" s="234"/>
      <c r="L171" s="233"/>
      <c r="M171" s="233"/>
      <c r="N171" s="234"/>
      <c r="O171" s="233"/>
      <c r="P171" s="233"/>
      <c r="Q171" s="234"/>
      <c r="R171" s="233"/>
      <c r="S171" s="233"/>
      <c r="T171" s="234"/>
    </row>
    <row r="172" spans="2:27" x14ac:dyDescent="0.2">
      <c r="D172" s="233"/>
      <c r="E172" s="234"/>
      <c r="F172" s="233"/>
      <c r="G172" s="234"/>
      <c r="H172" s="233"/>
      <c r="I172" s="234"/>
      <c r="J172" s="234"/>
      <c r="K172" s="234"/>
      <c r="L172" s="233"/>
      <c r="M172" s="233"/>
      <c r="N172" s="234"/>
      <c r="O172" s="233"/>
      <c r="P172" s="233"/>
      <c r="Q172" s="234"/>
      <c r="R172" s="233"/>
      <c r="S172" s="233"/>
      <c r="T172" s="234"/>
    </row>
    <row r="173" spans="2:27" x14ac:dyDescent="0.2">
      <c r="D173" s="233"/>
      <c r="E173" s="234"/>
      <c r="F173" s="233"/>
      <c r="G173" s="234"/>
      <c r="H173" s="233"/>
      <c r="I173" s="234"/>
      <c r="J173" s="234"/>
      <c r="K173" s="234"/>
      <c r="L173" s="233"/>
      <c r="M173" s="233"/>
      <c r="N173" s="234"/>
      <c r="O173" s="233"/>
      <c r="P173" s="233"/>
      <c r="Q173" s="234"/>
      <c r="R173" s="233"/>
      <c r="S173" s="233"/>
      <c r="T173" s="234"/>
    </row>
    <row r="174" spans="2:27" x14ac:dyDescent="0.2">
      <c r="D174" s="233"/>
      <c r="E174" s="234"/>
      <c r="F174" s="233"/>
      <c r="G174" s="234"/>
      <c r="H174" s="233"/>
      <c r="I174" s="234"/>
      <c r="J174" s="234"/>
      <c r="K174" s="234"/>
      <c r="L174" s="233"/>
      <c r="M174" s="233"/>
      <c r="N174" s="234"/>
      <c r="O174" s="233"/>
      <c r="P174" s="233"/>
      <c r="Q174" s="234"/>
      <c r="R174" s="233"/>
      <c r="S174" s="233"/>
      <c r="T174" s="234"/>
    </row>
  </sheetData>
  <mergeCells count="21">
    <mergeCell ref="H21:I21"/>
    <mergeCell ref="J20:K20"/>
    <mergeCell ref="J21:K21"/>
    <mergeCell ref="D21:E21"/>
    <mergeCell ref="F21:G21"/>
    <mergeCell ref="B10:I10"/>
    <mergeCell ref="R20:T20"/>
    <mergeCell ref="O20:Q20"/>
    <mergeCell ref="Z20:AA20"/>
    <mergeCell ref="X21:Y21"/>
    <mergeCell ref="Z21:AA21"/>
    <mergeCell ref="U20:W20"/>
    <mergeCell ref="U21:W21"/>
    <mergeCell ref="X20:Y20"/>
    <mergeCell ref="R21:T21"/>
    <mergeCell ref="O21:Q21"/>
    <mergeCell ref="L21:N21"/>
    <mergeCell ref="D20:E20"/>
    <mergeCell ref="F20:G20"/>
    <mergeCell ref="L20:N20"/>
    <mergeCell ref="H20:I20"/>
  </mergeCell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W49"/>
  <sheetViews>
    <sheetView showGridLines="0" topLeftCell="A7" zoomScaleNormal="100" workbookViewId="0">
      <selection activeCell="B15" sqref="B15:W31"/>
    </sheetView>
  </sheetViews>
  <sheetFormatPr defaultRowHeight="12.75" x14ac:dyDescent="0.2"/>
  <cols>
    <col min="1" max="1" width="13.6640625" style="1" customWidth="1"/>
    <col min="2" max="2" width="20" style="1" bestFit="1" customWidth="1"/>
    <col min="3" max="8" width="13.33203125" style="1" bestFit="1" customWidth="1"/>
    <col min="9" max="10" width="13.33203125" style="1" hidden="1" customWidth="1"/>
    <col min="11" max="11" width="14.33203125" style="1" bestFit="1" customWidth="1"/>
    <col min="12" max="12" width="13.33203125" style="1" bestFit="1" customWidth="1"/>
    <col min="13" max="14" width="14" style="1" customWidth="1"/>
    <col min="15" max="16" width="13.33203125" style="1" bestFit="1" customWidth="1"/>
    <col min="17" max="17" width="14" style="1" customWidth="1"/>
    <col min="18" max="18" width="15.83203125" style="1" customWidth="1"/>
    <col min="19" max="20" width="14" style="1" hidden="1" customWidth="1"/>
    <col min="21" max="21" width="9.33203125" style="1"/>
    <col min="22" max="22" width="20.33203125" style="1" customWidth="1"/>
    <col min="23" max="23" width="13.33203125" style="1" bestFit="1" customWidth="1"/>
    <col min="24" max="16384" width="9.33203125" style="1"/>
  </cols>
  <sheetData>
    <row r="1" spans="1:23" s="532" customFormat="1" x14ac:dyDescent="0.2">
      <c r="A1" s="726" t="s">
        <v>266</v>
      </c>
    </row>
    <row r="2" spans="1:23" s="532" customFormat="1" x14ac:dyDescent="0.2"/>
    <row r="3" spans="1:23" s="532" customFormat="1" x14ac:dyDescent="0.2"/>
    <row r="4" spans="1:23" s="532" customFormat="1" x14ac:dyDescent="0.2"/>
    <row r="5" spans="1:23" s="532" customFormat="1" x14ac:dyDescent="0.2"/>
    <row r="6" spans="1:23" s="532" customFormat="1" x14ac:dyDescent="0.2"/>
    <row r="7" spans="1:23" s="532" customFormat="1" x14ac:dyDescent="0.2"/>
    <row r="8" spans="1:23" s="532" customFormat="1" x14ac:dyDescent="0.2"/>
    <row r="9" spans="1:23" s="532" customFormat="1" x14ac:dyDescent="0.2"/>
    <row r="10" spans="1:23" customFormat="1" ht="12.75" customHeight="1" x14ac:dyDescent="0.2">
      <c r="B10" s="881"/>
      <c r="C10" s="881"/>
      <c r="D10" s="881"/>
      <c r="E10" s="881"/>
      <c r="F10" s="881"/>
      <c r="G10" s="881"/>
      <c r="H10" s="881"/>
      <c r="I10" s="881"/>
      <c r="J10" s="511"/>
      <c r="K10" s="511"/>
      <c r="L10" s="511"/>
      <c r="M10" s="511"/>
    </row>
    <row r="11" spans="1:23" ht="23.25" x14ac:dyDescent="0.2">
      <c r="B11" s="132" t="s">
        <v>84</v>
      </c>
    </row>
    <row r="12" spans="1:23" s="532" customFormat="1" ht="15" x14ac:dyDescent="0.2">
      <c r="B12" s="57" t="s">
        <v>63</v>
      </c>
    </row>
    <row r="13" spans="1:23" ht="14.25" x14ac:dyDescent="0.2">
      <c r="B13" s="99" t="s">
        <v>243</v>
      </c>
      <c r="C13" s="532"/>
      <c r="D13" s="532"/>
      <c r="E13" s="532"/>
      <c r="F13" s="532"/>
      <c r="G13" s="532"/>
      <c r="H13" s="532"/>
      <c r="I13" s="532"/>
      <c r="J13" s="308"/>
      <c r="K13" s="309"/>
    </row>
    <row r="14" spans="1:23" ht="13.5" customHeight="1" thickBot="1" x14ac:dyDescent="0.25">
      <c r="B14" s="132"/>
      <c r="J14" s="308"/>
      <c r="K14" s="309"/>
    </row>
    <row r="15" spans="1:23" ht="24.75" customHeight="1" thickBot="1" x14ac:dyDescent="0.25">
      <c r="B15" s="791"/>
      <c r="C15" s="902" t="str">
        <f>'2. Customer Classes'!B14</f>
        <v>Residential</v>
      </c>
      <c r="D15" s="903"/>
      <c r="E15" s="902" t="str">
        <f>'2. Customer Classes'!B15</f>
        <v>General Service &lt; 50 kW</v>
      </c>
      <c r="F15" s="903"/>
      <c r="G15" s="902" t="str">
        <f>'2. Customer Classes'!B16</f>
        <v>Unmetered Scattered Load</v>
      </c>
      <c r="H15" s="903"/>
      <c r="I15" s="902">
        <f>'2. Customer Classes'!B17</f>
        <v>0</v>
      </c>
      <c r="J15" s="903"/>
      <c r="K15" s="902" t="str">
        <f>'2. Customer Classes'!B18</f>
        <v>General Service &gt; 50 kW - 2999 kW</v>
      </c>
      <c r="L15" s="903"/>
      <c r="M15" s="902" t="str">
        <f>'2. Customer Classes'!B19</f>
        <v>Streetlighting</v>
      </c>
      <c r="N15" s="903"/>
      <c r="O15" s="910" t="str">
        <f>'2. Customer Classes'!B20</f>
        <v>Sentinel Lighting</v>
      </c>
      <c r="P15" s="903"/>
      <c r="Q15" s="907" t="str">
        <f>'2. Customer Classes'!B21</f>
        <v>General Service 3000-4999 kW</v>
      </c>
      <c r="R15" s="909"/>
      <c r="S15" s="907" t="str">
        <f>'2. Customer Classes'!B22</f>
        <v>other</v>
      </c>
      <c r="T15" s="909"/>
      <c r="V15" s="907" t="s">
        <v>162</v>
      </c>
      <c r="W15" s="908"/>
    </row>
    <row r="16" spans="1:23" ht="39" thickBot="1" x14ac:dyDescent="0.25">
      <c r="B16" s="795" t="s">
        <v>3</v>
      </c>
      <c r="C16" s="796" t="s">
        <v>118</v>
      </c>
      <c r="D16" s="797" t="s">
        <v>5</v>
      </c>
      <c r="E16" s="796" t="s">
        <v>118</v>
      </c>
      <c r="F16" s="797" t="s">
        <v>5</v>
      </c>
      <c r="G16" s="796" t="s">
        <v>118</v>
      </c>
      <c r="H16" s="797" t="s">
        <v>5</v>
      </c>
      <c r="I16" s="796"/>
      <c r="J16" s="797"/>
      <c r="K16" s="796" t="s">
        <v>118</v>
      </c>
      <c r="L16" s="795" t="s">
        <v>5</v>
      </c>
      <c r="M16" s="796" t="s">
        <v>118</v>
      </c>
      <c r="N16" s="795" t="s">
        <v>5</v>
      </c>
      <c r="O16" s="796" t="s">
        <v>118</v>
      </c>
      <c r="P16" s="798" t="s">
        <v>5</v>
      </c>
      <c r="Q16" s="796" t="s">
        <v>118</v>
      </c>
      <c r="R16" s="798" t="s">
        <v>5</v>
      </c>
      <c r="S16" s="170" t="s">
        <v>118</v>
      </c>
      <c r="T16" s="4" t="s">
        <v>5</v>
      </c>
      <c r="V16" s="796" t="s">
        <v>172</v>
      </c>
      <c r="W16" s="798" t="s">
        <v>5</v>
      </c>
    </row>
    <row r="17" spans="2:23" x14ac:dyDescent="0.2">
      <c r="B17" s="5">
        <f>'1. LDC Info'!F25-10</f>
        <v>2006</v>
      </c>
      <c r="C17" s="200">
        <f>AVERAGE('3. Consumption by Rate Class'!E25,'3. Consumption by Rate Class'!E36)</f>
        <v>7704</v>
      </c>
      <c r="D17" s="169"/>
      <c r="E17" s="200">
        <f>AVERAGE('3. Consumption by Rate Class'!G25,'3. Consumption by Rate Class'!G36)</f>
        <v>1036.5</v>
      </c>
      <c r="F17" s="169"/>
      <c r="G17" s="171">
        <f>AVERAGE('3. Consumption by Rate Class'!I25,'3. Consumption by Rate Class'!I36)</f>
        <v>68.5</v>
      </c>
      <c r="H17" s="169"/>
      <c r="I17" s="200"/>
      <c r="J17" s="169"/>
      <c r="K17" s="171">
        <f>AVERAGE('3. Consumption by Rate Class'!N25,'3. Consumption by Rate Class'!N36)</f>
        <v>145.5</v>
      </c>
      <c r="L17" s="169"/>
      <c r="M17" s="200">
        <f>IF(SUM('3. Consumption by Rate Class'!Q25:Q36)&gt;0,+AVERAGE('3. Consumption by Rate Class'!Q25,'3. Consumption by Rate Class'!Q36),0)</f>
        <v>2671</v>
      </c>
      <c r="N17" s="169"/>
      <c r="O17" s="200">
        <f>AVERAGE('3. Consumption by Rate Class'!T25,'3. Consumption by Rate Class'!T36)</f>
        <v>55</v>
      </c>
      <c r="P17" s="172"/>
      <c r="Q17" s="385">
        <v>1</v>
      </c>
      <c r="R17" s="169"/>
      <c r="S17" s="385"/>
      <c r="T17" s="169"/>
      <c r="V17" s="238">
        <f>+C17+E17+G17+I17+K17+M17+O17+Q17</f>
        <v>11681.5</v>
      </c>
      <c r="W17" s="239"/>
    </row>
    <row r="18" spans="2:23" x14ac:dyDescent="0.2">
      <c r="B18" s="5">
        <f>'1. LDC Info'!F25-9</f>
        <v>2007</v>
      </c>
      <c r="C18" s="201">
        <f>AVERAGE('3. Consumption by Rate Class'!E37,'3. Consumption by Rate Class'!E48)</f>
        <v>7842</v>
      </c>
      <c r="D18" s="173">
        <f>C18/C17</f>
        <v>1.0179127725856698</v>
      </c>
      <c r="E18" s="201">
        <f>AVERAGE('3. Consumption by Rate Class'!G37,'3. Consumption by Rate Class'!G48)</f>
        <v>1043</v>
      </c>
      <c r="F18" s="173">
        <f>E18/E17</f>
        <v>1.0062711046792088</v>
      </c>
      <c r="G18" s="15">
        <f>AVERAGE('3. Consumption by Rate Class'!I37,'3. Consumption by Rate Class'!I48)</f>
        <v>80.5</v>
      </c>
      <c r="H18" s="173">
        <f t="shared" ref="H18:H26" si="0">G18/G17</f>
        <v>1.1751824817518248</v>
      </c>
      <c r="I18" s="200"/>
      <c r="J18" s="173"/>
      <c r="K18" s="15">
        <f>AVERAGE('3. Consumption by Rate Class'!N37,'3. Consumption by Rate Class'!N48)</f>
        <v>147.5</v>
      </c>
      <c r="L18" s="173">
        <f t="shared" ref="L18:L26" si="1">K18/K17</f>
        <v>1.0137457044673539</v>
      </c>
      <c r="M18" s="200">
        <f>IF(SUM('3. Consumption by Rate Class'!Q37:Q48)&gt;0,+AVERAGE('3. Consumption by Rate Class'!Q37,'3. Consumption by Rate Class'!Q48),0)</f>
        <v>2743</v>
      </c>
      <c r="N18" s="173">
        <f>IF(M18&gt;0,+M18/M17,0)</f>
        <v>1.0269561961812055</v>
      </c>
      <c r="O18" s="201">
        <f>AVERAGE('3. Consumption by Rate Class'!T37,'3. Consumption by Rate Class'!T48)</f>
        <v>55</v>
      </c>
      <c r="P18" s="174">
        <f>O18/O17</f>
        <v>1</v>
      </c>
      <c r="Q18" s="385">
        <v>1</v>
      </c>
      <c r="R18" s="174">
        <f>Q18/Q17</f>
        <v>1</v>
      </c>
      <c r="S18" s="385"/>
      <c r="T18" s="173"/>
      <c r="V18" s="396">
        <f t="shared" ref="V18:V26" si="2">+C18+E18+G18+I18+K18+M18+O18+Q18</f>
        <v>11912</v>
      </c>
      <c r="W18" s="237">
        <f t="shared" ref="W18:W26" si="3">V18/V17</f>
        <v>1.0197320549586955</v>
      </c>
    </row>
    <row r="19" spans="2:23" x14ac:dyDescent="0.2">
      <c r="B19" s="5">
        <f>'1. LDC Info'!F25-8</f>
        <v>2008</v>
      </c>
      <c r="C19" s="201">
        <f>AVERAGE('3. Consumption by Rate Class'!E49,'3. Consumption by Rate Class'!E60)</f>
        <v>7956</v>
      </c>
      <c r="D19" s="173">
        <f t="shared" ref="D19:F26" si="4">C19/C18</f>
        <v>1.0145371078806427</v>
      </c>
      <c r="E19" s="201">
        <f>AVERAGE('3. Consumption by Rate Class'!G49,'3. Consumption by Rate Class'!G60)</f>
        <v>1047.5</v>
      </c>
      <c r="F19" s="173">
        <f t="shared" si="4"/>
        <v>1.00431447746884</v>
      </c>
      <c r="G19" s="15">
        <f>AVERAGE('3. Consumption by Rate Class'!I49,'3. Consumption by Rate Class'!I60)</f>
        <v>90</v>
      </c>
      <c r="H19" s="173">
        <f t="shared" si="0"/>
        <v>1.1180124223602483</v>
      </c>
      <c r="I19" s="200"/>
      <c r="J19" s="173"/>
      <c r="K19" s="15">
        <f>AVERAGE('3. Consumption by Rate Class'!N49,'3. Consumption by Rate Class'!N60)</f>
        <v>133</v>
      </c>
      <c r="L19" s="173">
        <f t="shared" si="1"/>
        <v>0.90169491525423728</v>
      </c>
      <c r="M19" s="200">
        <f>IF(SUM('3. Consumption by Rate Class'!Q49:Q60)&gt;0,+AVERAGE('3. Consumption by Rate Class'!Q49,'3. Consumption by Rate Class'!Q60),0)</f>
        <v>2793</v>
      </c>
      <c r="N19" s="173">
        <f t="shared" ref="N19:N26" si="5">IF(M19&gt;0,+M19/M18,0)</f>
        <v>1.0182282172803501</v>
      </c>
      <c r="O19" s="201">
        <f>AVERAGE('3. Consumption by Rate Class'!T49,'3. Consumption by Rate Class'!T60)</f>
        <v>58</v>
      </c>
      <c r="P19" s="174">
        <f t="shared" ref="P19:P26" si="6">O19/O18</f>
        <v>1.0545454545454545</v>
      </c>
      <c r="Q19" s="385">
        <v>1</v>
      </c>
      <c r="R19" s="174">
        <f t="shared" ref="R19:R26" si="7">Q19/Q18</f>
        <v>1</v>
      </c>
      <c r="S19" s="385"/>
      <c r="T19" s="173"/>
      <c r="V19" s="396">
        <f t="shared" si="2"/>
        <v>12078.5</v>
      </c>
      <c r="W19" s="237">
        <f t="shared" si="3"/>
        <v>1.0139775016789792</v>
      </c>
    </row>
    <row r="20" spans="2:23" x14ac:dyDescent="0.2">
      <c r="B20" s="5">
        <f>'1. LDC Info'!F25-7</f>
        <v>2009</v>
      </c>
      <c r="C20" s="201">
        <f>AVERAGE('3. Consumption by Rate Class'!E61,'3. Consumption by Rate Class'!E72)</f>
        <v>8187.5</v>
      </c>
      <c r="D20" s="173">
        <f t="shared" si="4"/>
        <v>1.0290975364504775</v>
      </c>
      <c r="E20" s="201">
        <f>AVERAGE('3. Consumption by Rate Class'!G61,'3. Consumption by Rate Class'!G72)</f>
        <v>1062.5</v>
      </c>
      <c r="F20" s="173">
        <f t="shared" si="4"/>
        <v>1.0143198090692125</v>
      </c>
      <c r="G20" s="15">
        <f>AVERAGE('3. Consumption by Rate Class'!I61,'3. Consumption by Rate Class'!I72)</f>
        <v>95.5</v>
      </c>
      <c r="H20" s="173">
        <f t="shared" si="0"/>
        <v>1.0611111111111111</v>
      </c>
      <c r="I20" s="200"/>
      <c r="J20" s="173"/>
      <c r="K20" s="15">
        <f>AVERAGE('3. Consumption by Rate Class'!N61,'3. Consumption by Rate Class'!N72)</f>
        <v>129.5</v>
      </c>
      <c r="L20" s="173">
        <f t="shared" si="1"/>
        <v>0.97368421052631582</v>
      </c>
      <c r="M20" s="200">
        <f>IF(SUM('3. Consumption by Rate Class'!Q61:Q72)&gt;0,+AVERAGE('3. Consumption by Rate Class'!Q61,'3. Consumption by Rate Class'!Q72),0)</f>
        <v>2815.5</v>
      </c>
      <c r="N20" s="173">
        <f t="shared" si="5"/>
        <v>1.0080558539205156</v>
      </c>
      <c r="O20" s="201">
        <f>AVERAGE('3. Consumption by Rate Class'!T61,'3. Consumption by Rate Class'!T72)</f>
        <v>59.5</v>
      </c>
      <c r="P20" s="174">
        <f t="shared" si="6"/>
        <v>1.0258620689655173</v>
      </c>
      <c r="Q20" s="385">
        <v>1</v>
      </c>
      <c r="R20" s="174">
        <f t="shared" si="7"/>
        <v>1</v>
      </c>
      <c r="S20" s="385"/>
      <c r="T20" s="173"/>
      <c r="V20" s="396">
        <f t="shared" si="2"/>
        <v>12351</v>
      </c>
      <c r="W20" s="237">
        <f t="shared" si="3"/>
        <v>1.022560748437306</v>
      </c>
    </row>
    <row r="21" spans="2:23" x14ac:dyDescent="0.2">
      <c r="B21" s="5">
        <f>'1. LDC Info'!F25-6</f>
        <v>2010</v>
      </c>
      <c r="C21" s="201">
        <f>AVERAGE('3. Consumption by Rate Class'!E73,'3. Consumption by Rate Class'!E84)</f>
        <v>8296.5</v>
      </c>
      <c r="D21" s="173">
        <f t="shared" si="4"/>
        <v>1.0133129770992366</v>
      </c>
      <c r="E21" s="201">
        <f>AVERAGE('3. Consumption by Rate Class'!G73,'3. Consumption by Rate Class'!G84)</f>
        <v>1068.5</v>
      </c>
      <c r="F21" s="173">
        <f t="shared" si="4"/>
        <v>1.0056470588235293</v>
      </c>
      <c r="G21" s="15">
        <f>AVERAGE('3. Consumption by Rate Class'!I73,'3. Consumption by Rate Class'!I84)</f>
        <v>95</v>
      </c>
      <c r="H21" s="173">
        <f t="shared" si="0"/>
        <v>0.99476439790575921</v>
      </c>
      <c r="I21" s="200"/>
      <c r="J21" s="173"/>
      <c r="K21" s="15">
        <f>AVERAGE('3. Consumption by Rate Class'!N73,'3. Consumption by Rate Class'!N84)</f>
        <v>131</v>
      </c>
      <c r="L21" s="173">
        <f t="shared" si="1"/>
        <v>1.0115830115830116</v>
      </c>
      <c r="M21" s="200">
        <f>IF(SUM('3. Consumption by Rate Class'!Q73:Q84)&gt;0,+AVERAGE('3. Consumption by Rate Class'!Q73,'3. Consumption by Rate Class'!Q84),0)</f>
        <v>2752</v>
      </c>
      <c r="N21" s="173">
        <f t="shared" si="5"/>
        <v>0.97744627952406327</v>
      </c>
      <c r="O21" s="201">
        <f>AVERAGE('3. Consumption by Rate Class'!T73,'3. Consumption by Rate Class'!T84)</f>
        <v>55</v>
      </c>
      <c r="P21" s="174">
        <f t="shared" si="6"/>
        <v>0.92436974789915971</v>
      </c>
      <c r="Q21" s="385">
        <v>1</v>
      </c>
      <c r="R21" s="174">
        <f t="shared" si="7"/>
        <v>1</v>
      </c>
      <c r="S21" s="385"/>
      <c r="T21" s="173"/>
      <c r="V21" s="396">
        <f t="shared" si="2"/>
        <v>12399</v>
      </c>
      <c r="W21" s="237">
        <f t="shared" si="3"/>
        <v>1.0038863249939276</v>
      </c>
    </row>
    <row r="22" spans="2:23" x14ac:dyDescent="0.2">
      <c r="B22" s="5">
        <f>'1. LDC Info'!F25-5</f>
        <v>2011</v>
      </c>
      <c r="C22" s="201">
        <f>AVERAGE('3. Consumption by Rate Class'!E85,'3. Consumption by Rate Class'!E96)</f>
        <v>8425</v>
      </c>
      <c r="D22" s="173">
        <f t="shared" si="4"/>
        <v>1.0154884589887301</v>
      </c>
      <c r="E22" s="201">
        <f>AVERAGE('3. Consumption by Rate Class'!G85,'3. Consumption by Rate Class'!G96)</f>
        <v>1072.5</v>
      </c>
      <c r="F22" s="173">
        <f t="shared" si="4"/>
        <v>1.0037435657463734</v>
      </c>
      <c r="G22" s="15">
        <f>AVERAGE('3. Consumption by Rate Class'!I85,'3. Consumption by Rate Class'!I96)</f>
        <v>96</v>
      </c>
      <c r="H22" s="173">
        <f t="shared" si="0"/>
        <v>1.0105263157894737</v>
      </c>
      <c r="I22" s="200"/>
      <c r="J22" s="173"/>
      <c r="K22" s="15">
        <f>AVERAGE('3. Consumption by Rate Class'!N85,'3. Consumption by Rate Class'!N96)</f>
        <v>131.5</v>
      </c>
      <c r="L22" s="173">
        <f t="shared" si="1"/>
        <v>1.0038167938931297</v>
      </c>
      <c r="M22" s="200">
        <f>IF(SUM('3. Consumption by Rate Class'!Q85:Q96)&gt;0,+AVERAGE('3. Consumption by Rate Class'!Q85,'3. Consumption by Rate Class'!Q96),0)</f>
        <v>2759</v>
      </c>
      <c r="N22" s="173">
        <f t="shared" si="5"/>
        <v>1.0025436046511629</v>
      </c>
      <c r="O22" s="201">
        <f>AVERAGE('3. Consumption by Rate Class'!T85,'3. Consumption by Rate Class'!T96)</f>
        <v>53</v>
      </c>
      <c r="P22" s="174">
        <f t="shared" si="6"/>
        <v>0.96363636363636362</v>
      </c>
      <c r="Q22" s="385">
        <v>1</v>
      </c>
      <c r="R22" s="174">
        <f t="shared" si="7"/>
        <v>1</v>
      </c>
      <c r="S22" s="385"/>
      <c r="T22" s="173"/>
      <c r="V22" s="396">
        <f t="shared" si="2"/>
        <v>12538</v>
      </c>
      <c r="W22" s="237">
        <f t="shared" si="3"/>
        <v>1.011210581498508</v>
      </c>
    </row>
    <row r="23" spans="2:23" x14ac:dyDescent="0.2">
      <c r="B23" s="5">
        <f>'1. LDC Info'!F25-4</f>
        <v>2012</v>
      </c>
      <c r="C23" s="201">
        <f>AVERAGE('3. Consumption by Rate Class'!E97,'3. Consumption by Rate Class'!E108)</f>
        <v>8525</v>
      </c>
      <c r="D23" s="173">
        <f t="shared" si="4"/>
        <v>1.0118694362017804</v>
      </c>
      <c r="E23" s="201">
        <f>AVERAGE('3. Consumption by Rate Class'!G97,'3. Consumption by Rate Class'!G108)</f>
        <v>1067</v>
      </c>
      <c r="F23" s="173">
        <f t="shared" si="4"/>
        <v>0.99487179487179489</v>
      </c>
      <c r="G23" s="15">
        <f>AVERAGE('3. Consumption by Rate Class'!I97,'3. Consumption by Rate Class'!I108)</f>
        <v>94.5</v>
      </c>
      <c r="H23" s="173">
        <f t="shared" si="0"/>
        <v>0.984375</v>
      </c>
      <c r="I23" s="200"/>
      <c r="J23" s="173"/>
      <c r="K23" s="15">
        <f>AVERAGE('3. Consumption by Rate Class'!N97,'3. Consumption by Rate Class'!N108)</f>
        <v>137</v>
      </c>
      <c r="L23" s="173">
        <f t="shared" si="1"/>
        <v>1.0418250950570342</v>
      </c>
      <c r="M23" s="200">
        <f>IF(SUM('3. Consumption by Rate Class'!Q97:Q108)&gt;0,+AVERAGE('3. Consumption by Rate Class'!Q97,'3. Consumption by Rate Class'!Q108),0)</f>
        <v>2802</v>
      </c>
      <c r="N23" s="173">
        <f t="shared" si="5"/>
        <v>1.0155853570134106</v>
      </c>
      <c r="O23" s="201">
        <f>AVERAGE('3. Consumption by Rate Class'!T97,'3. Consumption by Rate Class'!T108)</f>
        <v>54</v>
      </c>
      <c r="P23" s="174">
        <f t="shared" si="6"/>
        <v>1.0188679245283019</v>
      </c>
      <c r="Q23" s="385">
        <v>1</v>
      </c>
      <c r="R23" s="174">
        <f t="shared" si="7"/>
        <v>1</v>
      </c>
      <c r="S23" s="385"/>
      <c r="T23" s="173"/>
      <c r="V23" s="396">
        <f t="shared" si="2"/>
        <v>12680.5</v>
      </c>
      <c r="W23" s="237">
        <f t="shared" si="3"/>
        <v>1.0113654490349338</v>
      </c>
    </row>
    <row r="24" spans="2:23" x14ac:dyDescent="0.2">
      <c r="B24" s="5">
        <f>'1. LDC Info'!F25-3</f>
        <v>2013</v>
      </c>
      <c r="C24" s="201">
        <f>AVERAGE('3. Consumption by Rate Class'!E109,'3. Consumption by Rate Class'!E120)</f>
        <v>8627</v>
      </c>
      <c r="D24" s="173">
        <f t="shared" si="4"/>
        <v>1.0119648093841642</v>
      </c>
      <c r="E24" s="201">
        <f>AVERAGE('3. Consumption by Rate Class'!G109,'3. Consumption by Rate Class'!G120)</f>
        <v>1058</v>
      </c>
      <c r="F24" s="173">
        <f t="shared" si="4"/>
        <v>0.99156513589503281</v>
      </c>
      <c r="G24" s="15">
        <f>AVERAGE('3. Consumption by Rate Class'!I109,'3. Consumption by Rate Class'!I120)</f>
        <v>93.5</v>
      </c>
      <c r="H24" s="173">
        <f t="shared" si="0"/>
        <v>0.98941798941798942</v>
      </c>
      <c r="I24" s="200"/>
      <c r="J24" s="173"/>
      <c r="K24" s="15">
        <f>AVERAGE('3. Consumption by Rate Class'!N109,'3. Consumption by Rate Class'!N120)</f>
        <v>141.5</v>
      </c>
      <c r="L24" s="173">
        <f t="shared" si="1"/>
        <v>1.0328467153284671</v>
      </c>
      <c r="M24" s="200">
        <f>IF(SUM('3. Consumption by Rate Class'!Q109:Q120)&gt;0,+AVERAGE('3. Consumption by Rate Class'!Q109,'3. Consumption by Rate Class'!Q120),0)</f>
        <v>2862</v>
      </c>
      <c r="N24" s="173">
        <f t="shared" si="5"/>
        <v>1.0214132762312633</v>
      </c>
      <c r="O24" s="201">
        <f>AVERAGE('3. Consumption by Rate Class'!T109,'3. Consumption by Rate Class'!T120)</f>
        <v>54</v>
      </c>
      <c r="P24" s="174">
        <f t="shared" si="6"/>
        <v>1</v>
      </c>
      <c r="Q24" s="385">
        <v>1</v>
      </c>
      <c r="R24" s="174">
        <f t="shared" si="7"/>
        <v>1</v>
      </c>
      <c r="S24" s="385"/>
      <c r="T24" s="173"/>
      <c r="V24" s="396">
        <f t="shared" si="2"/>
        <v>12837</v>
      </c>
      <c r="W24" s="237">
        <f t="shared" si="3"/>
        <v>1.0123417846299436</v>
      </c>
    </row>
    <row r="25" spans="2:23" x14ac:dyDescent="0.2">
      <c r="B25" s="5">
        <f>'1. LDC Info'!F25-2</f>
        <v>2014</v>
      </c>
      <c r="C25" s="201">
        <f>AVERAGE('3. Consumption by Rate Class'!E121,'3. Consumption by Rate Class'!E132)</f>
        <v>8760.5</v>
      </c>
      <c r="D25" s="173">
        <f t="shared" si="4"/>
        <v>1.015474672539701</v>
      </c>
      <c r="E25" s="201">
        <f>AVERAGE('3. Consumption by Rate Class'!G121,'3. Consumption by Rate Class'!G132)</f>
        <v>1068.5</v>
      </c>
      <c r="F25" s="173">
        <f t="shared" si="4"/>
        <v>1.0099243856332702</v>
      </c>
      <c r="G25" s="15">
        <f>AVERAGE('3. Consumption by Rate Class'!I121,'3. Consumption by Rate Class'!I132)</f>
        <v>93</v>
      </c>
      <c r="H25" s="173">
        <f t="shared" si="0"/>
        <v>0.99465240641711228</v>
      </c>
      <c r="I25" s="200"/>
      <c r="J25" s="173"/>
      <c r="K25" s="15">
        <f>AVERAGE('3. Consumption by Rate Class'!N121,'3. Consumption by Rate Class'!N132)</f>
        <v>138</v>
      </c>
      <c r="L25" s="173">
        <f t="shared" si="1"/>
        <v>0.97526501766784457</v>
      </c>
      <c r="M25" s="200">
        <f>IF(SUM('3. Consumption by Rate Class'!Q121:Q132)&gt;0,+AVERAGE('3. Consumption by Rate Class'!Q121,'3. Consumption by Rate Class'!Q132),0)</f>
        <v>2634</v>
      </c>
      <c r="N25" s="173">
        <f t="shared" si="5"/>
        <v>0.92033542976939209</v>
      </c>
      <c r="O25" s="201">
        <f>AVERAGE('3. Consumption by Rate Class'!T121,'3. Consumption by Rate Class'!T132)</f>
        <v>54</v>
      </c>
      <c r="P25" s="174">
        <f t="shared" si="6"/>
        <v>1</v>
      </c>
      <c r="Q25" s="385">
        <v>1</v>
      </c>
      <c r="R25" s="174">
        <f t="shared" si="7"/>
        <v>1</v>
      </c>
      <c r="S25" s="385"/>
      <c r="T25" s="173"/>
      <c r="V25" s="396">
        <f t="shared" si="2"/>
        <v>12749</v>
      </c>
      <c r="W25" s="237">
        <f t="shared" si="3"/>
        <v>0.99314481576692371</v>
      </c>
    </row>
    <row r="26" spans="2:23" x14ac:dyDescent="0.2">
      <c r="B26" s="5">
        <f>'1. LDC Info'!F25-1</f>
        <v>2015</v>
      </c>
      <c r="C26" s="201">
        <f>AVERAGE('3. Consumption by Rate Class'!E133,'3. Consumption by Rate Class'!E144)</f>
        <v>8885</v>
      </c>
      <c r="D26" s="173">
        <f t="shared" si="4"/>
        <v>1.0142115176074424</v>
      </c>
      <c r="E26" s="201">
        <f>AVERAGE('3. Consumption by Rate Class'!G133,'3. Consumption by Rate Class'!G144)</f>
        <v>1077.5</v>
      </c>
      <c r="F26" s="173">
        <f t="shared" si="4"/>
        <v>1.0084230229293403</v>
      </c>
      <c r="G26" s="15">
        <f>AVERAGE('3. Consumption by Rate Class'!I133,'3. Consumption by Rate Class'!I144)</f>
        <v>90</v>
      </c>
      <c r="H26" s="173">
        <f t="shared" si="0"/>
        <v>0.967741935483871</v>
      </c>
      <c r="I26" s="200"/>
      <c r="J26" s="173"/>
      <c r="K26" s="15">
        <f>AVERAGE('3. Consumption by Rate Class'!N133,'3. Consumption by Rate Class'!N144)</f>
        <v>134</v>
      </c>
      <c r="L26" s="173">
        <f t="shared" si="1"/>
        <v>0.97101449275362317</v>
      </c>
      <c r="M26" s="200">
        <f>IF(SUM('3. Consumption by Rate Class'!Q132:Q144)&gt;0,+AVERAGE('3. Consumption by Rate Class'!Q133,'3. Consumption by Rate Class'!Q144),0)</f>
        <v>2694</v>
      </c>
      <c r="N26" s="173">
        <f t="shared" si="5"/>
        <v>1.0227790432801822</v>
      </c>
      <c r="O26" s="201">
        <f>AVERAGE('3. Consumption by Rate Class'!T133,'3. Consumption by Rate Class'!T144)</f>
        <v>54</v>
      </c>
      <c r="P26" s="174">
        <f t="shared" si="6"/>
        <v>1</v>
      </c>
      <c r="Q26" s="385">
        <v>1</v>
      </c>
      <c r="R26" s="174">
        <f t="shared" si="7"/>
        <v>1</v>
      </c>
      <c r="S26" s="385"/>
      <c r="T26" s="173"/>
      <c r="V26" s="396">
        <f t="shared" si="2"/>
        <v>12935.5</v>
      </c>
      <c r="W26" s="237">
        <f t="shared" si="3"/>
        <v>1.0146285983214369</v>
      </c>
    </row>
    <row r="27" spans="2:23" x14ac:dyDescent="0.2">
      <c r="B27" s="9"/>
      <c r="C27" s="293"/>
      <c r="D27" s="7"/>
      <c r="E27" s="293"/>
      <c r="F27" s="7"/>
      <c r="G27" s="10"/>
      <c r="H27" s="7"/>
      <c r="I27" s="293"/>
      <c r="J27" s="7"/>
      <c r="K27" s="10"/>
      <c r="L27" s="7"/>
      <c r="M27" s="293"/>
      <c r="N27" s="7"/>
      <c r="O27" s="293"/>
      <c r="P27" s="8"/>
      <c r="Q27" s="293"/>
      <c r="R27" s="7"/>
      <c r="S27" s="293"/>
      <c r="T27" s="7"/>
      <c r="V27" s="238"/>
      <c r="W27" s="239"/>
    </row>
    <row r="28" spans="2:23" x14ac:dyDescent="0.2">
      <c r="B28" s="11" t="s">
        <v>4</v>
      </c>
      <c r="C28" s="293"/>
      <c r="D28" s="12">
        <f>GEOMEAN(D18:D26)</f>
        <v>1.015973431349555</v>
      </c>
      <c r="E28" s="295"/>
      <c r="F28" s="12">
        <f>GEOMEAN(F18:F26)</f>
        <v>1.0043197355088263</v>
      </c>
      <c r="G28" s="13"/>
      <c r="H28" s="12">
        <f>GEOMEAN(H18:H26)</f>
        <v>1.0307953186779488</v>
      </c>
      <c r="I28" s="295"/>
      <c r="J28" s="12"/>
      <c r="K28" s="13"/>
      <c r="L28" s="12">
        <f>GEOMEAN(L18:L26)</f>
        <v>0.99089324369193366</v>
      </c>
      <c r="M28" s="295"/>
      <c r="N28" s="12">
        <f>IF(SUM(N18:N26)&gt;0,+GEOMEAN(N18:N26),0)</f>
        <v>1.0009531365974109</v>
      </c>
      <c r="O28" s="295"/>
      <c r="P28" s="14">
        <f>GEOMEAN(P18:P26)</f>
        <v>0.99796328374175647</v>
      </c>
      <c r="Q28" s="295"/>
      <c r="R28" s="14">
        <f>GEOMEAN(R18:R26)</f>
        <v>1</v>
      </c>
      <c r="S28" s="295"/>
      <c r="T28" s="12"/>
      <c r="V28" s="238"/>
      <c r="W28" s="14">
        <f>GEOMEAN(W18:W26)</f>
        <v>1.0113943236927638</v>
      </c>
    </row>
    <row r="29" spans="2:23" x14ac:dyDescent="0.2">
      <c r="B29" s="11"/>
      <c r="C29" s="293"/>
      <c r="D29" s="12"/>
      <c r="E29" s="295"/>
      <c r="F29" s="12"/>
      <c r="G29" s="13"/>
      <c r="H29" s="12"/>
      <c r="I29" s="295"/>
      <c r="J29" s="12"/>
      <c r="K29" s="13"/>
      <c r="L29" s="12"/>
      <c r="M29" s="295"/>
      <c r="N29" s="12"/>
      <c r="O29" s="295"/>
      <c r="P29" s="14"/>
      <c r="Q29" s="295"/>
      <c r="R29" s="12"/>
      <c r="S29" s="295"/>
      <c r="T29" s="12"/>
      <c r="V29" s="238"/>
      <c r="W29" s="239"/>
    </row>
    <row r="30" spans="2:23" x14ac:dyDescent="0.2">
      <c r="B30" s="779" t="str">
        <f>'1. LDC Info'!F25</f>
        <v>2016</v>
      </c>
      <c r="C30" s="780">
        <f>C26*D28</f>
        <v>9026.923937540796</v>
      </c>
      <c r="D30" s="781" t="s">
        <v>30</v>
      </c>
      <c r="E30" s="780">
        <f>E26*F28</f>
        <v>1082.1545150107602</v>
      </c>
      <c r="F30" s="782"/>
      <c r="G30" s="783">
        <f>G26*H28</f>
        <v>92.771578681015399</v>
      </c>
      <c r="H30" s="782"/>
      <c r="I30" s="780"/>
      <c r="J30" s="782"/>
      <c r="K30" s="783">
        <f>K26*L28</f>
        <v>132.77969465471912</v>
      </c>
      <c r="L30" s="782"/>
      <c r="M30" s="780">
        <f>M26*N28</f>
        <v>2696.567749993425</v>
      </c>
      <c r="N30" s="782"/>
      <c r="O30" s="780">
        <f>O26*P28</f>
        <v>53.890017322054852</v>
      </c>
      <c r="P30" s="784"/>
      <c r="Q30" s="780">
        <f>Q26*R28</f>
        <v>1</v>
      </c>
      <c r="R30" s="782"/>
      <c r="S30" s="387"/>
      <c r="T30" s="724"/>
      <c r="V30" s="792">
        <f>+C30+E30+G30+I30+K30+M30+O30+R30</f>
        <v>13085.087493202769</v>
      </c>
      <c r="W30" s="793"/>
    </row>
    <row r="31" spans="2:23" ht="13.5" thickBot="1" x14ac:dyDescent="0.25">
      <c r="B31" s="785" t="str">
        <f>'1. LDC Info'!F27</f>
        <v>2017</v>
      </c>
      <c r="C31" s="786">
        <f>C30*D28</f>
        <v>9171.114887354759</v>
      </c>
      <c r="D31" s="787" t="s">
        <v>30</v>
      </c>
      <c r="E31" s="786">
        <f>E30*F28</f>
        <v>1086.8291362952889</v>
      </c>
      <c r="F31" s="788"/>
      <c r="G31" s="789">
        <f>G30*H28</f>
        <v>95.628509010753675</v>
      </c>
      <c r="H31" s="788"/>
      <c r="I31" s="786"/>
      <c r="J31" s="788"/>
      <c r="K31" s="789">
        <f>K30*L28</f>
        <v>131.57050233283914</v>
      </c>
      <c r="L31" s="788"/>
      <c r="M31" s="786">
        <f>M30*N28</f>
        <v>2699.1379474033415</v>
      </c>
      <c r="N31" s="788"/>
      <c r="O31" s="786">
        <f>O30*P28</f>
        <v>53.780258647617998</v>
      </c>
      <c r="P31" s="790"/>
      <c r="Q31" s="786">
        <f>Q30*R28</f>
        <v>1</v>
      </c>
      <c r="R31" s="788"/>
      <c r="S31" s="294"/>
      <c r="T31" s="725"/>
      <c r="V31" s="792">
        <f>+C31+E31+G31+I31+K31+M31+O31+R31</f>
        <v>13238.061241044601</v>
      </c>
      <c r="W31" s="794"/>
    </row>
    <row r="32" spans="2:23" x14ac:dyDescent="0.2">
      <c r="V32" s="236"/>
    </row>
    <row r="33" spans="2:23" x14ac:dyDescent="0.2">
      <c r="B33" s="177" t="s">
        <v>173</v>
      </c>
      <c r="V33" s="236"/>
    </row>
    <row r="34" spans="2:23" ht="13.5" thickBot="1" x14ac:dyDescent="0.25">
      <c r="V34" s="236"/>
    </row>
    <row r="35" spans="2:23" x14ac:dyDescent="0.2">
      <c r="B35" s="276" t="s">
        <v>31</v>
      </c>
      <c r="C35" s="19"/>
      <c r="D35" s="19"/>
      <c r="E35" s="19"/>
      <c r="F35" s="19"/>
      <c r="G35" s="19"/>
      <c r="H35" s="19"/>
      <c r="I35" s="19"/>
      <c r="J35" s="19"/>
      <c r="K35" s="19"/>
      <c r="L35" s="19"/>
      <c r="M35" s="19"/>
      <c r="N35" s="19"/>
      <c r="O35" s="19"/>
      <c r="P35" s="20"/>
      <c r="Q35" s="19"/>
      <c r="R35" s="20"/>
      <c r="S35" s="19"/>
      <c r="T35" s="20"/>
      <c r="V35" s="900" t="s">
        <v>31</v>
      </c>
      <c r="W35" s="901"/>
    </row>
    <row r="36" spans="2:23" x14ac:dyDescent="0.2">
      <c r="B36" s="168" t="str">
        <f>'1. LDC Info'!F25</f>
        <v>2016</v>
      </c>
      <c r="C36" s="296"/>
      <c r="D36" s="7">
        <f>C36/C26</f>
        <v>0</v>
      </c>
      <c r="E36" s="296"/>
      <c r="F36" s="7">
        <f>E36/E26</f>
        <v>0</v>
      </c>
      <c r="G36" s="296"/>
      <c r="H36" s="7">
        <f>G36/G26</f>
        <v>0</v>
      </c>
      <c r="I36" s="296"/>
      <c r="J36" s="173">
        <f>IF(I36&gt;0,+I36/I26,0)</f>
        <v>0</v>
      </c>
      <c r="K36" s="296"/>
      <c r="L36" s="7">
        <f>K36/K26</f>
        <v>0</v>
      </c>
      <c r="M36" s="296"/>
      <c r="N36" s="173">
        <f>IF(M36&gt;0,+M36/M26,0)</f>
        <v>0</v>
      </c>
      <c r="O36" s="296"/>
      <c r="P36" s="8">
        <f>O36/O26</f>
        <v>0</v>
      </c>
      <c r="Q36" s="21">
        <v>0</v>
      </c>
      <c r="R36" s="8">
        <f>Q36/Q26</f>
        <v>0</v>
      </c>
      <c r="S36" s="21"/>
      <c r="T36" s="8"/>
      <c r="V36" s="396">
        <f>+C36+E36+G36+I36+K36+M36+O36</f>
        <v>0</v>
      </c>
      <c r="W36" s="174">
        <f>V36/V26</f>
        <v>0</v>
      </c>
    </row>
    <row r="37" spans="2:23" ht="13.5" thickBot="1" x14ac:dyDescent="0.25">
      <c r="B37" s="167" t="str">
        <f>'1. LDC Info'!F27</f>
        <v>2017</v>
      </c>
      <c r="C37" s="297"/>
      <c r="D37" s="291">
        <f>IF(C37&gt;0,+C37/C36,0)</f>
        <v>0</v>
      </c>
      <c r="E37" s="297"/>
      <c r="F37" s="291">
        <f>IF(E37&gt;0,+E37/E36,0)</f>
        <v>0</v>
      </c>
      <c r="G37" s="297"/>
      <c r="H37" s="291">
        <f>IF(G37&gt;0,+G37/G36,0)</f>
        <v>0</v>
      </c>
      <c r="I37" s="297"/>
      <c r="J37" s="291">
        <f>IF(I37&gt;0,+I37/I36,0)</f>
        <v>0</v>
      </c>
      <c r="K37" s="297"/>
      <c r="L37" s="291">
        <f>IF(K37&gt;0,+K37/K36,0)</f>
        <v>0</v>
      </c>
      <c r="M37" s="297"/>
      <c r="N37" s="291">
        <f>IF(M37&gt;0,+M37/M36,0)</f>
        <v>0</v>
      </c>
      <c r="O37" s="297"/>
      <c r="P37" s="240">
        <f>IF(O37&gt;0,+O37/O36,0)</f>
        <v>0</v>
      </c>
      <c r="Q37" s="22">
        <v>0</v>
      </c>
      <c r="R37" s="240">
        <f>IF(Q37&gt;0,+Q37/Q36,0)</f>
        <v>0</v>
      </c>
      <c r="S37" s="22"/>
      <c r="T37" s="23"/>
      <c r="V37" s="397">
        <f>+C37+E37+G37+I37+K37+M37+O37</f>
        <v>0</v>
      </c>
      <c r="W37" s="240">
        <f>IF(V37&gt;0,+V37/V36,0)</f>
        <v>0</v>
      </c>
    </row>
    <row r="38" spans="2:23" x14ac:dyDescent="0.2">
      <c r="C38" s="182" t="s">
        <v>30</v>
      </c>
      <c r="V38" s="236"/>
    </row>
    <row r="39" spans="2:23" x14ac:dyDescent="0.2">
      <c r="B39" s="1" t="s">
        <v>128</v>
      </c>
      <c r="V39" s="236"/>
    </row>
    <row r="40" spans="2:23" ht="13.5" thickBot="1" x14ac:dyDescent="0.25">
      <c r="V40" s="236"/>
    </row>
    <row r="41" spans="2:23" x14ac:dyDescent="0.2">
      <c r="B41" s="904" t="s">
        <v>157</v>
      </c>
      <c r="C41" s="905"/>
      <c r="D41" s="905"/>
      <c r="E41" s="905"/>
      <c r="F41" s="905"/>
      <c r="G41" s="905"/>
      <c r="H41" s="905"/>
      <c r="I41" s="905"/>
      <c r="J41" s="905"/>
      <c r="K41" s="905"/>
      <c r="L41" s="905"/>
      <c r="M41" s="905"/>
      <c r="N41" s="905"/>
      <c r="O41" s="905"/>
      <c r="P41" s="905"/>
      <c r="Q41" s="905"/>
      <c r="R41" s="906"/>
      <c r="V41" s="900" t="s">
        <v>31</v>
      </c>
      <c r="W41" s="901"/>
    </row>
    <row r="42" spans="2:23" ht="13.5" thickBot="1" x14ac:dyDescent="0.25">
      <c r="B42" s="546">
        <v>2014</v>
      </c>
      <c r="C42" s="720">
        <f>IF(C36&gt;0,+C36,C30)</f>
        <v>9026.923937540796</v>
      </c>
      <c r="D42" s="517">
        <f>IF(D36&gt;0,+D36,D28)</f>
        <v>1.015973431349555</v>
      </c>
      <c r="E42" s="720">
        <f>IF(E36&gt;0,+E36,E30)</f>
        <v>1082.1545150107602</v>
      </c>
      <c r="F42" s="517">
        <f>IF(F36&gt;0,+F36,F28)</f>
        <v>1.0043197355088263</v>
      </c>
      <c r="G42" s="720">
        <f>IF(G36&gt;0,+G36,G30)</f>
        <v>92.771578681015399</v>
      </c>
      <c r="H42" s="517">
        <f>IF(H36&gt;0,+H36,H28)</f>
        <v>1.0307953186779488</v>
      </c>
      <c r="I42" s="514">
        <f>IF(I36&gt;0,+I36,I30)</f>
        <v>0</v>
      </c>
      <c r="J42" s="517">
        <f>IF(J36&gt;0,+J36,J28)</f>
        <v>0</v>
      </c>
      <c r="K42" s="720">
        <f>IF(K36&gt;0,+K36,K30)</f>
        <v>132.77969465471912</v>
      </c>
      <c r="L42" s="517">
        <f>IF(L36&gt;0,+L36,L28)</f>
        <v>0.99089324369193366</v>
      </c>
      <c r="M42" s="720">
        <f>IF(M36&gt;0,+M36,M30)</f>
        <v>2696.567749993425</v>
      </c>
      <c r="N42" s="517">
        <f>IF(N36&gt;0,+N36,N28)</f>
        <v>1.0009531365974109</v>
      </c>
      <c r="O42" s="720">
        <f>IF(O36&gt;0,+O36,O30)</f>
        <v>53.890017322054852</v>
      </c>
      <c r="P42" s="517">
        <f>IF(P36&gt;0,+P36,P28)</f>
        <v>0.99796328374175647</v>
      </c>
      <c r="Q42" s="514">
        <f>IF(Q36&gt;0,+Q36,Q30)</f>
        <v>1</v>
      </c>
      <c r="R42" s="722">
        <f>IF(R36&gt;0,+R36,R28)</f>
        <v>1</v>
      </c>
      <c r="V42" s="396">
        <f>+C42+E42+G42+I42+K42+M42+O42</f>
        <v>13085.087493202769</v>
      </c>
      <c r="W42" s="254">
        <f>IF(V36&gt;1,+W36,W28)</f>
        <v>1.0113943236927638</v>
      </c>
    </row>
    <row r="43" spans="2:23" ht="13.5" thickBot="1" x14ac:dyDescent="0.25">
      <c r="B43" s="217">
        <v>2015</v>
      </c>
      <c r="C43" s="721">
        <f>IF(C37&gt;0,+C37,C31)</f>
        <v>9171.114887354759</v>
      </c>
      <c r="D43" s="220">
        <f>IF(D37&gt;0,+D37,D28)</f>
        <v>1.015973431349555</v>
      </c>
      <c r="E43" s="721">
        <f>IF(E37&gt;0,+E37,E31)</f>
        <v>1086.8291362952889</v>
      </c>
      <c r="F43" s="220">
        <f>IF(F37&gt;0,+F37,F28)</f>
        <v>1.0043197355088263</v>
      </c>
      <c r="G43" s="721">
        <f>IF(G37&gt;0,+G37,G31)</f>
        <v>95.628509010753675</v>
      </c>
      <c r="H43" s="220">
        <f>IF(H37&gt;0,+H37,H28)</f>
        <v>1.0307953186779488</v>
      </c>
      <c r="I43" s="292">
        <f>IF(I37&gt;0,+I37,I31)</f>
        <v>0</v>
      </c>
      <c r="J43" s="220">
        <f>IF(J37&gt;0,+J37,J28)</f>
        <v>0</v>
      </c>
      <c r="K43" s="721">
        <f>IF(K37&gt;0,+K37,K31)</f>
        <v>131.57050233283914</v>
      </c>
      <c r="L43" s="220">
        <f>IF(L37&gt;0,+L37,L28)</f>
        <v>0.99089324369193366</v>
      </c>
      <c r="M43" s="721">
        <f>IF(M37&gt;0,+M37,M31)</f>
        <v>2699.1379474033415</v>
      </c>
      <c r="N43" s="220">
        <f>IF(N37&gt;0,+N37,N28)</f>
        <v>1.0009531365974109</v>
      </c>
      <c r="O43" s="721">
        <f>IF(O37&gt;0,+O37,O31)</f>
        <v>53.780258647617998</v>
      </c>
      <c r="P43" s="220">
        <f>IF(P37&gt;0,+P37,P28)</f>
        <v>0.99796328374175647</v>
      </c>
      <c r="Q43" s="292">
        <f>IF(Q37&gt;0,+Q37,Q31)</f>
        <v>1</v>
      </c>
      <c r="R43" s="723">
        <f>IF(R37&gt;0,+R37,R28)</f>
        <v>1</v>
      </c>
      <c r="V43" s="397">
        <f>+C43+E43+G43+I43+K43+M43+O43</f>
        <v>13238.061241044601</v>
      </c>
      <c r="W43" s="255">
        <f>IF(W37&gt;1,+W37,W28)</f>
        <v>1.0113943236927638</v>
      </c>
    </row>
    <row r="48" spans="2:23" x14ac:dyDescent="0.2">
      <c r="C48" s="298"/>
    </row>
    <row r="49" spans="3:3" x14ac:dyDescent="0.2">
      <c r="C49" s="298"/>
    </row>
  </sheetData>
  <mergeCells count="14">
    <mergeCell ref="V41:W41"/>
    <mergeCell ref="M15:N15"/>
    <mergeCell ref="B41:R41"/>
    <mergeCell ref="B10:I10"/>
    <mergeCell ref="C15:D15"/>
    <mergeCell ref="E15:F15"/>
    <mergeCell ref="G15:H15"/>
    <mergeCell ref="K15:L15"/>
    <mergeCell ref="I15:J15"/>
    <mergeCell ref="V15:W15"/>
    <mergeCell ref="V35:W35"/>
    <mergeCell ref="Q15:R15"/>
    <mergeCell ref="S15:T15"/>
    <mergeCell ref="O15:P15"/>
  </mergeCells>
  <phoneticPr fontId="0" type="noConversion"/>
  <pageMargins left="0.70866141732283472" right="0.70866141732283472" top="0.74803149606299213" bottom="0.74803149606299213" header="0.31496062992125984" footer="0.31496062992125984"/>
  <pageSetup scale="37" orientation="portrait" r:id="rId1"/>
  <ignoredErrors>
    <ignoredError sqref="E18:E26 G18:G26" formula="1"/>
    <ignoredError sqref="M17:M26"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Z132"/>
  <sheetViews>
    <sheetView showGridLines="0" topLeftCell="A67" zoomScaleNormal="100" zoomScaleSheetLayoutView="100" workbookViewId="0">
      <selection activeCell="B91" sqref="B91"/>
    </sheetView>
  </sheetViews>
  <sheetFormatPr defaultRowHeight="12.75" x14ac:dyDescent="0.2"/>
  <cols>
    <col min="1" max="1" width="13.6640625" style="1" customWidth="1"/>
    <col min="2" max="2" width="24.83203125" style="52" customWidth="1"/>
    <col min="3" max="14" width="14.83203125" style="52" customWidth="1"/>
    <col min="15" max="15" width="16.6640625" style="1" customWidth="1"/>
    <col min="16" max="25" width="9.33203125" style="1"/>
    <col min="26" max="26" width="19.33203125" style="1" customWidth="1"/>
    <col min="27" max="16384" width="9.33203125" style="1"/>
  </cols>
  <sheetData>
    <row r="1" spans="1:15" s="532" customFormat="1" x14ac:dyDescent="0.2">
      <c r="A1" s="726" t="s">
        <v>266</v>
      </c>
      <c r="B1" s="52"/>
      <c r="C1" s="52"/>
      <c r="D1" s="52"/>
      <c r="E1" s="52"/>
      <c r="F1" s="52"/>
      <c r="G1" s="52"/>
      <c r="H1" s="52"/>
      <c r="I1" s="52"/>
      <c r="J1" s="52"/>
      <c r="K1" s="52"/>
      <c r="L1" s="52"/>
      <c r="M1" s="52"/>
      <c r="N1" s="52"/>
    </row>
    <row r="2" spans="1:15" s="532" customFormat="1" x14ac:dyDescent="0.2">
      <c r="B2" s="52"/>
      <c r="C2" s="52"/>
      <c r="D2" s="52"/>
      <c r="E2" s="52"/>
      <c r="F2" s="52"/>
      <c r="G2" s="52"/>
      <c r="H2" s="52"/>
      <c r="I2" s="52"/>
      <c r="J2" s="52"/>
      <c r="K2" s="52"/>
      <c r="L2" s="52"/>
      <c r="M2" s="52"/>
      <c r="N2" s="52"/>
    </row>
    <row r="3" spans="1:15" s="532" customFormat="1" x14ac:dyDescent="0.2">
      <c r="B3" s="52"/>
      <c r="C3" s="52"/>
      <c r="D3" s="52"/>
      <c r="E3" s="52"/>
      <c r="F3" s="52"/>
      <c r="G3" s="52"/>
      <c r="H3" s="52"/>
      <c r="I3" s="52"/>
      <c r="J3" s="52"/>
      <c r="K3" s="52"/>
      <c r="L3" s="52"/>
      <c r="M3" s="52"/>
      <c r="N3" s="52"/>
    </row>
    <row r="4" spans="1:15" s="532" customFormat="1" x14ac:dyDescent="0.2">
      <c r="B4" s="52"/>
      <c r="C4" s="52"/>
      <c r="D4" s="52"/>
      <c r="E4" s="52"/>
      <c r="F4" s="52"/>
      <c r="G4" s="52"/>
      <c r="H4" s="52"/>
      <c r="I4" s="52"/>
      <c r="J4" s="52"/>
      <c r="K4" s="52"/>
      <c r="L4" s="52"/>
      <c r="M4" s="52"/>
      <c r="N4" s="52"/>
    </row>
    <row r="5" spans="1:15" s="532" customFormat="1" x14ac:dyDescent="0.2">
      <c r="B5" s="52"/>
      <c r="C5" s="52"/>
      <c r="D5" s="52"/>
      <c r="E5" s="52"/>
      <c r="F5" s="52"/>
      <c r="G5" s="52"/>
      <c r="H5" s="52"/>
      <c r="I5" s="52"/>
      <c r="J5" s="52"/>
      <c r="K5" s="52"/>
      <c r="L5" s="52"/>
      <c r="M5" s="52"/>
      <c r="N5" s="52"/>
    </row>
    <row r="6" spans="1:15" s="532" customFormat="1" x14ac:dyDescent="0.2">
      <c r="B6" s="52"/>
      <c r="C6" s="52"/>
      <c r="D6" s="52"/>
      <c r="E6" s="52"/>
      <c r="F6" s="52"/>
      <c r="G6" s="52"/>
      <c r="H6" s="52"/>
      <c r="I6" s="52"/>
      <c r="J6" s="52"/>
      <c r="K6" s="52"/>
      <c r="L6" s="52"/>
      <c r="M6" s="52"/>
      <c r="N6" s="52"/>
    </row>
    <row r="7" spans="1:15" s="532" customFormat="1" x14ac:dyDescent="0.2">
      <c r="B7" s="52"/>
      <c r="C7" s="52"/>
      <c r="D7" s="52"/>
      <c r="E7" s="52"/>
      <c r="F7" s="52"/>
      <c r="G7" s="52"/>
      <c r="H7" s="52"/>
      <c r="I7" s="52"/>
      <c r="J7" s="52"/>
      <c r="K7" s="52"/>
      <c r="L7" s="52"/>
      <c r="M7" s="52"/>
      <c r="N7" s="52"/>
    </row>
    <row r="8" spans="1:15" s="532" customFormat="1" x14ac:dyDescent="0.2">
      <c r="B8" s="52"/>
      <c r="C8" s="52"/>
      <c r="D8" s="52"/>
      <c r="E8" s="52"/>
      <c r="F8" s="52"/>
      <c r="G8" s="52"/>
      <c r="H8" s="52"/>
      <c r="I8" s="52"/>
      <c r="J8" s="52"/>
      <c r="K8" s="52"/>
      <c r="L8" s="52"/>
      <c r="M8" s="52"/>
      <c r="N8" s="52"/>
    </row>
    <row r="9" spans="1:15" s="532" customFormat="1" x14ac:dyDescent="0.2">
      <c r="B9" s="52"/>
      <c r="C9" s="52"/>
      <c r="D9" s="52"/>
      <c r="E9" s="52"/>
      <c r="F9" s="52"/>
      <c r="G9" s="52"/>
      <c r="H9" s="52"/>
      <c r="I9" s="52"/>
      <c r="J9" s="52"/>
      <c r="K9" s="52"/>
      <c r="L9" s="52"/>
      <c r="M9" s="52"/>
      <c r="N9" s="52"/>
    </row>
    <row r="10" spans="1:15" x14ac:dyDescent="0.2">
      <c r="A10" s="242"/>
      <c r="B10" s="243"/>
      <c r="C10" s="243"/>
      <c r="D10" s="243"/>
      <c r="E10" s="243"/>
      <c r="F10" s="243"/>
      <c r="G10" s="243"/>
      <c r="H10" s="243"/>
      <c r="I10" s="243"/>
      <c r="J10" s="243"/>
      <c r="K10" s="243"/>
      <c r="L10" s="243"/>
      <c r="M10" s="243"/>
      <c r="N10" s="243"/>
      <c r="O10" s="242"/>
    </row>
    <row r="11" spans="1:15" ht="23.25" x14ac:dyDescent="0.35">
      <c r="A11" s="242"/>
      <c r="B11" s="244" t="s">
        <v>147</v>
      </c>
      <c r="C11" s="243"/>
      <c r="D11" s="243"/>
      <c r="E11" s="243"/>
      <c r="F11" s="243"/>
      <c r="G11" s="243"/>
      <c r="H11" s="243"/>
      <c r="I11" s="243"/>
      <c r="J11" s="243"/>
      <c r="K11" s="243"/>
      <c r="L11" s="243"/>
      <c r="M11" s="242"/>
      <c r="N11" s="1"/>
    </row>
    <row r="12" spans="1:15" ht="15" x14ac:dyDescent="0.2">
      <c r="A12" s="242"/>
      <c r="B12" s="57" t="s">
        <v>63</v>
      </c>
      <c r="C12" s="243"/>
      <c r="D12" s="243"/>
      <c r="E12" s="243"/>
      <c r="F12" s="243"/>
      <c r="G12" s="243"/>
      <c r="H12" s="243"/>
      <c r="I12" s="243"/>
      <c r="J12" s="243"/>
      <c r="K12" s="243"/>
      <c r="L12" s="243"/>
      <c r="M12" s="243"/>
      <c r="N12" s="243"/>
      <c r="O12" s="242"/>
    </row>
    <row r="13" spans="1:15" ht="14.25" x14ac:dyDescent="0.2">
      <c r="A13" s="242"/>
      <c r="B13" s="99" t="s">
        <v>244</v>
      </c>
      <c r="C13" s="243"/>
      <c r="D13" s="243"/>
      <c r="E13" s="243"/>
      <c r="F13" s="243"/>
      <c r="G13" s="243"/>
      <c r="H13" s="243"/>
      <c r="I13" s="243"/>
      <c r="J13" s="243"/>
      <c r="K13" s="243"/>
      <c r="L13" s="243"/>
      <c r="M13" s="243"/>
      <c r="N13" s="243"/>
      <c r="O13" s="242"/>
    </row>
    <row r="14" spans="1:15" ht="14.25" x14ac:dyDescent="0.2">
      <c r="A14" s="242"/>
      <c r="B14" s="718" t="s">
        <v>245</v>
      </c>
      <c r="C14" s="243"/>
      <c r="D14" s="243"/>
      <c r="E14" s="243"/>
      <c r="F14" s="243"/>
      <c r="G14" s="243"/>
      <c r="H14" s="243"/>
      <c r="I14" s="243"/>
      <c r="J14" s="243"/>
      <c r="K14" s="243"/>
      <c r="L14" s="243"/>
      <c r="M14" s="243"/>
      <c r="N14" s="243"/>
      <c r="O14" s="242"/>
    </row>
    <row r="15" spans="1:15" x14ac:dyDescent="0.2">
      <c r="A15" s="242"/>
      <c r="B15" s="243"/>
      <c r="C15" s="243"/>
      <c r="D15" s="243"/>
      <c r="E15" s="243"/>
      <c r="F15" s="243"/>
      <c r="G15" s="243"/>
      <c r="H15" s="243"/>
      <c r="I15" s="243"/>
      <c r="J15" s="243"/>
      <c r="K15" s="243"/>
      <c r="L15" s="243"/>
      <c r="M15" s="243"/>
      <c r="N15" s="243"/>
      <c r="O15" s="242"/>
    </row>
    <row r="16" spans="1:15" x14ac:dyDescent="0.2">
      <c r="A16" s="242"/>
      <c r="B16" s="241" t="s">
        <v>1</v>
      </c>
      <c r="C16" s="246" t="s">
        <v>135</v>
      </c>
      <c r="D16" s="246" t="s">
        <v>136</v>
      </c>
      <c r="E16" s="246" t="s">
        <v>137</v>
      </c>
      <c r="F16" s="246" t="s">
        <v>138</v>
      </c>
      <c r="G16" s="246" t="s">
        <v>114</v>
      </c>
      <c r="H16" s="246" t="s">
        <v>139</v>
      </c>
      <c r="I16" s="246" t="s">
        <v>140</v>
      </c>
      <c r="J16" s="246" t="s">
        <v>141</v>
      </c>
      <c r="K16" s="246" t="s">
        <v>142</v>
      </c>
      <c r="L16" s="246" t="s">
        <v>145</v>
      </c>
      <c r="M16" s="246" t="s">
        <v>143</v>
      </c>
      <c r="N16" s="246" t="s">
        <v>144</v>
      </c>
      <c r="O16" s="242"/>
    </row>
    <row r="17" spans="1:26" x14ac:dyDescent="0.2">
      <c r="A17" s="245"/>
      <c r="B17" s="247" t="s">
        <v>288</v>
      </c>
      <c r="C17" s="526">
        <v>761.8</v>
      </c>
      <c r="D17" s="526">
        <v>669.3</v>
      </c>
      <c r="E17" s="526">
        <v>625.5</v>
      </c>
      <c r="F17" s="526">
        <v>415.6</v>
      </c>
      <c r="G17" s="526">
        <v>252.7</v>
      </c>
      <c r="H17" s="526">
        <v>38.700000000000003</v>
      </c>
      <c r="I17" s="526">
        <v>12.9</v>
      </c>
      <c r="J17" s="526">
        <v>3.1</v>
      </c>
      <c r="K17" s="526">
        <v>65.5</v>
      </c>
      <c r="L17" s="526">
        <v>275.3</v>
      </c>
      <c r="M17" s="526">
        <v>513</v>
      </c>
      <c r="N17" s="526">
        <v>539</v>
      </c>
      <c r="O17" s="242"/>
    </row>
    <row r="18" spans="1:26" ht="12" customHeight="1" x14ac:dyDescent="0.2">
      <c r="A18" s="242"/>
      <c r="B18" s="247">
        <f>'1. LDC Info'!F27-20</f>
        <v>1997</v>
      </c>
      <c r="C18" s="526">
        <v>739</v>
      </c>
      <c r="D18" s="526">
        <v>582.79999999999995</v>
      </c>
      <c r="E18" s="526">
        <v>601.6</v>
      </c>
      <c r="F18" s="526">
        <v>389.4</v>
      </c>
      <c r="G18" s="526">
        <v>290</v>
      </c>
      <c r="H18" s="526">
        <v>33.299999999999997</v>
      </c>
      <c r="I18" s="526">
        <v>24.6</v>
      </c>
      <c r="J18" s="526">
        <v>17.100000000000001</v>
      </c>
      <c r="K18" s="526">
        <v>105.7</v>
      </c>
      <c r="L18" s="526">
        <v>293.7</v>
      </c>
      <c r="M18" s="526">
        <v>457.6</v>
      </c>
      <c r="N18" s="526">
        <v>578.6</v>
      </c>
      <c r="O18" s="242"/>
    </row>
    <row r="19" spans="1:26" ht="12" customHeight="1" x14ac:dyDescent="0.2">
      <c r="A19" s="242"/>
      <c r="B19" s="247">
        <f>'1. LDC Info'!F27-19</f>
        <v>1998</v>
      </c>
      <c r="C19" s="526">
        <v>639.29999999999995</v>
      </c>
      <c r="D19" s="526">
        <v>520.70000000000005</v>
      </c>
      <c r="E19" s="526">
        <v>518.79999999999995</v>
      </c>
      <c r="F19" s="526">
        <v>323.60000000000002</v>
      </c>
      <c r="G19" s="526">
        <v>78.8</v>
      </c>
      <c r="H19" s="526">
        <v>66.3</v>
      </c>
      <c r="I19" s="526">
        <v>4.5999999999999996</v>
      </c>
      <c r="J19" s="526">
        <v>5.2</v>
      </c>
      <c r="K19" s="526">
        <v>56.3</v>
      </c>
      <c r="L19" s="526">
        <v>247.6</v>
      </c>
      <c r="M19" s="526">
        <v>419.1</v>
      </c>
      <c r="N19" s="526">
        <v>566.4</v>
      </c>
      <c r="O19" s="242"/>
    </row>
    <row r="20" spans="1:26" ht="12" customHeight="1" x14ac:dyDescent="0.2">
      <c r="A20" s="242"/>
      <c r="B20" s="247">
        <f>'1. LDC Info'!F27-18</f>
        <v>1999</v>
      </c>
      <c r="C20" s="526">
        <v>738.5</v>
      </c>
      <c r="D20" s="526">
        <v>551.79999999999995</v>
      </c>
      <c r="E20" s="526">
        <v>576.5</v>
      </c>
      <c r="F20" s="526">
        <v>335.6</v>
      </c>
      <c r="G20" s="526">
        <v>136.1</v>
      </c>
      <c r="H20" s="526">
        <v>36.1</v>
      </c>
      <c r="I20" s="526">
        <v>4.4000000000000004</v>
      </c>
      <c r="J20" s="526">
        <v>14.9</v>
      </c>
      <c r="K20" s="526">
        <v>56.7</v>
      </c>
      <c r="L20" s="526">
        <v>269.10000000000002</v>
      </c>
      <c r="M20" s="526">
        <v>385.3</v>
      </c>
      <c r="N20" s="526">
        <v>586.6</v>
      </c>
      <c r="O20" s="242"/>
    </row>
    <row r="21" spans="1:26" ht="12" customHeight="1" x14ac:dyDescent="0.2">
      <c r="A21" s="242"/>
      <c r="B21" s="247">
        <f>'1. LDC Info'!F27-17</f>
        <v>2000</v>
      </c>
      <c r="C21" s="526">
        <v>678.5</v>
      </c>
      <c r="D21" s="526">
        <v>577</v>
      </c>
      <c r="E21" s="526">
        <v>473.9</v>
      </c>
      <c r="F21" s="526">
        <v>377.8</v>
      </c>
      <c r="G21" s="526">
        <v>193.7</v>
      </c>
      <c r="H21" s="526">
        <v>73.5</v>
      </c>
      <c r="I21" s="526">
        <v>16.899999999999999</v>
      </c>
      <c r="J21" s="526">
        <v>25.7</v>
      </c>
      <c r="K21" s="526">
        <v>124</v>
      </c>
      <c r="L21" s="526">
        <v>251.1</v>
      </c>
      <c r="M21" s="526">
        <v>432.2</v>
      </c>
      <c r="N21" s="526">
        <v>769.6</v>
      </c>
      <c r="O21" s="242"/>
    </row>
    <row r="22" spans="1:26" ht="12" customHeight="1" x14ac:dyDescent="0.2">
      <c r="A22" s="242"/>
      <c r="B22" s="247">
        <f>'1. LDC Info'!F27-16</f>
        <v>2001</v>
      </c>
      <c r="C22" s="526">
        <v>657.4</v>
      </c>
      <c r="D22" s="526">
        <v>601</v>
      </c>
      <c r="E22" s="526">
        <v>581.1</v>
      </c>
      <c r="F22" s="526">
        <v>335.8</v>
      </c>
      <c r="G22" s="526">
        <v>158.19999999999999</v>
      </c>
      <c r="H22" s="526">
        <v>51.1</v>
      </c>
      <c r="I22" s="526">
        <v>28</v>
      </c>
      <c r="J22" s="526">
        <v>3</v>
      </c>
      <c r="K22" s="526">
        <v>80.900000000000006</v>
      </c>
      <c r="L22" s="526">
        <v>263.8</v>
      </c>
      <c r="M22" s="526">
        <v>368.5</v>
      </c>
      <c r="N22" s="526">
        <v>521.1</v>
      </c>
      <c r="O22" s="242"/>
    </row>
    <row r="23" spans="1:26" ht="12" customHeight="1" x14ac:dyDescent="0.2">
      <c r="A23" s="242"/>
      <c r="B23" s="247">
        <f>'1. LDC Info'!F27-15</f>
        <v>2002</v>
      </c>
      <c r="C23" s="526">
        <v>573.79999999999995</v>
      </c>
      <c r="D23" s="526">
        <v>547.4</v>
      </c>
      <c r="E23" s="526">
        <v>474.8</v>
      </c>
      <c r="F23" s="526">
        <v>354</v>
      </c>
      <c r="G23" s="526">
        <v>261.89999999999998</v>
      </c>
      <c r="H23" s="526">
        <v>57.8</v>
      </c>
      <c r="I23" s="526">
        <v>5</v>
      </c>
      <c r="J23" s="526">
        <v>3</v>
      </c>
      <c r="K23" s="526">
        <v>35.799999999999997</v>
      </c>
      <c r="L23" s="526">
        <v>295.89999999999998</v>
      </c>
      <c r="M23" s="526">
        <v>446.6</v>
      </c>
      <c r="N23" s="526">
        <v>617.4</v>
      </c>
      <c r="O23" s="242"/>
    </row>
    <row r="24" spans="1:26" ht="12" customHeight="1" x14ac:dyDescent="0.2">
      <c r="A24" s="242"/>
      <c r="B24" s="247">
        <f>'1. LDC Info'!F27-14</f>
        <v>2003</v>
      </c>
      <c r="C24" s="526">
        <v>832.6</v>
      </c>
      <c r="D24" s="526">
        <v>713.4</v>
      </c>
      <c r="E24" s="526">
        <v>592.20000000000005</v>
      </c>
      <c r="F24" s="526">
        <v>435.4</v>
      </c>
      <c r="G24" s="526">
        <v>207.7</v>
      </c>
      <c r="H24" s="526">
        <v>65.400000000000006</v>
      </c>
      <c r="I24" s="526">
        <v>11.9</v>
      </c>
      <c r="J24" s="526">
        <v>9.6999999999999993</v>
      </c>
      <c r="K24" s="526">
        <v>59.9</v>
      </c>
      <c r="L24" s="526">
        <v>325.60000000000002</v>
      </c>
      <c r="M24" s="526">
        <v>420.5</v>
      </c>
      <c r="N24" s="526">
        <v>606.4</v>
      </c>
      <c r="O24" s="242"/>
    </row>
    <row r="25" spans="1:26" ht="12" customHeight="1" x14ac:dyDescent="0.2">
      <c r="A25" s="242"/>
      <c r="B25" s="247">
        <f>'1. LDC Info'!F27-13</f>
        <v>2004</v>
      </c>
      <c r="C25" s="526">
        <v>872.6</v>
      </c>
      <c r="D25" s="526">
        <v>636.4</v>
      </c>
      <c r="E25" s="526">
        <v>519.9</v>
      </c>
      <c r="F25" s="526">
        <v>372.3</v>
      </c>
      <c r="G25" s="526">
        <v>205.4</v>
      </c>
      <c r="H25" s="526">
        <v>100.8</v>
      </c>
      <c r="I25" s="526">
        <v>14.7</v>
      </c>
      <c r="J25" s="526">
        <v>26.9</v>
      </c>
      <c r="K25" s="526">
        <v>50.3</v>
      </c>
      <c r="L25" s="526">
        <v>250.1</v>
      </c>
      <c r="M25" s="526">
        <v>411</v>
      </c>
      <c r="N25" s="526">
        <v>645.20000000000005</v>
      </c>
      <c r="O25" s="242"/>
    </row>
    <row r="26" spans="1:26" ht="12" customHeight="1" x14ac:dyDescent="0.2">
      <c r="A26" s="242"/>
      <c r="B26" s="247">
        <f>'1. LDC Info'!F27-12</f>
        <v>2005</v>
      </c>
      <c r="C26" s="526">
        <v>782.8</v>
      </c>
      <c r="D26" s="526">
        <v>631.29999999999995</v>
      </c>
      <c r="E26" s="526">
        <v>612.1</v>
      </c>
      <c r="F26" s="526">
        <v>362.5</v>
      </c>
      <c r="G26" s="526">
        <v>259.89999999999998</v>
      </c>
      <c r="H26" s="526">
        <v>40.700000000000003</v>
      </c>
      <c r="I26" s="526">
        <v>4.2</v>
      </c>
      <c r="J26" s="526">
        <v>1</v>
      </c>
      <c r="K26" s="526">
        <v>45.5</v>
      </c>
      <c r="L26" s="526">
        <v>251.9</v>
      </c>
      <c r="M26" s="526">
        <v>411.5</v>
      </c>
      <c r="N26" s="526">
        <v>668.4</v>
      </c>
      <c r="O26" s="242"/>
    </row>
    <row r="27" spans="1:26" x14ac:dyDescent="0.2">
      <c r="A27" s="242"/>
      <c r="B27" s="247">
        <f>'1. LDC Info'!F27-11</f>
        <v>2006</v>
      </c>
      <c r="C27" s="526">
        <v>589</v>
      </c>
      <c r="D27" s="526">
        <v>627.20000000000005</v>
      </c>
      <c r="E27" s="526">
        <v>564.4</v>
      </c>
      <c r="F27" s="526">
        <v>342.6</v>
      </c>
      <c r="G27" s="526">
        <v>192.1</v>
      </c>
      <c r="H27" s="526">
        <v>40.1</v>
      </c>
      <c r="I27" s="526">
        <v>5.9</v>
      </c>
      <c r="J27" s="526">
        <v>6.7</v>
      </c>
      <c r="K27" s="526">
        <v>103.3</v>
      </c>
      <c r="L27" s="526">
        <v>296.39999999999998</v>
      </c>
      <c r="M27" s="526">
        <v>390.9</v>
      </c>
      <c r="N27" s="526">
        <v>505.5</v>
      </c>
      <c r="O27" s="242"/>
      <c r="Z27" s="215" t="str">
        <f>+$B$16</f>
        <v>HDD</v>
      </c>
    </row>
    <row r="28" spans="1:26" x14ac:dyDescent="0.2">
      <c r="A28" s="242"/>
      <c r="B28" s="247">
        <f>'1. LDC Info'!F27-10</f>
        <v>2007</v>
      </c>
      <c r="C28" s="526">
        <v>669.3</v>
      </c>
      <c r="D28" s="526">
        <v>728.2</v>
      </c>
      <c r="E28" s="526">
        <v>578.29999999999995</v>
      </c>
      <c r="F28" s="526">
        <v>401</v>
      </c>
      <c r="G28" s="526">
        <v>208.1</v>
      </c>
      <c r="H28" s="526">
        <v>45.4</v>
      </c>
      <c r="I28" s="526">
        <v>22.4</v>
      </c>
      <c r="J28" s="526">
        <v>12.1</v>
      </c>
      <c r="K28" s="526">
        <v>61.8</v>
      </c>
      <c r="L28" s="526">
        <v>165.8</v>
      </c>
      <c r="M28" s="526">
        <v>441.5</v>
      </c>
      <c r="N28" s="526">
        <v>648.29999999999995</v>
      </c>
      <c r="O28" s="242"/>
      <c r="Z28" s="215" t="str">
        <f>+B39</f>
        <v>CDD</v>
      </c>
    </row>
    <row r="29" spans="1:26" x14ac:dyDescent="0.2">
      <c r="A29" s="242"/>
      <c r="B29" s="247">
        <f>'1. LDC Info'!F27-9</f>
        <v>2008</v>
      </c>
      <c r="C29" s="526">
        <v>633.29999999999995</v>
      </c>
      <c r="D29" s="526">
        <v>660.6</v>
      </c>
      <c r="E29" s="526">
        <v>632.29999999999995</v>
      </c>
      <c r="F29" s="526">
        <v>326.3</v>
      </c>
      <c r="G29" s="526">
        <v>253.6</v>
      </c>
      <c r="H29" s="526">
        <v>71</v>
      </c>
      <c r="I29" s="526">
        <v>9.4</v>
      </c>
      <c r="J29" s="526">
        <v>15.2</v>
      </c>
      <c r="K29" s="526">
        <v>73.5</v>
      </c>
      <c r="L29" s="526">
        <v>288.10000000000002</v>
      </c>
      <c r="M29" s="526">
        <v>459</v>
      </c>
      <c r="N29" s="526">
        <v>652.5</v>
      </c>
      <c r="O29" s="242"/>
      <c r="Z29" s="215" t="str">
        <f>+B62</f>
        <v>Number of Days in Month</v>
      </c>
    </row>
    <row r="30" spans="1:26" x14ac:dyDescent="0.2">
      <c r="A30" s="242"/>
      <c r="B30" s="247">
        <f>'1. LDC Info'!F27-8</f>
        <v>2009</v>
      </c>
      <c r="C30" s="526">
        <v>823.9</v>
      </c>
      <c r="D30" s="526">
        <v>608.5</v>
      </c>
      <c r="E30" s="526">
        <v>568.1</v>
      </c>
      <c r="F30" s="526">
        <v>345.4</v>
      </c>
      <c r="G30" s="526">
        <v>231.1</v>
      </c>
      <c r="H30" s="526">
        <v>86.1</v>
      </c>
      <c r="I30" s="526">
        <v>41.5</v>
      </c>
      <c r="J30" s="526">
        <v>15.7</v>
      </c>
      <c r="K30" s="526">
        <v>70.099999999999994</v>
      </c>
      <c r="L30" s="526">
        <v>313.3</v>
      </c>
      <c r="M30" s="526">
        <v>361</v>
      </c>
      <c r="N30" s="526">
        <v>638.6</v>
      </c>
      <c r="O30" s="242"/>
      <c r="Z30" s="215" t="str">
        <f>+B76</f>
        <v>Employment Stats</v>
      </c>
    </row>
    <row r="31" spans="1:26" x14ac:dyDescent="0.2">
      <c r="A31" s="242"/>
      <c r="B31" s="247">
        <f>'1. LDC Info'!F27-7</f>
        <v>2010</v>
      </c>
      <c r="C31" s="526">
        <v>718</v>
      </c>
      <c r="D31" s="526">
        <v>597.20000000000005</v>
      </c>
      <c r="E31" s="526">
        <v>450.7</v>
      </c>
      <c r="F31" s="526">
        <v>262.7</v>
      </c>
      <c r="G31" s="526">
        <v>160.4</v>
      </c>
      <c r="H31" s="526">
        <v>37.9</v>
      </c>
      <c r="I31" s="526">
        <v>5.0999999999999996</v>
      </c>
      <c r="J31" s="526">
        <v>6</v>
      </c>
      <c r="K31" s="526">
        <v>99.9</v>
      </c>
      <c r="L31" s="526">
        <v>265.5</v>
      </c>
      <c r="M31" s="526">
        <v>412.1</v>
      </c>
      <c r="N31" s="526">
        <v>676.5</v>
      </c>
      <c r="O31" s="242"/>
      <c r="Z31" s="215" t="str">
        <f>+B90</f>
        <v xml:space="preserve">Spring and Fall </v>
      </c>
    </row>
    <row r="32" spans="1:26" x14ac:dyDescent="0.2">
      <c r="A32" s="242"/>
      <c r="B32" s="247">
        <f>'1. LDC Info'!F27-6</f>
        <v>2011</v>
      </c>
      <c r="C32" s="872">
        <v>789.5</v>
      </c>
      <c r="D32" s="872">
        <v>648.9</v>
      </c>
      <c r="E32" s="872">
        <v>574.5</v>
      </c>
      <c r="F32" s="872">
        <v>372.4</v>
      </c>
      <c r="G32" s="872">
        <v>177.6</v>
      </c>
      <c r="H32" s="872">
        <v>64</v>
      </c>
      <c r="I32" s="872">
        <v>8.4</v>
      </c>
      <c r="J32" s="872">
        <v>9.1</v>
      </c>
      <c r="K32" s="872">
        <v>59.7</v>
      </c>
      <c r="L32" s="872">
        <v>244.3</v>
      </c>
      <c r="M32" s="872">
        <v>360.3</v>
      </c>
      <c r="N32" s="872">
        <v>546.20000000000005</v>
      </c>
      <c r="O32" s="242"/>
    </row>
    <row r="33" spans="1:15" x14ac:dyDescent="0.2">
      <c r="A33" s="242"/>
      <c r="B33" s="247">
        <f>'1. LDC Info'!F27-5</f>
        <v>2012</v>
      </c>
      <c r="C33" s="872">
        <v>633</v>
      </c>
      <c r="D33" s="872">
        <v>539.6</v>
      </c>
      <c r="E33" s="872">
        <v>425.1</v>
      </c>
      <c r="F33" s="872">
        <v>355.6</v>
      </c>
      <c r="G33" s="872">
        <v>136</v>
      </c>
      <c r="H33" s="872">
        <v>36.6</v>
      </c>
      <c r="I33" s="872">
        <v>0</v>
      </c>
      <c r="J33" s="872">
        <v>7.3</v>
      </c>
      <c r="K33" s="872">
        <v>87.5</v>
      </c>
      <c r="L33" s="872">
        <v>245.1</v>
      </c>
      <c r="M33" s="872">
        <v>449.4</v>
      </c>
      <c r="N33" s="872">
        <v>535.79999999999995</v>
      </c>
      <c r="O33" s="242"/>
    </row>
    <row r="34" spans="1:15" x14ac:dyDescent="0.2">
      <c r="A34" s="242"/>
      <c r="B34" s="247">
        <f>'1. LDC Info'!F27-4</f>
        <v>2013</v>
      </c>
      <c r="C34" s="872">
        <v>649.6</v>
      </c>
      <c r="D34" s="872">
        <v>633.29999999999995</v>
      </c>
      <c r="E34" s="872">
        <v>556.1</v>
      </c>
      <c r="F34" s="872">
        <v>383.6</v>
      </c>
      <c r="G34" s="872">
        <v>171.6</v>
      </c>
      <c r="H34" s="872">
        <v>67.099999999999994</v>
      </c>
      <c r="I34" s="872">
        <v>9.3000000000000007</v>
      </c>
      <c r="J34" s="872">
        <v>18.5</v>
      </c>
      <c r="K34" s="872">
        <v>110.4</v>
      </c>
      <c r="L34" s="872">
        <v>202.2</v>
      </c>
      <c r="M34" s="872">
        <v>481.9</v>
      </c>
      <c r="N34" s="872">
        <v>683.9</v>
      </c>
      <c r="O34" s="242"/>
    </row>
    <row r="35" spans="1:15" x14ac:dyDescent="0.2">
      <c r="A35" s="242"/>
      <c r="B35" s="247">
        <f>'1. LDC Info'!F27-3</f>
        <v>2014</v>
      </c>
      <c r="C35" s="872">
        <v>792.3</v>
      </c>
      <c r="D35" s="872">
        <v>714.7</v>
      </c>
      <c r="E35" s="872">
        <v>692.7</v>
      </c>
      <c r="F35" s="872">
        <v>394.2</v>
      </c>
      <c r="G35" s="872">
        <v>218.9</v>
      </c>
      <c r="H35" s="872">
        <v>61.9</v>
      </c>
      <c r="I35" s="872">
        <v>36.9</v>
      </c>
      <c r="J35" s="872">
        <v>26.9</v>
      </c>
      <c r="K35" s="872">
        <v>97.3</v>
      </c>
      <c r="L35" s="872">
        <v>231.4</v>
      </c>
      <c r="M35" s="872">
        <v>473.2</v>
      </c>
      <c r="N35" s="872">
        <v>519.4</v>
      </c>
      <c r="O35" s="242"/>
    </row>
    <row r="36" spans="1:15" x14ac:dyDescent="0.2">
      <c r="A36" s="242"/>
      <c r="B36" s="247">
        <f>'1. LDC Info'!F27-2</f>
        <v>2015</v>
      </c>
      <c r="C36" s="872">
        <v>759.2</v>
      </c>
      <c r="D36" s="872">
        <v>842.5</v>
      </c>
      <c r="E36" s="872">
        <v>639.70000000000005</v>
      </c>
      <c r="F36" s="872">
        <v>351</v>
      </c>
      <c r="G36" s="872">
        <v>183.4</v>
      </c>
      <c r="H36" s="872">
        <v>88.3</v>
      </c>
      <c r="I36" s="872">
        <v>18.5</v>
      </c>
      <c r="J36" s="872">
        <v>12.9</v>
      </c>
      <c r="K36" s="872">
        <v>43.1</v>
      </c>
      <c r="L36" s="872">
        <v>271.10000000000002</v>
      </c>
      <c r="M36" s="872">
        <v>349.8</v>
      </c>
      <c r="N36" s="872">
        <v>430.8</v>
      </c>
      <c r="O36" s="242"/>
    </row>
    <row r="37" spans="1:15" x14ac:dyDescent="0.2">
      <c r="A37" s="242"/>
      <c r="O37" s="242"/>
    </row>
    <row r="38" spans="1:15" x14ac:dyDescent="0.2">
      <c r="A38" s="242"/>
      <c r="B38" s="248"/>
      <c r="C38" s="243"/>
      <c r="D38" s="243"/>
      <c r="E38" s="243"/>
      <c r="F38" s="243"/>
      <c r="G38" s="243"/>
      <c r="H38" s="243"/>
      <c r="I38" s="243"/>
      <c r="J38" s="243"/>
      <c r="K38" s="243"/>
      <c r="L38" s="243"/>
      <c r="M38" s="243"/>
      <c r="N38" s="243"/>
      <c r="O38" s="242"/>
    </row>
    <row r="39" spans="1:15" x14ac:dyDescent="0.2">
      <c r="A39" s="242"/>
      <c r="B39" s="241" t="s">
        <v>2</v>
      </c>
      <c r="C39" s="246" t="s">
        <v>135</v>
      </c>
      <c r="D39" s="246" t="s">
        <v>136</v>
      </c>
      <c r="E39" s="246" t="s">
        <v>137</v>
      </c>
      <c r="F39" s="246" t="s">
        <v>138</v>
      </c>
      <c r="G39" s="246" t="s">
        <v>114</v>
      </c>
      <c r="H39" s="246" t="s">
        <v>139</v>
      </c>
      <c r="I39" s="246" t="s">
        <v>140</v>
      </c>
      <c r="J39" s="246" t="s">
        <v>141</v>
      </c>
      <c r="K39" s="246" t="s">
        <v>142</v>
      </c>
      <c r="L39" s="246" t="s">
        <v>145</v>
      </c>
      <c r="M39" s="246" t="s">
        <v>143</v>
      </c>
      <c r="N39" s="246" t="s">
        <v>144</v>
      </c>
      <c r="O39" s="242"/>
    </row>
    <row r="40" spans="1:15" x14ac:dyDescent="0.2">
      <c r="A40" s="242"/>
      <c r="B40" s="249" t="str">
        <f t="shared" ref="B40:B59" si="0">B17</f>
        <v>1996</v>
      </c>
      <c r="C40" s="525">
        <v>0</v>
      </c>
      <c r="D40" s="525">
        <v>0</v>
      </c>
      <c r="E40" s="525">
        <v>0</v>
      </c>
      <c r="F40" s="525">
        <v>0</v>
      </c>
      <c r="G40" s="525">
        <v>0</v>
      </c>
      <c r="H40" s="525">
        <v>18.100000000000001</v>
      </c>
      <c r="I40" s="525">
        <v>35</v>
      </c>
      <c r="J40" s="525">
        <v>61.8</v>
      </c>
      <c r="K40" s="525">
        <v>26.3</v>
      </c>
      <c r="L40" s="525">
        <v>0</v>
      </c>
      <c r="M40" s="525">
        <v>0</v>
      </c>
      <c r="N40" s="525">
        <v>0</v>
      </c>
      <c r="O40" s="242"/>
    </row>
    <row r="41" spans="1:15" x14ac:dyDescent="0.2">
      <c r="A41" s="242"/>
      <c r="B41" s="249">
        <f t="shared" si="0"/>
        <v>1997</v>
      </c>
      <c r="C41" s="525">
        <v>0</v>
      </c>
      <c r="D41" s="525">
        <v>0</v>
      </c>
      <c r="E41" s="525">
        <v>0</v>
      </c>
      <c r="F41" s="525">
        <v>0</v>
      </c>
      <c r="G41" s="525">
        <v>0</v>
      </c>
      <c r="H41" s="525">
        <v>17.7</v>
      </c>
      <c r="I41" s="525">
        <v>45.8</v>
      </c>
      <c r="J41" s="525">
        <v>12.7</v>
      </c>
      <c r="K41" s="525">
        <v>0.8</v>
      </c>
      <c r="L41" s="525">
        <v>0.3</v>
      </c>
      <c r="M41" s="525">
        <v>0</v>
      </c>
      <c r="N41" s="525">
        <v>0</v>
      </c>
      <c r="O41" s="242"/>
    </row>
    <row r="42" spans="1:15" x14ac:dyDescent="0.2">
      <c r="A42" s="242"/>
      <c r="B42" s="249">
        <f t="shared" si="0"/>
        <v>1998</v>
      </c>
      <c r="C42" s="525">
        <v>0</v>
      </c>
      <c r="D42" s="525">
        <v>0</v>
      </c>
      <c r="E42" s="525">
        <v>0</v>
      </c>
      <c r="F42" s="525">
        <v>0</v>
      </c>
      <c r="G42" s="525">
        <v>4</v>
      </c>
      <c r="H42" s="525">
        <v>35.6</v>
      </c>
      <c r="I42" s="525">
        <v>58.5</v>
      </c>
      <c r="J42" s="525">
        <v>64</v>
      </c>
      <c r="K42" s="525">
        <v>14.3</v>
      </c>
      <c r="L42" s="525">
        <v>0</v>
      </c>
      <c r="M42" s="525">
        <v>0</v>
      </c>
      <c r="N42" s="525">
        <v>0</v>
      </c>
      <c r="O42" s="242"/>
    </row>
    <row r="43" spans="1:15" x14ac:dyDescent="0.2">
      <c r="A43" s="242"/>
      <c r="B43" s="249">
        <f t="shared" si="0"/>
        <v>1999</v>
      </c>
      <c r="C43" s="525">
        <v>0</v>
      </c>
      <c r="D43" s="525">
        <v>0</v>
      </c>
      <c r="E43" s="525">
        <v>0</v>
      </c>
      <c r="F43" s="525">
        <v>0</v>
      </c>
      <c r="G43" s="525">
        <v>0</v>
      </c>
      <c r="H43" s="525">
        <v>27.5</v>
      </c>
      <c r="I43" s="525">
        <v>95.5</v>
      </c>
      <c r="J43" s="525">
        <v>48.1</v>
      </c>
      <c r="K43" s="525">
        <v>32.9</v>
      </c>
      <c r="L43" s="525">
        <v>0</v>
      </c>
      <c r="M43" s="525">
        <v>0</v>
      </c>
      <c r="N43" s="525">
        <v>0</v>
      </c>
      <c r="O43" s="242"/>
    </row>
    <row r="44" spans="1:15" x14ac:dyDescent="0.2">
      <c r="A44" s="242"/>
      <c r="B44" s="249">
        <f t="shared" si="0"/>
        <v>2000</v>
      </c>
      <c r="C44" s="525">
        <v>0</v>
      </c>
      <c r="D44" s="525">
        <v>0</v>
      </c>
      <c r="E44" s="525">
        <v>0</v>
      </c>
      <c r="F44" s="525">
        <v>0</v>
      </c>
      <c r="G44" s="525">
        <v>0</v>
      </c>
      <c r="H44" s="525">
        <v>2</v>
      </c>
      <c r="I44" s="525">
        <v>30.2</v>
      </c>
      <c r="J44" s="525">
        <v>46.2</v>
      </c>
      <c r="K44" s="525">
        <v>15</v>
      </c>
      <c r="L44" s="525">
        <v>0</v>
      </c>
      <c r="M44" s="525">
        <v>0</v>
      </c>
      <c r="N44" s="525">
        <v>0</v>
      </c>
      <c r="O44" s="242"/>
    </row>
    <row r="45" spans="1:15" x14ac:dyDescent="0.2">
      <c r="A45" s="242"/>
      <c r="B45" s="249">
        <f t="shared" si="0"/>
        <v>2001</v>
      </c>
      <c r="C45" s="525">
        <v>0</v>
      </c>
      <c r="D45" s="525">
        <v>0</v>
      </c>
      <c r="E45" s="525">
        <v>0</v>
      </c>
      <c r="F45" s="525">
        <v>0</v>
      </c>
      <c r="G45" s="525">
        <v>0</v>
      </c>
      <c r="H45" s="525">
        <v>26.5</v>
      </c>
      <c r="I45" s="525">
        <v>45.4</v>
      </c>
      <c r="J45" s="525">
        <v>83.2</v>
      </c>
      <c r="K45" s="525">
        <v>18.5</v>
      </c>
      <c r="L45" s="525">
        <v>0</v>
      </c>
      <c r="M45" s="525">
        <v>0</v>
      </c>
      <c r="N45" s="525">
        <v>0</v>
      </c>
      <c r="O45" s="242"/>
    </row>
    <row r="46" spans="1:15" x14ac:dyDescent="0.2">
      <c r="A46" s="242"/>
      <c r="B46" s="249">
        <f t="shared" si="0"/>
        <v>2002</v>
      </c>
      <c r="C46" s="525">
        <v>0</v>
      </c>
      <c r="D46" s="525">
        <v>0</v>
      </c>
      <c r="E46" s="525">
        <v>0</v>
      </c>
      <c r="F46" s="525">
        <v>0</v>
      </c>
      <c r="G46" s="525">
        <v>0</v>
      </c>
      <c r="H46" s="525">
        <v>18.3</v>
      </c>
      <c r="I46" s="525">
        <v>72.7</v>
      </c>
      <c r="J46" s="525">
        <v>68.400000000000006</v>
      </c>
      <c r="K46" s="525">
        <v>30.3</v>
      </c>
      <c r="L46" s="525">
        <v>2.8</v>
      </c>
      <c r="M46" s="525">
        <v>0</v>
      </c>
      <c r="N46" s="525">
        <v>0</v>
      </c>
      <c r="O46" s="242"/>
    </row>
    <row r="47" spans="1:15" x14ac:dyDescent="0.2">
      <c r="A47" s="242"/>
      <c r="B47" s="249">
        <f t="shared" si="0"/>
        <v>2003</v>
      </c>
      <c r="C47" s="525">
        <v>0</v>
      </c>
      <c r="D47" s="525">
        <v>0</v>
      </c>
      <c r="E47" s="525">
        <v>0</v>
      </c>
      <c r="F47" s="525">
        <v>0</v>
      </c>
      <c r="G47" s="525">
        <v>0</v>
      </c>
      <c r="H47" s="525">
        <v>5.6</v>
      </c>
      <c r="I47" s="525">
        <v>20.399999999999999</v>
      </c>
      <c r="J47" s="525">
        <v>77.7</v>
      </c>
      <c r="K47" s="525">
        <v>10.9</v>
      </c>
      <c r="L47" s="525">
        <v>0</v>
      </c>
      <c r="M47" s="525">
        <v>0</v>
      </c>
      <c r="N47" s="525">
        <v>0</v>
      </c>
      <c r="O47" s="242"/>
    </row>
    <row r="48" spans="1:15" x14ac:dyDescent="0.2">
      <c r="A48" s="242"/>
      <c r="B48" s="249">
        <f t="shared" si="0"/>
        <v>2004</v>
      </c>
      <c r="C48" s="525">
        <v>0</v>
      </c>
      <c r="D48" s="525">
        <v>0</v>
      </c>
      <c r="E48" s="525">
        <v>0</v>
      </c>
      <c r="F48" s="525">
        <v>0</v>
      </c>
      <c r="G48" s="525">
        <v>0</v>
      </c>
      <c r="H48" s="525">
        <v>5.0999999999999996</v>
      </c>
      <c r="I48" s="525">
        <v>41.2</v>
      </c>
      <c r="J48" s="525">
        <v>43.1</v>
      </c>
      <c r="K48" s="525">
        <v>18.100000000000001</v>
      </c>
      <c r="L48" s="525">
        <v>0</v>
      </c>
      <c r="M48" s="525">
        <v>0</v>
      </c>
      <c r="N48" s="525">
        <v>0</v>
      </c>
      <c r="O48" s="242"/>
    </row>
    <row r="49" spans="1:15" x14ac:dyDescent="0.2">
      <c r="A49" s="242"/>
      <c r="B49" s="249">
        <f t="shared" si="0"/>
        <v>2005</v>
      </c>
      <c r="C49" s="525">
        <v>0</v>
      </c>
      <c r="D49" s="525">
        <v>0</v>
      </c>
      <c r="E49" s="525">
        <v>0</v>
      </c>
      <c r="F49" s="525">
        <v>0</v>
      </c>
      <c r="G49" s="525">
        <v>0</v>
      </c>
      <c r="H49" s="525">
        <v>52.6</v>
      </c>
      <c r="I49" s="525">
        <v>116.8</v>
      </c>
      <c r="J49" s="525">
        <v>87.6</v>
      </c>
      <c r="K49" s="525">
        <v>16.3</v>
      </c>
      <c r="L49" s="525">
        <v>0</v>
      </c>
      <c r="M49" s="525">
        <v>0</v>
      </c>
      <c r="N49" s="525">
        <v>0</v>
      </c>
      <c r="O49" s="242"/>
    </row>
    <row r="50" spans="1:15" x14ac:dyDescent="0.2">
      <c r="A50" s="242"/>
      <c r="B50" s="249">
        <f t="shared" si="0"/>
        <v>2006</v>
      </c>
      <c r="C50" s="525">
        <v>0</v>
      </c>
      <c r="D50" s="525">
        <v>0</v>
      </c>
      <c r="E50" s="525">
        <v>0</v>
      </c>
      <c r="F50" s="525">
        <v>0</v>
      </c>
      <c r="G50" s="525">
        <v>6.3</v>
      </c>
      <c r="H50" s="525">
        <v>18</v>
      </c>
      <c r="I50" s="525">
        <v>86.9</v>
      </c>
      <c r="J50" s="525">
        <v>56.4</v>
      </c>
      <c r="K50" s="525">
        <v>1.3</v>
      </c>
      <c r="L50" s="525">
        <v>0</v>
      </c>
      <c r="M50" s="525">
        <v>0</v>
      </c>
      <c r="N50" s="525">
        <v>0</v>
      </c>
      <c r="O50" s="242"/>
    </row>
    <row r="51" spans="1:15" x14ac:dyDescent="0.2">
      <c r="A51" s="242"/>
      <c r="B51" s="249">
        <f t="shared" si="0"/>
        <v>2007</v>
      </c>
      <c r="C51" s="525">
        <v>0</v>
      </c>
      <c r="D51" s="525">
        <v>0</v>
      </c>
      <c r="E51" s="525">
        <v>0</v>
      </c>
      <c r="F51" s="525">
        <v>0</v>
      </c>
      <c r="G51" s="525">
        <v>0</v>
      </c>
      <c r="H51" s="525">
        <v>19.899999999999999</v>
      </c>
      <c r="I51" s="525">
        <v>45.3</v>
      </c>
      <c r="J51" s="525">
        <v>91.5</v>
      </c>
      <c r="K51" s="525">
        <v>17.899999999999999</v>
      </c>
      <c r="L51" s="525">
        <v>4.0999999999999996</v>
      </c>
      <c r="M51" s="525">
        <v>0</v>
      </c>
      <c r="N51" s="525">
        <v>0</v>
      </c>
      <c r="O51" s="242"/>
    </row>
    <row r="52" spans="1:15" x14ac:dyDescent="0.2">
      <c r="A52" s="242"/>
      <c r="B52" s="249">
        <f t="shared" si="0"/>
        <v>2008</v>
      </c>
      <c r="C52" s="525">
        <v>0</v>
      </c>
      <c r="D52" s="525">
        <v>0</v>
      </c>
      <c r="E52" s="525">
        <v>0</v>
      </c>
      <c r="F52" s="525">
        <v>0</v>
      </c>
      <c r="G52" s="525">
        <v>0</v>
      </c>
      <c r="H52" s="525">
        <v>2.6</v>
      </c>
      <c r="I52" s="525">
        <v>50.9</v>
      </c>
      <c r="J52" s="525">
        <v>40.4</v>
      </c>
      <c r="K52" s="525">
        <v>16.2</v>
      </c>
      <c r="L52" s="525">
        <v>0</v>
      </c>
      <c r="M52" s="525">
        <v>0</v>
      </c>
      <c r="N52" s="525">
        <v>0</v>
      </c>
      <c r="O52" s="242"/>
    </row>
    <row r="53" spans="1:15" x14ac:dyDescent="0.2">
      <c r="A53" s="242"/>
      <c r="B53" s="249">
        <f t="shared" si="0"/>
        <v>2009</v>
      </c>
      <c r="C53" s="525">
        <v>0</v>
      </c>
      <c r="D53" s="525">
        <v>0</v>
      </c>
      <c r="E53" s="525">
        <v>0</v>
      </c>
      <c r="F53" s="525">
        <v>0</v>
      </c>
      <c r="G53" s="525">
        <v>0</v>
      </c>
      <c r="H53" s="525">
        <v>12.1</v>
      </c>
      <c r="I53" s="525">
        <v>18.2</v>
      </c>
      <c r="J53" s="525">
        <v>58.6</v>
      </c>
      <c r="K53" s="525">
        <v>11.6</v>
      </c>
      <c r="L53" s="525">
        <v>0</v>
      </c>
      <c r="M53" s="525">
        <v>0</v>
      </c>
      <c r="N53" s="525">
        <v>0</v>
      </c>
      <c r="O53" s="242"/>
    </row>
    <row r="54" spans="1:15" x14ac:dyDescent="0.2">
      <c r="A54" s="242"/>
      <c r="B54" s="249">
        <f t="shared" si="0"/>
        <v>2010</v>
      </c>
      <c r="C54" s="525">
        <v>0</v>
      </c>
      <c r="D54" s="525">
        <v>0</v>
      </c>
      <c r="E54" s="525">
        <v>0</v>
      </c>
      <c r="F54" s="525">
        <v>0</v>
      </c>
      <c r="G54" s="525">
        <v>9.1</v>
      </c>
      <c r="H54" s="525">
        <v>15.7</v>
      </c>
      <c r="I54" s="525">
        <v>90.2</v>
      </c>
      <c r="J54" s="525">
        <v>80.7</v>
      </c>
      <c r="K54" s="525">
        <v>14.4</v>
      </c>
      <c r="L54" s="525">
        <v>0</v>
      </c>
      <c r="M54" s="525">
        <v>0</v>
      </c>
      <c r="N54" s="525">
        <v>0</v>
      </c>
      <c r="O54" s="242"/>
    </row>
    <row r="55" spans="1:15" x14ac:dyDescent="0.2">
      <c r="A55" s="242"/>
      <c r="B55" s="249">
        <f t="shared" si="0"/>
        <v>2011</v>
      </c>
      <c r="C55" s="871">
        <v>0</v>
      </c>
      <c r="D55" s="871">
        <v>0</v>
      </c>
      <c r="E55" s="871">
        <v>0</v>
      </c>
      <c r="F55" s="871">
        <v>0</v>
      </c>
      <c r="G55" s="871">
        <v>0.1</v>
      </c>
      <c r="H55" s="871">
        <v>14.7</v>
      </c>
      <c r="I55" s="871">
        <v>91.3</v>
      </c>
      <c r="J55" s="871">
        <v>57.5</v>
      </c>
      <c r="K55" s="871">
        <v>21.4</v>
      </c>
      <c r="L55" s="871">
        <v>0</v>
      </c>
      <c r="M55" s="871">
        <v>0</v>
      </c>
      <c r="N55" s="871">
        <v>0</v>
      </c>
      <c r="O55" s="242"/>
    </row>
    <row r="56" spans="1:15" x14ac:dyDescent="0.2">
      <c r="A56" s="242"/>
      <c r="B56" s="249">
        <f t="shared" si="0"/>
        <v>2012</v>
      </c>
      <c r="C56" s="871">
        <v>0</v>
      </c>
      <c r="D56" s="871">
        <v>0</v>
      </c>
      <c r="E56" s="871">
        <v>0</v>
      </c>
      <c r="F56" s="871">
        <v>0</v>
      </c>
      <c r="G56" s="871">
        <v>5.6</v>
      </c>
      <c r="H56" s="871">
        <v>39.299999999999997</v>
      </c>
      <c r="I56" s="871">
        <v>120.3</v>
      </c>
      <c r="J56" s="871">
        <v>74.2</v>
      </c>
      <c r="K56" s="871">
        <v>18.2</v>
      </c>
      <c r="L56" s="871">
        <v>0</v>
      </c>
      <c r="M56" s="871">
        <v>0</v>
      </c>
      <c r="N56" s="871">
        <v>0</v>
      </c>
      <c r="O56" s="242"/>
    </row>
    <row r="57" spans="1:15" x14ac:dyDescent="0.2">
      <c r="A57" s="242"/>
      <c r="B57" s="249">
        <f t="shared" si="0"/>
        <v>2013</v>
      </c>
      <c r="C57" s="872">
        <v>0</v>
      </c>
      <c r="D57" s="872">
        <v>0</v>
      </c>
      <c r="E57" s="872">
        <v>0</v>
      </c>
      <c r="F57" s="872">
        <v>0</v>
      </c>
      <c r="G57" s="872">
        <v>0.1</v>
      </c>
      <c r="H57" s="872">
        <v>13.3</v>
      </c>
      <c r="I57" s="872">
        <v>72</v>
      </c>
      <c r="J57" s="872">
        <v>40.6</v>
      </c>
      <c r="K57" s="872">
        <v>14.5</v>
      </c>
      <c r="L57" s="872">
        <v>0</v>
      </c>
      <c r="M57" s="872">
        <v>0</v>
      </c>
      <c r="N57" s="872">
        <v>0</v>
      </c>
      <c r="O57" s="242"/>
    </row>
    <row r="58" spans="1:15" x14ac:dyDescent="0.2">
      <c r="A58" s="242"/>
      <c r="B58" s="249">
        <f t="shared" si="0"/>
        <v>2014</v>
      </c>
      <c r="C58" s="871">
        <v>0</v>
      </c>
      <c r="D58" s="871">
        <v>0</v>
      </c>
      <c r="E58" s="871">
        <v>0</v>
      </c>
      <c r="F58" s="871">
        <v>0</v>
      </c>
      <c r="G58" s="871">
        <v>0</v>
      </c>
      <c r="H58" s="871">
        <v>17.5</v>
      </c>
      <c r="I58" s="871">
        <v>18.8</v>
      </c>
      <c r="J58" s="871">
        <v>33.299999999999997</v>
      </c>
      <c r="K58" s="871">
        <v>10.1</v>
      </c>
      <c r="L58" s="871">
        <v>0</v>
      </c>
      <c r="M58" s="871">
        <v>0</v>
      </c>
      <c r="N58" s="871">
        <v>0</v>
      </c>
      <c r="O58" s="242"/>
    </row>
    <row r="59" spans="1:15" x14ac:dyDescent="0.2">
      <c r="A59" s="242"/>
      <c r="B59" s="249">
        <f t="shared" si="0"/>
        <v>2015</v>
      </c>
      <c r="C59" s="871">
        <v>0</v>
      </c>
      <c r="D59" s="871">
        <v>0</v>
      </c>
      <c r="E59" s="871">
        <v>0</v>
      </c>
      <c r="F59" s="871">
        <v>0</v>
      </c>
      <c r="G59" s="871">
        <v>0</v>
      </c>
      <c r="H59" s="871">
        <v>5.6</v>
      </c>
      <c r="I59" s="871">
        <v>37</v>
      </c>
      <c r="J59" s="871">
        <v>44.7</v>
      </c>
      <c r="K59" s="871">
        <v>41.7</v>
      </c>
      <c r="L59" s="871">
        <v>0</v>
      </c>
      <c r="M59" s="871">
        <v>0</v>
      </c>
      <c r="N59" s="871">
        <v>0</v>
      </c>
      <c r="O59" s="242"/>
    </row>
    <row r="60" spans="1:15" x14ac:dyDescent="0.2">
      <c r="A60" s="242"/>
      <c r="B60" s="243"/>
      <c r="C60" s="243"/>
      <c r="D60" s="243"/>
      <c r="E60" s="243"/>
      <c r="F60" s="243"/>
      <c r="G60" s="243"/>
      <c r="H60" s="243"/>
      <c r="I60" s="243"/>
      <c r="J60" s="243"/>
      <c r="K60" s="243"/>
      <c r="L60" s="243"/>
      <c r="M60" s="243"/>
      <c r="N60" s="243"/>
      <c r="O60" s="242"/>
    </row>
    <row r="61" spans="1:15" x14ac:dyDescent="0.2">
      <c r="A61" s="242"/>
      <c r="B61" s="243"/>
      <c r="C61" s="243"/>
      <c r="D61" s="243"/>
      <c r="E61" s="243"/>
      <c r="F61" s="243"/>
      <c r="G61" s="243"/>
      <c r="H61" s="243"/>
      <c r="I61" s="243"/>
      <c r="J61" s="243"/>
      <c r="K61" s="243"/>
      <c r="L61" s="243"/>
      <c r="M61" s="243"/>
      <c r="N61" s="243"/>
      <c r="O61" s="242"/>
    </row>
    <row r="62" spans="1:15" ht="25.5" x14ac:dyDescent="0.2">
      <c r="A62" s="242"/>
      <c r="B62" s="250" t="s">
        <v>240</v>
      </c>
      <c r="C62" s="243"/>
      <c r="D62" s="243"/>
      <c r="E62" s="243"/>
      <c r="F62" s="243"/>
      <c r="G62" s="243"/>
      <c r="H62" s="243"/>
      <c r="I62" s="243"/>
      <c r="J62" s="243"/>
      <c r="K62" s="243"/>
      <c r="L62" s="243"/>
      <c r="M62" s="243"/>
      <c r="N62" s="243"/>
      <c r="O62" s="242"/>
    </row>
    <row r="63" spans="1:15" x14ac:dyDescent="0.2">
      <c r="A63" s="242"/>
      <c r="B63" s="242"/>
      <c r="C63" s="246" t="s">
        <v>135</v>
      </c>
      <c r="D63" s="246" t="s">
        <v>136</v>
      </c>
      <c r="E63" s="246" t="s">
        <v>137</v>
      </c>
      <c r="F63" s="246" t="s">
        <v>138</v>
      </c>
      <c r="G63" s="246" t="s">
        <v>114</v>
      </c>
      <c r="H63" s="246" t="s">
        <v>139</v>
      </c>
      <c r="I63" s="246" t="s">
        <v>140</v>
      </c>
      <c r="J63" s="246" t="s">
        <v>141</v>
      </c>
      <c r="K63" s="246" t="s">
        <v>142</v>
      </c>
      <c r="L63" s="246" t="s">
        <v>145</v>
      </c>
      <c r="M63" s="246" t="s">
        <v>143</v>
      </c>
      <c r="N63" s="246" t="s">
        <v>144</v>
      </c>
      <c r="O63" s="242"/>
    </row>
    <row r="64" spans="1:15" x14ac:dyDescent="0.2">
      <c r="A64" s="242"/>
      <c r="B64" s="247">
        <f t="shared" ref="B64:B73" si="1">B50</f>
        <v>2006</v>
      </c>
      <c r="C64" s="522">
        <v>31</v>
      </c>
      <c r="D64" s="522">
        <v>28</v>
      </c>
      <c r="E64" s="522">
        <v>31</v>
      </c>
      <c r="F64" s="522">
        <v>30</v>
      </c>
      <c r="G64" s="522">
        <v>31</v>
      </c>
      <c r="H64" s="522">
        <v>30</v>
      </c>
      <c r="I64" s="522">
        <v>31</v>
      </c>
      <c r="J64" s="522">
        <v>31</v>
      </c>
      <c r="K64" s="522">
        <v>30</v>
      </c>
      <c r="L64" s="522">
        <v>31</v>
      </c>
      <c r="M64" s="522">
        <v>30</v>
      </c>
      <c r="N64" s="522">
        <v>31</v>
      </c>
      <c r="O64" s="242"/>
    </row>
    <row r="65" spans="1:15" x14ac:dyDescent="0.2">
      <c r="A65" s="242"/>
      <c r="B65" s="247">
        <f t="shared" si="1"/>
        <v>2007</v>
      </c>
      <c r="C65" s="522">
        <v>31</v>
      </c>
      <c r="D65" s="522">
        <v>28</v>
      </c>
      <c r="E65" s="522">
        <v>31</v>
      </c>
      <c r="F65" s="522">
        <v>30</v>
      </c>
      <c r="G65" s="522">
        <v>31</v>
      </c>
      <c r="H65" s="522">
        <v>30</v>
      </c>
      <c r="I65" s="522">
        <v>31</v>
      </c>
      <c r="J65" s="522">
        <v>31</v>
      </c>
      <c r="K65" s="522">
        <v>30</v>
      </c>
      <c r="L65" s="522">
        <v>31</v>
      </c>
      <c r="M65" s="522">
        <v>30</v>
      </c>
      <c r="N65" s="522">
        <v>31</v>
      </c>
      <c r="O65" s="242"/>
    </row>
    <row r="66" spans="1:15" x14ac:dyDescent="0.2">
      <c r="A66" s="242"/>
      <c r="B66" s="247">
        <f t="shared" si="1"/>
        <v>2008</v>
      </c>
      <c r="C66" s="522">
        <v>31</v>
      </c>
      <c r="D66" s="522">
        <v>29</v>
      </c>
      <c r="E66" s="522">
        <v>31</v>
      </c>
      <c r="F66" s="522">
        <v>30</v>
      </c>
      <c r="G66" s="522">
        <v>31</v>
      </c>
      <c r="H66" s="522">
        <v>30</v>
      </c>
      <c r="I66" s="522">
        <v>31</v>
      </c>
      <c r="J66" s="522">
        <v>31</v>
      </c>
      <c r="K66" s="522">
        <v>30</v>
      </c>
      <c r="L66" s="522">
        <v>31</v>
      </c>
      <c r="M66" s="522">
        <v>30</v>
      </c>
      <c r="N66" s="522">
        <v>31</v>
      </c>
      <c r="O66" s="242"/>
    </row>
    <row r="67" spans="1:15" x14ac:dyDescent="0.2">
      <c r="A67" s="242"/>
      <c r="B67" s="247">
        <f t="shared" si="1"/>
        <v>2009</v>
      </c>
      <c r="C67" s="522">
        <v>31</v>
      </c>
      <c r="D67" s="522">
        <v>28</v>
      </c>
      <c r="E67" s="522">
        <v>31</v>
      </c>
      <c r="F67" s="522">
        <v>30</v>
      </c>
      <c r="G67" s="522">
        <v>31</v>
      </c>
      <c r="H67" s="522">
        <v>30</v>
      </c>
      <c r="I67" s="522">
        <v>31</v>
      </c>
      <c r="J67" s="522">
        <v>31</v>
      </c>
      <c r="K67" s="522">
        <v>30</v>
      </c>
      <c r="L67" s="522">
        <v>31</v>
      </c>
      <c r="M67" s="522">
        <v>30</v>
      </c>
      <c r="N67" s="522">
        <v>31</v>
      </c>
      <c r="O67" s="242"/>
    </row>
    <row r="68" spans="1:15" x14ac:dyDescent="0.2">
      <c r="A68" s="242"/>
      <c r="B68" s="247">
        <f t="shared" si="1"/>
        <v>2010</v>
      </c>
      <c r="C68" s="522">
        <v>31</v>
      </c>
      <c r="D68" s="522">
        <v>28</v>
      </c>
      <c r="E68" s="522">
        <v>31</v>
      </c>
      <c r="F68" s="522">
        <v>30</v>
      </c>
      <c r="G68" s="522">
        <v>31</v>
      </c>
      <c r="H68" s="522">
        <v>30</v>
      </c>
      <c r="I68" s="522">
        <v>31</v>
      </c>
      <c r="J68" s="522">
        <v>31</v>
      </c>
      <c r="K68" s="522">
        <v>30</v>
      </c>
      <c r="L68" s="522">
        <v>31</v>
      </c>
      <c r="M68" s="522">
        <v>30</v>
      </c>
      <c r="N68" s="522">
        <v>31</v>
      </c>
      <c r="O68" s="242"/>
    </row>
    <row r="69" spans="1:15" x14ac:dyDescent="0.2">
      <c r="A69" s="242"/>
      <c r="B69" s="247">
        <f t="shared" si="1"/>
        <v>2011</v>
      </c>
      <c r="C69" s="522">
        <v>31</v>
      </c>
      <c r="D69" s="522">
        <v>28</v>
      </c>
      <c r="E69" s="522">
        <v>31</v>
      </c>
      <c r="F69" s="522">
        <v>30</v>
      </c>
      <c r="G69" s="522">
        <v>31</v>
      </c>
      <c r="H69" s="522">
        <v>30</v>
      </c>
      <c r="I69" s="522">
        <v>31</v>
      </c>
      <c r="J69" s="522">
        <v>31</v>
      </c>
      <c r="K69" s="522">
        <v>30</v>
      </c>
      <c r="L69" s="522">
        <v>31</v>
      </c>
      <c r="M69" s="522">
        <v>30</v>
      </c>
      <c r="N69" s="522">
        <v>31</v>
      </c>
      <c r="O69" s="242"/>
    </row>
    <row r="70" spans="1:15" x14ac:dyDescent="0.2">
      <c r="A70" s="242"/>
      <c r="B70" s="247">
        <f t="shared" si="1"/>
        <v>2012</v>
      </c>
      <c r="C70" s="522">
        <v>31</v>
      </c>
      <c r="D70" s="522">
        <v>29</v>
      </c>
      <c r="E70" s="522">
        <v>31</v>
      </c>
      <c r="F70" s="522">
        <v>30</v>
      </c>
      <c r="G70" s="522">
        <v>31</v>
      </c>
      <c r="H70" s="522">
        <v>30</v>
      </c>
      <c r="I70" s="522">
        <v>31</v>
      </c>
      <c r="J70" s="522">
        <v>31</v>
      </c>
      <c r="K70" s="522">
        <v>30</v>
      </c>
      <c r="L70" s="522">
        <v>31</v>
      </c>
      <c r="M70" s="522">
        <v>30</v>
      </c>
      <c r="N70" s="522">
        <v>31</v>
      </c>
      <c r="O70" s="242"/>
    </row>
    <row r="71" spans="1:15" x14ac:dyDescent="0.2">
      <c r="A71" s="242"/>
      <c r="B71" s="247">
        <f t="shared" si="1"/>
        <v>2013</v>
      </c>
      <c r="C71" s="522">
        <v>31</v>
      </c>
      <c r="D71" s="522">
        <v>28</v>
      </c>
      <c r="E71" s="522">
        <v>31</v>
      </c>
      <c r="F71" s="522">
        <v>30</v>
      </c>
      <c r="G71" s="522">
        <v>31</v>
      </c>
      <c r="H71" s="522">
        <v>30</v>
      </c>
      <c r="I71" s="522">
        <v>31</v>
      </c>
      <c r="J71" s="522">
        <v>31</v>
      </c>
      <c r="K71" s="522">
        <v>30</v>
      </c>
      <c r="L71" s="522">
        <v>31</v>
      </c>
      <c r="M71" s="522">
        <v>30</v>
      </c>
      <c r="N71" s="522">
        <v>31</v>
      </c>
      <c r="O71" s="242"/>
    </row>
    <row r="72" spans="1:15" x14ac:dyDescent="0.2">
      <c r="A72" s="242"/>
      <c r="B72" s="247">
        <f t="shared" si="1"/>
        <v>2014</v>
      </c>
      <c r="C72" s="522">
        <v>31</v>
      </c>
      <c r="D72" s="522">
        <v>28</v>
      </c>
      <c r="E72" s="522">
        <v>31</v>
      </c>
      <c r="F72" s="522">
        <v>30</v>
      </c>
      <c r="G72" s="522">
        <v>31</v>
      </c>
      <c r="H72" s="522">
        <v>30</v>
      </c>
      <c r="I72" s="522">
        <v>31</v>
      </c>
      <c r="J72" s="522">
        <v>31</v>
      </c>
      <c r="K72" s="522">
        <v>30</v>
      </c>
      <c r="L72" s="522">
        <v>31</v>
      </c>
      <c r="M72" s="522">
        <v>30</v>
      </c>
      <c r="N72" s="522">
        <v>31</v>
      </c>
      <c r="O72" s="242"/>
    </row>
    <row r="73" spans="1:15" x14ac:dyDescent="0.2">
      <c r="A73" s="242"/>
      <c r="B73" s="247">
        <f t="shared" si="1"/>
        <v>2015</v>
      </c>
      <c r="C73" s="522">
        <v>31</v>
      </c>
      <c r="D73" s="522">
        <v>28</v>
      </c>
      <c r="E73" s="522">
        <v>31</v>
      </c>
      <c r="F73" s="522">
        <v>30</v>
      </c>
      <c r="G73" s="522">
        <v>31</v>
      </c>
      <c r="H73" s="522">
        <v>30</v>
      </c>
      <c r="I73" s="522">
        <v>31</v>
      </c>
      <c r="J73" s="522">
        <v>31</v>
      </c>
      <c r="K73" s="522">
        <v>30</v>
      </c>
      <c r="L73" s="522">
        <v>31</v>
      </c>
      <c r="M73" s="522">
        <v>30</v>
      </c>
      <c r="N73" s="522">
        <v>31</v>
      </c>
      <c r="O73" s="242"/>
    </row>
    <row r="74" spans="1:15" x14ac:dyDescent="0.2">
      <c r="A74" s="242"/>
      <c r="B74" s="243"/>
      <c r="C74" s="243"/>
      <c r="D74" s="243"/>
      <c r="E74" s="243"/>
      <c r="F74" s="243"/>
      <c r="G74" s="243"/>
      <c r="H74" s="243"/>
      <c r="I74" s="243"/>
      <c r="J74" s="243"/>
      <c r="K74" s="243"/>
      <c r="L74" s="243"/>
      <c r="M74" s="243"/>
      <c r="N74" s="243"/>
      <c r="O74" s="242"/>
    </row>
    <row r="75" spans="1:15" x14ac:dyDescent="0.2">
      <c r="A75" s="242"/>
      <c r="B75" s="243"/>
      <c r="C75" s="243"/>
      <c r="D75" s="243"/>
      <c r="E75" s="243"/>
      <c r="F75" s="243"/>
      <c r="G75" s="243"/>
      <c r="H75" s="243"/>
      <c r="I75" s="243"/>
      <c r="J75" s="243"/>
      <c r="K75" s="243"/>
      <c r="L75" s="243"/>
      <c r="M75" s="243"/>
      <c r="N75" s="243"/>
      <c r="O75" s="242"/>
    </row>
    <row r="76" spans="1:15" x14ac:dyDescent="0.2">
      <c r="A76" s="242"/>
      <c r="B76" s="250" t="s">
        <v>262</v>
      </c>
      <c r="C76" s="243"/>
      <c r="D76" s="243"/>
      <c r="E76" s="243"/>
      <c r="F76" s="243"/>
      <c r="G76" s="243"/>
      <c r="H76" s="243"/>
      <c r="I76" s="243"/>
      <c r="J76" s="243"/>
      <c r="K76" s="243"/>
      <c r="L76" s="243"/>
      <c r="M76" s="243"/>
      <c r="N76" s="243"/>
      <c r="O76" s="242"/>
    </row>
    <row r="77" spans="1:15" x14ac:dyDescent="0.2">
      <c r="A77" s="242"/>
      <c r="B77" s="242"/>
      <c r="C77" s="246" t="s">
        <v>135</v>
      </c>
      <c r="D77" s="246" t="s">
        <v>136</v>
      </c>
      <c r="E77" s="246" t="s">
        <v>137</v>
      </c>
      <c r="F77" s="246" t="s">
        <v>138</v>
      </c>
      <c r="G77" s="246" t="s">
        <v>114</v>
      </c>
      <c r="H77" s="246" t="s">
        <v>139</v>
      </c>
      <c r="I77" s="246" t="s">
        <v>140</v>
      </c>
      <c r="J77" s="246" t="s">
        <v>141</v>
      </c>
      <c r="K77" s="246" t="s">
        <v>142</v>
      </c>
      <c r="L77" s="246" t="s">
        <v>145</v>
      </c>
      <c r="M77" s="246" t="s">
        <v>143</v>
      </c>
      <c r="N77" s="246" t="s">
        <v>144</v>
      </c>
      <c r="O77" s="242"/>
    </row>
    <row r="78" spans="1:15" x14ac:dyDescent="0.2">
      <c r="A78" s="242"/>
      <c r="B78" s="247">
        <f t="shared" ref="B78:B86" si="2">B64</f>
        <v>2006</v>
      </c>
      <c r="C78" s="523">
        <v>134.25</v>
      </c>
      <c r="D78" s="524">
        <v>134.56</v>
      </c>
      <c r="E78" s="524">
        <v>134.81</v>
      </c>
      <c r="F78" s="524">
        <v>135.08000000000001</v>
      </c>
      <c r="G78" s="523">
        <v>135.36000000000001</v>
      </c>
      <c r="H78" s="523">
        <v>135.63999999999999</v>
      </c>
      <c r="I78" s="523">
        <v>135.91999999999999</v>
      </c>
      <c r="J78" s="523">
        <v>136.19999999999999</v>
      </c>
      <c r="K78" s="523">
        <v>136.47999999999999</v>
      </c>
      <c r="L78" s="523">
        <v>136.76</v>
      </c>
      <c r="M78" s="523">
        <v>137.04</v>
      </c>
      <c r="N78" s="523">
        <v>137.33000000000001</v>
      </c>
      <c r="O78" s="242"/>
    </row>
    <row r="79" spans="1:15" x14ac:dyDescent="0.2">
      <c r="A79" s="242"/>
      <c r="B79" s="247">
        <f t="shared" si="2"/>
        <v>2007</v>
      </c>
      <c r="C79" s="523">
        <v>137.59</v>
      </c>
      <c r="D79" s="523">
        <v>137.85</v>
      </c>
      <c r="E79" s="523">
        <v>138.11000000000001</v>
      </c>
      <c r="F79" s="523">
        <v>138.37</v>
      </c>
      <c r="G79" s="523">
        <v>138.63</v>
      </c>
      <c r="H79" s="523">
        <v>138.9</v>
      </c>
      <c r="I79" s="523">
        <v>139.16</v>
      </c>
      <c r="J79" s="523">
        <v>139.41999999999999</v>
      </c>
      <c r="K79" s="523">
        <v>139.69</v>
      </c>
      <c r="L79" s="523">
        <v>139.94999999999999</v>
      </c>
      <c r="M79" s="523">
        <v>140.22</v>
      </c>
      <c r="N79" s="523">
        <v>140.47999999999999</v>
      </c>
      <c r="O79" s="242"/>
    </row>
    <row r="80" spans="1:15" x14ac:dyDescent="0.2">
      <c r="A80" s="242"/>
      <c r="B80" s="247">
        <f t="shared" si="2"/>
        <v>2008</v>
      </c>
      <c r="C80" s="523">
        <v>140.43</v>
      </c>
      <c r="D80" s="523">
        <v>140.37</v>
      </c>
      <c r="E80" s="523">
        <v>140.31</v>
      </c>
      <c r="F80" s="523">
        <v>140.25</v>
      </c>
      <c r="G80" s="523">
        <v>140.19</v>
      </c>
      <c r="H80" s="523">
        <v>140.13</v>
      </c>
      <c r="I80" s="523">
        <v>140.07</v>
      </c>
      <c r="J80" s="523">
        <v>140.02000000000001</v>
      </c>
      <c r="K80" s="523">
        <v>139.96</v>
      </c>
      <c r="L80" s="523">
        <v>139.9</v>
      </c>
      <c r="M80" s="523">
        <v>139.84</v>
      </c>
      <c r="N80" s="523">
        <v>139.78</v>
      </c>
      <c r="O80" s="242"/>
    </row>
    <row r="81" spans="1:15" x14ac:dyDescent="0.2">
      <c r="A81" s="242"/>
      <c r="B81" s="247">
        <f t="shared" si="2"/>
        <v>2009</v>
      </c>
      <c r="C81" s="523">
        <v>139.38</v>
      </c>
      <c r="D81" s="523">
        <v>138.97999999999999</v>
      </c>
      <c r="E81" s="523">
        <v>138.58000000000001</v>
      </c>
      <c r="F81" s="523">
        <v>138.18</v>
      </c>
      <c r="G81" s="523">
        <v>137.78</v>
      </c>
      <c r="H81" s="523">
        <v>137.38</v>
      </c>
      <c r="I81" s="523">
        <v>136.99</v>
      </c>
      <c r="J81" s="523">
        <v>136.59</v>
      </c>
      <c r="K81" s="523">
        <v>136.19999999999999</v>
      </c>
      <c r="L81" s="523">
        <v>135.81</v>
      </c>
      <c r="M81" s="523">
        <v>135.41999999999999</v>
      </c>
      <c r="N81" s="523">
        <v>135.03</v>
      </c>
      <c r="O81" s="242"/>
    </row>
    <row r="82" spans="1:15" x14ac:dyDescent="0.2">
      <c r="A82" s="242"/>
      <c r="B82" s="247">
        <f t="shared" si="2"/>
        <v>2010</v>
      </c>
      <c r="C82" s="523">
        <v>135.33000000000001</v>
      </c>
      <c r="D82" s="523">
        <v>135.63</v>
      </c>
      <c r="E82" s="523">
        <v>135.93</v>
      </c>
      <c r="F82" s="523">
        <v>136.22999999999999</v>
      </c>
      <c r="G82" s="523">
        <v>136.54</v>
      </c>
      <c r="H82" s="523">
        <v>136.84</v>
      </c>
      <c r="I82" s="523">
        <v>137.13999999999999</v>
      </c>
      <c r="J82" s="523">
        <v>137.44999999999999</v>
      </c>
      <c r="K82" s="523">
        <v>137.75</v>
      </c>
      <c r="L82" s="523">
        <v>138.06</v>
      </c>
      <c r="M82" s="523">
        <v>138.37</v>
      </c>
      <c r="N82" s="523">
        <v>138.66999999999999</v>
      </c>
      <c r="O82" s="242"/>
    </row>
    <row r="83" spans="1:15" x14ac:dyDescent="0.2">
      <c r="A83" s="242"/>
      <c r="B83" s="247">
        <f t="shared" si="2"/>
        <v>2011</v>
      </c>
      <c r="C83" s="523">
        <v>139</v>
      </c>
      <c r="D83" s="523">
        <v>139.30000000000001</v>
      </c>
      <c r="E83" s="523">
        <v>139.6</v>
      </c>
      <c r="F83" s="523">
        <v>139.9</v>
      </c>
      <c r="G83" s="523">
        <v>140.19999999999999</v>
      </c>
      <c r="H83" s="523">
        <v>140.5</v>
      </c>
      <c r="I83" s="523">
        <v>140.80000000000001</v>
      </c>
      <c r="J83" s="523">
        <v>141.1</v>
      </c>
      <c r="K83" s="523">
        <v>141.4</v>
      </c>
      <c r="L83" s="523">
        <v>141.69999999999999</v>
      </c>
      <c r="M83" s="523">
        <v>142</v>
      </c>
      <c r="N83" s="523">
        <v>142.30000000000001</v>
      </c>
      <c r="O83" s="242"/>
    </row>
    <row r="84" spans="1:15" x14ac:dyDescent="0.2">
      <c r="A84" s="242"/>
      <c r="B84" s="247">
        <f t="shared" si="2"/>
        <v>2012</v>
      </c>
      <c r="C84" s="523">
        <v>142.6</v>
      </c>
      <c r="D84" s="523">
        <v>142.9</v>
      </c>
      <c r="E84" s="523">
        <v>143.19999999999999</v>
      </c>
      <c r="F84" s="523">
        <v>143.5</v>
      </c>
      <c r="G84" s="523">
        <v>143.80000000000001</v>
      </c>
      <c r="H84" s="523">
        <v>144.11000000000001</v>
      </c>
      <c r="I84" s="523">
        <v>144.4</v>
      </c>
      <c r="J84" s="523">
        <v>144.69999999999999</v>
      </c>
      <c r="K84" s="523">
        <v>145</v>
      </c>
      <c r="L84" s="523">
        <v>145.4</v>
      </c>
      <c r="M84" s="523">
        <v>145.69999999999999</v>
      </c>
      <c r="N84" s="523">
        <v>146</v>
      </c>
      <c r="O84" s="242"/>
    </row>
    <row r="85" spans="1:15" x14ac:dyDescent="0.2">
      <c r="A85" s="242"/>
      <c r="B85" s="247">
        <f t="shared" si="2"/>
        <v>2013</v>
      </c>
      <c r="C85" s="523">
        <v>145</v>
      </c>
      <c r="D85" s="523">
        <v>145.1</v>
      </c>
      <c r="E85" s="523">
        <v>145.30000000000001</v>
      </c>
      <c r="F85" s="523">
        <v>145.5</v>
      </c>
      <c r="G85" s="523">
        <v>145.6</v>
      </c>
      <c r="H85" s="523">
        <v>145.80000000000001</v>
      </c>
      <c r="I85" s="523">
        <v>145.9</v>
      </c>
      <c r="J85" s="523">
        <v>146.1</v>
      </c>
      <c r="K85" s="523">
        <v>146.19999999999999</v>
      </c>
      <c r="L85" s="523">
        <v>146.4</v>
      </c>
      <c r="M85" s="523">
        <v>146.6</v>
      </c>
      <c r="N85" s="523">
        <v>146.69999999999999</v>
      </c>
      <c r="O85" s="242"/>
    </row>
    <row r="86" spans="1:15" x14ac:dyDescent="0.2">
      <c r="A86" s="242"/>
      <c r="B86" s="247">
        <f t="shared" si="2"/>
        <v>2014</v>
      </c>
      <c r="C86" s="523">
        <v>146.9</v>
      </c>
      <c r="D86" s="523">
        <v>147.19999999999999</v>
      </c>
      <c r="E86" s="523">
        <v>147.4</v>
      </c>
      <c r="F86" s="523">
        <v>147.6</v>
      </c>
      <c r="G86" s="523">
        <v>147.9</v>
      </c>
      <c r="H86" s="523">
        <v>148.1</v>
      </c>
      <c r="I86" s="523">
        <v>148.30000000000001</v>
      </c>
      <c r="J86" s="523">
        <v>148.6</v>
      </c>
      <c r="K86" s="523">
        <v>148.80000000000001</v>
      </c>
      <c r="L86" s="523">
        <v>149</v>
      </c>
      <c r="M86" s="523">
        <v>149.30000000000001</v>
      </c>
      <c r="N86" s="523">
        <v>149.5</v>
      </c>
      <c r="O86" s="242"/>
    </row>
    <row r="87" spans="1:15" x14ac:dyDescent="0.2">
      <c r="A87" s="242"/>
      <c r="B87" s="247">
        <f>B73</f>
        <v>2015</v>
      </c>
      <c r="C87" s="523">
        <v>140.05333333333337</v>
      </c>
      <c r="D87" s="523">
        <v>140.21</v>
      </c>
      <c r="E87" s="523">
        <v>140.36000000000001</v>
      </c>
      <c r="F87" s="523">
        <v>140.51222222222225</v>
      </c>
      <c r="G87" s="523">
        <v>140.66666666666666</v>
      </c>
      <c r="H87" s="523">
        <v>140.82222222222219</v>
      </c>
      <c r="I87" s="523">
        <v>140.96444444444444</v>
      </c>
      <c r="J87" s="523">
        <v>141.1311111111111</v>
      </c>
      <c r="K87" s="523">
        <v>141.27555555555554</v>
      </c>
      <c r="L87" s="523">
        <v>141.44222222222223</v>
      </c>
      <c r="M87" s="523">
        <v>141.60999999999999</v>
      </c>
      <c r="N87" s="523">
        <v>141.75444444444443</v>
      </c>
      <c r="O87" s="242"/>
    </row>
    <row r="88" spans="1:15" x14ac:dyDescent="0.2">
      <c r="A88" s="242"/>
      <c r="B88" s="243"/>
      <c r="C88" s="243"/>
      <c r="D88" s="243"/>
      <c r="E88" s="243"/>
      <c r="F88" s="243"/>
      <c r="G88" s="243"/>
      <c r="H88" s="243"/>
      <c r="I88" s="243"/>
      <c r="J88" s="243"/>
      <c r="K88" s="243"/>
      <c r="L88" s="243"/>
      <c r="M88" s="243"/>
      <c r="N88" s="243"/>
      <c r="O88" s="242"/>
    </row>
    <row r="89" spans="1:15" x14ac:dyDescent="0.2">
      <c r="A89" s="242"/>
      <c r="B89" s="243"/>
      <c r="C89" s="243"/>
      <c r="D89" s="243"/>
      <c r="E89" s="243"/>
      <c r="F89" s="243"/>
      <c r="G89" s="243"/>
      <c r="H89" s="243"/>
      <c r="I89" s="243"/>
      <c r="J89" s="243"/>
      <c r="K89" s="243"/>
      <c r="L89" s="243"/>
      <c r="M89" s="243"/>
      <c r="N89" s="243"/>
      <c r="O89" s="242"/>
    </row>
    <row r="90" spans="1:15" x14ac:dyDescent="0.2">
      <c r="A90" s="242"/>
      <c r="B90" s="250" t="s">
        <v>360</v>
      </c>
      <c r="C90" s="243"/>
      <c r="D90" s="243"/>
      <c r="E90" s="243"/>
      <c r="F90" s="243"/>
      <c r="G90" s="243"/>
      <c r="H90" s="243"/>
      <c r="I90" s="243"/>
      <c r="J90" s="243"/>
      <c r="K90" s="243"/>
      <c r="L90" s="243"/>
      <c r="M90" s="243"/>
      <c r="N90" s="243"/>
      <c r="O90" s="242"/>
    </row>
    <row r="91" spans="1:15" x14ac:dyDescent="0.2">
      <c r="A91" s="242"/>
      <c r="B91" s="242"/>
      <c r="C91" s="246" t="s">
        <v>135</v>
      </c>
      <c r="D91" s="246" t="s">
        <v>136</v>
      </c>
      <c r="E91" s="246" t="s">
        <v>137</v>
      </c>
      <c r="F91" s="246" t="s">
        <v>138</v>
      </c>
      <c r="G91" s="246" t="s">
        <v>114</v>
      </c>
      <c r="H91" s="246" t="s">
        <v>139</v>
      </c>
      <c r="I91" s="246" t="s">
        <v>140</v>
      </c>
      <c r="J91" s="246" t="s">
        <v>141</v>
      </c>
      <c r="K91" s="246" t="s">
        <v>142</v>
      </c>
      <c r="L91" s="246" t="s">
        <v>145</v>
      </c>
      <c r="M91" s="246" t="s">
        <v>143</v>
      </c>
      <c r="N91" s="246" t="s">
        <v>144</v>
      </c>
      <c r="O91" s="242"/>
    </row>
    <row r="92" spans="1:15" x14ac:dyDescent="0.2">
      <c r="A92" s="242"/>
      <c r="B92" s="247">
        <f t="shared" ref="B92:B100" si="3">B78</f>
        <v>2006</v>
      </c>
      <c r="C92" s="42">
        <v>0</v>
      </c>
      <c r="D92" s="42">
        <v>0</v>
      </c>
      <c r="E92" s="42">
        <v>1</v>
      </c>
      <c r="F92" s="42">
        <v>1</v>
      </c>
      <c r="G92" s="42">
        <v>1</v>
      </c>
      <c r="H92" s="42">
        <v>0</v>
      </c>
      <c r="I92" s="42">
        <v>0</v>
      </c>
      <c r="J92" s="42">
        <v>0</v>
      </c>
      <c r="K92" s="42">
        <v>1</v>
      </c>
      <c r="L92" s="42">
        <v>1</v>
      </c>
      <c r="M92" s="42">
        <v>1</v>
      </c>
      <c r="N92" s="42">
        <v>0</v>
      </c>
      <c r="O92" s="242"/>
    </row>
    <row r="93" spans="1:15" x14ac:dyDescent="0.2">
      <c r="A93" s="242"/>
      <c r="B93" s="247">
        <f t="shared" si="3"/>
        <v>2007</v>
      </c>
      <c r="C93" s="42">
        <v>0</v>
      </c>
      <c r="D93" s="42">
        <v>0</v>
      </c>
      <c r="E93" s="42">
        <v>1</v>
      </c>
      <c r="F93" s="42">
        <v>1</v>
      </c>
      <c r="G93" s="42">
        <v>1</v>
      </c>
      <c r="H93" s="42">
        <v>0</v>
      </c>
      <c r="I93" s="42">
        <v>0</v>
      </c>
      <c r="J93" s="42">
        <v>0</v>
      </c>
      <c r="K93" s="42">
        <v>1</v>
      </c>
      <c r="L93" s="42">
        <v>1</v>
      </c>
      <c r="M93" s="42">
        <v>1</v>
      </c>
      <c r="N93" s="42">
        <v>0</v>
      </c>
      <c r="O93" s="242"/>
    </row>
    <row r="94" spans="1:15" x14ac:dyDescent="0.2">
      <c r="A94" s="242"/>
      <c r="B94" s="247">
        <f t="shared" si="3"/>
        <v>2008</v>
      </c>
      <c r="C94" s="42">
        <v>0</v>
      </c>
      <c r="D94" s="42">
        <v>0</v>
      </c>
      <c r="E94" s="42">
        <v>1</v>
      </c>
      <c r="F94" s="42">
        <v>1</v>
      </c>
      <c r="G94" s="42">
        <v>1</v>
      </c>
      <c r="H94" s="42">
        <v>0</v>
      </c>
      <c r="I94" s="42">
        <v>0</v>
      </c>
      <c r="J94" s="42">
        <v>0</v>
      </c>
      <c r="K94" s="42">
        <v>1</v>
      </c>
      <c r="L94" s="42">
        <v>1</v>
      </c>
      <c r="M94" s="42">
        <v>1</v>
      </c>
      <c r="N94" s="42">
        <v>0</v>
      </c>
      <c r="O94" s="242"/>
    </row>
    <row r="95" spans="1:15" x14ac:dyDescent="0.2">
      <c r="A95" s="242"/>
      <c r="B95" s="247">
        <f t="shared" si="3"/>
        <v>2009</v>
      </c>
      <c r="C95" s="42">
        <v>0</v>
      </c>
      <c r="D95" s="42">
        <v>0</v>
      </c>
      <c r="E95" s="42">
        <v>1</v>
      </c>
      <c r="F95" s="42">
        <v>1</v>
      </c>
      <c r="G95" s="42">
        <v>1</v>
      </c>
      <c r="H95" s="42">
        <v>0</v>
      </c>
      <c r="I95" s="42">
        <v>0</v>
      </c>
      <c r="J95" s="42">
        <v>0</v>
      </c>
      <c r="K95" s="42">
        <v>1</v>
      </c>
      <c r="L95" s="42">
        <v>1</v>
      </c>
      <c r="M95" s="42">
        <v>1</v>
      </c>
      <c r="N95" s="42">
        <v>0</v>
      </c>
      <c r="O95" s="242"/>
    </row>
    <row r="96" spans="1:15" x14ac:dyDescent="0.2">
      <c r="A96" s="242"/>
      <c r="B96" s="247">
        <f t="shared" si="3"/>
        <v>2010</v>
      </c>
      <c r="C96" s="42">
        <v>0</v>
      </c>
      <c r="D96" s="42">
        <v>0</v>
      </c>
      <c r="E96" s="42">
        <v>1</v>
      </c>
      <c r="F96" s="42">
        <v>1</v>
      </c>
      <c r="G96" s="42">
        <v>1</v>
      </c>
      <c r="H96" s="42">
        <v>0</v>
      </c>
      <c r="I96" s="42">
        <v>0</v>
      </c>
      <c r="J96" s="42">
        <v>0</v>
      </c>
      <c r="K96" s="42">
        <v>1</v>
      </c>
      <c r="L96" s="42">
        <v>1</v>
      </c>
      <c r="M96" s="42">
        <v>1</v>
      </c>
      <c r="N96" s="42">
        <v>0</v>
      </c>
      <c r="O96" s="242"/>
    </row>
    <row r="97" spans="1:15" x14ac:dyDescent="0.2">
      <c r="A97" s="242"/>
      <c r="B97" s="247">
        <f t="shared" si="3"/>
        <v>2011</v>
      </c>
      <c r="C97" s="42">
        <v>0</v>
      </c>
      <c r="D97" s="42">
        <v>0</v>
      </c>
      <c r="E97" s="42">
        <v>1</v>
      </c>
      <c r="F97" s="42">
        <v>1</v>
      </c>
      <c r="G97" s="42">
        <v>1</v>
      </c>
      <c r="H97" s="42">
        <v>0</v>
      </c>
      <c r="I97" s="42">
        <v>0</v>
      </c>
      <c r="J97" s="42">
        <v>0</v>
      </c>
      <c r="K97" s="42">
        <v>1</v>
      </c>
      <c r="L97" s="42">
        <v>1</v>
      </c>
      <c r="M97" s="42">
        <v>1</v>
      </c>
      <c r="N97" s="42">
        <v>0</v>
      </c>
      <c r="O97" s="242"/>
    </row>
    <row r="98" spans="1:15" x14ac:dyDescent="0.2">
      <c r="A98" s="242"/>
      <c r="B98" s="247">
        <f t="shared" si="3"/>
        <v>2012</v>
      </c>
      <c r="C98" s="42">
        <v>0</v>
      </c>
      <c r="D98" s="42">
        <v>0</v>
      </c>
      <c r="E98" s="42">
        <v>1</v>
      </c>
      <c r="F98" s="42">
        <v>1</v>
      </c>
      <c r="G98" s="42">
        <v>1</v>
      </c>
      <c r="H98" s="42">
        <v>0</v>
      </c>
      <c r="I98" s="42">
        <v>0</v>
      </c>
      <c r="J98" s="42">
        <v>0</v>
      </c>
      <c r="K98" s="42">
        <v>1</v>
      </c>
      <c r="L98" s="42">
        <v>1</v>
      </c>
      <c r="M98" s="42">
        <v>1</v>
      </c>
      <c r="N98" s="42">
        <v>0</v>
      </c>
      <c r="O98" s="242"/>
    </row>
    <row r="99" spans="1:15" x14ac:dyDescent="0.2">
      <c r="A99" s="242"/>
      <c r="B99" s="247">
        <f t="shared" si="3"/>
        <v>2013</v>
      </c>
      <c r="C99" s="42">
        <v>0</v>
      </c>
      <c r="D99" s="42">
        <v>0</v>
      </c>
      <c r="E99" s="42">
        <v>1</v>
      </c>
      <c r="F99" s="42">
        <v>1</v>
      </c>
      <c r="G99" s="42">
        <v>1</v>
      </c>
      <c r="H99" s="42">
        <v>0</v>
      </c>
      <c r="I99" s="42">
        <v>0</v>
      </c>
      <c r="J99" s="42">
        <v>0</v>
      </c>
      <c r="K99" s="42">
        <v>1</v>
      </c>
      <c r="L99" s="42">
        <v>1</v>
      </c>
      <c r="M99" s="42">
        <v>1</v>
      </c>
      <c r="N99" s="42">
        <v>0</v>
      </c>
      <c r="O99" s="242"/>
    </row>
    <row r="100" spans="1:15" x14ac:dyDescent="0.2">
      <c r="A100" s="242"/>
      <c r="B100" s="247">
        <f t="shared" si="3"/>
        <v>2014</v>
      </c>
      <c r="C100" s="42">
        <v>0</v>
      </c>
      <c r="D100" s="42">
        <v>0</v>
      </c>
      <c r="E100" s="42">
        <v>1</v>
      </c>
      <c r="F100" s="42">
        <v>1</v>
      </c>
      <c r="G100" s="42">
        <v>1</v>
      </c>
      <c r="H100" s="42">
        <v>0</v>
      </c>
      <c r="I100" s="42">
        <v>0</v>
      </c>
      <c r="J100" s="42">
        <v>0</v>
      </c>
      <c r="K100" s="42">
        <v>1</v>
      </c>
      <c r="L100" s="42">
        <v>1</v>
      </c>
      <c r="M100" s="42">
        <v>1</v>
      </c>
      <c r="N100" s="42">
        <v>0</v>
      </c>
      <c r="O100" s="242"/>
    </row>
    <row r="101" spans="1:15" x14ac:dyDescent="0.2">
      <c r="A101" s="242"/>
      <c r="B101" s="247">
        <f>B87</f>
        <v>2015</v>
      </c>
      <c r="C101" s="42">
        <v>0</v>
      </c>
      <c r="D101" s="42">
        <v>0</v>
      </c>
      <c r="E101" s="42">
        <v>1</v>
      </c>
      <c r="F101" s="42">
        <v>1</v>
      </c>
      <c r="G101" s="42">
        <v>1</v>
      </c>
      <c r="H101" s="42">
        <v>0</v>
      </c>
      <c r="I101" s="42">
        <v>0</v>
      </c>
      <c r="J101" s="42">
        <v>0</v>
      </c>
      <c r="K101" s="42">
        <v>1</v>
      </c>
      <c r="L101" s="42">
        <v>1</v>
      </c>
      <c r="M101" s="42">
        <v>1</v>
      </c>
      <c r="N101" s="42">
        <v>0</v>
      </c>
      <c r="O101" s="242"/>
    </row>
    <row r="102" spans="1:15" x14ac:dyDescent="0.2">
      <c r="A102" s="242"/>
      <c r="B102" s="243"/>
      <c r="C102" s="243"/>
      <c r="D102" s="243"/>
      <c r="E102" s="243"/>
      <c r="F102" s="243"/>
      <c r="G102" s="243"/>
      <c r="H102" s="243"/>
      <c r="I102" s="243"/>
      <c r="J102" s="243"/>
      <c r="K102" s="243"/>
      <c r="L102" s="243"/>
      <c r="M102" s="243"/>
      <c r="N102" s="243"/>
      <c r="O102" s="242"/>
    </row>
    <row r="103" spans="1:15" x14ac:dyDescent="0.2">
      <c r="A103" s="242"/>
      <c r="B103" s="243"/>
      <c r="C103" s="243"/>
      <c r="D103" s="243"/>
      <c r="E103" s="243"/>
      <c r="F103" s="243"/>
      <c r="G103" s="243"/>
      <c r="H103" s="243"/>
      <c r="I103" s="243"/>
      <c r="J103" s="243"/>
      <c r="K103" s="243"/>
      <c r="L103" s="243"/>
      <c r="M103" s="243"/>
      <c r="N103" s="243"/>
      <c r="O103" s="242"/>
    </row>
    <row r="104" spans="1:15" x14ac:dyDescent="0.2">
      <c r="A104" s="242"/>
      <c r="B104" s="250" t="s">
        <v>263</v>
      </c>
      <c r="C104" s="243"/>
      <c r="D104" s="243"/>
      <c r="E104" s="243"/>
      <c r="F104" s="243"/>
      <c r="G104" s="243"/>
      <c r="H104" s="243"/>
      <c r="I104" s="243"/>
      <c r="J104" s="243"/>
      <c r="K104" s="243"/>
      <c r="L104" s="243"/>
      <c r="M104" s="243"/>
      <c r="N104" s="243"/>
      <c r="O104" s="242"/>
    </row>
    <row r="105" spans="1:15" x14ac:dyDescent="0.2">
      <c r="A105" s="242"/>
      <c r="B105" s="242"/>
      <c r="C105" s="246" t="s">
        <v>135</v>
      </c>
      <c r="D105" s="246" t="s">
        <v>136</v>
      </c>
      <c r="E105" s="246" t="s">
        <v>137</v>
      </c>
      <c r="F105" s="246" t="s">
        <v>138</v>
      </c>
      <c r="G105" s="246" t="s">
        <v>114</v>
      </c>
      <c r="H105" s="246" t="s">
        <v>139</v>
      </c>
      <c r="I105" s="246" t="s">
        <v>140</v>
      </c>
      <c r="J105" s="246" t="s">
        <v>141</v>
      </c>
      <c r="K105" s="246" t="s">
        <v>142</v>
      </c>
      <c r="L105" s="246" t="s">
        <v>145</v>
      </c>
      <c r="M105" s="246" t="s">
        <v>143</v>
      </c>
      <c r="N105" s="246" t="s">
        <v>144</v>
      </c>
      <c r="O105" s="242"/>
    </row>
    <row r="106" spans="1:15" x14ac:dyDescent="0.2">
      <c r="A106" s="242"/>
      <c r="B106" s="247">
        <f t="shared" ref="B106:B114" si="4">B92</f>
        <v>2006</v>
      </c>
      <c r="C106" s="669">
        <v>336</v>
      </c>
      <c r="D106" s="669">
        <v>320</v>
      </c>
      <c r="E106" s="669">
        <v>368</v>
      </c>
      <c r="F106" s="669">
        <v>304</v>
      </c>
      <c r="G106" s="669">
        <v>352</v>
      </c>
      <c r="H106" s="669">
        <v>352</v>
      </c>
      <c r="I106" s="669">
        <v>320</v>
      </c>
      <c r="J106" s="669">
        <v>352</v>
      </c>
      <c r="K106" s="669">
        <v>320</v>
      </c>
      <c r="L106" s="669">
        <v>336</v>
      </c>
      <c r="M106" s="669">
        <v>352</v>
      </c>
      <c r="N106" s="669">
        <v>304</v>
      </c>
      <c r="O106" s="242"/>
    </row>
    <row r="107" spans="1:15" x14ac:dyDescent="0.2">
      <c r="A107" s="242"/>
      <c r="B107" s="247">
        <f t="shared" si="4"/>
        <v>2007</v>
      </c>
      <c r="C107" s="669">
        <v>352</v>
      </c>
      <c r="D107" s="669">
        <v>320</v>
      </c>
      <c r="E107" s="669">
        <v>352</v>
      </c>
      <c r="F107" s="669">
        <v>320</v>
      </c>
      <c r="G107" s="669">
        <v>352</v>
      </c>
      <c r="H107" s="669">
        <v>336</v>
      </c>
      <c r="I107" s="669">
        <v>336</v>
      </c>
      <c r="J107" s="669">
        <v>352</v>
      </c>
      <c r="K107" s="669">
        <v>304</v>
      </c>
      <c r="L107" s="669">
        <v>352</v>
      </c>
      <c r="M107" s="669">
        <v>352</v>
      </c>
      <c r="N107" s="669">
        <v>304</v>
      </c>
      <c r="O107" s="242"/>
    </row>
    <row r="108" spans="1:15" x14ac:dyDescent="0.2">
      <c r="A108" s="242"/>
      <c r="B108" s="247">
        <f t="shared" si="4"/>
        <v>2008</v>
      </c>
      <c r="C108" s="669">
        <v>352</v>
      </c>
      <c r="D108" s="669">
        <v>320</v>
      </c>
      <c r="E108" s="669">
        <v>304</v>
      </c>
      <c r="F108" s="669">
        <v>352</v>
      </c>
      <c r="G108" s="669">
        <v>336</v>
      </c>
      <c r="H108" s="669">
        <v>336</v>
      </c>
      <c r="I108" s="669">
        <v>352</v>
      </c>
      <c r="J108" s="669">
        <v>320</v>
      </c>
      <c r="K108" s="669">
        <v>336</v>
      </c>
      <c r="L108" s="669">
        <v>352</v>
      </c>
      <c r="M108" s="669">
        <v>304</v>
      </c>
      <c r="N108" s="669">
        <v>336</v>
      </c>
      <c r="O108" s="242"/>
    </row>
    <row r="109" spans="1:15" x14ac:dyDescent="0.2">
      <c r="A109" s="242"/>
      <c r="B109" s="247">
        <f t="shared" si="4"/>
        <v>2009</v>
      </c>
      <c r="C109" s="669">
        <v>336</v>
      </c>
      <c r="D109" s="669">
        <v>304</v>
      </c>
      <c r="E109" s="669">
        <v>352</v>
      </c>
      <c r="F109" s="669">
        <v>320</v>
      </c>
      <c r="G109" s="669">
        <v>320</v>
      </c>
      <c r="H109" s="669">
        <v>352</v>
      </c>
      <c r="I109" s="669">
        <v>352</v>
      </c>
      <c r="J109" s="669">
        <v>320</v>
      </c>
      <c r="K109" s="669">
        <v>336</v>
      </c>
      <c r="L109" s="669">
        <v>336</v>
      </c>
      <c r="M109" s="669">
        <v>320</v>
      </c>
      <c r="N109" s="669">
        <v>352</v>
      </c>
      <c r="O109" s="242"/>
    </row>
    <row r="110" spans="1:15" x14ac:dyDescent="0.2">
      <c r="A110" s="242"/>
      <c r="B110" s="247">
        <f t="shared" si="4"/>
        <v>2010</v>
      </c>
      <c r="C110" s="669">
        <v>320</v>
      </c>
      <c r="D110" s="669">
        <v>304</v>
      </c>
      <c r="E110" s="669">
        <v>368</v>
      </c>
      <c r="F110" s="669">
        <v>320</v>
      </c>
      <c r="G110" s="669">
        <v>320</v>
      </c>
      <c r="H110" s="669">
        <v>352</v>
      </c>
      <c r="I110" s="669">
        <v>336</v>
      </c>
      <c r="J110" s="669">
        <v>336</v>
      </c>
      <c r="K110" s="669">
        <v>336</v>
      </c>
      <c r="L110" s="669">
        <v>320</v>
      </c>
      <c r="M110" s="669">
        <v>336</v>
      </c>
      <c r="N110" s="669">
        <v>368</v>
      </c>
      <c r="O110" s="242"/>
    </row>
    <row r="111" spans="1:15" x14ac:dyDescent="0.2">
      <c r="A111" s="242"/>
      <c r="B111" s="247">
        <f t="shared" si="4"/>
        <v>2011</v>
      </c>
      <c r="C111" s="669">
        <v>352</v>
      </c>
      <c r="D111" s="669">
        <v>320</v>
      </c>
      <c r="E111" s="669">
        <v>352</v>
      </c>
      <c r="F111" s="669">
        <v>320</v>
      </c>
      <c r="G111" s="669">
        <v>352</v>
      </c>
      <c r="H111" s="669">
        <v>336</v>
      </c>
      <c r="I111" s="669">
        <v>336</v>
      </c>
      <c r="J111" s="669">
        <v>352</v>
      </c>
      <c r="K111" s="669">
        <v>304</v>
      </c>
      <c r="L111" s="669">
        <v>352</v>
      </c>
      <c r="M111" s="669">
        <v>352</v>
      </c>
      <c r="N111" s="669">
        <v>304</v>
      </c>
      <c r="O111" s="242"/>
    </row>
    <row r="112" spans="1:15" x14ac:dyDescent="0.2">
      <c r="A112" s="242"/>
      <c r="B112" s="247">
        <f t="shared" si="4"/>
        <v>2012</v>
      </c>
      <c r="C112" s="669">
        <v>352</v>
      </c>
      <c r="D112" s="669">
        <v>320</v>
      </c>
      <c r="E112" s="669">
        <v>304</v>
      </c>
      <c r="F112" s="669">
        <v>352</v>
      </c>
      <c r="G112" s="669">
        <v>336</v>
      </c>
      <c r="H112" s="669">
        <v>336</v>
      </c>
      <c r="I112" s="669">
        <v>352</v>
      </c>
      <c r="J112" s="669">
        <v>320</v>
      </c>
      <c r="K112" s="669">
        <v>336</v>
      </c>
      <c r="L112" s="669">
        <v>352</v>
      </c>
      <c r="M112" s="669">
        <v>304</v>
      </c>
      <c r="N112" s="669">
        <v>336</v>
      </c>
      <c r="O112" s="242"/>
    </row>
    <row r="113" spans="1:15" x14ac:dyDescent="0.2">
      <c r="A113" s="242"/>
      <c r="B113" s="247">
        <f t="shared" si="4"/>
        <v>2013</v>
      </c>
      <c r="C113" s="669">
        <v>352</v>
      </c>
      <c r="D113" s="669">
        <v>304</v>
      </c>
      <c r="E113" s="669">
        <v>320</v>
      </c>
      <c r="F113" s="669">
        <v>352</v>
      </c>
      <c r="G113" s="669">
        <v>352</v>
      </c>
      <c r="H113" s="669">
        <v>320</v>
      </c>
      <c r="I113" s="669">
        <v>352</v>
      </c>
      <c r="J113" s="669">
        <v>336</v>
      </c>
      <c r="K113" s="669">
        <v>320</v>
      </c>
      <c r="L113" s="669">
        <v>352</v>
      </c>
      <c r="M113" s="669">
        <v>336</v>
      </c>
      <c r="N113" s="669">
        <v>320</v>
      </c>
      <c r="O113" s="242"/>
    </row>
    <row r="114" spans="1:15" x14ac:dyDescent="0.2">
      <c r="A114" s="242"/>
      <c r="B114" s="247">
        <f t="shared" si="4"/>
        <v>2014</v>
      </c>
      <c r="C114" s="669">
        <v>352</v>
      </c>
      <c r="D114" s="669">
        <v>304</v>
      </c>
      <c r="E114" s="669">
        <v>336</v>
      </c>
      <c r="F114" s="669">
        <v>336</v>
      </c>
      <c r="G114" s="669">
        <v>336</v>
      </c>
      <c r="H114" s="669">
        <v>336</v>
      </c>
      <c r="I114" s="669">
        <v>352</v>
      </c>
      <c r="J114" s="669">
        <v>320</v>
      </c>
      <c r="K114" s="669">
        <v>336</v>
      </c>
      <c r="L114" s="669">
        <v>352</v>
      </c>
      <c r="M114" s="669">
        <v>320</v>
      </c>
      <c r="N114" s="669">
        <v>336</v>
      </c>
      <c r="O114" s="242"/>
    </row>
    <row r="115" spans="1:15" x14ac:dyDescent="0.2">
      <c r="A115" s="242"/>
      <c r="B115" s="247">
        <f>B101</f>
        <v>2015</v>
      </c>
      <c r="C115" s="847">
        <v>344.88888888888891</v>
      </c>
      <c r="D115" s="847">
        <v>312.88888888888891</v>
      </c>
      <c r="E115" s="847">
        <v>339.55555555555554</v>
      </c>
      <c r="F115" s="847">
        <v>330.66666666666669</v>
      </c>
      <c r="G115" s="847">
        <v>339.55555555555554</v>
      </c>
      <c r="H115" s="847">
        <v>339.55555555555554</v>
      </c>
      <c r="I115" s="847">
        <v>343.11111111111109</v>
      </c>
      <c r="J115" s="847">
        <v>334.22222222222223</v>
      </c>
      <c r="K115" s="847">
        <v>325.33333333333331</v>
      </c>
      <c r="L115" s="847">
        <v>344.88888888888891</v>
      </c>
      <c r="M115" s="847">
        <v>330.66666666666669</v>
      </c>
      <c r="N115" s="847">
        <v>328.88888888888891</v>
      </c>
      <c r="O115" s="242"/>
    </row>
    <row r="116" spans="1:15" x14ac:dyDescent="0.2">
      <c r="A116" s="242"/>
      <c r="B116" s="243"/>
      <c r="C116" s="243"/>
      <c r="D116" s="243"/>
      <c r="E116" s="243"/>
      <c r="F116" s="243"/>
      <c r="G116" s="243"/>
      <c r="H116" s="243"/>
      <c r="I116" s="243"/>
      <c r="J116" s="243"/>
      <c r="K116" s="243"/>
      <c r="L116" s="243"/>
      <c r="M116" s="243"/>
      <c r="N116" s="243"/>
      <c r="O116" s="242"/>
    </row>
    <row r="117" spans="1:15" x14ac:dyDescent="0.2">
      <c r="A117" s="242"/>
      <c r="B117" s="243"/>
      <c r="C117" s="243"/>
      <c r="D117" s="243"/>
      <c r="E117" s="243"/>
      <c r="F117" s="243"/>
      <c r="G117" s="243"/>
      <c r="H117" s="243"/>
      <c r="I117" s="243"/>
      <c r="J117" s="243"/>
      <c r="K117" s="243"/>
      <c r="L117" s="243"/>
      <c r="M117" s="243"/>
      <c r="N117" s="243"/>
      <c r="O117" s="242"/>
    </row>
    <row r="118" spans="1:15" x14ac:dyDescent="0.2">
      <c r="A118" s="242"/>
      <c r="B118" s="251" t="s">
        <v>133</v>
      </c>
      <c r="C118" s="243"/>
      <c r="D118" s="243"/>
      <c r="E118" s="243"/>
      <c r="F118" s="243"/>
      <c r="G118" s="243"/>
      <c r="H118" s="243"/>
      <c r="I118" s="243"/>
      <c r="J118" s="243"/>
      <c r="K118" s="243"/>
      <c r="L118" s="243"/>
      <c r="M118" s="243"/>
      <c r="N118" s="243"/>
      <c r="O118" s="242"/>
    </row>
    <row r="119" spans="1:15" x14ac:dyDescent="0.2">
      <c r="A119" s="242"/>
      <c r="B119" s="252"/>
      <c r="C119" s="243"/>
      <c r="D119" s="243"/>
      <c r="E119" s="243"/>
      <c r="F119" s="243"/>
      <c r="G119" s="243"/>
      <c r="H119" s="243"/>
      <c r="I119" s="243"/>
      <c r="J119" s="243"/>
      <c r="K119" s="243"/>
      <c r="L119" s="243"/>
      <c r="M119" s="243"/>
      <c r="N119" s="243"/>
      <c r="O119" s="242"/>
    </row>
    <row r="120" spans="1:15" x14ac:dyDescent="0.2">
      <c r="A120" s="242"/>
      <c r="B120" s="253" t="str">
        <f>Variable1</f>
        <v>HDD</v>
      </c>
      <c r="C120" s="243"/>
      <c r="D120" s="243"/>
      <c r="E120" s="243"/>
      <c r="F120" s="243"/>
      <c r="G120" s="243"/>
      <c r="H120" s="243"/>
      <c r="I120" s="243"/>
      <c r="J120" s="243"/>
      <c r="K120" s="243"/>
      <c r="L120" s="243"/>
      <c r="M120" s="243"/>
      <c r="N120" s="243"/>
      <c r="O120" s="242"/>
    </row>
    <row r="121" spans="1:15" x14ac:dyDescent="0.2">
      <c r="A121" s="242"/>
      <c r="B121" s="253" t="str">
        <f>Variable2</f>
        <v>CDD</v>
      </c>
      <c r="C121" s="243"/>
      <c r="D121" s="243"/>
      <c r="E121" s="243"/>
      <c r="F121" s="243"/>
      <c r="G121" s="243"/>
      <c r="H121" s="243"/>
      <c r="I121" s="243"/>
      <c r="J121" s="243"/>
      <c r="K121" s="243"/>
      <c r="L121" s="243"/>
      <c r="M121" s="243"/>
      <c r="N121" s="243"/>
      <c r="O121" s="242"/>
    </row>
    <row r="122" spans="1:15" x14ac:dyDescent="0.2">
      <c r="A122" s="242"/>
      <c r="B122" s="253" t="str">
        <f>Variable3</f>
        <v>Number of Days in Month</v>
      </c>
      <c r="C122" s="243"/>
      <c r="D122" s="243"/>
      <c r="E122" s="243"/>
      <c r="F122" s="243"/>
      <c r="G122" s="243"/>
      <c r="H122" s="243"/>
      <c r="I122" s="243"/>
      <c r="J122" s="243"/>
      <c r="K122" s="243"/>
      <c r="L122" s="243"/>
      <c r="M122" s="243"/>
      <c r="N122" s="243"/>
      <c r="O122" s="242"/>
    </row>
    <row r="123" spans="1:15" x14ac:dyDescent="0.2">
      <c r="A123" s="242"/>
      <c r="B123" s="253" t="str">
        <f>B76</f>
        <v>Employment Stats</v>
      </c>
      <c r="C123" s="243"/>
      <c r="D123" s="243"/>
      <c r="E123" s="243"/>
      <c r="F123" s="243"/>
      <c r="G123" s="243"/>
      <c r="H123" s="243"/>
      <c r="I123" s="243"/>
      <c r="J123" s="243"/>
      <c r="K123" s="243"/>
      <c r="L123" s="243"/>
      <c r="M123" s="243"/>
      <c r="N123" s="243"/>
      <c r="O123" s="242"/>
    </row>
    <row r="124" spans="1:15" x14ac:dyDescent="0.2">
      <c r="A124" s="242"/>
      <c r="B124" s="253" t="str">
        <f>Variable5</f>
        <v xml:space="preserve">Spring and Fall </v>
      </c>
      <c r="C124" s="243"/>
      <c r="D124" s="243"/>
      <c r="E124" s="243"/>
      <c r="F124" s="243"/>
      <c r="G124" s="243"/>
      <c r="H124" s="243"/>
      <c r="I124" s="243"/>
      <c r="J124" s="243"/>
      <c r="K124" s="243"/>
      <c r="L124" s="243"/>
      <c r="M124" s="243"/>
      <c r="N124" s="243"/>
      <c r="O124" s="242"/>
    </row>
    <row r="125" spans="1:15" x14ac:dyDescent="0.2">
      <c r="A125" s="242"/>
      <c r="B125" s="253" t="str">
        <f>Variable6</f>
        <v>Holiday Months</v>
      </c>
      <c r="C125" s="243"/>
      <c r="D125" s="243"/>
      <c r="E125" s="243"/>
      <c r="F125" s="243"/>
      <c r="G125" s="243"/>
      <c r="H125" s="243"/>
      <c r="I125" s="243"/>
      <c r="J125" s="243"/>
      <c r="K125" s="243"/>
      <c r="L125" s="243"/>
      <c r="M125" s="243"/>
      <c r="N125" s="243"/>
      <c r="O125" s="242"/>
    </row>
    <row r="126" spans="1:15" x14ac:dyDescent="0.2">
      <c r="A126" s="242"/>
      <c r="B126" s="243"/>
      <c r="C126" s="243"/>
      <c r="D126" s="243"/>
      <c r="E126" s="243"/>
      <c r="F126" s="243"/>
      <c r="G126" s="243"/>
      <c r="H126" s="243"/>
      <c r="I126" s="243"/>
      <c r="J126" s="243"/>
      <c r="K126" s="243"/>
      <c r="L126" s="243"/>
      <c r="M126" s="243"/>
      <c r="N126" s="243"/>
      <c r="O126" s="242"/>
    </row>
    <row r="127" spans="1:15" x14ac:dyDescent="0.2">
      <c r="A127" s="242"/>
      <c r="B127" s="243"/>
      <c r="C127" s="243"/>
      <c r="D127" s="243"/>
      <c r="E127" s="243"/>
      <c r="F127" s="243"/>
      <c r="G127" s="243"/>
      <c r="H127" s="243"/>
      <c r="I127" s="243"/>
      <c r="J127" s="243"/>
      <c r="K127" s="243"/>
      <c r="L127" s="243"/>
      <c r="M127" s="243"/>
      <c r="N127" s="243"/>
      <c r="O127" s="242"/>
    </row>
    <row r="128" spans="1:15" x14ac:dyDescent="0.2">
      <c r="A128" s="242"/>
      <c r="B128" s="243"/>
      <c r="C128" s="243"/>
      <c r="D128" s="243"/>
      <c r="E128" s="243"/>
      <c r="F128" s="243"/>
      <c r="G128" s="243"/>
      <c r="H128" s="243"/>
      <c r="I128" s="243"/>
      <c r="J128" s="243"/>
      <c r="K128" s="243"/>
      <c r="L128" s="243"/>
      <c r="M128" s="243"/>
      <c r="N128" s="243"/>
      <c r="O128" s="242"/>
    </row>
    <row r="129" spans="1:15" x14ac:dyDescent="0.2">
      <c r="A129" s="242"/>
      <c r="B129" s="243"/>
      <c r="C129" s="243"/>
      <c r="D129" s="243"/>
      <c r="E129" s="243"/>
      <c r="F129" s="243"/>
      <c r="G129" s="243"/>
      <c r="H129" s="243"/>
      <c r="I129" s="243"/>
      <c r="J129" s="243"/>
      <c r="K129" s="243"/>
      <c r="L129" s="243"/>
      <c r="M129" s="243"/>
      <c r="N129" s="243"/>
      <c r="O129" s="242"/>
    </row>
    <row r="130" spans="1:15" x14ac:dyDescent="0.2">
      <c r="A130" s="242"/>
      <c r="B130" s="243"/>
      <c r="C130" s="243"/>
      <c r="D130" s="243"/>
      <c r="E130" s="243"/>
      <c r="F130" s="243"/>
      <c r="G130" s="243"/>
      <c r="H130" s="243"/>
      <c r="I130" s="243"/>
      <c r="J130" s="243"/>
      <c r="K130" s="243"/>
      <c r="L130" s="243"/>
      <c r="M130" s="243"/>
      <c r="N130" s="243"/>
      <c r="O130" s="242"/>
    </row>
    <row r="131" spans="1:15" x14ac:dyDescent="0.2">
      <c r="A131" s="242"/>
      <c r="B131" s="243"/>
      <c r="C131" s="243"/>
      <c r="D131" s="243"/>
      <c r="E131" s="243"/>
      <c r="F131" s="243"/>
      <c r="G131" s="243"/>
      <c r="H131" s="243"/>
      <c r="I131" s="243"/>
      <c r="J131" s="243"/>
      <c r="K131" s="243"/>
      <c r="L131" s="243"/>
      <c r="M131" s="243"/>
      <c r="N131" s="243"/>
      <c r="O131" s="242"/>
    </row>
    <row r="132" spans="1:15" x14ac:dyDescent="0.2">
      <c r="A132" s="242"/>
      <c r="B132" s="243"/>
      <c r="C132" s="243"/>
      <c r="D132" s="243"/>
      <c r="E132" s="243"/>
      <c r="F132" s="243"/>
      <c r="G132" s="243"/>
      <c r="H132" s="243"/>
      <c r="I132" s="243"/>
      <c r="J132" s="243"/>
      <c r="K132" s="243"/>
      <c r="L132" s="243"/>
      <c r="M132" s="243"/>
      <c r="N132" s="243"/>
      <c r="O132" s="242"/>
    </row>
  </sheetData>
  <pageMargins left="0.7" right="0.7" top="0.75" bottom="0.75" header="0.3" footer="0.3"/>
  <pageSetup scale="42" fitToWidth="0" orientation="portrait" horizontalDpi="4294967294" verticalDpi="4294967294"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79998168889431442"/>
  </sheetPr>
  <dimension ref="A1:AM182"/>
  <sheetViews>
    <sheetView showGridLines="0" topLeftCell="L128" zoomScaleNormal="100" workbookViewId="0">
      <selection activeCell="S151" sqref="S151"/>
    </sheetView>
  </sheetViews>
  <sheetFormatPr defaultRowHeight="12.75" x14ac:dyDescent="0.2"/>
  <cols>
    <col min="1" max="1" width="13.6640625" customWidth="1"/>
    <col min="2" max="2" width="25.33203125" style="52" customWidth="1"/>
    <col min="3" max="3" width="16.83203125" style="681" customWidth="1"/>
    <col min="4" max="4" width="16.83203125" style="52" customWidth="1"/>
    <col min="5" max="5" width="16.83203125" style="752" customWidth="1"/>
    <col min="6" max="10" width="16.83203125" style="52" customWidth="1"/>
    <col min="11" max="16" width="16.83203125" style="695" customWidth="1"/>
    <col min="17" max="17" width="4.1640625" style="1" customWidth="1"/>
    <col min="18" max="18" width="20.33203125" style="52" bestFit="1" customWidth="1"/>
    <col min="19" max="19" width="21.6640625" style="1" bestFit="1" customWidth="1"/>
    <col min="20" max="20" width="10.1640625" style="1" customWidth="1"/>
    <col min="21" max="21" width="21.5" style="1" customWidth="1"/>
    <col min="22" max="22" width="33.6640625" style="1" bestFit="1" customWidth="1"/>
    <col min="23" max="24" width="21" style="1" bestFit="1" customWidth="1"/>
    <col min="25" max="25" width="17" style="1" bestFit="1" customWidth="1"/>
    <col min="26" max="26" width="26.6640625" style="1" bestFit="1" customWidth="1"/>
    <col min="27" max="27" width="17.33203125" style="1" customWidth="1"/>
    <col min="28" max="16384" width="9.33203125" style="1"/>
  </cols>
  <sheetData>
    <row r="1" spans="1:39" s="532" customFormat="1" x14ac:dyDescent="0.2">
      <c r="A1" s="726" t="s">
        <v>266</v>
      </c>
      <c r="B1" s="52"/>
      <c r="C1" s="681"/>
      <c r="D1" s="52"/>
      <c r="E1" s="752"/>
      <c r="F1" s="52"/>
      <c r="G1" s="52"/>
      <c r="H1" s="52"/>
      <c r="I1" s="52"/>
      <c r="J1" s="52"/>
      <c r="K1" s="695"/>
      <c r="L1" s="695"/>
      <c r="M1" s="695"/>
      <c r="N1" s="695"/>
      <c r="O1" s="695"/>
      <c r="P1" s="695"/>
      <c r="R1" s="52"/>
    </row>
    <row r="2" spans="1:39" s="532" customFormat="1" x14ac:dyDescent="0.2">
      <c r="A2"/>
      <c r="B2" s="52"/>
      <c r="C2" s="681"/>
      <c r="D2" s="52"/>
      <c r="E2" s="752"/>
      <c r="F2" s="52"/>
      <c r="G2" s="52"/>
      <c r="H2" s="52"/>
      <c r="I2" s="52"/>
      <c r="J2" s="52"/>
      <c r="K2" s="695"/>
      <c r="L2" s="695"/>
      <c r="M2" s="695"/>
      <c r="N2" s="695"/>
      <c r="O2" s="695"/>
      <c r="P2" s="695"/>
      <c r="R2" s="52"/>
    </row>
    <row r="3" spans="1:39" s="532" customFormat="1" x14ac:dyDescent="0.2">
      <c r="A3"/>
      <c r="B3" s="52"/>
      <c r="C3" s="681"/>
      <c r="D3" s="52"/>
      <c r="E3" s="752"/>
      <c r="F3" s="52"/>
      <c r="G3" s="52"/>
      <c r="H3" s="52"/>
      <c r="I3" s="52"/>
      <c r="J3" s="52"/>
      <c r="K3" s="695"/>
      <c r="L3" s="695"/>
      <c r="M3" s="695"/>
      <c r="N3" s="695"/>
      <c r="O3" s="695"/>
      <c r="P3" s="695"/>
      <c r="R3" s="52"/>
    </row>
    <row r="4" spans="1:39" s="532" customFormat="1" x14ac:dyDescent="0.2">
      <c r="A4"/>
      <c r="B4" s="52"/>
      <c r="C4" s="681"/>
      <c r="D4" s="52"/>
      <c r="E4" s="752"/>
      <c r="F4" s="52"/>
      <c r="G4" s="52"/>
      <c r="H4" s="52"/>
      <c r="I4" s="52"/>
      <c r="J4" s="52"/>
      <c r="K4" s="695"/>
      <c r="L4" s="695"/>
      <c r="M4" s="695"/>
      <c r="N4" s="695"/>
      <c r="O4" s="695"/>
      <c r="P4" s="695"/>
      <c r="R4" s="52"/>
    </row>
    <row r="5" spans="1:39" s="532" customFormat="1" x14ac:dyDescent="0.2">
      <c r="A5"/>
      <c r="B5" s="52"/>
      <c r="C5" s="681"/>
      <c r="D5" s="52"/>
      <c r="E5" s="752"/>
      <c r="F5" s="52"/>
      <c r="G5" s="52"/>
      <c r="H5" s="52"/>
      <c r="I5" s="52"/>
      <c r="J5" s="52"/>
      <c r="K5" s="695"/>
      <c r="L5" s="695"/>
      <c r="M5" s="695"/>
      <c r="N5" s="695"/>
      <c r="O5" s="695"/>
      <c r="P5" s="695"/>
      <c r="R5" s="52"/>
    </row>
    <row r="6" spans="1:39" s="532" customFormat="1" x14ac:dyDescent="0.2">
      <c r="A6"/>
      <c r="B6" s="52"/>
      <c r="C6" s="681"/>
      <c r="D6" s="52"/>
      <c r="E6" s="752"/>
      <c r="F6" s="52"/>
      <c r="G6" s="52"/>
      <c r="H6" s="52"/>
      <c r="I6" s="52"/>
      <c r="J6" s="52"/>
      <c r="K6" s="695"/>
      <c r="L6" s="695"/>
      <c r="M6" s="695"/>
      <c r="N6" s="695"/>
      <c r="O6" s="695"/>
      <c r="P6" s="695"/>
      <c r="R6" s="52"/>
    </row>
    <row r="7" spans="1:39" s="532" customFormat="1" x14ac:dyDescent="0.2">
      <c r="A7"/>
      <c r="B7" s="52"/>
      <c r="C7" s="681"/>
      <c r="D7" s="52"/>
      <c r="E7" s="752"/>
      <c r="F7" s="52"/>
      <c r="G7" s="52"/>
      <c r="H7" s="52"/>
      <c r="I7" s="52"/>
      <c r="J7" s="52"/>
      <c r="K7" s="695"/>
      <c r="L7" s="695"/>
      <c r="M7" s="695"/>
      <c r="N7" s="695"/>
      <c r="O7" s="695"/>
      <c r="P7" s="695"/>
      <c r="R7" s="52"/>
    </row>
    <row r="8" spans="1:39" s="532" customFormat="1" x14ac:dyDescent="0.2">
      <c r="A8"/>
      <c r="B8" s="52"/>
      <c r="C8" s="681"/>
      <c r="D8" s="52"/>
      <c r="E8" s="752"/>
      <c r="F8" s="52"/>
      <c r="G8" s="52"/>
      <c r="H8" s="52"/>
      <c r="I8" s="52"/>
      <c r="J8" s="52"/>
      <c r="K8" s="695"/>
      <c r="L8" s="695"/>
      <c r="M8" s="695"/>
      <c r="N8" s="695"/>
      <c r="O8" s="695"/>
      <c r="P8" s="695"/>
      <c r="R8" s="52"/>
    </row>
    <row r="9" spans="1:39" s="532" customFormat="1" x14ac:dyDescent="0.2">
      <c r="A9"/>
      <c r="B9" s="52"/>
      <c r="C9" s="681"/>
      <c r="D9" s="52"/>
      <c r="E9" s="752"/>
      <c r="F9" s="52"/>
      <c r="G9" s="52"/>
      <c r="H9" s="52"/>
      <c r="I9" s="52"/>
      <c r="J9" s="52"/>
      <c r="K9" s="695"/>
      <c r="L9" s="695"/>
      <c r="M9" s="695"/>
      <c r="N9" s="695"/>
      <c r="O9" s="695"/>
      <c r="P9" s="695"/>
      <c r="R9" s="52"/>
    </row>
    <row r="10" spans="1:39" s="532" customFormat="1" x14ac:dyDescent="0.2">
      <c r="A10"/>
      <c r="B10" s="52"/>
      <c r="C10" s="681"/>
      <c r="D10" s="52"/>
      <c r="E10" s="752"/>
      <c r="F10" s="52"/>
      <c r="G10" s="52"/>
      <c r="H10" s="52"/>
      <c r="I10" s="52"/>
      <c r="J10" s="52"/>
      <c r="K10" s="695"/>
      <c r="L10" s="695"/>
      <c r="M10" s="695"/>
      <c r="N10" s="695"/>
      <c r="O10" s="695"/>
      <c r="P10" s="695"/>
      <c r="R10" s="52"/>
    </row>
    <row r="11" spans="1:39" ht="23.25" x14ac:dyDescent="0.2">
      <c r="A11" s="256"/>
      <c r="B11" s="257" t="s">
        <v>97</v>
      </c>
      <c r="C11" s="682"/>
      <c r="D11" s="243"/>
      <c r="E11" s="753"/>
      <c r="F11" s="243"/>
      <c r="G11" s="243"/>
      <c r="H11" s="243"/>
      <c r="I11" s="243"/>
      <c r="J11" s="243"/>
      <c r="K11" s="696"/>
      <c r="L11" s="696"/>
      <c r="M11" s="696"/>
      <c r="N11" s="696"/>
      <c r="O11" s="696"/>
      <c r="P11" s="696"/>
      <c r="Q11" s="242"/>
      <c r="R11" s="243"/>
      <c r="S11" s="242"/>
      <c r="T11" s="242"/>
      <c r="U11" s="242"/>
      <c r="V11" s="242"/>
      <c r="W11" s="242"/>
      <c r="X11" s="242"/>
      <c r="Y11" s="242"/>
      <c r="Z11" s="242"/>
      <c r="AA11" s="242"/>
      <c r="AB11" s="242"/>
      <c r="AC11" s="242"/>
      <c r="AD11" s="242"/>
      <c r="AE11" s="242"/>
      <c r="AF11" s="242"/>
      <c r="AG11" s="242"/>
      <c r="AH11" s="242"/>
      <c r="AI11" s="242"/>
      <c r="AJ11" s="242"/>
      <c r="AK11" s="242"/>
      <c r="AL11" s="242"/>
      <c r="AM11" s="242"/>
    </row>
    <row r="12" spans="1:39" ht="15" x14ac:dyDescent="0.2">
      <c r="A12" s="256"/>
      <c r="B12" s="57" t="s">
        <v>63</v>
      </c>
      <c r="C12" s="682"/>
      <c r="D12" s="243"/>
      <c r="E12" s="753"/>
      <c r="F12" s="243"/>
      <c r="G12" s="243"/>
      <c r="H12" s="243"/>
      <c r="I12" s="243"/>
      <c r="J12" s="243"/>
      <c r="K12" s="696"/>
      <c r="L12" s="696"/>
      <c r="M12" s="696"/>
      <c r="N12" s="696"/>
      <c r="O12" s="696"/>
      <c r="P12" s="696"/>
      <c r="Q12" s="242"/>
      <c r="R12" s="242"/>
      <c r="S12" s="242"/>
      <c r="T12" s="242"/>
      <c r="U12" s="242"/>
      <c r="V12" s="242"/>
      <c r="W12" s="242"/>
      <c r="X12" s="242"/>
      <c r="Y12" s="242"/>
      <c r="Z12" s="242"/>
      <c r="AA12" s="242"/>
      <c r="AB12" s="242"/>
      <c r="AC12" s="242"/>
      <c r="AD12" s="242"/>
      <c r="AE12" s="242"/>
      <c r="AF12" s="242"/>
      <c r="AG12" s="242"/>
      <c r="AH12" s="242"/>
      <c r="AI12" s="242"/>
      <c r="AJ12" s="242"/>
      <c r="AK12" s="242"/>
    </row>
    <row r="13" spans="1:39" ht="14.25" x14ac:dyDescent="0.2">
      <c r="A13" s="256"/>
      <c r="B13" s="99" t="s">
        <v>246</v>
      </c>
      <c r="C13" s="682"/>
      <c r="D13" s="243"/>
      <c r="E13" s="753"/>
      <c r="F13" s="243"/>
      <c r="G13" s="243"/>
      <c r="H13" s="243"/>
      <c r="I13" s="243"/>
      <c r="J13" s="243"/>
      <c r="K13" s="696"/>
      <c r="L13" s="696"/>
      <c r="M13" s="696"/>
      <c r="N13" s="696"/>
      <c r="O13" s="696"/>
      <c r="P13" s="696"/>
      <c r="Q13" s="242"/>
      <c r="R13" s="243"/>
      <c r="S13" s="242"/>
      <c r="T13" s="242"/>
      <c r="U13" s="242"/>
      <c r="V13" s="242"/>
      <c r="W13" s="242"/>
      <c r="X13" s="242"/>
      <c r="Y13" s="242"/>
      <c r="Z13" s="242"/>
      <c r="AA13" s="242"/>
      <c r="AB13" s="242"/>
      <c r="AC13" s="242"/>
      <c r="AD13" s="242"/>
      <c r="AE13" s="242"/>
      <c r="AF13" s="242"/>
      <c r="AG13" s="242"/>
      <c r="AH13" s="242"/>
      <c r="AI13" s="242"/>
      <c r="AJ13" s="242"/>
      <c r="AK13" s="242"/>
      <c r="AL13" s="242"/>
      <c r="AM13" s="242"/>
    </row>
    <row r="14" spans="1:39" ht="14.25" x14ac:dyDescent="0.2">
      <c r="A14" s="256"/>
      <c r="B14" s="99" t="s">
        <v>247</v>
      </c>
      <c r="C14" s="682"/>
      <c r="D14" s="243"/>
      <c r="E14" s="753"/>
      <c r="F14" s="243"/>
      <c r="G14" s="243"/>
      <c r="H14" s="243"/>
      <c r="I14" s="243"/>
      <c r="J14" s="243"/>
      <c r="K14" s="696"/>
      <c r="L14" s="696"/>
      <c r="M14" s="696"/>
      <c r="N14" s="696"/>
      <c r="O14" s="696"/>
      <c r="P14" s="696"/>
      <c r="Q14" s="242"/>
      <c r="R14" s="243"/>
      <c r="S14" s="242"/>
      <c r="T14" s="242"/>
      <c r="U14" s="242"/>
      <c r="V14" s="242"/>
      <c r="W14" s="242"/>
      <c r="X14" s="242"/>
      <c r="Y14" s="242"/>
      <c r="Z14" s="242"/>
      <c r="AA14" s="242"/>
      <c r="AB14" s="242"/>
      <c r="AC14" s="242"/>
      <c r="AD14" s="242"/>
      <c r="AE14" s="242"/>
      <c r="AF14" s="242"/>
      <c r="AG14" s="242"/>
      <c r="AH14" s="242"/>
      <c r="AI14" s="242"/>
      <c r="AJ14" s="242"/>
      <c r="AK14" s="242"/>
      <c r="AL14" s="242"/>
      <c r="AM14" s="242"/>
    </row>
    <row r="15" spans="1:39" ht="15" customHeight="1" x14ac:dyDescent="0.2">
      <c r="A15" s="256"/>
      <c r="B15" s="99" t="s">
        <v>248</v>
      </c>
      <c r="C15" s="683"/>
      <c r="D15" s="257"/>
      <c r="E15" s="757"/>
      <c r="F15" s="257"/>
      <c r="G15" s="257"/>
      <c r="H15" s="257"/>
      <c r="I15" s="257"/>
      <c r="J15" s="243"/>
      <c r="K15" s="696"/>
      <c r="L15" s="696"/>
      <c r="M15" s="696"/>
      <c r="N15" s="696"/>
      <c r="O15" s="696"/>
      <c r="P15" s="696"/>
      <c r="Q15" s="242"/>
      <c r="R15" s="243"/>
      <c r="S15" s="242"/>
      <c r="T15" s="242"/>
      <c r="U15" s="242"/>
      <c r="V15" s="242"/>
      <c r="W15" s="242"/>
      <c r="X15" s="242"/>
      <c r="Y15" s="242"/>
      <c r="Z15" s="242"/>
      <c r="AA15" s="242"/>
      <c r="AB15" s="242"/>
      <c r="AC15" s="242"/>
      <c r="AD15" s="242"/>
      <c r="AE15" s="242"/>
      <c r="AF15" s="242"/>
      <c r="AG15" s="242"/>
      <c r="AH15" s="242"/>
      <c r="AI15" s="242"/>
      <c r="AJ15" s="242"/>
      <c r="AK15" s="242"/>
      <c r="AL15" s="242"/>
      <c r="AM15" s="242"/>
    </row>
    <row r="16" spans="1:39" ht="13.5" customHeight="1" x14ac:dyDescent="0.2">
      <c r="A16" s="256"/>
      <c r="C16" s="683"/>
      <c r="D16" s="257"/>
      <c r="E16" s="757"/>
      <c r="F16" s="257"/>
      <c r="G16" s="257"/>
      <c r="H16" s="257"/>
      <c r="I16" s="257"/>
      <c r="J16" s="243"/>
      <c r="K16" s="696"/>
      <c r="L16" s="696"/>
      <c r="M16" s="696"/>
      <c r="N16" s="696"/>
      <c r="O16" s="696"/>
      <c r="P16" s="696"/>
      <c r="Q16" s="242"/>
      <c r="R16" s="243"/>
      <c r="S16" s="242"/>
      <c r="T16" s="242"/>
      <c r="U16" s="242"/>
      <c r="V16" s="242"/>
      <c r="W16" s="242"/>
      <c r="X16" s="242"/>
      <c r="Y16" s="242"/>
      <c r="Z16" s="242"/>
      <c r="AA16" s="242"/>
      <c r="AB16" s="242"/>
      <c r="AC16" s="242"/>
      <c r="AD16" s="242"/>
      <c r="AE16" s="242"/>
      <c r="AF16" s="242"/>
      <c r="AG16" s="242"/>
      <c r="AH16" s="242"/>
      <c r="AI16" s="242"/>
      <c r="AJ16" s="242"/>
      <c r="AK16" s="242"/>
      <c r="AL16" s="242"/>
      <c r="AM16" s="242"/>
    </row>
    <row r="17" spans="1:39" s="177" customFormat="1" x14ac:dyDescent="0.2">
      <c r="A17" s="551"/>
      <c r="B17" s="555"/>
      <c r="C17" s="684"/>
      <c r="D17" s="911" t="s">
        <v>134</v>
      </c>
      <c r="E17" s="911"/>
      <c r="F17" s="911"/>
      <c r="G17" s="911"/>
      <c r="H17" s="911"/>
      <c r="I17" s="911"/>
      <c r="J17" s="555"/>
      <c r="K17" s="911" t="s">
        <v>122</v>
      </c>
      <c r="L17" s="911"/>
      <c r="M17" s="911"/>
      <c r="N17" s="911"/>
      <c r="O17" s="911"/>
      <c r="P17" s="911"/>
      <c r="Q17" s="269"/>
      <c r="R17" s="555"/>
      <c r="S17" s="269"/>
      <c r="T17" s="269"/>
      <c r="U17" s="269"/>
      <c r="V17" s="269"/>
      <c r="W17" s="269"/>
      <c r="X17" s="269"/>
      <c r="Y17" s="269"/>
      <c r="Z17" s="269"/>
      <c r="AA17" s="269"/>
      <c r="AB17" s="269"/>
      <c r="AC17" s="269"/>
      <c r="AD17" s="269"/>
      <c r="AE17" s="269"/>
      <c r="AF17" s="269"/>
      <c r="AG17" s="269"/>
      <c r="AH17" s="269"/>
      <c r="AI17" s="269"/>
      <c r="AJ17" s="269"/>
      <c r="AK17" s="269"/>
      <c r="AL17" s="269"/>
      <c r="AM17" s="269"/>
    </row>
    <row r="18" spans="1:39" s="764" customFormat="1" ht="75" customHeight="1" thickBot="1" x14ac:dyDescent="0.25">
      <c r="A18" s="760"/>
      <c r="B18" s="552"/>
      <c r="C18" s="685" t="s">
        <v>120</v>
      </c>
      <c r="D18" s="553" t="s">
        <v>264</v>
      </c>
      <c r="E18" s="553" t="s">
        <v>293</v>
      </c>
      <c r="F18" s="553" t="s">
        <v>294</v>
      </c>
      <c r="G18" s="553" t="s">
        <v>357</v>
      </c>
      <c r="H18" s="554" t="s">
        <v>242</v>
      </c>
      <c r="I18" s="554" t="s">
        <v>242</v>
      </c>
      <c r="J18" s="549" t="s">
        <v>121</v>
      </c>
      <c r="K18" s="742" t="s">
        <v>1</v>
      </c>
      <c r="L18" s="742" t="s">
        <v>2</v>
      </c>
      <c r="M18" s="742" t="s">
        <v>240</v>
      </c>
      <c r="N18" s="742" t="s">
        <v>262</v>
      </c>
      <c r="O18" s="742" t="s">
        <v>265</v>
      </c>
      <c r="P18" s="742" t="s">
        <v>263</v>
      </c>
      <c r="Q18" s="761"/>
      <c r="R18" s="241" t="s">
        <v>146</v>
      </c>
      <c r="S18" s="241" t="s">
        <v>32</v>
      </c>
      <c r="T18" s="555"/>
      <c r="U18" s="762" t="s">
        <v>156</v>
      </c>
      <c r="V18" s="762"/>
      <c r="W18" s="762"/>
      <c r="X18" s="762"/>
      <c r="Y18" s="762"/>
      <c r="Z18" s="762"/>
      <c r="AA18" s="762"/>
      <c r="AB18" s="762"/>
      <c r="AC18" s="762"/>
      <c r="AD18" s="763"/>
      <c r="AE18" s="555"/>
      <c r="AF18" s="555"/>
      <c r="AG18" s="555"/>
      <c r="AH18" s="555"/>
      <c r="AI18" s="555"/>
      <c r="AJ18" s="555"/>
      <c r="AK18" s="555"/>
      <c r="AL18" s="555"/>
      <c r="AM18" s="555"/>
    </row>
    <row r="19" spans="1:39" s="755" customFormat="1" ht="26.25" hidden="1" thickBot="1" x14ac:dyDescent="0.25">
      <c r="A19" s="765"/>
      <c r="B19" s="766"/>
      <c r="C19" s="767"/>
      <c r="D19" s="768"/>
      <c r="E19" s="754"/>
      <c r="F19" s="754"/>
      <c r="G19" s="547"/>
      <c r="H19" s="752"/>
      <c r="I19" s="717" t="s">
        <v>165</v>
      </c>
      <c r="J19" s="680"/>
      <c r="K19" s="769" t="s">
        <v>167</v>
      </c>
      <c r="L19" s="769" t="s">
        <v>167</v>
      </c>
      <c r="M19" s="769" t="s">
        <v>167</v>
      </c>
      <c r="N19" s="769" t="s">
        <v>233</v>
      </c>
      <c r="O19" s="769" t="s">
        <v>167</v>
      </c>
      <c r="P19" s="769" t="s">
        <v>167</v>
      </c>
      <c r="Q19" s="912"/>
      <c r="R19" s="912"/>
      <c r="S19" s="912"/>
      <c r="T19" s="756"/>
      <c r="U19" s="770"/>
      <c r="V19" s="770"/>
      <c r="W19" s="770"/>
      <c r="X19" s="770"/>
      <c r="Y19" s="770"/>
      <c r="Z19" s="770"/>
      <c r="AA19" s="770"/>
      <c r="AB19" s="770"/>
      <c r="AC19" s="770"/>
      <c r="AD19" s="771"/>
      <c r="AE19" s="756"/>
      <c r="AF19" s="756"/>
      <c r="AG19" s="756"/>
      <c r="AH19" s="756"/>
      <c r="AI19" s="756"/>
      <c r="AJ19" s="756"/>
      <c r="AK19" s="756"/>
      <c r="AL19" s="756"/>
      <c r="AM19" s="756"/>
    </row>
    <row r="20" spans="1:39" x14ac:dyDescent="0.2">
      <c r="A20" s="500">
        <v>1</v>
      </c>
      <c r="B20" s="548" t="str">
        <f>CONCATENATE('3. Consumption by Rate Class'!B25,"-",'3. Consumption by Rate Class'!C25)</f>
        <v>2006-January</v>
      </c>
      <c r="C20" s="686">
        <v>26817115</v>
      </c>
      <c r="D20" s="822">
        <v>2612043</v>
      </c>
      <c r="E20" s="823">
        <v>1851400</v>
      </c>
      <c r="F20" s="822"/>
      <c r="G20" s="822"/>
      <c r="H20" s="674"/>
      <c r="I20" s="674"/>
      <c r="J20" s="550">
        <f t="shared" ref="J20:J83" si="0">C20-D20-E20+F20+G20</f>
        <v>22353672</v>
      </c>
      <c r="K20" s="697">
        <f>IF(K$18='5.Variables'!$B$16,+'5.Variables'!$C27,+IF(K$18='5.Variables'!$B$39,+'5.Variables'!$C50,+IF(K$18='5.Variables'!$B$62,+'5.Variables'!$C64,+IF(K$18='5.Variables'!$B$76,+'5.Variables'!$C78,+IF(K$18='5.Variables'!$B$90,+'5.Variables'!$C92,+IF(K$18='5.Variables'!$B$104,+'5.Variables'!$C106,0))))))</f>
        <v>589</v>
      </c>
      <c r="L20" s="697">
        <f>IF(L$18='5.Variables'!$B$16,+'5.Variables'!$C27,+IF(L$18='5.Variables'!$B$39,+'5.Variables'!$C50,+IF(L$18='5.Variables'!$B$62,+'5.Variables'!$C64,+IF(L$18='5.Variables'!$B$76,+'5.Variables'!$C78,+IF(L$18='5.Variables'!$B$90,+'5.Variables'!$C92,+IF(L$18='5.Variables'!$B$104,+'5.Variables'!$C106,0))))))</f>
        <v>0</v>
      </c>
      <c r="M20" s="697">
        <f>IF(M$18='5.Variables'!$B$16,+'5.Variables'!$C26,+IF(M$18='5.Variables'!$B$39,+'5.Variables'!$C50,+IF(M$18='5.Variables'!$B$62,+'5.Variables'!$C64,+IF(M$18='5.Variables'!$B$76,+'5.Variables'!$C78,+IF(M$18='5.Variables'!$B$90,+'5.Variables'!$C92,+IF(M$18='5.Variables'!$B$104,+'5.Variables'!$C106,0))))))</f>
        <v>31</v>
      </c>
      <c r="N20" s="697">
        <f>IF(N$18='5.Variables'!$B$16,+'5.Variables'!$C26,+IF(N$18='5.Variables'!$B$39,+'5.Variables'!$C50,+IF(N$18='5.Variables'!$B$62,+'5.Variables'!$C64,+IF(N$18='5.Variables'!$B$76,+'5.Variables'!$C78,+IF(N$18='5.Variables'!$B$90,+'5.Variables'!$C92,+IF(N$18='5.Variables'!$B$104,+'5.Variables'!$C106,0))))))</f>
        <v>134.25</v>
      </c>
      <c r="O20" s="697">
        <f>IF(O$18='5.Variables'!$B$16,+'5.Variables'!$C26,+IF(O$18='5.Variables'!$B$39,+'5.Variables'!$C50,+IF(O$18='5.Variables'!$B$62,+'5.Variables'!$C64,+IF(O$18='5.Variables'!$B$76,+'5.Variables'!$C78,+IF(O$18='5.Variables'!$B$90,+'5.Variables'!$C92,+IF(O$18='5.Variables'!$B$104,+'5.Variables'!$C106,0))))))</f>
        <v>0</v>
      </c>
      <c r="P20" s="697">
        <f>IF(P$18='5.Variables'!$B$16,+'5.Variables'!$C26,+IF(P$18='5.Variables'!$B$39,+'5.Variables'!$C50,+IF(P$18='5.Variables'!$B$62,+'5.Variables'!$C64,+IF(P$18='5.Variables'!$B$76,+'5.Variables'!$C78,+IF(P$18='5.Variables'!$B$90,+'5.Variables'!$C92,+IF(P$18='5.Variables'!$B$104,+'5.Variables'!$C106,0))))))</f>
        <v>336</v>
      </c>
      <c r="Q20" s="242"/>
      <c r="R20" s="550">
        <f>$V$34+(K20*$V$35)+(L20*$V$36)+(M20*$V$37)+(N20*$V$38)+(O20*$V$39)+(P20*$V$40)</f>
        <v>21887805.869645253</v>
      </c>
      <c r="S20" s="261"/>
      <c r="T20" s="242"/>
      <c r="U20" s="776" t="s">
        <v>7</v>
      </c>
      <c r="V20" s="776"/>
      <c r="W20"/>
      <c r="X20"/>
      <c r="Y20"/>
      <c r="Z20"/>
      <c r="AA20"/>
      <c r="AB20"/>
      <c r="AC20"/>
      <c r="AD20" s="258"/>
      <c r="AE20" s="242"/>
      <c r="AF20" s="242"/>
      <c r="AG20" s="242"/>
      <c r="AH20" s="242"/>
      <c r="AI20" s="242"/>
      <c r="AJ20" s="242"/>
      <c r="AK20" s="242"/>
      <c r="AL20" s="242"/>
      <c r="AM20" s="242"/>
    </row>
    <row r="21" spans="1:39" x14ac:dyDescent="0.2">
      <c r="A21" s="500">
        <f>+A20+1</f>
        <v>2</v>
      </c>
      <c r="B21" s="259" t="str">
        <f>CONCATENATE('3. Consumption by Rate Class'!B26,"-",'3. Consumption by Rate Class'!C26)</f>
        <v>2006-February</v>
      </c>
      <c r="C21" s="670">
        <v>25311949</v>
      </c>
      <c r="D21" s="824">
        <v>2635193</v>
      </c>
      <c r="E21" s="825">
        <v>2180089</v>
      </c>
      <c r="F21" s="824"/>
      <c r="G21" s="824"/>
      <c r="H21" s="675"/>
      <c r="I21" s="675"/>
      <c r="J21" s="550">
        <f t="shared" si="0"/>
        <v>20496667</v>
      </c>
      <c r="K21" s="697">
        <f>IF(K$18='5.Variables'!$B$16,+'5.Variables'!$D27,+IF(K$18='5.Variables'!$B$39,+'5.Variables'!$D50,+IF(K$18='5.Variables'!$B$62,+'5.Variables'!$D64,+IF(K$18='5.Variables'!$B$76,+'5.Variables'!$D78,+IF(K$18='5.Variables'!$B$90,+'5.Variables'!$D92,+IF(K$18='5.Variables'!$B$104,+'5.Variables'!$D106,0))))))</f>
        <v>627.20000000000005</v>
      </c>
      <c r="L21" s="697">
        <f>IF(L$18='5.Variables'!$B$16,+'5.Variables'!$D27,+IF(L$18='5.Variables'!$B$39,+'5.Variables'!$D50,+IF(L$18='5.Variables'!$B$62,+'5.Variables'!$D64,+IF(L$18='5.Variables'!$B$76,+'5.Variables'!$D78,+IF(L$18='5.Variables'!$B$90,+'5.Variables'!$D92,+IF(L$18='5.Variables'!$B$104,+'5.Variables'!$D106,0))))))</f>
        <v>0</v>
      </c>
      <c r="M21" s="697">
        <f>IF(M$18='5.Variables'!$B$16,+'5.Variables'!$D26,+IF(M$18='5.Variables'!$B$39,+'5.Variables'!$D50,+IF(M$18='5.Variables'!$B$62,+'5.Variables'!$D64,+IF(M$18='5.Variables'!$B$76,+'5.Variables'!$D78,+IF(M$18='5.Variables'!$B$90,+'5.Variables'!$D92,+IF(M$18='5.Variables'!$B$104,+'5.Variables'!$D106,0))))))</f>
        <v>28</v>
      </c>
      <c r="N21" s="697">
        <f>IF(N$18='5.Variables'!$B$16,+'5.Variables'!$D26,+IF(N$18='5.Variables'!$B$39,+'5.Variables'!$D50,+IF(N$18='5.Variables'!$B$62,+'5.Variables'!$D64,+IF(N$18='5.Variables'!$B$76,+'5.Variables'!$D78,+IF(N$18='5.Variables'!$B$90,+'5.Variables'!$D92,+IF(N$18='5.Variables'!$B$104,+'5.Variables'!$D106,0))))))</f>
        <v>134.56</v>
      </c>
      <c r="O21" s="697">
        <f>IF(O$18='5.Variables'!$B$16,+'5.Variables'!$D26,+IF(O$18='5.Variables'!$B$39,+'5.Variables'!$D50,+IF(O$18='5.Variables'!$B$62,+'5.Variables'!$D64,+IF(O$18='5.Variables'!$B$76,+'5.Variables'!$D78,+IF(O$18='5.Variables'!$B$90,+'5.Variables'!$D92,+IF(O$18='5.Variables'!$B$104,+'5.Variables'!$D106,0))))))</f>
        <v>0</v>
      </c>
      <c r="P21" s="697">
        <f>IF(P$18='5.Variables'!$B$16,+'5.Variables'!$D26,+IF(P$18='5.Variables'!$B$39,+'5.Variables'!$D50,+IF(P$18='5.Variables'!$B$62,+'5.Variables'!$D64,+IF(P$18='5.Variables'!$B$76,+'5.Variables'!$D78,+IF(P$18='5.Variables'!$B$90,+'5.Variables'!$D92,+IF(P$18='5.Variables'!$B$104,+'5.Variables'!$D106,0))))))</f>
        <v>320</v>
      </c>
      <c r="Q21" s="242"/>
      <c r="R21" s="260">
        <f t="shared" ref="R21:R84" si="1">$V$34+(K21*$V$35)+(L21*$V$36)+(M21*$V$37)+(N21*$V$38)+(O21*$V$39)+(P21*$V$40)</f>
        <v>20884991.695493937</v>
      </c>
      <c r="S21" s="261"/>
      <c r="T21" s="242"/>
      <c r="U21" s="542" t="s">
        <v>8</v>
      </c>
      <c r="V21" s="542">
        <v>0.93612971280501212</v>
      </c>
      <c r="W21"/>
      <c r="X21"/>
      <c r="Y21"/>
      <c r="Z21"/>
      <c r="AA21"/>
      <c r="AB21"/>
      <c r="AC21"/>
      <c r="AD21" s="258"/>
      <c r="AE21" s="242"/>
      <c r="AF21" s="242"/>
      <c r="AG21" s="242"/>
      <c r="AH21" s="242"/>
      <c r="AI21" s="242"/>
      <c r="AJ21" s="242"/>
      <c r="AK21" s="242"/>
      <c r="AL21" s="242"/>
      <c r="AM21" s="242"/>
    </row>
    <row r="22" spans="1:39" x14ac:dyDescent="0.2">
      <c r="A22" s="500">
        <f t="shared" ref="A22:A85" si="2">+A21+1</f>
        <v>3</v>
      </c>
      <c r="B22" s="259" t="str">
        <f>CONCATENATE('3. Consumption by Rate Class'!B27,"-",'3. Consumption by Rate Class'!C27)</f>
        <v>2006-March</v>
      </c>
      <c r="C22" s="670">
        <v>27026370</v>
      </c>
      <c r="D22" s="826">
        <v>2700439</v>
      </c>
      <c r="E22" s="827">
        <v>2772699</v>
      </c>
      <c r="F22" s="826"/>
      <c r="G22" s="826"/>
      <c r="H22" s="677"/>
      <c r="I22" s="677"/>
      <c r="J22" s="550">
        <f t="shared" si="0"/>
        <v>21553232</v>
      </c>
      <c r="K22" s="697">
        <f>IF(K$18='5.Variables'!$B$16,+'5.Variables'!$E27,+IF(K$18='5.Variables'!$B$39,+'5.Variables'!$E50,+IF(K$18='5.Variables'!$B$62,+'5.Variables'!$E64,+IF(K$18='5.Variables'!$B$76,+'5.Variables'!$E78,+IF(K$18='5.Variables'!$B$90,+'5.Variables'!$E92,+IF(K$18='5.Variables'!$B$104,+'5.Variables'!$E106,0))))))</f>
        <v>564.4</v>
      </c>
      <c r="L22" s="697">
        <f>IF(L$18='5.Variables'!$B$16,+'5.Variables'!$E27,+IF(L$18='5.Variables'!$B$39,+'5.Variables'!$E50,+IF(L$18='5.Variables'!$B$62,+'5.Variables'!$E64,+IF(L$18='5.Variables'!$B$76,+'5.Variables'!$E78,+IF(L$18='5.Variables'!$B$90,+'5.Variables'!$E92,+IF(L$18='5.Variables'!$B$104,+'5.Variables'!$E106,0))))))</f>
        <v>0</v>
      </c>
      <c r="M22" s="697">
        <f>IF(M$18='5.Variables'!$B$16,+'5.Variables'!$E26,+IF(M$18='5.Variables'!$B$39,+'5.Variables'!$E50,+IF(M$18='5.Variables'!$B$62,+'5.Variables'!$E64,+IF(M$18='5.Variables'!$B$76,+'5.Variables'!$E78,+IF(M$18='5.Variables'!$B$90,+'5.Variables'!$E92,+IF(M$18='5.Variables'!$B$104,+'5.Variables'!$E106,0))))))</f>
        <v>31</v>
      </c>
      <c r="N22" s="697">
        <f>IF(N$18='5.Variables'!$B$16,+'5.Variables'!$E26,+IF(N$18='5.Variables'!$B$39,+'5.Variables'!$E50,+IF(N$18='5.Variables'!$B$62,+'5.Variables'!$E64,+IF(N$18='5.Variables'!$B$76,+'5.Variables'!$E78,+IF(N$18='5.Variables'!$B$90,+'5.Variables'!$E92,+IF(N$18='5.Variables'!$B$104,+'5.Variables'!$E106,0))))))</f>
        <v>134.81</v>
      </c>
      <c r="O22" s="697">
        <f>IF(O$18='5.Variables'!$B$16,+'5.Variables'!$E26,+IF(O$18='5.Variables'!$B$39,+'5.Variables'!$E50,+IF(O$18='5.Variables'!$B$62,+'5.Variables'!$E64,+IF(O$18='5.Variables'!$B$76,+'5.Variables'!$E78,+IF(O$18='5.Variables'!$B$90,+'5.Variables'!$E92,+IF(O$18='5.Variables'!$B$104,+'5.Variables'!$E106,0))))))</f>
        <v>0</v>
      </c>
      <c r="P22" s="697">
        <f>IF(P$18='5.Variables'!$B$16,+'5.Variables'!$E26,+IF(P$18='5.Variables'!$B$39,+'5.Variables'!$E50,+IF(P$18='5.Variables'!$B$62,+'5.Variables'!$E64,+IF(P$18='5.Variables'!$B$76,+'5.Variables'!$E78,+IF(P$18='5.Variables'!$B$90,+'5.Variables'!$E92,+IF(P$18='5.Variables'!$B$104,+'5.Variables'!$E106,0))))))</f>
        <v>368</v>
      </c>
      <c r="Q22" s="242"/>
      <c r="R22" s="260">
        <f t="shared" si="1"/>
        <v>21987354.292250689</v>
      </c>
      <c r="S22" s="262"/>
      <c r="T22" s="242"/>
      <c r="U22" s="542" t="s">
        <v>9</v>
      </c>
      <c r="V22" s="542">
        <v>0.87633883919639455</v>
      </c>
      <c r="W22"/>
      <c r="X22"/>
      <c r="Y22"/>
      <c r="Z22"/>
      <c r="AA22"/>
      <c r="AB22"/>
      <c r="AC22"/>
      <c r="AD22" s="258"/>
      <c r="AE22" s="242"/>
      <c r="AF22" s="242"/>
      <c r="AG22" s="242"/>
      <c r="AH22" s="242"/>
      <c r="AI22" s="242"/>
      <c r="AJ22" s="242"/>
      <c r="AK22" s="242"/>
      <c r="AL22" s="242"/>
      <c r="AM22" s="242"/>
    </row>
    <row r="23" spans="1:39" x14ac:dyDescent="0.2">
      <c r="A23" s="500">
        <f t="shared" si="2"/>
        <v>4</v>
      </c>
      <c r="B23" s="259" t="str">
        <f>CONCATENATE('3. Consumption by Rate Class'!B28,"-",'3. Consumption by Rate Class'!C28)</f>
        <v>2006-April</v>
      </c>
      <c r="C23" s="670">
        <v>23542027</v>
      </c>
      <c r="D23" s="826">
        <v>2416600</v>
      </c>
      <c r="E23" s="827">
        <v>2666000</v>
      </c>
      <c r="F23" s="826"/>
      <c r="G23" s="826"/>
      <c r="H23" s="677"/>
      <c r="I23" s="677"/>
      <c r="J23" s="550">
        <f t="shared" si="0"/>
        <v>18459427</v>
      </c>
      <c r="K23" s="697">
        <f>IF(K$18='5.Variables'!$B$16,+'5.Variables'!$F27,+IF(K$18='5.Variables'!$B$39,+'5.Variables'!$F50,+IF(K$18='5.Variables'!$B$62,+'5.Variables'!$F64,+IF(K$18='5.Variables'!$B$76,+'5.Variables'!$F78,+IF(K$18='5.Variables'!$B$90,+'5.Variables'!$F92,+IF(K$18='5.Variables'!$B$104,+'5.Variables'!$F106,0))))))</f>
        <v>342.6</v>
      </c>
      <c r="L23" s="697">
        <f>IF(L$18='5.Variables'!$B$16,+'5.Variables'!$F27,+IF(L$18='5.Variables'!$B$39,+'5.Variables'!$F50,+IF(L$18='5.Variables'!$B$62,+'5.Variables'!$F64,+IF(L$18='5.Variables'!$B$76,+'5.Variables'!$F78,+IF(L$18='5.Variables'!$B$90,+'5.Variables'!$F92,+IF(L$18='5.Variables'!$B$104,+'5.Variables'!$F106,0))))))</f>
        <v>0</v>
      </c>
      <c r="M23" s="697">
        <f>IF(M$18='5.Variables'!$B$16,+'5.Variables'!$F26,+IF(M$18='5.Variables'!$B$39,+'5.Variables'!$F50,+IF(M$18='5.Variables'!$B$62,+'5.Variables'!$F64,+IF(M$18='5.Variables'!$B$76,+'5.Variables'!$F78,+IF(M$18='5.Variables'!$B$90,+'5.Variables'!$F92,+IF(M$18='5.Variables'!$B$104,+'5.Variables'!$F106,0))))))</f>
        <v>30</v>
      </c>
      <c r="N23" s="697">
        <f>IF(N$18='5.Variables'!$B$16,+'5.Variables'!$F26,+IF(N$18='5.Variables'!$B$39,+'5.Variables'!$F50,+IF(N$18='5.Variables'!$B$62,+'5.Variables'!$F64,+IF(N$18='5.Variables'!$B$76,+'5.Variables'!$F78,+IF(N$18='5.Variables'!$B$90,+'5.Variables'!$F92,+IF(N$18='5.Variables'!$B$104,+'5.Variables'!$F106,0))))))</f>
        <v>135.08000000000001</v>
      </c>
      <c r="O23" s="697">
        <f>IF(O$18='5.Variables'!$B$16,+'5.Variables'!$F26,+IF(O$18='5.Variables'!$B$39,+'5.Variables'!$F50,+IF(O$18='5.Variables'!$B$62,+'5.Variables'!$F64,+IF(O$18='5.Variables'!$B$76,+'5.Variables'!$F78,+IF(O$18='5.Variables'!$B$90,+'5.Variables'!$F92,+IF(O$18='5.Variables'!$B$104,+'5.Variables'!$F106,0))))))</f>
        <v>0</v>
      </c>
      <c r="P23" s="697">
        <f>IF(P$18='5.Variables'!$B$16,+'5.Variables'!$F26,+IF(P$18='5.Variables'!$B$39,+'5.Variables'!$F50,+IF(P$18='5.Variables'!$B$62,+'5.Variables'!$F64,+IF(P$18='5.Variables'!$B$76,+'5.Variables'!$F78,+IF(P$18='5.Variables'!$B$90,+'5.Variables'!$F92,+IF(P$18='5.Variables'!$B$104,+'5.Variables'!$F106,0))))))</f>
        <v>304</v>
      </c>
      <c r="Q23" s="242"/>
      <c r="R23" s="260">
        <f t="shared" si="1"/>
        <v>19683574.678058315</v>
      </c>
      <c r="S23" s="262"/>
      <c r="T23" s="242"/>
      <c r="U23" s="542" t="s">
        <v>10</v>
      </c>
      <c r="V23" s="542">
        <v>0.86977275986168989</v>
      </c>
      <c r="W23"/>
      <c r="X23"/>
      <c r="Y23"/>
      <c r="Z23"/>
      <c r="AA23"/>
      <c r="AB23"/>
      <c r="AC23"/>
      <c r="AD23" s="258"/>
      <c r="AE23" s="242"/>
      <c r="AF23" s="242"/>
      <c r="AG23" s="242"/>
      <c r="AH23" s="242"/>
      <c r="AI23" s="242"/>
      <c r="AJ23" s="242"/>
      <c r="AK23" s="242"/>
      <c r="AL23" s="242"/>
      <c r="AM23" s="242"/>
    </row>
    <row r="24" spans="1:39" x14ac:dyDescent="0.2">
      <c r="A24" s="500">
        <f t="shared" si="2"/>
        <v>5</v>
      </c>
      <c r="B24" s="259" t="str">
        <f>CONCATENATE('3. Consumption by Rate Class'!B29,"-",'3. Consumption by Rate Class'!C29)</f>
        <v>2006-May</v>
      </c>
      <c r="C24" s="670">
        <v>23594804</v>
      </c>
      <c r="D24" s="826">
        <v>2664711</v>
      </c>
      <c r="E24" s="827">
        <v>2329487</v>
      </c>
      <c r="F24" s="826"/>
      <c r="G24" s="826"/>
      <c r="H24" s="677"/>
      <c r="I24" s="677"/>
      <c r="J24" s="550">
        <f t="shared" si="0"/>
        <v>18600606</v>
      </c>
      <c r="K24" s="697">
        <f>IF(K$18='5.Variables'!$B$16,+'5.Variables'!$G27,+IF(K$18='5.Variables'!$B$39,+'5.Variables'!$G50,+IF(K$18='5.Variables'!$B$62,+'5.Variables'!$G64,+IF(K$18='5.Variables'!$B$76,+'5.Variables'!$G78,+IF(K$18='5.Variables'!$B$90,+'5.Variables'!$G92,+IF(K$18='5.Variables'!$B$104,+'5.Variables'!$G106,0))))))</f>
        <v>192.1</v>
      </c>
      <c r="L24" s="697">
        <f>IF(L$18='5.Variables'!$B$16,+'5.Variables'!$G27,+IF(L$18='5.Variables'!$B$39,+'5.Variables'!$G50,+IF(L$18='5.Variables'!$B$62,+'5.Variables'!$G64,+IF(L$18='5.Variables'!$B$76,+'5.Variables'!$G78,+IF(L$18='5.Variables'!$B$90,+'5.Variables'!$G92,+IF(L$18='5.Variables'!$B$104,+'5.Variables'!$G106,0))))))</f>
        <v>6.3</v>
      </c>
      <c r="M24" s="697">
        <f>IF(M$18='5.Variables'!$B$16,+'5.Variables'!$G26,+IF(M$18='5.Variables'!$B$39,+'5.Variables'!$G50,+IF(M$18='5.Variables'!$B$62,+'5.Variables'!$G64,+IF(M$18='5.Variables'!$B$76,+'5.Variables'!$G78,+IF(M$18='5.Variables'!$B$90,+'5.Variables'!$G92,+IF(M$18='5.Variables'!$B$104,+'5.Variables'!$G106,0))))))</f>
        <v>31</v>
      </c>
      <c r="N24" s="697">
        <f>IF(N$18='5.Variables'!$B$16,+'5.Variables'!$G26,+IF(N$18='5.Variables'!$B$39,+'5.Variables'!$G50,+IF(N$18='5.Variables'!$B$62,+'5.Variables'!$G64,+IF(N$18='5.Variables'!$B$76,+'5.Variables'!$G78,+IF(N$18='5.Variables'!$B$90,+'5.Variables'!$G92,+IF(N$18='5.Variables'!$B$104,+'5.Variables'!$G106,0))))))</f>
        <v>135.36000000000001</v>
      </c>
      <c r="O24" s="697">
        <f>IF(O$18='5.Variables'!$B$16,+'5.Variables'!$G26,+IF(O$18='5.Variables'!$B$39,+'5.Variables'!$G50,+IF(O$18='5.Variables'!$B$62,+'5.Variables'!$G64,+IF(O$18='5.Variables'!$B$76,+'5.Variables'!$G78,+IF(O$18='5.Variables'!$B$90,+'5.Variables'!$G92,+IF(O$18='5.Variables'!$B$104,+'5.Variables'!$G106,0))))))</f>
        <v>0</v>
      </c>
      <c r="P24" s="697">
        <f>IF(P$18='5.Variables'!$B$16,+'5.Variables'!$G26,+IF(P$18='5.Variables'!$B$39,+'5.Variables'!$G50,+IF(P$18='5.Variables'!$B$62,+'5.Variables'!$G64,+IF(P$18='5.Variables'!$B$76,+'5.Variables'!$G78,+IF(P$18='5.Variables'!$B$90,+'5.Variables'!$G92,+IF(P$18='5.Variables'!$B$104,+'5.Variables'!$G106,0))))))</f>
        <v>352</v>
      </c>
      <c r="Q24" s="242"/>
      <c r="R24" s="260">
        <f t="shared" si="1"/>
        <v>19706791.014873397</v>
      </c>
      <c r="S24" s="262"/>
      <c r="T24" s="242"/>
      <c r="U24" s="542" t="s">
        <v>11</v>
      </c>
      <c r="V24" s="542">
        <v>562293.8466490329</v>
      </c>
      <c r="W24"/>
      <c r="X24"/>
      <c r="Y24"/>
      <c r="Z24"/>
      <c r="AA24"/>
      <c r="AB24"/>
      <c r="AC24"/>
      <c r="AD24" s="258"/>
      <c r="AE24" s="242"/>
      <c r="AF24" s="242"/>
      <c r="AG24" s="242"/>
      <c r="AH24" s="242"/>
      <c r="AI24" s="242"/>
      <c r="AJ24" s="242"/>
      <c r="AK24" s="242"/>
      <c r="AL24" s="242"/>
      <c r="AM24" s="242"/>
    </row>
    <row r="25" spans="1:39" ht="13.5" thickBot="1" x14ac:dyDescent="0.25">
      <c r="A25" s="500">
        <f t="shared" si="2"/>
        <v>6</v>
      </c>
      <c r="B25" s="259" t="str">
        <f>CONCATENATE('3. Consumption by Rate Class'!B30,"-",'3. Consumption by Rate Class'!C30)</f>
        <v>2006-June</v>
      </c>
      <c r="C25" s="670">
        <v>24393760</v>
      </c>
      <c r="D25" s="826">
        <v>2672909</v>
      </c>
      <c r="E25" s="827">
        <v>2501167</v>
      </c>
      <c r="F25" s="826"/>
      <c r="G25" s="826"/>
      <c r="H25" s="677"/>
      <c r="I25" s="677"/>
      <c r="J25" s="550">
        <f t="shared" si="0"/>
        <v>19219684</v>
      </c>
      <c r="K25" s="697">
        <f>IF(K$18='5.Variables'!$B$16,+'5.Variables'!$H27,+IF(K$18='5.Variables'!$B$39,+'5.Variables'!$H50,+IF(K$18='5.Variables'!$B$62,+'5.Variables'!$H64,+IF(K$18='5.Variables'!$B$76,+'5.Variables'!$H78,+IF(K$18='5.Variables'!$B$90,+'5.Variables'!$H92,+IF(K$18='5.Variables'!$B$104,+'5.Variables'!$H106,0))))))</f>
        <v>40.1</v>
      </c>
      <c r="L25" s="697">
        <f>IF(L$18='5.Variables'!$B$16,+'5.Variables'!$H27,+IF(L$18='5.Variables'!$B$39,+'5.Variables'!$H50,+IF(L$18='5.Variables'!$B$62,+'5.Variables'!$H64,+IF(L$18='5.Variables'!$B$76,+'5.Variables'!$H78,+IF(L$18='5.Variables'!$B$90,+'5.Variables'!$H92,+IF(L$18='5.Variables'!$B$104,+'5.Variables'!$H106,0))))))</f>
        <v>18</v>
      </c>
      <c r="M25" s="697">
        <f>IF(M$18='5.Variables'!$B$16,+'5.Variables'!$H26,+IF(M$18='5.Variables'!$B$39,+'5.Variables'!$H50,+IF(M$18='5.Variables'!$B$62,+'5.Variables'!$H64,+IF(M$18='5.Variables'!$B$76,+'5.Variables'!$H78,+IF(M$18='5.Variables'!$B$90,+'5.Variables'!$H92,+IF(M$18='5.Variables'!$B$104,+'5.Variables'!$H106,0))))))</f>
        <v>30</v>
      </c>
      <c r="N25" s="697">
        <f>IF(N$18='5.Variables'!$B$16,+'5.Variables'!$H26,+IF(N$18='5.Variables'!$B$39,+'5.Variables'!$H50,+IF(N$18='5.Variables'!$B$62,+'5.Variables'!$H64,+IF(N$18='5.Variables'!$B$76,+'5.Variables'!$H78,+IF(N$18='5.Variables'!$B$90,+'5.Variables'!$H92,+IF(N$18='5.Variables'!$B$104,+'5.Variables'!$H106,0))))))</f>
        <v>135.63999999999999</v>
      </c>
      <c r="O25" s="697">
        <f>IF(O$18='5.Variables'!$B$16,+'5.Variables'!$H26,+IF(O$18='5.Variables'!$B$39,+'5.Variables'!$H50,+IF(O$18='5.Variables'!$B$62,+'5.Variables'!$H64,+IF(O$18='5.Variables'!$B$76,+'5.Variables'!$H78,+IF(O$18='5.Variables'!$B$90,+'5.Variables'!$H92,+IF(O$18='5.Variables'!$B$104,+'5.Variables'!$H106,0))))))</f>
        <v>0</v>
      </c>
      <c r="P25" s="697">
        <f>IF(P$18='5.Variables'!$B$16,+'5.Variables'!$H26,+IF(P$18='5.Variables'!$B$39,+'5.Variables'!$H50,+IF(P$18='5.Variables'!$B$62,+'5.Variables'!$H64,+IF(P$18='5.Variables'!$B$76,+'5.Variables'!$H78,+IF(P$18='5.Variables'!$B$90,+'5.Variables'!$H92,+IF(P$18='5.Variables'!$B$104,+'5.Variables'!$H106,0))))))</f>
        <v>352</v>
      </c>
      <c r="Q25" s="242"/>
      <c r="R25" s="260">
        <f t="shared" si="1"/>
        <v>18810653.053761128</v>
      </c>
      <c r="S25" s="262"/>
      <c r="T25" s="242"/>
      <c r="U25" s="543" t="s">
        <v>12</v>
      </c>
      <c r="V25" s="543">
        <v>120</v>
      </c>
      <c r="W25"/>
      <c r="X25"/>
      <c r="Y25"/>
      <c r="Z25"/>
      <c r="AA25"/>
      <c r="AB25"/>
      <c r="AC25"/>
      <c r="AD25" s="258"/>
      <c r="AE25" s="242"/>
      <c r="AF25" s="242"/>
      <c r="AG25" s="242"/>
      <c r="AH25" s="242"/>
      <c r="AI25" s="242"/>
      <c r="AJ25" s="242"/>
      <c r="AK25" s="242"/>
      <c r="AL25" s="242"/>
      <c r="AM25" s="242"/>
    </row>
    <row r="26" spans="1:39" x14ac:dyDescent="0.2">
      <c r="A26" s="500">
        <f t="shared" si="2"/>
        <v>7</v>
      </c>
      <c r="B26" s="259" t="str">
        <f>CONCATENATE('3. Consumption by Rate Class'!B31,"-",'3. Consumption by Rate Class'!C31)</f>
        <v>2006-July</v>
      </c>
      <c r="C26" s="670">
        <v>25023621</v>
      </c>
      <c r="D26" s="826">
        <v>2416512</v>
      </c>
      <c r="E26" s="827">
        <v>1764031</v>
      </c>
      <c r="F26" s="826"/>
      <c r="G26" s="826"/>
      <c r="H26" s="677"/>
      <c r="I26" s="677"/>
      <c r="J26" s="550">
        <f t="shared" si="0"/>
        <v>20843078</v>
      </c>
      <c r="K26" s="697">
        <f>IF(K$18='5.Variables'!$B$16,+'5.Variables'!$I27,+IF(K$18='5.Variables'!$B$39,+'5.Variables'!$I50,+IF(K$18='5.Variables'!$B$62,+'5.Variables'!$I64,+IF(K$18='5.Variables'!$B$76,+'5.Variables'!$I78,+IF(K$18='5.Variables'!$B$90,+'5.Variables'!$I92,+IF(K$18='5.Variables'!$B$104,+'5.Variables'!$I106,0))))))</f>
        <v>5.9</v>
      </c>
      <c r="L26" s="697">
        <f>IF(L$18='5.Variables'!$B$16,+'5.Variables'!$I27,+IF(L$18='5.Variables'!$B$39,+'5.Variables'!$I50,+IF(L$18='5.Variables'!$B$62,+'5.Variables'!$I64,+IF(L$18='5.Variables'!$B$76,+'5.Variables'!$I78,+IF(L$18='5.Variables'!$B$90,+'5.Variables'!$I92,+IF(L$18='5.Variables'!$B$104,+'5.Variables'!$I106,0))))))</f>
        <v>86.9</v>
      </c>
      <c r="M26" s="697">
        <f>IF(M$18='5.Variables'!$B$16,+'5.Variables'!$I26,+IF(M$18='5.Variables'!$B$39,+'5.Variables'!$I50,+IF(M$18='5.Variables'!$B$62,+'5.Variables'!$I64,+IF(M$18='5.Variables'!$B$76,+'5.Variables'!$I78,+IF(M$18='5.Variables'!$B$90,+'5.Variables'!$I92,+IF(M$18='5.Variables'!$B$104,+'5.Variables'!$I106,0))))))</f>
        <v>31</v>
      </c>
      <c r="N26" s="697">
        <f>IF(N$18='5.Variables'!$B$16,+'5.Variables'!$I26,+IF(N$18='5.Variables'!$B$39,+'5.Variables'!$I50,+IF(N$18='5.Variables'!$B$62,+'5.Variables'!$I64,+IF(N$18='5.Variables'!$B$76,+'5.Variables'!$I78,+IF(N$18='5.Variables'!$B$90,+'5.Variables'!$I92,+IF(N$18='5.Variables'!$B$104,+'5.Variables'!$I106,0))))))</f>
        <v>135.91999999999999</v>
      </c>
      <c r="O26" s="697">
        <f>IF(O$18='5.Variables'!$B$16,+'5.Variables'!$I26,+IF(O$18='5.Variables'!$B$39,+'5.Variables'!$I50,+IF(O$18='5.Variables'!$B$62,+'5.Variables'!$I64,+IF(O$18='5.Variables'!$B$76,+'5.Variables'!$I78,+IF(O$18='5.Variables'!$B$90,+'5.Variables'!$I92,+IF(O$18='5.Variables'!$B$104,+'5.Variables'!$I106,0))))))</f>
        <v>0</v>
      </c>
      <c r="P26" s="697">
        <f>IF(P$18='5.Variables'!$B$16,+'5.Variables'!$I26,+IF(P$18='5.Variables'!$B$39,+'5.Variables'!$I50,+IF(P$18='5.Variables'!$B$62,+'5.Variables'!$I64,+IF(P$18='5.Variables'!$B$76,+'5.Variables'!$I78,+IF(P$18='5.Variables'!$B$90,+'5.Variables'!$I92,+IF(P$18='5.Variables'!$B$104,+'5.Variables'!$I106,0))))))</f>
        <v>320</v>
      </c>
      <c r="Q26" s="242"/>
      <c r="R26" s="260">
        <f t="shared" si="1"/>
        <v>21474796.733189043</v>
      </c>
      <c r="S26" s="262"/>
      <c r="T26" s="242"/>
      <c r="U26"/>
      <c r="V26"/>
      <c r="W26"/>
      <c r="X26"/>
      <c r="Y26"/>
      <c r="Z26"/>
      <c r="AA26"/>
      <c r="AB26"/>
      <c r="AC26"/>
      <c r="AD26" s="258"/>
      <c r="AE26" s="242"/>
      <c r="AF26" s="242"/>
      <c r="AG26" s="242"/>
      <c r="AH26" s="242"/>
      <c r="AI26" s="242"/>
      <c r="AJ26" s="242"/>
      <c r="AK26" s="242"/>
      <c r="AL26" s="242"/>
      <c r="AM26" s="242"/>
    </row>
    <row r="27" spans="1:39" ht="13.5" thickBot="1" x14ac:dyDescent="0.25">
      <c r="A27" s="500">
        <f t="shared" si="2"/>
        <v>8</v>
      </c>
      <c r="B27" s="259" t="str">
        <f>CONCATENATE('3. Consumption by Rate Class'!B32,"-",'3. Consumption by Rate Class'!C32)</f>
        <v>2006-August</v>
      </c>
      <c r="C27" s="670">
        <v>24820037</v>
      </c>
      <c r="D27" s="826">
        <v>2557912</v>
      </c>
      <c r="E27" s="827">
        <v>1888942</v>
      </c>
      <c r="F27" s="826"/>
      <c r="G27" s="826"/>
      <c r="H27" s="677"/>
      <c r="I27" s="677"/>
      <c r="J27" s="550">
        <f t="shared" si="0"/>
        <v>20373183</v>
      </c>
      <c r="K27" s="697">
        <f>IF(K$18='5.Variables'!$B$16,+'5.Variables'!$J27,+IF(K$18='5.Variables'!$B$39,+'5.Variables'!$J50,+IF(K$18='5.Variables'!$B$62,+'5.Variables'!$J64,+IF(K$18='5.Variables'!$B$76,+'5.Variables'!$J78,+IF(K$18='5.Variables'!$B$90,+'5.Variables'!$J92,+IF(K$18='5.Variables'!$B$104,+'5.Variables'!$J106,0))))))</f>
        <v>6.7</v>
      </c>
      <c r="L27" s="697">
        <f>IF(L$18='5.Variables'!$B$16,+'5.Variables'!$J27,+IF(L$18='5.Variables'!$B$39,+'5.Variables'!$J50,+IF(L$18='5.Variables'!$B$62,+'5.Variables'!$J64,+IF(L$18='5.Variables'!$B$76,+'5.Variables'!$J78,+IF(L$18='5.Variables'!$B$90,+'5.Variables'!$J92,+IF(L$18='5.Variables'!$B$104,+'5.Variables'!$J106,0))))))</f>
        <v>56.4</v>
      </c>
      <c r="M27" s="697">
        <f>IF(M$18='5.Variables'!$B$16,+'5.Variables'!$J26,+IF(M$18='5.Variables'!$B$39,+'5.Variables'!$J50,+IF(M$18='5.Variables'!$B$62,+'5.Variables'!$J64,+IF(M$18='5.Variables'!$B$76,+'5.Variables'!$J78,+IF(M$18='5.Variables'!$B$90,+'5.Variables'!$J92,+IF(M$18='5.Variables'!$B$104,+'5.Variables'!$J106,0))))))</f>
        <v>31</v>
      </c>
      <c r="N27" s="697">
        <f>IF(N$18='5.Variables'!$B$16,+'5.Variables'!$J26,+IF(N$18='5.Variables'!$B$39,+'5.Variables'!$J50,+IF(N$18='5.Variables'!$B$62,+'5.Variables'!$J64,+IF(N$18='5.Variables'!$B$76,+'5.Variables'!$J78,+IF(N$18='5.Variables'!$B$90,+'5.Variables'!$J92,+IF(N$18='5.Variables'!$B$104,+'5.Variables'!$J106,0))))))</f>
        <v>136.19999999999999</v>
      </c>
      <c r="O27" s="697">
        <f>IF(O$18='5.Variables'!$B$16,+'5.Variables'!$J26,+IF(O$18='5.Variables'!$B$39,+'5.Variables'!$J50,+IF(O$18='5.Variables'!$B$62,+'5.Variables'!$J64,+IF(O$18='5.Variables'!$B$76,+'5.Variables'!$J78,+IF(O$18='5.Variables'!$B$90,+'5.Variables'!$J92,+IF(O$18='5.Variables'!$B$104,+'5.Variables'!$J106,0))))))</f>
        <v>0</v>
      </c>
      <c r="P27" s="697">
        <f>IF(P$18='5.Variables'!$B$16,+'5.Variables'!$J26,+IF(P$18='5.Variables'!$B$39,+'5.Variables'!$J50,+IF(P$18='5.Variables'!$B$62,+'5.Variables'!$J64,+IF(P$18='5.Variables'!$B$76,+'5.Variables'!$J78,+IF(P$18='5.Variables'!$B$90,+'5.Variables'!$J92,+IF(P$18='5.Variables'!$B$104,+'5.Variables'!$J106,0))))))</f>
        <v>352</v>
      </c>
      <c r="Q27" s="242"/>
      <c r="R27" s="260">
        <f t="shared" si="1"/>
        <v>20517609.473419935</v>
      </c>
      <c r="S27" s="262"/>
      <c r="T27" s="242"/>
      <c r="U27" t="s">
        <v>13</v>
      </c>
      <c r="V27"/>
      <c r="W27"/>
      <c r="X27"/>
      <c r="Y27"/>
      <c r="Z27"/>
      <c r="AA27"/>
      <c r="AB27"/>
      <c r="AC27"/>
      <c r="AD27" s="258"/>
      <c r="AE27" s="242"/>
      <c r="AF27" s="242"/>
      <c r="AG27" s="242"/>
      <c r="AH27" s="242"/>
      <c r="AI27" s="242"/>
      <c r="AJ27" s="242"/>
      <c r="AK27" s="242"/>
      <c r="AL27" s="242"/>
      <c r="AM27" s="242"/>
    </row>
    <row r="28" spans="1:39" x14ac:dyDescent="0.2">
      <c r="A28" s="500">
        <f t="shared" si="2"/>
        <v>9</v>
      </c>
      <c r="B28" s="259" t="str">
        <f>CONCATENATE('3. Consumption by Rate Class'!B33,"-",'3. Consumption by Rate Class'!C33)</f>
        <v>2006-September</v>
      </c>
      <c r="C28" s="670">
        <v>22477600</v>
      </c>
      <c r="D28" s="826">
        <v>2531686</v>
      </c>
      <c r="E28" s="827">
        <v>1629291</v>
      </c>
      <c r="F28" s="826"/>
      <c r="G28" s="826"/>
      <c r="H28" s="677"/>
      <c r="I28" s="677"/>
      <c r="J28" s="550">
        <f t="shared" si="0"/>
        <v>18316623</v>
      </c>
      <c r="K28" s="697">
        <f>IF(K$18='5.Variables'!$B$16,+'5.Variables'!$K27,+IF(K$18='5.Variables'!$B$39,+'5.Variables'!$K50,+IF(K$18='5.Variables'!$B$62,+'5.Variables'!$K64,+IF(K$18='5.Variables'!$B$76,+'5.Variables'!$K78,+IF(K$18='5.Variables'!$B$90,+'5.Variables'!$K92,+IF(K$18='5.Variables'!$B$104,+'5.Variables'!$K106,0))))))</f>
        <v>103.3</v>
      </c>
      <c r="L28" s="697">
        <f>IF(L$18='5.Variables'!$B$16,+'5.Variables'!$K27,+IF(L$18='5.Variables'!$B$39,+'5.Variables'!$K50,+IF(L$18='5.Variables'!$B$62,+'5.Variables'!$K64,+IF(L$18='5.Variables'!$B$76,+'5.Variables'!$K78,+IF(L$18='5.Variables'!$B$90,+'5.Variables'!$K92,+IF(L$18='5.Variables'!$B$104,+'5.Variables'!$K106,0))))))</f>
        <v>1.3</v>
      </c>
      <c r="M28" s="697">
        <f>IF(M$18='5.Variables'!$B$16,+'5.Variables'!$K26,+IF(M$18='5.Variables'!$B$39,+'5.Variables'!$K50,+IF(M$18='5.Variables'!$B$62,+'5.Variables'!$K64,+IF(M$18='5.Variables'!$B$76,+'5.Variables'!$K78,+IF(M$18='5.Variables'!$B$90,+'5.Variables'!$K92,+IF(M$18='5.Variables'!$B$104,+'5.Variables'!$K106,0))))))</f>
        <v>30</v>
      </c>
      <c r="N28" s="697">
        <f>IF(N$18='5.Variables'!$B$16,+'5.Variables'!$K26,+IF(N$18='5.Variables'!$B$39,+'5.Variables'!$K50,+IF(N$18='5.Variables'!$B$62,+'5.Variables'!$K64,+IF(N$18='5.Variables'!$B$76,+'5.Variables'!$K78,+IF(N$18='5.Variables'!$B$90,+'5.Variables'!$K92,+IF(N$18='5.Variables'!$B$104,+'5.Variables'!$K106,0))))))</f>
        <v>136.47999999999999</v>
      </c>
      <c r="O28" s="697">
        <f>IF(O$18='5.Variables'!$B$16,+'5.Variables'!$K26,+IF(O$18='5.Variables'!$B$39,+'5.Variables'!$K50,+IF(O$18='5.Variables'!$B$62,+'5.Variables'!$K64,+IF(O$18='5.Variables'!$B$76,+'5.Variables'!$K78,+IF(O$18='5.Variables'!$B$90,+'5.Variables'!$K92,+IF(O$18='5.Variables'!$B$104,+'5.Variables'!$K106,0))))))</f>
        <v>0</v>
      </c>
      <c r="P28" s="697">
        <f>IF(P$18='5.Variables'!$B$16,+'5.Variables'!$K26,+IF(P$18='5.Variables'!$B$39,+'5.Variables'!$K50,+IF(P$18='5.Variables'!$B$62,+'5.Variables'!$K64,+IF(P$18='5.Variables'!$B$76,+'5.Variables'!$K78,+IF(P$18='5.Variables'!$B$90,+'5.Variables'!$K92,+IF(P$18='5.Variables'!$B$104,+'5.Variables'!$K106,0))))))</f>
        <v>320</v>
      </c>
      <c r="Q28" s="242"/>
      <c r="R28" s="260">
        <f t="shared" si="1"/>
        <v>18338876.787210129</v>
      </c>
      <c r="S28" s="262"/>
      <c r="T28" s="242"/>
      <c r="U28" s="777"/>
      <c r="V28" s="777" t="s">
        <v>18</v>
      </c>
      <c r="W28" s="777" t="s">
        <v>19</v>
      </c>
      <c r="X28" s="777" t="s">
        <v>20</v>
      </c>
      <c r="Y28" s="777" t="s">
        <v>21</v>
      </c>
      <c r="Z28" s="777" t="s">
        <v>22</v>
      </c>
      <c r="AA28"/>
      <c r="AB28"/>
      <c r="AC28"/>
      <c r="AD28" s="258"/>
      <c r="AE28" s="242"/>
      <c r="AF28" s="242"/>
      <c r="AG28" s="242"/>
      <c r="AH28" s="242"/>
      <c r="AI28" s="242"/>
      <c r="AJ28" s="242"/>
      <c r="AK28" s="242"/>
      <c r="AL28" s="242"/>
      <c r="AM28" s="242"/>
    </row>
    <row r="29" spans="1:39" x14ac:dyDescent="0.2">
      <c r="A29" s="500">
        <f t="shared" si="2"/>
        <v>10</v>
      </c>
      <c r="B29" s="259" t="str">
        <f>CONCATENATE('3. Consumption by Rate Class'!B34,"-",'3. Consumption by Rate Class'!C34)</f>
        <v>2006-October</v>
      </c>
      <c r="C29" s="670">
        <v>23787971</v>
      </c>
      <c r="D29" s="826">
        <v>2787075</v>
      </c>
      <c r="E29" s="827">
        <v>1485638</v>
      </c>
      <c r="F29" s="826"/>
      <c r="G29" s="826"/>
      <c r="H29" s="677"/>
      <c r="I29" s="677"/>
      <c r="J29" s="550">
        <f t="shared" si="0"/>
        <v>19515258</v>
      </c>
      <c r="K29" s="697">
        <f>IF(K$18='5.Variables'!$B$16,+'5.Variables'!$L27,+IF(K$18='5.Variables'!$B$39,+'5.Variables'!$L50,+IF(K$18='5.Variables'!$B$62,+'5.Variables'!$L64,+IF(K$18='5.Variables'!$B$76,+'5.Variables'!$L78,+IF(K$18='5.Variables'!$B$90,+'5.Variables'!$L92,+IF(K$18='5.Variables'!$B$104,+'5.Variables'!$L106,0))))))</f>
        <v>296.39999999999998</v>
      </c>
      <c r="L29" s="697">
        <f>IF(L$18='5.Variables'!$B$16,+'5.Variables'!$L27,+IF(L$18='5.Variables'!$B$39,+'5.Variables'!$L50,+IF(L$18='5.Variables'!$B$62,+'5.Variables'!$L64,+IF(L$18='5.Variables'!$B$76,+'5.Variables'!$L78,+IF(L$18='5.Variables'!$B$90,+'5.Variables'!$L92,+IF(L$18='5.Variables'!$B$104,+'5.Variables'!$L106,0))))))</f>
        <v>0</v>
      </c>
      <c r="M29" s="697">
        <f>IF(M$18='5.Variables'!$B$16,+'5.Variables'!$L26,+IF(M$18='5.Variables'!$B$39,+'5.Variables'!$L50,+IF(M$18='5.Variables'!$B$62,+'5.Variables'!$L64,+IF(M$18='5.Variables'!$B$76,+'5.Variables'!$L78,+IF(M$18='5.Variables'!$B$90,+'5.Variables'!$L92,+IF(M$18='5.Variables'!$B$104,+'5.Variables'!$L106,0))))))</f>
        <v>31</v>
      </c>
      <c r="N29" s="697">
        <f>IF(N$18='5.Variables'!$B$16,+'5.Variables'!$L26,+IF(N$18='5.Variables'!$B$39,+'5.Variables'!$L50,+IF(N$18='5.Variables'!$B$62,+'5.Variables'!$L64,+IF(N$18='5.Variables'!$B$76,+'5.Variables'!$L78,+IF(N$18='5.Variables'!$B$90,+'5.Variables'!$L92,+IF(N$18='5.Variables'!$B$104,+'5.Variables'!$L106,0))))))</f>
        <v>136.76</v>
      </c>
      <c r="O29" s="697">
        <f>IF(O$18='5.Variables'!$B$16,+'5.Variables'!$L26,+IF(O$18='5.Variables'!$B$39,+'5.Variables'!$L50,+IF(O$18='5.Variables'!$B$62,+'5.Variables'!$L64,+IF(O$18='5.Variables'!$B$76,+'5.Variables'!$L78,+IF(O$18='5.Variables'!$B$90,+'5.Variables'!$L92,+IF(O$18='5.Variables'!$B$104,+'5.Variables'!$L106,0))))))</f>
        <v>0</v>
      </c>
      <c r="P29" s="697">
        <f>IF(P$18='5.Variables'!$B$16,+'5.Variables'!$L26,+IF(P$18='5.Variables'!$B$39,+'5.Variables'!$L50,+IF(P$18='5.Variables'!$B$62,+'5.Variables'!$L64,+IF(P$18='5.Variables'!$B$76,+'5.Variables'!$L78,+IF(P$18='5.Variables'!$B$90,+'5.Variables'!$L92,+IF(P$18='5.Variables'!$B$104,+'5.Variables'!$L106,0))))))</f>
        <v>336</v>
      </c>
      <c r="Q29" s="242"/>
      <c r="R29" s="260">
        <f t="shared" si="1"/>
        <v>20054881.934300248</v>
      </c>
      <c r="S29" s="262"/>
      <c r="T29" s="242"/>
      <c r="U29" s="542" t="s">
        <v>14</v>
      </c>
      <c r="V29" s="542">
        <v>6</v>
      </c>
      <c r="W29" s="542">
        <v>253188424550611.62</v>
      </c>
      <c r="X29" s="542">
        <v>42198070758435.273</v>
      </c>
      <c r="Y29" s="542">
        <v>133.46455236453593</v>
      </c>
      <c r="Z29" s="542">
        <v>6.6750091410471063E-49</v>
      </c>
      <c r="AA29"/>
      <c r="AB29"/>
      <c r="AC29"/>
      <c r="AD29" s="258"/>
      <c r="AE29" s="242"/>
      <c r="AF29" s="242"/>
      <c r="AG29" s="242"/>
      <c r="AH29" s="242"/>
      <c r="AI29" s="242"/>
      <c r="AJ29" s="242"/>
      <c r="AK29" s="242"/>
      <c r="AL29" s="242"/>
      <c r="AM29" s="242"/>
    </row>
    <row r="30" spans="1:39" x14ac:dyDescent="0.2">
      <c r="A30" s="500">
        <f t="shared" si="2"/>
        <v>11</v>
      </c>
      <c r="B30" s="259" t="str">
        <f>CONCATENATE('3. Consumption by Rate Class'!B35,"-",'3. Consumption by Rate Class'!C35)</f>
        <v>2006-November</v>
      </c>
      <c r="C30" s="670">
        <v>24490934</v>
      </c>
      <c r="D30" s="826">
        <v>2645364</v>
      </c>
      <c r="E30" s="827">
        <v>1925007</v>
      </c>
      <c r="F30" s="826"/>
      <c r="G30" s="826"/>
      <c r="H30" s="677"/>
      <c r="I30" s="677"/>
      <c r="J30" s="550">
        <f t="shared" si="0"/>
        <v>19920563</v>
      </c>
      <c r="K30" s="697">
        <f>IF(K$18='5.Variables'!$B$16,+'5.Variables'!$M27,+IF(K$18='5.Variables'!$B$39,+'5.Variables'!$M50,+IF(K$18='5.Variables'!$B$62,+'5.Variables'!$M64,+IF(K$18='5.Variables'!$B$76,+'5.Variables'!$M78,+IF(K$18='5.Variables'!$B$90,+'5.Variables'!$M92,+IF(K$18='5.Variables'!$B$104,+'5.Variables'!$M106,0))))))</f>
        <v>390.9</v>
      </c>
      <c r="L30" s="697">
        <f>IF(L$18='5.Variables'!$B$16,+'5.Variables'!$M27,+IF(L$18='5.Variables'!$B$39,+'5.Variables'!$M50,+IF(L$18='5.Variables'!$B$62,+'5.Variables'!$M64,+IF(L$18='5.Variables'!$B$76,+'5.Variables'!$M78,+IF(L$18='5.Variables'!$B$90,+'5.Variables'!$M92,+IF(L$18='5.Variables'!$B$104,+'5.Variables'!$M106,0))))))</f>
        <v>0</v>
      </c>
      <c r="M30" s="697">
        <f>IF(M$18='5.Variables'!$B$16,+'5.Variables'!$M26,+IF(M$18='5.Variables'!$B$39,+'5.Variables'!$M50,+IF(M$18='5.Variables'!$B$62,+'5.Variables'!$M64,+IF(M$18='5.Variables'!$B$76,+'5.Variables'!$M78,+IF(M$18='5.Variables'!$B$90,+'5.Variables'!$M92,+IF(M$18='5.Variables'!$B$104,+'5.Variables'!$M106,0))))))</f>
        <v>30</v>
      </c>
      <c r="N30" s="697">
        <f>IF(N$18='5.Variables'!$B$16,+'5.Variables'!$M26,+IF(N$18='5.Variables'!$B$39,+'5.Variables'!$M50,+IF(N$18='5.Variables'!$B$62,+'5.Variables'!$M64,+IF(N$18='5.Variables'!$B$76,+'5.Variables'!$M78,+IF(N$18='5.Variables'!$B$90,+'5.Variables'!$M92,+IF(N$18='5.Variables'!$B$104,+'5.Variables'!$M106,0))))))</f>
        <v>137.04</v>
      </c>
      <c r="O30" s="697">
        <f>IF(O$18='5.Variables'!$B$16,+'5.Variables'!$M26,+IF(O$18='5.Variables'!$B$39,+'5.Variables'!$M50,+IF(O$18='5.Variables'!$B$62,+'5.Variables'!$M64,+IF(O$18='5.Variables'!$B$76,+'5.Variables'!$M78,+IF(O$18='5.Variables'!$B$90,+'5.Variables'!$M92,+IF(O$18='5.Variables'!$B$104,+'5.Variables'!$M106,0))))))</f>
        <v>0</v>
      </c>
      <c r="P30" s="697">
        <f>IF(P$18='5.Variables'!$B$16,+'5.Variables'!$M26,+IF(P$18='5.Variables'!$B$39,+'5.Variables'!$M50,+IF(P$18='5.Variables'!$B$62,+'5.Variables'!$M64,+IF(P$18='5.Variables'!$B$76,+'5.Variables'!$M78,+IF(P$18='5.Variables'!$B$90,+'5.Variables'!$M92,+IF(P$18='5.Variables'!$B$104,+'5.Variables'!$M106,0))))))</f>
        <v>352</v>
      </c>
      <c r="Q30" s="242"/>
      <c r="R30" s="260">
        <f t="shared" si="1"/>
        <v>20420821.98264952</v>
      </c>
      <c r="S30" s="262"/>
      <c r="T30" s="242"/>
      <c r="U30" s="542" t="s">
        <v>15</v>
      </c>
      <c r="V30" s="542">
        <v>113</v>
      </c>
      <c r="W30" s="542">
        <v>35727703807668.375</v>
      </c>
      <c r="X30" s="542">
        <v>316174369979.36615</v>
      </c>
      <c r="Y30" s="542"/>
      <c r="Z30" s="542"/>
      <c r="AA30"/>
      <c r="AB30"/>
      <c r="AC30"/>
      <c r="AD30" s="258"/>
      <c r="AE30" s="242"/>
      <c r="AF30" s="242"/>
      <c r="AG30" s="242"/>
      <c r="AH30" s="242"/>
      <c r="AI30" s="242"/>
      <c r="AJ30" s="242"/>
      <c r="AK30" s="242"/>
      <c r="AL30" s="242"/>
      <c r="AM30" s="242"/>
    </row>
    <row r="31" spans="1:39" ht="13.5" thickBot="1" x14ac:dyDescent="0.25">
      <c r="A31" s="500">
        <f t="shared" si="2"/>
        <v>12</v>
      </c>
      <c r="B31" s="519" t="str">
        <f>CONCATENATE('3. Consumption by Rate Class'!B36,"-",'3. Consumption by Rate Class'!C36)</f>
        <v>2006-December</v>
      </c>
      <c r="C31" s="671">
        <v>24544738</v>
      </c>
      <c r="D31" s="828">
        <v>2032814</v>
      </c>
      <c r="E31" s="829">
        <v>1476249</v>
      </c>
      <c r="F31" s="828"/>
      <c r="G31" s="828"/>
      <c r="H31" s="679"/>
      <c r="I31" s="679"/>
      <c r="J31" s="550">
        <f t="shared" si="0"/>
        <v>21035675</v>
      </c>
      <c r="K31" s="697">
        <f>IF(K$18='5.Variables'!$B$16,+'5.Variables'!$N27,+IF(K$18='5.Variables'!$B$39,+'5.Variables'!$N50,+IF(K$18='5.Variables'!$B$62,+'5.Variables'!$N64,+IF(K$18='5.Variables'!$B$76,+'5.Variables'!$N78,+IF(K$18='5.Variables'!$B$90,+'5.Variables'!$N92,+IF(K$18='5.Variables'!$B$104,+'5.Variables'!$N106,0))))))</f>
        <v>505.5</v>
      </c>
      <c r="L31" s="697">
        <f>IF(L$18='5.Variables'!$B$16,+'5.Variables'!$N27,+IF(L$18='5.Variables'!$B$39,+'5.Variables'!$N50,+IF(L$18='5.Variables'!$B$62,+'5.Variables'!$N64,+IF(L$18='5.Variables'!$B$76,+'5.Variables'!$N78,+IF(L$18='5.Variables'!$B$90,+'5.Variables'!$N92,+IF(L$18='5.Variables'!$B$104,+'5.Variables'!$N106,0))))))</f>
        <v>0</v>
      </c>
      <c r="M31" s="697">
        <f>IF(M$18='5.Variables'!$B$16,+'5.Variables'!$N26,+IF(M$18='5.Variables'!$B$39,+'5.Variables'!$N50,+IF(M$18='5.Variables'!$B$62,+'5.Variables'!$N64,+IF(M$18='5.Variables'!$B$76,+'5.Variables'!$N78,+IF(M$18='5.Variables'!$B$90,+'5.Variables'!$N92,+IF(M$18='5.Variables'!$B$104,+'5.Variables'!$N106,0))))))</f>
        <v>31</v>
      </c>
      <c r="N31" s="697">
        <f>IF(N$18='5.Variables'!$B$16,+'5.Variables'!$N26,+IF(N$18='5.Variables'!$B$39,+'5.Variables'!$N50,+IF(N$18='5.Variables'!$B$62,+'5.Variables'!$N64,+IF(N$18='5.Variables'!$B$76,+'5.Variables'!$N78,+IF(N$18='5.Variables'!$B$90,+'5.Variables'!$N92,+IF(N$18='5.Variables'!$B$104,+'5.Variables'!$N106,0))))))</f>
        <v>137.33000000000001</v>
      </c>
      <c r="O31" s="697">
        <f>IF(O$18='5.Variables'!$B$16,+'5.Variables'!$N26,+IF(O$18='5.Variables'!$B$39,+'5.Variables'!$N50,+IF(O$18='5.Variables'!$B$62,+'5.Variables'!$N64,+IF(O$18='5.Variables'!$B$76,+'5.Variables'!$N78,+IF(O$18='5.Variables'!$B$90,+'5.Variables'!$N92,+IF(O$18='5.Variables'!$B$104,+'5.Variables'!$N106,0))))))</f>
        <v>0</v>
      </c>
      <c r="P31" s="697">
        <f>IF(P$18='5.Variables'!$B$16,+'5.Variables'!$N26,+IF(P$18='5.Variables'!$B$39,+'5.Variables'!$N50,+IF(P$18='5.Variables'!$B$62,+'5.Variables'!$N64,+IF(P$18='5.Variables'!$B$76,+'5.Variables'!$N78,+IF(P$18='5.Variables'!$B$90,+'5.Variables'!$N92,+IF(P$18='5.Variables'!$B$104,+'5.Variables'!$N106,0))))))</f>
        <v>304</v>
      </c>
      <c r="Q31" s="242"/>
      <c r="R31" s="260">
        <f t="shared" si="1"/>
        <v>21190541.224607203</v>
      </c>
      <c r="S31" s="262">
        <f>SUM(R20:R31)</f>
        <v>244958698.73945877</v>
      </c>
      <c r="T31" s="242"/>
      <c r="U31" s="543" t="s">
        <v>16</v>
      </c>
      <c r="V31" s="543">
        <v>119</v>
      </c>
      <c r="W31" s="543">
        <v>288916128358280</v>
      </c>
      <c r="X31" s="543"/>
      <c r="Y31" s="543"/>
      <c r="Z31" s="543"/>
      <c r="AA31"/>
      <c r="AB31"/>
      <c r="AC31"/>
      <c r="AD31" s="258"/>
      <c r="AE31" s="242"/>
      <c r="AF31" s="242"/>
      <c r="AG31" s="242"/>
      <c r="AH31" s="242"/>
      <c r="AI31" s="242"/>
      <c r="AJ31" s="242"/>
      <c r="AK31" s="242"/>
      <c r="AL31" s="242"/>
      <c r="AM31" s="242"/>
    </row>
    <row r="32" spans="1:39" ht="13.5" thickBot="1" x14ac:dyDescent="0.25">
      <c r="A32" s="500">
        <f t="shared" si="2"/>
        <v>13</v>
      </c>
      <c r="B32" s="259" t="str">
        <f>CONCATENATE('3. Consumption by Rate Class'!B37,"-",'3. Consumption by Rate Class'!C37)</f>
        <v>2007-January</v>
      </c>
      <c r="C32" s="670">
        <v>27264426.190000001</v>
      </c>
      <c r="D32" s="826">
        <v>2165951</v>
      </c>
      <c r="E32" s="827">
        <v>1905585</v>
      </c>
      <c r="F32" s="826"/>
      <c r="G32" s="826"/>
      <c r="H32" s="677"/>
      <c r="I32" s="677"/>
      <c r="J32" s="550">
        <f t="shared" si="0"/>
        <v>23192890.190000001</v>
      </c>
      <c r="K32" s="697">
        <f>IF(K$18='5.Variables'!$B$16,+'5.Variables'!$C28,+IF(K$18='5.Variables'!$B$39,+'5.Variables'!$C51,+IF(K$18='5.Variables'!$B$62,+'5.Variables'!$C65,+IF(K$18='5.Variables'!$B$76,+'5.Variables'!$C79,+IF(K$18='5.Variables'!$B$90,+'5.Variables'!$C93,+IF(K$18='5.Variables'!$B$104,+'5.Variables'!$C107,0))))))</f>
        <v>669.3</v>
      </c>
      <c r="L32" s="697">
        <f>IF(L$18='5.Variables'!$B$16,+'5.Variables'!$C27,+IF(L$18='5.Variables'!$B$39,+'5.Variables'!$C51,+IF(L$18='5.Variables'!$B$62,+'5.Variables'!$C65,+IF(L$18='5.Variables'!$B$76,+'5.Variables'!$C79,+IF(L$18='5.Variables'!$B$90,+'5.Variables'!$C93,+IF(L$18='5.Variables'!$B$104,+'5.Variables'!$C107,0))))))</f>
        <v>0</v>
      </c>
      <c r="M32" s="697">
        <f>IF(M$18='5.Variables'!$B$16,+'5.Variables'!$C27,+IF(M$18='5.Variables'!$B$39,+'5.Variables'!$C51,+IF(M$18='5.Variables'!$B$62,+'5.Variables'!$C65,+IF(M$18='5.Variables'!$B$76,+'5.Variables'!$C79,+IF(M$18='5.Variables'!$B$90,+'5.Variables'!$C93,+IF(M$18='5.Variables'!$B$104,+'5.Variables'!$C107,0))))))</f>
        <v>31</v>
      </c>
      <c r="N32" s="697">
        <f>IF(N$18='5.Variables'!$B$16,+'5.Variables'!$C27,+IF(N$18='5.Variables'!$B$39,+'5.Variables'!$C51,+IF(N$18='5.Variables'!$B$62,+'5.Variables'!$C65,+IF(N$18='5.Variables'!$B$76,+'5.Variables'!$C79,+IF(N$18='5.Variables'!$B$90,+'5.Variables'!$C93,+IF(N$18='5.Variables'!$B$104,+'5.Variables'!$C107,0))))))</f>
        <v>137.59</v>
      </c>
      <c r="O32" s="697">
        <f>IF(O$18='5.Variables'!$B$16,+'5.Variables'!$C27,+IF(O$18='5.Variables'!$B$39,+'5.Variables'!$C51,+IF(O$18='5.Variables'!$B$62,+'5.Variables'!$C65,+IF(O$18='5.Variables'!$B$76,+'5.Variables'!$C79,+IF(O$18='5.Variables'!$B$90,+'5.Variables'!$C93,+IF(O$18='5.Variables'!$B$104,+'5.Variables'!$C107,0))))))</f>
        <v>0</v>
      </c>
      <c r="P32" s="697">
        <f>IF(P$18='5.Variables'!$B$16,+'5.Variables'!$C27,+IF(P$18='5.Variables'!$B$39,+'5.Variables'!$C51,+IF(P$18='5.Variables'!$B$62,+'5.Variables'!$C65,+IF(P$18='5.Variables'!$B$76,+'5.Variables'!$C79,+IF(P$18='5.Variables'!$B$90,+'5.Variables'!$C93,+IF(P$18='5.Variables'!$B$104,+'5.Variables'!$C107,0))))))</f>
        <v>352</v>
      </c>
      <c r="Q32" s="242"/>
      <c r="R32" s="260">
        <f t="shared" si="1"/>
        <v>22630539.367575422</v>
      </c>
      <c r="S32" s="262"/>
      <c r="T32" s="242"/>
      <c r="U32"/>
      <c r="V32"/>
      <c r="W32"/>
      <c r="X32"/>
      <c r="Y32"/>
      <c r="Z32"/>
      <c r="AA32"/>
      <c r="AB32"/>
      <c r="AC32"/>
      <c r="AD32" s="258"/>
      <c r="AE32" s="242"/>
      <c r="AF32" s="242"/>
      <c r="AG32" s="242"/>
      <c r="AH32" s="242"/>
      <c r="AI32" s="242"/>
      <c r="AJ32" s="242"/>
      <c r="AK32" s="242"/>
      <c r="AL32" s="242"/>
      <c r="AM32" s="242"/>
    </row>
    <row r="33" spans="1:39" x14ac:dyDescent="0.2">
      <c r="A33" s="500">
        <f t="shared" si="2"/>
        <v>14</v>
      </c>
      <c r="B33" s="259" t="str">
        <f>CONCATENATE('3. Consumption by Rate Class'!B38,"-",'3. Consumption by Rate Class'!C38)</f>
        <v>2007-February</v>
      </c>
      <c r="C33" s="670">
        <v>26230424.609999999</v>
      </c>
      <c r="D33" s="826">
        <v>2178438</v>
      </c>
      <c r="E33" s="827">
        <v>1999329</v>
      </c>
      <c r="F33" s="826"/>
      <c r="G33" s="826"/>
      <c r="H33" s="677"/>
      <c r="I33" s="677"/>
      <c r="J33" s="550">
        <f t="shared" si="0"/>
        <v>22052657.609999999</v>
      </c>
      <c r="K33" s="697">
        <f>IF(K$18='5.Variables'!$B$16,+'5.Variables'!$D28,+IF(K$18='5.Variables'!$B$39,+'5.Variables'!$D51,+IF(K$18='5.Variables'!$B$62,+'5.Variables'!$D65,+IF(K$18='5.Variables'!$B$76,+'5.Variables'!$D79,+IF(K$18='5.Variables'!$B$90,+'5.Variables'!$D93,+IF(K$18='5.Variables'!$B$104,+'5.Variables'!$D107,0))))))</f>
        <v>728.2</v>
      </c>
      <c r="L33" s="697">
        <f>IF(L$18='5.Variables'!$B$16,+'5.Variables'!$D27,+IF(L$18='5.Variables'!$B$39,+'5.Variables'!$D51,+IF(L$18='5.Variables'!$B$62,+'5.Variables'!$D65,+IF(L$18='5.Variables'!$B$76,+'5.Variables'!$D79,+IF(L$18='5.Variables'!$B$90,+'5.Variables'!$D93,+IF(L$18='5.Variables'!$B$104,+'5.Variables'!$D107,0))))))</f>
        <v>0</v>
      </c>
      <c r="M33" s="697">
        <f>IF(M$18='5.Variables'!$B$16,+'5.Variables'!$D27,+IF(M$18='5.Variables'!$B$39,+'5.Variables'!$D51,+IF(M$18='5.Variables'!$B$62,+'5.Variables'!$D65,+IF(M$18='5.Variables'!$B$76,+'5.Variables'!$D79,+IF(M$18='5.Variables'!$B$90,+'5.Variables'!$D93,+IF(M$18='5.Variables'!$B$104,+'5.Variables'!$D107,0))))))</f>
        <v>28</v>
      </c>
      <c r="N33" s="697">
        <f>IF(N$18='5.Variables'!$B$16,+'5.Variables'!$D27,+IF(N$18='5.Variables'!$B$39,+'5.Variables'!$D51,+IF(N$18='5.Variables'!$B$62,+'5.Variables'!$D65,+IF(N$18='5.Variables'!$B$76,+'5.Variables'!$D79,+IF(N$18='5.Variables'!$B$90,+'5.Variables'!$D93,+IF(N$18='5.Variables'!$B$104,+'5.Variables'!$D107,0))))))</f>
        <v>137.85</v>
      </c>
      <c r="O33" s="697">
        <f>IF(O$18='5.Variables'!$B$16,+'5.Variables'!$D27,+IF(O$18='5.Variables'!$B$39,+'5.Variables'!$D51,+IF(O$18='5.Variables'!$B$62,+'5.Variables'!$D65,+IF(O$18='5.Variables'!$B$76,+'5.Variables'!$D79,+IF(O$18='5.Variables'!$B$90,+'5.Variables'!$D93,+IF(O$18='5.Variables'!$B$104,+'5.Variables'!$D107,0))))))</f>
        <v>0</v>
      </c>
      <c r="P33" s="697">
        <f>IF(P$18='5.Variables'!$B$16,+'5.Variables'!$D27,+IF(P$18='5.Variables'!$B$39,+'5.Variables'!$D51,+IF(P$18='5.Variables'!$B$62,+'5.Variables'!$D65,+IF(P$18='5.Variables'!$B$76,+'5.Variables'!$D79,+IF(P$18='5.Variables'!$B$90,+'5.Variables'!$D93,+IF(P$18='5.Variables'!$B$104,+'5.Variables'!$D107,0))))))</f>
        <v>320</v>
      </c>
      <c r="Q33" s="242"/>
      <c r="R33" s="260">
        <f t="shared" si="1"/>
        <v>21639417.640154444</v>
      </c>
      <c r="S33" s="262"/>
      <c r="T33" s="242"/>
      <c r="U33" s="777"/>
      <c r="V33" s="777" t="s">
        <v>23</v>
      </c>
      <c r="W33" s="777" t="s">
        <v>11</v>
      </c>
      <c r="X33" s="777" t="s">
        <v>24</v>
      </c>
      <c r="Y33" s="777" t="s">
        <v>25</v>
      </c>
      <c r="Z33" s="777" t="s">
        <v>26</v>
      </c>
      <c r="AA33" s="777" t="s">
        <v>27</v>
      </c>
      <c r="AB33" s="777" t="s">
        <v>28</v>
      </c>
      <c r="AC33" s="777" t="s">
        <v>29</v>
      </c>
      <c r="AD33" s="258"/>
      <c r="AE33" s="242"/>
      <c r="AF33" s="242"/>
      <c r="AG33" s="242"/>
      <c r="AH33" s="242"/>
      <c r="AI33" s="242"/>
      <c r="AJ33" s="242"/>
      <c r="AK33" s="242"/>
      <c r="AL33" s="242"/>
      <c r="AM33" s="242"/>
    </row>
    <row r="34" spans="1:39" x14ac:dyDescent="0.2">
      <c r="A34" s="500">
        <f t="shared" si="2"/>
        <v>15</v>
      </c>
      <c r="B34" s="259" t="str">
        <f>CONCATENATE('3. Consumption by Rate Class'!B39,"-",'3. Consumption by Rate Class'!C39)</f>
        <v>2007-March</v>
      </c>
      <c r="C34" s="670">
        <v>27093283.050000001</v>
      </c>
      <c r="D34" s="826">
        <v>2320895</v>
      </c>
      <c r="E34" s="827">
        <v>2532285</v>
      </c>
      <c r="F34" s="826"/>
      <c r="G34" s="826"/>
      <c r="H34" s="677"/>
      <c r="I34" s="677"/>
      <c r="J34" s="550">
        <f t="shared" si="0"/>
        <v>22240103.050000001</v>
      </c>
      <c r="K34" s="697">
        <f>IF(K$18='5.Variables'!$B$16,+'5.Variables'!$E28,+IF(K$18='5.Variables'!$B$39,+'5.Variables'!$E51,+IF(K$18='5.Variables'!$B$62,+'5.Variables'!$E65,+IF(K$18='5.Variables'!$B$76,+'5.Variables'!$E79,+IF(K$18='5.Variables'!$B$90,+'5.Variables'!$E93,+IF(K$18='5.Variables'!$B$104,+'5.Variables'!$E107,0))))))</f>
        <v>578.29999999999995</v>
      </c>
      <c r="L34" s="697">
        <f>IF(L$18='5.Variables'!$B$16,+'5.Variables'!$E27,+IF(L$18='5.Variables'!$B$39,+'5.Variables'!$E51,+IF(L$18='5.Variables'!$B$62,+'5.Variables'!$E65,+IF(L$18='5.Variables'!$B$76,+'5.Variables'!$E79,+IF(L$18='5.Variables'!$B$90,+'5.Variables'!$E93,+IF(L$18='5.Variables'!$B$104,+'5.Variables'!$E107,0))))))</f>
        <v>0</v>
      </c>
      <c r="M34" s="697">
        <f>IF(M$18='5.Variables'!$B$16,+'5.Variables'!$E27,+IF(M$18='5.Variables'!$B$39,+'5.Variables'!$E51,+IF(M$18='5.Variables'!$B$62,+'5.Variables'!$E65,+IF(M$18='5.Variables'!$B$76,+'5.Variables'!$E79,+IF(M$18='5.Variables'!$B$90,+'5.Variables'!$E93,+IF(M$18='5.Variables'!$B$104,+'5.Variables'!$E107,0))))))</f>
        <v>31</v>
      </c>
      <c r="N34" s="697">
        <f>IF(N$18='5.Variables'!$B$16,+'5.Variables'!$E27,+IF(N$18='5.Variables'!$B$39,+'5.Variables'!$E51,+IF(N$18='5.Variables'!$B$62,+'5.Variables'!$E65,+IF(N$18='5.Variables'!$B$76,+'5.Variables'!$E79,+IF(N$18='5.Variables'!$B$90,+'5.Variables'!$E93,+IF(N$18='5.Variables'!$B$104,+'5.Variables'!$E107,0))))))</f>
        <v>138.11000000000001</v>
      </c>
      <c r="O34" s="697">
        <f>IF(O$18='5.Variables'!$B$16,+'5.Variables'!$E27,+IF(O$18='5.Variables'!$B$39,+'5.Variables'!$E51,+IF(O$18='5.Variables'!$B$62,+'5.Variables'!$E65,+IF(O$18='5.Variables'!$B$76,+'5.Variables'!$E79,+IF(O$18='5.Variables'!$B$90,+'5.Variables'!$E93,+IF(O$18='5.Variables'!$B$104,+'5.Variables'!$E107,0))))))</f>
        <v>0</v>
      </c>
      <c r="P34" s="697">
        <f>IF(P$18='5.Variables'!$B$16,+'5.Variables'!$E27,+IF(P$18='5.Variables'!$B$39,+'5.Variables'!$E51,+IF(P$18='5.Variables'!$B$62,+'5.Variables'!$E65,+IF(P$18='5.Variables'!$B$76,+'5.Variables'!$E79,+IF(P$18='5.Variables'!$B$90,+'5.Variables'!$E93,+IF(P$18='5.Variables'!$B$104,+'5.Variables'!$E107,0))))))</f>
        <v>352</v>
      </c>
      <c r="Q34" s="242"/>
      <c r="R34" s="260">
        <f t="shared" si="1"/>
        <v>22052858.005707134</v>
      </c>
      <c r="S34" s="262"/>
      <c r="T34" s="242"/>
      <c r="U34" s="542" t="s">
        <v>17</v>
      </c>
      <c r="V34" s="542">
        <v>-208229.04637622135</v>
      </c>
      <c r="W34" s="542">
        <v>2656633.6329958383</v>
      </c>
      <c r="X34" s="542">
        <v>-7.8380791310469544E-2</v>
      </c>
      <c r="Y34" s="542">
        <v>0.93766378027039332</v>
      </c>
      <c r="Z34" s="542">
        <v>-5471499.4222279955</v>
      </c>
      <c r="AA34" s="542">
        <v>5055041.3294755537</v>
      </c>
      <c r="AB34" s="542">
        <v>-5471499.4222279955</v>
      </c>
      <c r="AC34" s="542">
        <v>5055041.3294755537</v>
      </c>
      <c r="AD34" s="258"/>
      <c r="AE34" s="242"/>
      <c r="AF34" s="242"/>
      <c r="AG34" s="242"/>
      <c r="AH34" s="242"/>
      <c r="AI34" s="242"/>
      <c r="AJ34" s="242"/>
      <c r="AK34" s="242"/>
      <c r="AL34" s="242"/>
      <c r="AM34" s="242"/>
    </row>
    <row r="35" spans="1:39" ht="15" x14ac:dyDescent="0.25">
      <c r="A35" s="500">
        <f t="shared" si="2"/>
        <v>16</v>
      </c>
      <c r="B35" s="259" t="str">
        <f>CONCATENATE('3. Consumption by Rate Class'!B40,"-",'3. Consumption by Rate Class'!C40)</f>
        <v>2007-April</v>
      </c>
      <c r="C35" s="670">
        <v>24473676.850000001</v>
      </c>
      <c r="D35" s="826">
        <v>2552010</v>
      </c>
      <c r="E35" s="827">
        <v>2572558</v>
      </c>
      <c r="F35" s="826"/>
      <c r="G35" s="826"/>
      <c r="H35" s="677"/>
      <c r="I35" s="677"/>
      <c r="J35" s="550">
        <f t="shared" si="0"/>
        <v>19349108.850000001</v>
      </c>
      <c r="K35" s="697">
        <f>IF(K$18='5.Variables'!$B$16,+'5.Variables'!$F28,+IF(K$18='5.Variables'!$B$39,+'5.Variables'!$F51,+IF(K$18='5.Variables'!$B$62,+'5.Variables'!$F65,+IF(K$18='5.Variables'!$B$76,+'5.Variables'!$F79,+IF(K$18='5.Variables'!$B$90,+'5.Variables'!$F93,+IF(K$18='5.Variables'!$B$104,+'5.Variables'!$F107,0))))))</f>
        <v>401</v>
      </c>
      <c r="L35" s="697">
        <f>IF(L$18='5.Variables'!$B$16,+'5.Variables'!$F27,+IF(L$18='5.Variables'!$B$39,+'5.Variables'!$F51,+IF(L$18='5.Variables'!$B$62,+'5.Variables'!$F65,+IF(L$18='5.Variables'!$B$76,+'5.Variables'!$F79,+IF(L$18='5.Variables'!$B$90,+'5.Variables'!$F93,+IF(L$18='5.Variables'!$B$104,+'5.Variables'!$F107,0))))))</f>
        <v>0</v>
      </c>
      <c r="M35" s="697">
        <f>IF(M$18='5.Variables'!$B$16,+'5.Variables'!$F27,+IF(M$18='5.Variables'!$B$39,+'5.Variables'!$F51,+IF(M$18='5.Variables'!$B$62,+'5.Variables'!$F65,+IF(M$18='5.Variables'!$B$76,+'5.Variables'!$F79,+IF(M$18='5.Variables'!$B$90,+'5.Variables'!$F93,+IF(M$18='5.Variables'!$B$104,+'5.Variables'!$F107,0))))))</f>
        <v>30</v>
      </c>
      <c r="N35" s="697">
        <f>IF(N$18='5.Variables'!$B$16,+'5.Variables'!$F27,+IF(N$18='5.Variables'!$B$39,+'5.Variables'!$F51,+IF(N$18='5.Variables'!$B$62,+'5.Variables'!$F65,+IF(N$18='5.Variables'!$B$76,+'5.Variables'!$F79,+IF(N$18='5.Variables'!$B$90,+'5.Variables'!$F93,+IF(N$18='5.Variables'!$B$104,+'5.Variables'!$F107,0))))))</f>
        <v>138.37</v>
      </c>
      <c r="O35" s="697">
        <f>IF(O$18='5.Variables'!$B$16,+'5.Variables'!$F27,+IF(O$18='5.Variables'!$B$39,+'5.Variables'!$F51,+IF(O$18='5.Variables'!$B$62,+'5.Variables'!$F65,+IF(O$18='5.Variables'!$B$76,+'5.Variables'!$F79,+IF(O$18='5.Variables'!$B$90,+'5.Variables'!$F93,+IF(O$18='5.Variables'!$B$104,+'5.Variables'!$F107,0))))))</f>
        <v>0</v>
      </c>
      <c r="P35" s="697">
        <f>IF(P$18='5.Variables'!$B$16,+'5.Variables'!$F27,+IF(P$18='5.Variables'!$B$39,+'5.Variables'!$F51,+IF(P$18='5.Variables'!$B$62,+'5.Variables'!$F65,+IF(P$18='5.Variables'!$B$76,+'5.Variables'!$F79,+IF(P$18='5.Variables'!$B$90,+'5.Variables'!$F93,+IF(P$18='5.Variables'!$B$104,+'5.Variables'!$F107,0))))))</f>
        <v>320</v>
      </c>
      <c r="Q35" s="242"/>
      <c r="R35" s="260">
        <f t="shared" si="1"/>
        <v>20282154.075131625</v>
      </c>
      <c r="S35" s="262"/>
      <c r="T35" s="516"/>
      <c r="U35" s="542" t="s">
        <v>1</v>
      </c>
      <c r="V35" s="542">
        <v>6515.5101354611243</v>
      </c>
      <c r="W35" s="542">
        <v>286.55695155010562</v>
      </c>
      <c r="X35" s="542">
        <v>22.737225882031556</v>
      </c>
      <c r="Y35" s="542">
        <v>5.6683761577781432E-44</v>
      </c>
      <c r="Z35" s="542">
        <v>5947.7891311963158</v>
      </c>
      <c r="AA35" s="542">
        <v>7083.2311397259327</v>
      </c>
      <c r="AB35" s="542">
        <v>5947.7891311963158</v>
      </c>
      <c r="AC35" s="542">
        <v>7083.2311397259327</v>
      </c>
      <c r="AD35" s="258"/>
      <c r="AE35" s="242"/>
      <c r="AF35" s="242"/>
      <c r="AG35" s="242"/>
      <c r="AH35" s="242"/>
      <c r="AI35" s="242"/>
      <c r="AJ35" s="242"/>
      <c r="AK35" s="242"/>
      <c r="AL35" s="242"/>
      <c r="AM35" s="242"/>
    </row>
    <row r="36" spans="1:39" ht="15" x14ac:dyDescent="0.25">
      <c r="A36" s="500">
        <f t="shared" si="2"/>
        <v>17</v>
      </c>
      <c r="B36" s="259" t="str">
        <f>CONCATENATE('3. Consumption by Rate Class'!B41,"-",'3. Consumption by Rate Class'!C41)</f>
        <v>2007-May</v>
      </c>
      <c r="C36" s="670">
        <v>23433103.780000001</v>
      </c>
      <c r="D36" s="826">
        <v>2745510</v>
      </c>
      <c r="E36" s="827">
        <v>2303985</v>
      </c>
      <c r="F36" s="826"/>
      <c r="G36" s="826"/>
      <c r="H36" s="677"/>
      <c r="I36" s="677"/>
      <c r="J36" s="550">
        <f t="shared" si="0"/>
        <v>18383608.780000001</v>
      </c>
      <c r="K36" s="697">
        <f>IF(K$18='5.Variables'!$B$16,+'5.Variables'!$G28,+IF(K$18='5.Variables'!$B$39,+'5.Variables'!$G51,+IF(K$18='5.Variables'!$B$62,+'5.Variables'!$G65,+IF(K$18='5.Variables'!$B$76,+'5.Variables'!$G79,+IF(K$18='5.Variables'!$B$90,+'5.Variables'!$G93,+IF(K$18='5.Variables'!$B$104,+'5.Variables'!$G107,0))))))</f>
        <v>208.1</v>
      </c>
      <c r="L36" s="697">
        <f>IF(L$18='5.Variables'!$B$16,+'5.Variables'!$G27,+IF(L$18='5.Variables'!$B$39,+'5.Variables'!$G51,+IF(L$18='5.Variables'!$B$62,+'5.Variables'!$G65,+IF(L$18='5.Variables'!$B$76,+'5.Variables'!$G79,+IF(L$18='5.Variables'!$B$90,+'5.Variables'!$G93,+IF(L$18='5.Variables'!$B$104,+'5.Variables'!$G107,0))))))</f>
        <v>0</v>
      </c>
      <c r="M36" s="697">
        <f>IF(M$18='5.Variables'!$B$16,+'5.Variables'!$G27,+IF(M$18='5.Variables'!$B$39,+'5.Variables'!$G51,+IF(M$18='5.Variables'!$B$62,+'5.Variables'!$G65,+IF(M$18='5.Variables'!$B$76,+'5.Variables'!$G79,+IF(M$18='5.Variables'!$B$90,+'5.Variables'!$G93,+IF(M$18='5.Variables'!$B$104,+'5.Variables'!$G107,0))))))</f>
        <v>31</v>
      </c>
      <c r="N36" s="697">
        <f>IF(N$18='5.Variables'!$B$16,+'5.Variables'!$G27,+IF(N$18='5.Variables'!$B$39,+'5.Variables'!$G51,+IF(N$18='5.Variables'!$B$62,+'5.Variables'!$G65,+IF(N$18='5.Variables'!$B$76,+'5.Variables'!$G79,+IF(N$18='5.Variables'!$B$90,+'5.Variables'!$G93,+IF(N$18='5.Variables'!$B$104,+'5.Variables'!$G107,0))))))</f>
        <v>138.63</v>
      </c>
      <c r="O36" s="697">
        <f>IF(O$18='5.Variables'!$B$16,+'5.Variables'!$G27,+IF(O$18='5.Variables'!$B$39,+'5.Variables'!$G51,+IF(O$18='5.Variables'!$B$62,+'5.Variables'!$G65,+IF(O$18='5.Variables'!$B$76,+'5.Variables'!$G79,+IF(O$18='5.Variables'!$B$90,+'5.Variables'!$G93,+IF(O$18='5.Variables'!$B$104,+'5.Variables'!$G107,0))))))</f>
        <v>0</v>
      </c>
      <c r="P36" s="697">
        <f>IF(P$18='5.Variables'!$B$16,+'5.Variables'!$G27,+IF(P$18='5.Variables'!$B$39,+'5.Variables'!$G51,+IF(P$18='5.Variables'!$B$62,+'5.Variables'!$G65,+IF(P$18='5.Variables'!$B$76,+'5.Variables'!$G79,+IF(P$18='5.Variables'!$B$90,+'5.Variables'!$G93,+IF(P$18='5.Variables'!$B$104,+'5.Variables'!$G107,0))))))</f>
        <v>352</v>
      </c>
      <c r="Q36" s="242"/>
      <c r="R36" s="260">
        <f t="shared" si="1"/>
        <v>19656046.214018103</v>
      </c>
      <c r="S36" s="262"/>
      <c r="T36" s="516"/>
      <c r="U36" s="542" t="s">
        <v>2</v>
      </c>
      <c r="V36" s="542">
        <v>39804.224197698772</v>
      </c>
      <c r="W36" s="542">
        <v>3223.7489369966256</v>
      </c>
      <c r="X36" s="542">
        <v>12.347184900441407</v>
      </c>
      <c r="Y36" s="542">
        <v>1.0857814462385689E-22</v>
      </c>
      <c r="Z36" s="542">
        <v>33417.396120037163</v>
      </c>
      <c r="AA36" s="542">
        <v>46191.05227536038</v>
      </c>
      <c r="AB36" s="542">
        <v>33417.396120037163</v>
      </c>
      <c r="AC36" s="542">
        <v>46191.05227536038</v>
      </c>
      <c r="AD36" s="258"/>
      <c r="AE36" s="242"/>
      <c r="AF36" s="242"/>
      <c r="AG36" s="242"/>
      <c r="AH36" s="242"/>
      <c r="AI36" s="242"/>
      <c r="AJ36" s="242"/>
      <c r="AK36" s="242"/>
      <c r="AL36" s="242"/>
      <c r="AM36" s="242"/>
    </row>
    <row r="37" spans="1:39" ht="15" x14ac:dyDescent="0.25">
      <c r="A37" s="500">
        <f t="shared" si="2"/>
        <v>18</v>
      </c>
      <c r="B37" s="259" t="str">
        <f>CONCATENATE('3. Consumption by Rate Class'!B42,"-",'3. Consumption by Rate Class'!C42)</f>
        <v>2007-June</v>
      </c>
      <c r="C37" s="670">
        <v>24099861.809999999</v>
      </c>
      <c r="D37" s="826">
        <v>2671934</v>
      </c>
      <c r="E37" s="827">
        <v>1627280</v>
      </c>
      <c r="F37" s="826"/>
      <c r="G37" s="826"/>
      <c r="H37" s="677"/>
      <c r="I37" s="677"/>
      <c r="J37" s="550">
        <f t="shared" si="0"/>
        <v>19800647.809999999</v>
      </c>
      <c r="K37" s="697">
        <f>IF(K$18='5.Variables'!$B$16,+'5.Variables'!$H28,+IF(K$18='5.Variables'!$B$39,+'5.Variables'!$H51,+IF(K$18='5.Variables'!$B$62,+'5.Variables'!$H65,+IF(K$18='5.Variables'!$B$76,+'5.Variables'!$H79,+IF(K$18='5.Variables'!$B$90,+'5.Variables'!$H93,+IF(K$18='5.Variables'!$B$104,+'5.Variables'!$H107,0))))))</f>
        <v>45.4</v>
      </c>
      <c r="L37" s="697">
        <f>IF(L$18='5.Variables'!$B$16,+'5.Variables'!$H27,+IF(L$18='5.Variables'!$B$39,+'5.Variables'!$H51,+IF(L$18='5.Variables'!$B$62,+'5.Variables'!$H65,+IF(L$18='5.Variables'!$B$76,+'5.Variables'!$H79,+IF(L$18='5.Variables'!$B$90,+'5.Variables'!$H93,+IF(L$18='5.Variables'!$B$104,+'5.Variables'!$H107,0))))))</f>
        <v>19.899999999999999</v>
      </c>
      <c r="M37" s="697">
        <f>IF(M$18='5.Variables'!$B$16,+'5.Variables'!$H27,+IF(M$18='5.Variables'!$B$39,+'5.Variables'!$H51,+IF(M$18='5.Variables'!$B$62,+'5.Variables'!$H65,+IF(M$18='5.Variables'!$B$76,+'5.Variables'!$H79,+IF(M$18='5.Variables'!$B$90,+'5.Variables'!$H93,+IF(M$18='5.Variables'!$B$104,+'5.Variables'!$H107,0))))))</f>
        <v>30</v>
      </c>
      <c r="N37" s="697">
        <f>IF(N$18='5.Variables'!$B$16,+'5.Variables'!$H27,+IF(N$18='5.Variables'!$B$39,+'5.Variables'!$H51,+IF(N$18='5.Variables'!$B$62,+'5.Variables'!$H65,+IF(N$18='5.Variables'!$B$76,+'5.Variables'!$H79,+IF(N$18='5.Variables'!$B$90,+'5.Variables'!$H93,+IF(N$18='5.Variables'!$B$104,+'5.Variables'!$H107,0))))))</f>
        <v>138.9</v>
      </c>
      <c r="O37" s="697">
        <f>IF(O$18='5.Variables'!$B$16,+'5.Variables'!$H27,+IF(O$18='5.Variables'!$B$39,+'5.Variables'!$H51,+IF(O$18='5.Variables'!$B$62,+'5.Variables'!$H65,+IF(O$18='5.Variables'!$B$76,+'5.Variables'!$H79,+IF(O$18='5.Variables'!$B$90,+'5.Variables'!$H93,+IF(O$18='5.Variables'!$B$104,+'5.Variables'!$H107,0))))))</f>
        <v>0</v>
      </c>
      <c r="P37" s="697">
        <f>IF(P$18='5.Variables'!$B$16,+'5.Variables'!$H27,+IF(P$18='5.Variables'!$B$39,+'5.Variables'!$H51,+IF(P$18='5.Variables'!$B$62,+'5.Variables'!$H65,+IF(P$18='5.Variables'!$B$76,+'5.Variables'!$H79,+IF(P$18='5.Variables'!$B$90,+'5.Variables'!$H93,+IF(P$18='5.Variables'!$B$104,+'5.Variables'!$H107,0))))))</f>
        <v>336</v>
      </c>
      <c r="Q37" s="242"/>
      <c r="R37" s="260">
        <f t="shared" si="1"/>
        <v>18894579.86291603</v>
      </c>
      <c r="S37" s="262"/>
      <c r="T37" s="516"/>
      <c r="U37" s="542" t="s">
        <v>240</v>
      </c>
      <c r="V37" s="542">
        <v>379690.6454206928</v>
      </c>
      <c r="W37" s="542">
        <v>72377.53761177967</v>
      </c>
      <c r="X37" s="542">
        <v>5.245973515392115</v>
      </c>
      <c r="Y37" s="542">
        <v>7.3422846936786369E-7</v>
      </c>
      <c r="Z37" s="542">
        <v>236297.68944143894</v>
      </c>
      <c r="AA37" s="542">
        <v>523083.60139994667</v>
      </c>
      <c r="AB37" s="542">
        <v>236297.68944143894</v>
      </c>
      <c r="AC37" s="542">
        <v>523083.60139994667</v>
      </c>
      <c r="AD37" s="258"/>
      <c r="AE37" s="242"/>
      <c r="AF37" s="242"/>
      <c r="AG37" s="242"/>
      <c r="AH37" s="242"/>
      <c r="AI37" s="242"/>
      <c r="AJ37" s="242"/>
      <c r="AK37" s="242"/>
      <c r="AL37" s="242"/>
      <c r="AM37" s="242"/>
    </row>
    <row r="38" spans="1:39" ht="15" x14ac:dyDescent="0.25">
      <c r="A38" s="500">
        <f t="shared" si="2"/>
        <v>19</v>
      </c>
      <c r="B38" s="259" t="str">
        <f>CONCATENATE('3. Consumption by Rate Class'!B43,"-",'3. Consumption by Rate Class'!C43)</f>
        <v>2007-July</v>
      </c>
      <c r="C38" s="670">
        <v>23042716.399999999</v>
      </c>
      <c r="D38" s="826">
        <v>2175447</v>
      </c>
      <c r="E38" s="827">
        <v>1061128</v>
      </c>
      <c r="F38" s="826"/>
      <c r="G38" s="826"/>
      <c r="H38" s="677"/>
      <c r="I38" s="677"/>
      <c r="J38" s="550">
        <f t="shared" si="0"/>
        <v>19806141.399999999</v>
      </c>
      <c r="K38" s="697">
        <f>IF(K$18='5.Variables'!$B$16,+'5.Variables'!$I28,+IF(K$18='5.Variables'!$B$39,+'5.Variables'!$I51,+IF(K$18='5.Variables'!$B$62,+'5.Variables'!$I65,+IF(K$18='5.Variables'!$B$76,+'5.Variables'!$I79,+IF(K$18='5.Variables'!$B$90,+'5.Variables'!$I93,+IF(K$18='5.Variables'!$B$104,+'5.Variables'!$I107,0))))))</f>
        <v>22.4</v>
      </c>
      <c r="L38" s="697">
        <f>IF(L$18='5.Variables'!$B$16,+'5.Variables'!$I27,+IF(L$18='5.Variables'!$B$39,+'5.Variables'!$I51,+IF(L$18='5.Variables'!$B$62,+'5.Variables'!$I65,+IF(L$18='5.Variables'!$B$76,+'5.Variables'!$I79,+IF(L$18='5.Variables'!$B$90,+'5.Variables'!$I93,+IF(L$18='5.Variables'!$B$104,+'5.Variables'!$I107,0))))))</f>
        <v>45.3</v>
      </c>
      <c r="M38" s="697">
        <f>IF(M$18='5.Variables'!$B$16,+'5.Variables'!$I27,+IF(M$18='5.Variables'!$B$39,+'5.Variables'!$I51,+IF(M$18='5.Variables'!$B$62,+'5.Variables'!$I65,+IF(M$18='5.Variables'!$B$76,+'5.Variables'!$I79,+IF(M$18='5.Variables'!$B$90,+'5.Variables'!$I93,+IF(M$18='5.Variables'!$B$104,+'5.Variables'!$I107,0))))))</f>
        <v>31</v>
      </c>
      <c r="N38" s="697">
        <f>IF(N$18='5.Variables'!$B$16,+'5.Variables'!$I27,+IF(N$18='5.Variables'!$B$39,+'5.Variables'!$I51,+IF(N$18='5.Variables'!$B$62,+'5.Variables'!$I65,+IF(N$18='5.Variables'!$B$76,+'5.Variables'!$I79,+IF(N$18='5.Variables'!$B$90,+'5.Variables'!$I93,+IF(N$18='5.Variables'!$B$104,+'5.Variables'!$I107,0))))))</f>
        <v>139.16</v>
      </c>
      <c r="O38" s="697">
        <f>IF(O$18='5.Variables'!$B$16,+'5.Variables'!$I27,+IF(O$18='5.Variables'!$B$39,+'5.Variables'!$I51,+IF(O$18='5.Variables'!$B$62,+'5.Variables'!$I65,+IF(O$18='5.Variables'!$B$76,+'5.Variables'!$I79,+IF(O$18='5.Variables'!$B$90,+'5.Variables'!$I93,+IF(O$18='5.Variables'!$B$104,+'5.Variables'!$I107,0))))))</f>
        <v>0</v>
      </c>
      <c r="P38" s="697">
        <f>IF(P$18='5.Variables'!$B$16,+'5.Variables'!$I27,+IF(P$18='5.Variables'!$B$39,+'5.Variables'!$I51,+IF(P$18='5.Variables'!$B$62,+'5.Variables'!$I65,+IF(P$18='5.Variables'!$B$76,+'5.Variables'!$I79,+IF(P$18='5.Variables'!$B$90,+'5.Variables'!$I93,+IF(P$18='5.Variables'!$B$104,+'5.Variables'!$I107,0))))))</f>
        <v>336</v>
      </c>
      <c r="Q38" s="242"/>
      <c r="R38" s="260">
        <f t="shared" si="1"/>
        <v>20143056.100072004</v>
      </c>
      <c r="S38" s="262"/>
      <c r="T38" s="516"/>
      <c r="U38" s="542" t="s">
        <v>262</v>
      </c>
      <c r="V38" s="542">
        <v>29288.577805147012</v>
      </c>
      <c r="W38" s="542">
        <v>12989.58022095814</v>
      </c>
      <c r="X38" s="542">
        <v>2.2547747738522856</v>
      </c>
      <c r="Y38" s="542">
        <v>2.6074294680364513E-2</v>
      </c>
      <c r="Z38" s="542">
        <v>3553.8765943435756</v>
      </c>
      <c r="AA38" s="542">
        <v>55023.279015950451</v>
      </c>
      <c r="AB38" s="542">
        <v>3553.8765943435756</v>
      </c>
      <c r="AC38" s="542">
        <v>55023.279015950451</v>
      </c>
      <c r="AD38" s="258"/>
      <c r="AE38" s="242"/>
      <c r="AF38" s="242"/>
      <c r="AG38" s="242"/>
      <c r="AH38" s="242"/>
      <c r="AI38" s="242"/>
      <c r="AJ38" s="242"/>
      <c r="AK38" s="242"/>
      <c r="AL38" s="242"/>
      <c r="AM38" s="242"/>
    </row>
    <row r="39" spans="1:39" ht="15" x14ac:dyDescent="0.25">
      <c r="A39" s="500">
        <f t="shared" si="2"/>
        <v>20</v>
      </c>
      <c r="B39" s="259" t="str">
        <f>CONCATENATE('3. Consumption by Rate Class'!B44,"-",'3. Consumption by Rate Class'!C44)</f>
        <v>2007-August</v>
      </c>
      <c r="C39" s="670">
        <v>25156769.010000002</v>
      </c>
      <c r="D39" s="826">
        <v>2317085</v>
      </c>
      <c r="E39" s="827">
        <v>1337316</v>
      </c>
      <c r="F39" s="826"/>
      <c r="G39" s="826"/>
      <c r="H39" s="677"/>
      <c r="I39" s="677"/>
      <c r="J39" s="550">
        <f t="shared" si="0"/>
        <v>21502368.010000002</v>
      </c>
      <c r="K39" s="697">
        <f>IF(K$18='5.Variables'!$B$16,+'5.Variables'!$J28,+IF(K$18='5.Variables'!$B$39,+'5.Variables'!$J51,+IF(K$18='5.Variables'!$B$62,+'5.Variables'!$J65,+IF(K$18='5.Variables'!$B$76,+'5.Variables'!$J79,+IF(K$18='5.Variables'!$B$90,+'5.Variables'!$J93,+IF(K$18='5.Variables'!$B$104,+'5.Variables'!$J107,0))))))</f>
        <v>12.1</v>
      </c>
      <c r="L39" s="697">
        <f>IF(L$18='5.Variables'!$B$16,+'5.Variables'!$J27,+IF(L$18='5.Variables'!$B$39,+'5.Variables'!$J51,+IF(L$18='5.Variables'!$B$62,+'5.Variables'!$J65,+IF(L$18='5.Variables'!$B$76,+'5.Variables'!$J79,+IF(L$18='5.Variables'!$B$90,+'5.Variables'!$J93,+IF(L$18='5.Variables'!$B$104,+'5.Variables'!$J107,0))))))</f>
        <v>91.5</v>
      </c>
      <c r="M39" s="697">
        <f>IF(M$18='5.Variables'!$B$16,+'5.Variables'!$J27,+IF(M$18='5.Variables'!$B$39,+'5.Variables'!$J51,+IF(M$18='5.Variables'!$B$62,+'5.Variables'!$J65,+IF(M$18='5.Variables'!$B$76,+'5.Variables'!$J79,+IF(M$18='5.Variables'!$B$90,+'5.Variables'!$J93,+IF(M$18='5.Variables'!$B$104,+'5.Variables'!$J107,0))))))</f>
        <v>31</v>
      </c>
      <c r="N39" s="697">
        <f>IF(N$18='5.Variables'!$B$16,+'5.Variables'!$J27,+IF(N$18='5.Variables'!$B$39,+'5.Variables'!$J51,+IF(N$18='5.Variables'!$B$62,+'5.Variables'!$J65,+IF(N$18='5.Variables'!$B$76,+'5.Variables'!$J79,+IF(N$18='5.Variables'!$B$90,+'5.Variables'!$J93,+IF(N$18='5.Variables'!$B$104,+'5.Variables'!$J107,0))))))</f>
        <v>139.41999999999999</v>
      </c>
      <c r="O39" s="697">
        <f>IF(O$18='5.Variables'!$B$16,+'5.Variables'!$J27,+IF(O$18='5.Variables'!$B$39,+'5.Variables'!$J51,+IF(O$18='5.Variables'!$B$62,+'5.Variables'!$J65,+IF(O$18='5.Variables'!$B$76,+'5.Variables'!$J79,+IF(O$18='5.Variables'!$B$90,+'5.Variables'!$J93,+IF(O$18='5.Variables'!$B$104,+'5.Variables'!$J107,0))))))</f>
        <v>0</v>
      </c>
      <c r="P39" s="697">
        <f>IF(P$18='5.Variables'!$B$16,+'5.Variables'!$J27,+IF(P$18='5.Variables'!$B$39,+'5.Variables'!$J51,+IF(P$18='5.Variables'!$B$62,+'5.Variables'!$J65,+IF(P$18='5.Variables'!$B$76,+'5.Variables'!$J79,+IF(P$18='5.Variables'!$B$90,+'5.Variables'!$J93,+IF(P$18='5.Variables'!$B$104,+'5.Variables'!$J107,0))))))</f>
        <v>352</v>
      </c>
      <c r="Q39" s="242"/>
      <c r="R39" s="260">
        <f t="shared" si="1"/>
        <v>22044230.718023226</v>
      </c>
      <c r="S39" s="262"/>
      <c r="T39" s="516"/>
      <c r="U39" s="876" t="s">
        <v>361</v>
      </c>
      <c r="V39" s="542">
        <v>-666791.39084453194</v>
      </c>
      <c r="W39" s="542">
        <v>124829.37490071786</v>
      </c>
      <c r="X39" s="542">
        <v>-5.3416224456371717</v>
      </c>
      <c r="Y39" s="542">
        <v>4.8285338329649991E-7</v>
      </c>
      <c r="Z39" s="542">
        <v>-914100.89667584375</v>
      </c>
      <c r="AA39" s="542">
        <v>-419481.88501322013</v>
      </c>
      <c r="AB39" s="542">
        <v>-914100.89667584375</v>
      </c>
      <c r="AC39" s="542">
        <v>-419481.88501322013</v>
      </c>
      <c r="AD39" s="258"/>
      <c r="AE39" s="242"/>
      <c r="AF39" s="242"/>
      <c r="AG39" s="242"/>
      <c r="AH39" s="242"/>
      <c r="AI39" s="242"/>
      <c r="AJ39" s="242"/>
      <c r="AK39" s="242"/>
      <c r="AL39" s="242"/>
      <c r="AM39" s="242"/>
    </row>
    <row r="40" spans="1:39" ht="15.75" thickBot="1" x14ac:dyDescent="0.3">
      <c r="A40" s="500">
        <f t="shared" si="2"/>
        <v>21</v>
      </c>
      <c r="B40" s="259" t="str">
        <f>CONCATENATE('3. Consumption by Rate Class'!B45,"-",'3. Consumption by Rate Class'!C45)</f>
        <v>2007-September</v>
      </c>
      <c r="C40" s="670">
        <v>23115005.699999999</v>
      </c>
      <c r="D40" s="826">
        <v>2429810</v>
      </c>
      <c r="E40" s="827">
        <v>1389034</v>
      </c>
      <c r="F40" s="826"/>
      <c r="G40" s="826"/>
      <c r="H40" s="677"/>
      <c r="I40" s="677"/>
      <c r="J40" s="550">
        <f t="shared" si="0"/>
        <v>19296161.699999999</v>
      </c>
      <c r="K40" s="697">
        <f>IF(K$18='5.Variables'!$B$16,+'5.Variables'!$K28,+IF(K$18='5.Variables'!$B$39,+'5.Variables'!$K51,+IF(K$18='5.Variables'!$B$62,+'5.Variables'!$K65,+IF(K$18='5.Variables'!$B$76,+'5.Variables'!$K79,+IF(K$18='5.Variables'!$B$90,+'5.Variables'!$K93,+IF(K$18='5.Variables'!$B$104,+'5.Variables'!$K107,0))))))</f>
        <v>61.8</v>
      </c>
      <c r="L40" s="697">
        <f>IF(L$18='5.Variables'!$B$16,+'5.Variables'!$K27,+IF(L$18='5.Variables'!$B$39,+'5.Variables'!$K51,+IF(L$18='5.Variables'!$B$62,+'5.Variables'!$K65,+IF(L$18='5.Variables'!$B$76,+'5.Variables'!$K79,+IF(L$18='5.Variables'!$B$90,+'5.Variables'!$K93,+IF(L$18='5.Variables'!$B$104,+'5.Variables'!$K107,0))))))</f>
        <v>17.899999999999999</v>
      </c>
      <c r="M40" s="697">
        <f>IF(M$18='5.Variables'!$B$16,+'5.Variables'!$K27,+IF(M$18='5.Variables'!$B$39,+'5.Variables'!$K51,+IF(M$18='5.Variables'!$B$62,+'5.Variables'!$K65,+IF(M$18='5.Variables'!$B$76,+'5.Variables'!$K79,+IF(M$18='5.Variables'!$B$90,+'5.Variables'!$K93,+IF(M$18='5.Variables'!$B$104,+'5.Variables'!$K107,0))))))</f>
        <v>30</v>
      </c>
      <c r="N40" s="697">
        <f>IF(N$18='5.Variables'!$B$16,+'5.Variables'!$K27,+IF(N$18='5.Variables'!$B$39,+'5.Variables'!$K51,+IF(N$18='5.Variables'!$B$62,+'5.Variables'!$K65,+IF(N$18='5.Variables'!$B$76,+'5.Variables'!$K79,+IF(N$18='5.Variables'!$B$90,+'5.Variables'!$K93,+IF(N$18='5.Variables'!$B$104,+'5.Variables'!$K107,0))))))</f>
        <v>139.69</v>
      </c>
      <c r="O40" s="697">
        <f>IF(O$18='5.Variables'!$B$16,+'5.Variables'!$K27,+IF(O$18='5.Variables'!$B$39,+'5.Variables'!$K51,+IF(O$18='5.Variables'!$B$62,+'5.Variables'!$K65,+IF(O$18='5.Variables'!$B$76,+'5.Variables'!$K79,+IF(O$18='5.Variables'!$B$90,+'5.Variables'!$K93,+IF(O$18='5.Variables'!$B$104,+'5.Variables'!$K107,0))))))</f>
        <v>0</v>
      </c>
      <c r="P40" s="697">
        <f>IF(P$18='5.Variables'!$B$16,+'5.Variables'!$K27,+IF(P$18='5.Variables'!$B$39,+'5.Variables'!$K51,+IF(P$18='5.Variables'!$B$62,+'5.Variables'!$K65,+IF(P$18='5.Variables'!$B$76,+'5.Variables'!$K79,+IF(P$18='5.Variables'!$B$90,+'5.Variables'!$K93,+IF(P$18='5.Variables'!$B$104,+'5.Variables'!$K107,0))))))</f>
        <v>304</v>
      </c>
      <c r="Q40" s="242"/>
      <c r="R40" s="260">
        <f t="shared" si="1"/>
        <v>18701535.388841368</v>
      </c>
      <c r="S40" s="262"/>
      <c r="T40" s="516"/>
      <c r="U40" s="543" t="s">
        <v>263</v>
      </c>
      <c r="V40" s="543">
        <v>7607.1365114655027</v>
      </c>
      <c r="W40" s="543">
        <v>3416.9211046044488</v>
      </c>
      <c r="X40" s="543">
        <v>2.226313186223281</v>
      </c>
      <c r="Y40" s="543">
        <v>2.797663288489936E-2</v>
      </c>
      <c r="Z40" s="543">
        <v>837.59952935371621</v>
      </c>
      <c r="AA40" s="543">
        <v>14376.673493577289</v>
      </c>
      <c r="AB40" s="543">
        <v>837.59952935371621</v>
      </c>
      <c r="AC40" s="543">
        <v>14376.673493577289</v>
      </c>
      <c r="AD40" s="258"/>
      <c r="AE40" s="242"/>
      <c r="AF40" s="242"/>
      <c r="AG40" s="242"/>
      <c r="AH40" s="242"/>
      <c r="AI40" s="242"/>
      <c r="AJ40" s="242"/>
      <c r="AK40" s="242"/>
      <c r="AL40" s="242"/>
      <c r="AM40" s="242"/>
    </row>
    <row r="41" spans="1:39" x14ac:dyDescent="0.2">
      <c r="A41" s="500">
        <f t="shared" si="2"/>
        <v>22</v>
      </c>
      <c r="B41" s="259" t="str">
        <f>CONCATENATE('3. Consumption by Rate Class'!B46,"-",'3. Consumption by Rate Class'!C46)</f>
        <v>2007-October</v>
      </c>
      <c r="C41" s="670">
        <v>23500919.18</v>
      </c>
      <c r="D41" s="826">
        <v>2307735</v>
      </c>
      <c r="E41" s="827">
        <v>1502184</v>
      </c>
      <c r="F41" s="826"/>
      <c r="G41" s="826"/>
      <c r="H41" s="677"/>
      <c r="I41" s="677"/>
      <c r="J41" s="550">
        <f t="shared" si="0"/>
        <v>19691000.18</v>
      </c>
      <c r="K41" s="697">
        <f>IF(K$18='5.Variables'!$B$16,+'5.Variables'!$L28,+IF(K$18='5.Variables'!$B$39,+'5.Variables'!$L51,+IF(K$18='5.Variables'!$B$62,+'5.Variables'!$L65,+IF(K$18='5.Variables'!$B$76,+'5.Variables'!$L79,+IF(K$18='5.Variables'!$B$90,+'5.Variables'!$L93,+IF(K$18='5.Variables'!$B$104,+'5.Variables'!$L107,0))))))</f>
        <v>165.8</v>
      </c>
      <c r="L41" s="697">
        <f>IF(L$18='5.Variables'!$B$16,+'5.Variables'!$L27,+IF(L$18='5.Variables'!$B$39,+'5.Variables'!$L51,+IF(L$18='5.Variables'!$B$62,+'5.Variables'!$L65,+IF(L$18='5.Variables'!$B$76,+'5.Variables'!$L79,+IF(L$18='5.Variables'!$B$90,+'5.Variables'!$L93,+IF(L$18='5.Variables'!$B$104,+'5.Variables'!$L107,0))))))</f>
        <v>4.0999999999999996</v>
      </c>
      <c r="M41" s="697">
        <f>IF(M$18='5.Variables'!$B$16,+'5.Variables'!$L27,+IF(M$18='5.Variables'!$B$39,+'5.Variables'!$L51,+IF(M$18='5.Variables'!$B$62,+'5.Variables'!$L65,+IF(M$18='5.Variables'!$B$76,+'5.Variables'!$L79,+IF(M$18='5.Variables'!$B$90,+'5.Variables'!$L93,+IF(M$18='5.Variables'!$B$104,+'5.Variables'!$L107,0))))))</f>
        <v>31</v>
      </c>
      <c r="N41" s="697">
        <f>IF(N$18='5.Variables'!$B$16,+'5.Variables'!$L27,+IF(N$18='5.Variables'!$B$39,+'5.Variables'!$L51,+IF(N$18='5.Variables'!$B$62,+'5.Variables'!$L65,+IF(N$18='5.Variables'!$B$76,+'5.Variables'!$L79,+IF(N$18='5.Variables'!$B$90,+'5.Variables'!$L93,+IF(N$18='5.Variables'!$B$104,+'5.Variables'!$L107,0))))))</f>
        <v>139.94999999999999</v>
      </c>
      <c r="O41" s="697">
        <f>IF(O$18='5.Variables'!$B$16,+'5.Variables'!$L27,+IF(O$18='5.Variables'!$B$39,+'5.Variables'!$L51,+IF(O$18='5.Variables'!$B$62,+'5.Variables'!$L65,+IF(O$18='5.Variables'!$B$76,+'5.Variables'!$L79,+IF(O$18='5.Variables'!$B$90,+'5.Variables'!$L93,+IF(O$18='5.Variables'!$B$104,+'5.Variables'!$L107,0))))))</f>
        <v>0</v>
      </c>
      <c r="P41" s="697">
        <f>IF(P$18='5.Variables'!$B$16,+'5.Variables'!$L27,+IF(P$18='5.Variables'!$B$39,+'5.Variables'!$L51,+IF(P$18='5.Variables'!$B$62,+'5.Variables'!$L65,+IF(P$18='5.Variables'!$B$76,+'5.Variables'!$L79,+IF(P$18='5.Variables'!$B$90,+'5.Variables'!$L93,+IF(P$18='5.Variables'!$B$104,+'5.Variables'!$L107,0))))))</f>
        <v>352</v>
      </c>
      <c r="Q41" s="242"/>
      <c r="R41" s="260">
        <f t="shared" si="1"/>
        <v>19582298.377201457</v>
      </c>
      <c r="S41" s="262"/>
      <c r="T41" s="242"/>
      <c r="U41"/>
      <c r="V41"/>
      <c r="W41"/>
      <c r="X41"/>
      <c r="Y41"/>
      <c r="Z41"/>
      <c r="AA41"/>
      <c r="AB41"/>
      <c r="AC41"/>
      <c r="AD41" s="258"/>
      <c r="AE41" s="242"/>
      <c r="AF41" s="242"/>
      <c r="AG41" s="242"/>
      <c r="AH41" s="242"/>
      <c r="AI41" s="242"/>
      <c r="AJ41" s="242"/>
      <c r="AK41" s="242"/>
      <c r="AL41" s="242"/>
      <c r="AM41" s="242"/>
    </row>
    <row r="42" spans="1:39" x14ac:dyDescent="0.2">
      <c r="A42" s="500">
        <f t="shared" si="2"/>
        <v>23</v>
      </c>
      <c r="B42" s="259" t="str">
        <f>CONCATENATE('3. Consumption by Rate Class'!B47,"-",'3. Consumption by Rate Class'!C47)</f>
        <v>2007-November</v>
      </c>
      <c r="C42" s="670">
        <v>24801466.91</v>
      </c>
      <c r="D42" s="826">
        <v>2122510</v>
      </c>
      <c r="E42" s="827">
        <v>1766661</v>
      </c>
      <c r="F42" s="826"/>
      <c r="G42" s="826"/>
      <c r="H42" s="677"/>
      <c r="I42" s="677"/>
      <c r="J42" s="550">
        <f t="shared" si="0"/>
        <v>20912295.91</v>
      </c>
      <c r="K42" s="697">
        <f>IF(K$18='5.Variables'!$B$16,+'5.Variables'!$M28,+IF(K$18='5.Variables'!$B$39,+'5.Variables'!$M51,+IF(K$18='5.Variables'!$B$62,+'5.Variables'!$M65,+IF(K$18='5.Variables'!$B$76,+'5.Variables'!$M79,+IF(K$18='5.Variables'!$B$90,+'5.Variables'!$M93,+IF(K$18='5.Variables'!$B$104,+'5.Variables'!$M107,0))))))</f>
        <v>441.5</v>
      </c>
      <c r="L42" s="697">
        <f>IF(L$18='5.Variables'!$B$16,+'5.Variables'!$M27,+IF(L$18='5.Variables'!$B$39,+'5.Variables'!$M51,+IF(L$18='5.Variables'!$B$62,+'5.Variables'!$M65,+IF(L$18='5.Variables'!$B$76,+'5.Variables'!$M79,+IF(L$18='5.Variables'!$B$90,+'5.Variables'!$M93,+IF(L$18='5.Variables'!$B$104,+'5.Variables'!$M107,0))))))</f>
        <v>0</v>
      </c>
      <c r="M42" s="697">
        <f>IF(M$18='5.Variables'!$B$16,+'5.Variables'!$M27,+IF(M$18='5.Variables'!$B$39,+'5.Variables'!$M51,+IF(M$18='5.Variables'!$B$62,+'5.Variables'!$M65,+IF(M$18='5.Variables'!$B$76,+'5.Variables'!$M79,+IF(M$18='5.Variables'!$B$90,+'5.Variables'!$M93,+IF(M$18='5.Variables'!$B$104,+'5.Variables'!$M107,0))))))</f>
        <v>30</v>
      </c>
      <c r="N42" s="697">
        <f>IF(N$18='5.Variables'!$B$16,+'5.Variables'!$M27,+IF(N$18='5.Variables'!$B$39,+'5.Variables'!$M51,+IF(N$18='5.Variables'!$B$62,+'5.Variables'!$M65,+IF(N$18='5.Variables'!$B$76,+'5.Variables'!$M79,+IF(N$18='5.Variables'!$B$90,+'5.Variables'!$M93,+IF(N$18='5.Variables'!$B$104,+'5.Variables'!$M107,0))))))</f>
        <v>140.22</v>
      </c>
      <c r="O42" s="697">
        <f>IF(O$18='5.Variables'!$B$16,+'5.Variables'!$M27,+IF(O$18='5.Variables'!$B$39,+'5.Variables'!$M51,+IF(O$18='5.Variables'!$B$62,+'5.Variables'!$M65,+IF(O$18='5.Variables'!$B$76,+'5.Variables'!$M79,+IF(O$18='5.Variables'!$B$90,+'5.Variables'!$M93,+IF(O$18='5.Variables'!$B$104,+'5.Variables'!$M107,0))))))</f>
        <v>0</v>
      </c>
      <c r="P42" s="697">
        <f>IF(P$18='5.Variables'!$B$16,+'5.Variables'!$M27,+IF(P$18='5.Variables'!$B$39,+'5.Variables'!$M51,+IF(P$18='5.Variables'!$B$62,+'5.Variables'!$M65,+IF(P$18='5.Variables'!$B$76,+'5.Variables'!$M79,+IF(P$18='5.Variables'!$B$90,+'5.Variables'!$M93,+IF(P$18='5.Variables'!$B$104,+'5.Variables'!$M107,0))))))</f>
        <v>352</v>
      </c>
      <c r="Q42" s="242"/>
      <c r="R42" s="260">
        <f t="shared" si="1"/>
        <v>20843644.472924221</v>
      </c>
      <c r="S42" s="262"/>
      <c r="T42" s="242"/>
      <c r="U42"/>
      <c r="V42"/>
      <c r="W42"/>
      <c r="X42"/>
      <c r="Y42"/>
      <c r="Z42"/>
      <c r="AA42"/>
      <c r="AB42"/>
      <c r="AC42"/>
      <c r="AD42" s="258"/>
      <c r="AE42" s="242"/>
      <c r="AF42" s="242"/>
      <c r="AG42" s="242"/>
      <c r="AH42" s="242"/>
      <c r="AI42" s="242"/>
      <c r="AJ42" s="242"/>
      <c r="AK42" s="242"/>
      <c r="AL42" s="242"/>
      <c r="AM42" s="242"/>
    </row>
    <row r="43" spans="1:39" ht="13.5" customHeight="1" x14ac:dyDescent="0.2">
      <c r="A43" s="500">
        <f t="shared" si="2"/>
        <v>24</v>
      </c>
      <c r="B43" s="519" t="str">
        <f>CONCATENATE('3. Consumption by Rate Class'!B48,"-",'3. Consumption by Rate Class'!C48)</f>
        <v>2007-December</v>
      </c>
      <c r="C43" s="671">
        <v>25783133.859999999</v>
      </c>
      <c r="D43" s="828">
        <v>1839231</v>
      </c>
      <c r="E43" s="829">
        <v>1487833</v>
      </c>
      <c r="F43" s="828"/>
      <c r="G43" s="828"/>
      <c r="H43" s="679"/>
      <c r="I43" s="679"/>
      <c r="J43" s="550">
        <f t="shared" si="0"/>
        <v>22456069.859999999</v>
      </c>
      <c r="K43" s="697">
        <f>IF(K$18='5.Variables'!$B$16,+'5.Variables'!$N28,+IF(K$18='5.Variables'!$B$39,+'5.Variables'!$N51,+IF(K$18='5.Variables'!$B$62,+'5.Variables'!$N65,+IF(K$18='5.Variables'!$B$76,+'5.Variables'!$N79,+IF(K$18='5.Variables'!$B$90,+'5.Variables'!$N93,+IF(K$18='5.Variables'!$B$104,+'5.Variables'!$N107,0))))))</f>
        <v>648.29999999999995</v>
      </c>
      <c r="L43" s="697">
        <f>IF(L$18='5.Variables'!$B$16,+'5.Variables'!$N27,+IF(L$18='5.Variables'!$B$39,+'5.Variables'!$N51,+IF(L$18='5.Variables'!$B$62,+'5.Variables'!$N65,+IF(L$18='5.Variables'!$B$76,+'5.Variables'!$N79,+IF(L$18='5.Variables'!$B$90,+'5.Variables'!$N93,+IF(L$18='5.Variables'!$B$104,+'5.Variables'!$N107,0))))))</f>
        <v>0</v>
      </c>
      <c r="M43" s="697">
        <f>IF(M$18='5.Variables'!$B$16,+'5.Variables'!$N27,+IF(M$18='5.Variables'!$B$39,+'5.Variables'!$N51,+IF(M$18='5.Variables'!$B$62,+'5.Variables'!$N65,+IF(M$18='5.Variables'!$B$76,+'5.Variables'!$N79,+IF(M$18='5.Variables'!$B$90,+'5.Variables'!$N93,+IF(M$18='5.Variables'!$B$104,+'5.Variables'!$N107,0))))))</f>
        <v>31</v>
      </c>
      <c r="N43" s="697">
        <f>IF(N$18='5.Variables'!$B$16,+'5.Variables'!$N27,+IF(N$18='5.Variables'!$B$39,+'5.Variables'!$N51,+IF(N$18='5.Variables'!$B$62,+'5.Variables'!$N65,+IF(N$18='5.Variables'!$B$76,+'5.Variables'!$N79,+IF(N$18='5.Variables'!$B$90,+'5.Variables'!$N93,+IF(N$18='5.Variables'!$B$104,+'5.Variables'!$N107,0))))))</f>
        <v>140.47999999999999</v>
      </c>
      <c r="O43" s="697">
        <f>IF(O$18='5.Variables'!$B$16,+'5.Variables'!$N27,+IF(O$18='5.Variables'!$B$39,+'5.Variables'!$N51,+IF(O$18='5.Variables'!$B$62,+'5.Variables'!$N65,+IF(O$18='5.Variables'!$B$76,+'5.Variables'!$N79,+IF(O$18='5.Variables'!$B$90,+'5.Variables'!$N93,+IF(O$18='5.Variables'!$B$104,+'5.Variables'!$N107,0))))))</f>
        <v>0</v>
      </c>
      <c r="P43" s="697">
        <f>IF(P$18='5.Variables'!$B$16,+'5.Variables'!$N27,+IF(P$18='5.Variables'!$B$39,+'5.Variables'!$N51,+IF(P$18='5.Variables'!$B$62,+'5.Variables'!$N65,+IF(P$18='5.Variables'!$B$76,+'5.Variables'!$N79,+IF(P$18='5.Variables'!$B$90,+'5.Variables'!$N93,+IF(P$18='5.Variables'!$B$104,+'5.Variables'!$N107,0))))))</f>
        <v>304</v>
      </c>
      <c r="Q43" s="242"/>
      <c r="R43" s="260">
        <f t="shared" si="1"/>
        <v>22213215.092037264</v>
      </c>
      <c r="S43" s="262">
        <f>SUM(R32:R43)</f>
        <v>248683575.31460232</v>
      </c>
      <c r="T43" s="242"/>
      <c r="U43"/>
      <c r="V43"/>
      <c r="W43"/>
      <c r="X43"/>
      <c r="Y43"/>
      <c r="Z43"/>
      <c r="AA43"/>
      <c r="AB43"/>
      <c r="AC43"/>
      <c r="AD43" s="258"/>
      <c r="AE43" s="242"/>
      <c r="AF43" s="242"/>
      <c r="AG43" s="242"/>
      <c r="AH43" s="242"/>
      <c r="AI43" s="242"/>
      <c r="AJ43" s="242"/>
      <c r="AK43" s="242"/>
      <c r="AL43" s="242"/>
      <c r="AM43" s="242"/>
    </row>
    <row r="44" spans="1:39" x14ac:dyDescent="0.2">
      <c r="A44" s="500">
        <f t="shared" si="2"/>
        <v>25</v>
      </c>
      <c r="B44" s="259" t="str">
        <f>CONCATENATE('3. Consumption by Rate Class'!B49,"-",'3. Consumption by Rate Class'!C49)</f>
        <v>2008-January</v>
      </c>
      <c r="C44" s="670">
        <v>26907991</v>
      </c>
      <c r="D44" s="826">
        <v>2091843</v>
      </c>
      <c r="E44" s="827">
        <v>2226385</v>
      </c>
      <c r="F44" s="826"/>
      <c r="G44" s="826"/>
      <c r="H44" s="677"/>
      <c r="I44" s="677"/>
      <c r="J44" s="550">
        <f t="shared" si="0"/>
        <v>22589763</v>
      </c>
      <c r="K44" s="697">
        <f>IF(K$18='5.Variables'!$B$16,+'5.Variables'!$C29,+IF(K$18='5.Variables'!$B$39,+'5.Variables'!$C52,+IF(K$18='5.Variables'!$B$62,+'5.Variables'!$C66,+IF(K$18='5.Variables'!$B$76,+'5.Variables'!$C80,+IF(K$18='5.Variables'!$B$90,+'5.Variables'!$C94,+IF(K$18='5.Variables'!$B$104,+'5.Variables'!$C108,0))))))</f>
        <v>633.29999999999995</v>
      </c>
      <c r="L44" s="697">
        <f>IF(L$18='5.Variables'!$B$16,+'5.Variables'!$C28,+IF(L$18='5.Variables'!$B$39,+'5.Variables'!$C52,+IF(L$18='5.Variables'!$B$62,+'5.Variables'!$C66,+IF(L$18='5.Variables'!$B$76,+'5.Variables'!$C80,+IF(L$18='5.Variables'!$B$90,+'5.Variables'!$C94,+IF(L$18='5.Variables'!$B$104,+'5.Variables'!$C108,0))))))</f>
        <v>0</v>
      </c>
      <c r="M44" s="697">
        <f>IF(M$18='5.Variables'!$B$16,+'5.Variables'!$C28,+IF(M$18='5.Variables'!$B$39,+'5.Variables'!$C52,+IF(M$18='5.Variables'!$B$62,+'5.Variables'!$C66,+IF(M$18='5.Variables'!$B$76,+'5.Variables'!$C80,+IF(M$18='5.Variables'!$B$90,+'5.Variables'!$C94,+IF(M$18='5.Variables'!$B$104,+'5.Variables'!$C108,0))))))</f>
        <v>31</v>
      </c>
      <c r="N44" s="697">
        <f>IF(N$18='5.Variables'!$B$16,+'5.Variables'!$C28,+IF(N$18='5.Variables'!$B$39,+'5.Variables'!$C52,+IF(N$18='5.Variables'!$B$62,+'5.Variables'!$C66,+IF(N$18='5.Variables'!$B$76,+'5.Variables'!$C80,+IF(N$18='5.Variables'!$B$90,+'5.Variables'!$C94,+IF(N$18='5.Variables'!$B$104,+'5.Variables'!$C108,0))))))</f>
        <v>140.43</v>
      </c>
      <c r="O44" s="697">
        <f>IF(O$18='5.Variables'!$B$16,+'5.Variables'!$C28,+IF(O$18='5.Variables'!$B$39,+'5.Variables'!$C52,+IF(O$18='5.Variables'!$B$62,+'5.Variables'!$C66,+IF(O$18='5.Variables'!$B$76,+'5.Variables'!$C80,+IF(O$18='5.Variables'!$B$90,+'5.Variables'!$C94,+IF(O$18='5.Variables'!$B$104,+'5.Variables'!$C108,0))))))</f>
        <v>0</v>
      </c>
      <c r="P44" s="697">
        <f>IF(P$18='5.Variables'!$B$16,+'5.Variables'!$C28,+IF(P$18='5.Variables'!$B$39,+'5.Variables'!$C52,+IF(P$18='5.Variables'!$B$62,+'5.Variables'!$C66,+IF(P$18='5.Variables'!$B$76,+'5.Variables'!$C80,+IF(P$18='5.Variables'!$B$90,+'5.Variables'!$C94,+IF(P$18='5.Variables'!$B$104,+'5.Variables'!$C108,0))))))</f>
        <v>352</v>
      </c>
      <c r="Q44" s="242"/>
      <c r="R44" s="260">
        <f t="shared" si="1"/>
        <v>22479160.563665435</v>
      </c>
      <c r="S44" s="262"/>
      <c r="T44" s="242"/>
      <c r="U44" s="263" t="s">
        <v>164</v>
      </c>
      <c r="V44" s="256"/>
      <c r="W44" s="256"/>
      <c r="X44" s="256"/>
      <c r="Y44" s="256"/>
      <c r="Z44" s="256"/>
      <c r="AA44" s="256"/>
      <c r="AB44" s="256"/>
      <c r="AC44" s="256"/>
      <c r="AD44" s="258"/>
      <c r="AE44" s="242"/>
      <c r="AF44" s="242"/>
      <c r="AG44" s="242"/>
      <c r="AH44" s="242"/>
      <c r="AI44" s="242"/>
      <c r="AJ44" s="242"/>
      <c r="AK44" s="242"/>
      <c r="AL44" s="242"/>
      <c r="AM44" s="242"/>
    </row>
    <row r="45" spans="1:39" x14ac:dyDescent="0.2">
      <c r="A45" s="500">
        <f t="shared" si="2"/>
        <v>26</v>
      </c>
      <c r="B45" s="259" t="str">
        <f>CONCATENATE('3. Consumption by Rate Class'!B50,"-",'3. Consumption by Rate Class'!C50)</f>
        <v>2008-February</v>
      </c>
      <c r="C45" s="670">
        <v>25497644</v>
      </c>
      <c r="D45" s="826">
        <v>2051853</v>
      </c>
      <c r="E45" s="827">
        <v>1845598</v>
      </c>
      <c r="F45" s="826"/>
      <c r="G45" s="826"/>
      <c r="H45" s="677"/>
      <c r="I45" s="677"/>
      <c r="J45" s="550">
        <f t="shared" si="0"/>
        <v>21600193</v>
      </c>
      <c r="K45" s="697">
        <f>IF(K$18='5.Variables'!$B$16,+'5.Variables'!$D29,+IF(K$18='5.Variables'!$B$39,+'5.Variables'!$D52,+IF(K$18='5.Variables'!$B$62,+'5.Variables'!$D66,+IF(K$18='5.Variables'!$B$76,+'5.Variables'!$D80,+IF(K$18='5.Variables'!$B$90,+'5.Variables'!$D94,+IF(K$18='5.Variables'!$B$104,+'5.Variables'!$D108,0))))))</f>
        <v>660.6</v>
      </c>
      <c r="L45" s="697">
        <f>IF(L$18='5.Variables'!$B$16,+'5.Variables'!$D28,+IF(L$18='5.Variables'!$B$39,+'5.Variables'!$D52,+IF(L$18='5.Variables'!$B$62,+'5.Variables'!$D66,+IF(L$18='5.Variables'!$B$76,+'5.Variables'!$D80,+IF(L$18='5.Variables'!$B$90,+'5.Variables'!$D94,+IF(L$18='5.Variables'!$B$104,+'5.Variables'!$D108,0))))))</f>
        <v>0</v>
      </c>
      <c r="M45" s="697">
        <f>IF(M$18='5.Variables'!$B$16,+'5.Variables'!$D28,+IF(M$18='5.Variables'!$B$39,+'5.Variables'!$D52,+IF(M$18='5.Variables'!$B$62,+'5.Variables'!$D66,+IF(M$18='5.Variables'!$B$76,+'5.Variables'!$D80,+IF(M$18='5.Variables'!$B$90,+'5.Variables'!$D94,+IF(M$18='5.Variables'!$B$104,+'5.Variables'!$D108,0))))))</f>
        <v>29</v>
      </c>
      <c r="N45" s="697">
        <f>IF(N$18='5.Variables'!$B$16,+'5.Variables'!$D28,+IF(N$18='5.Variables'!$B$39,+'5.Variables'!$D52,+IF(N$18='5.Variables'!$B$62,+'5.Variables'!$D66,+IF(N$18='5.Variables'!$B$76,+'5.Variables'!$D80,+IF(N$18='5.Variables'!$B$90,+'5.Variables'!$D94,+IF(N$18='5.Variables'!$B$104,+'5.Variables'!$D108,0))))))</f>
        <v>140.37</v>
      </c>
      <c r="O45" s="697">
        <f>IF(O$18='5.Variables'!$B$16,+'5.Variables'!$D28,+IF(O$18='5.Variables'!$B$39,+'5.Variables'!$D52,+IF(O$18='5.Variables'!$B$62,+'5.Variables'!$D66,+IF(O$18='5.Variables'!$B$76,+'5.Variables'!$D80,+IF(O$18='5.Variables'!$B$90,+'5.Variables'!$D94,+IF(O$18='5.Variables'!$B$104,+'5.Variables'!$D108,0))))))</f>
        <v>0</v>
      </c>
      <c r="P45" s="697">
        <f>IF(P$18='5.Variables'!$B$16,+'5.Variables'!$D28,+IF(P$18='5.Variables'!$B$39,+'5.Variables'!$D52,+IF(P$18='5.Variables'!$B$62,+'5.Variables'!$D66,+IF(P$18='5.Variables'!$B$76,+'5.Variables'!$D80,+IF(P$18='5.Variables'!$B$90,+'5.Variables'!$D94,+IF(P$18='5.Variables'!$B$104,+'5.Variables'!$D108,0))))))</f>
        <v>320</v>
      </c>
      <c r="Q45" s="242"/>
      <c r="R45" s="260">
        <f t="shared" si="1"/>
        <v>21652467.016486935</v>
      </c>
      <c r="S45" s="262"/>
      <c r="T45" s="242"/>
      <c r="U45" s="778" t="s">
        <v>33</v>
      </c>
      <c r="V45" s="778" t="s">
        <v>289</v>
      </c>
      <c r="W45" s="778" t="s">
        <v>290</v>
      </c>
      <c r="X45" s="778" t="s">
        <v>291</v>
      </c>
      <c r="Y45" s="778" t="s">
        <v>290</v>
      </c>
      <c r="Z45" s="778" t="s">
        <v>292</v>
      </c>
      <c r="AA45" s="242"/>
      <c r="AB45" s="242"/>
      <c r="AC45" s="242"/>
      <c r="AD45" s="258"/>
      <c r="AE45" s="242"/>
      <c r="AF45" s="242"/>
      <c r="AG45" s="242"/>
      <c r="AH45" s="242"/>
      <c r="AI45" s="242"/>
      <c r="AJ45" s="242"/>
      <c r="AK45" s="242"/>
      <c r="AL45" s="242"/>
      <c r="AM45" s="242"/>
    </row>
    <row r="46" spans="1:39" x14ac:dyDescent="0.2">
      <c r="A46" s="500">
        <f t="shared" si="2"/>
        <v>27</v>
      </c>
      <c r="B46" s="259" t="str">
        <f>CONCATENATE('3. Consumption by Rate Class'!B51,"-",'3. Consumption by Rate Class'!C51)</f>
        <v>2008-March</v>
      </c>
      <c r="C46" s="670">
        <v>25682528</v>
      </c>
      <c r="D46" s="826">
        <v>2087020</v>
      </c>
      <c r="E46" s="827">
        <v>1747623</v>
      </c>
      <c r="F46" s="826"/>
      <c r="G46" s="826"/>
      <c r="H46" s="677"/>
      <c r="I46" s="677"/>
      <c r="J46" s="550">
        <f t="shared" si="0"/>
        <v>21847885</v>
      </c>
      <c r="K46" s="697">
        <f>IF(K$18='5.Variables'!$B$16,+'5.Variables'!$E29,+IF(K$18='5.Variables'!$B$39,+'5.Variables'!$E52,+IF(K$18='5.Variables'!$B$62,+'5.Variables'!$E66,+IF(K$18='5.Variables'!$B$76,+'5.Variables'!$E80,+IF(K$18='5.Variables'!$B$90,+'5.Variables'!$E94,+IF(K$18='5.Variables'!$B$104,+'5.Variables'!$E108,0))))))</f>
        <v>632.29999999999995</v>
      </c>
      <c r="L46" s="697">
        <f>IF(L$18='5.Variables'!$B$16,+'5.Variables'!$E28,+IF(L$18='5.Variables'!$B$39,+'5.Variables'!$E52,+IF(L$18='5.Variables'!$B$62,+'5.Variables'!$E66,+IF(L$18='5.Variables'!$B$76,+'5.Variables'!$E80,+IF(L$18='5.Variables'!$B$90,+'5.Variables'!$E94,+IF(L$18='5.Variables'!$B$104,+'5.Variables'!$E108,0))))))</f>
        <v>0</v>
      </c>
      <c r="M46" s="697">
        <f>IF(M$18='5.Variables'!$B$16,+'5.Variables'!$E28,+IF(M$18='5.Variables'!$B$39,+'5.Variables'!$E52,+IF(M$18='5.Variables'!$B$62,+'5.Variables'!$E66,+IF(M$18='5.Variables'!$B$76,+'5.Variables'!$E80,+IF(M$18='5.Variables'!$B$90,+'5.Variables'!$E94,+IF(M$18='5.Variables'!$B$104,+'5.Variables'!$E108,0))))))</f>
        <v>31</v>
      </c>
      <c r="N46" s="697">
        <f>IF(N$18='5.Variables'!$B$16,+'5.Variables'!$E28,+IF(N$18='5.Variables'!$B$39,+'5.Variables'!$E52,+IF(N$18='5.Variables'!$B$62,+'5.Variables'!$E66,+IF(N$18='5.Variables'!$B$76,+'5.Variables'!$E80,+IF(N$18='5.Variables'!$B$90,+'5.Variables'!$E94,+IF(N$18='5.Variables'!$B$104,+'5.Variables'!$E108,0))))))</f>
        <v>140.31</v>
      </c>
      <c r="O46" s="697">
        <f>IF(O$18='5.Variables'!$B$16,+'5.Variables'!$E28,+IF(O$18='5.Variables'!$B$39,+'5.Variables'!$E52,+IF(O$18='5.Variables'!$B$62,+'5.Variables'!$E66,+IF(O$18='5.Variables'!$B$76,+'5.Variables'!$E80,+IF(O$18='5.Variables'!$B$90,+'5.Variables'!$E94,+IF(O$18='5.Variables'!$B$104,+'5.Variables'!$E108,0))))))</f>
        <v>0</v>
      </c>
      <c r="P46" s="697">
        <f>IF(P$18='5.Variables'!$B$16,+'5.Variables'!$E28,+IF(P$18='5.Variables'!$B$39,+'5.Variables'!$E52,+IF(P$18='5.Variables'!$B$62,+'5.Variables'!$E66,+IF(P$18='5.Variables'!$B$76,+'5.Variables'!$E80,+IF(P$18='5.Variables'!$B$90,+'5.Variables'!$E94,+IF(P$18='5.Variables'!$B$104,+'5.Variables'!$E108,0))))))</f>
        <v>304</v>
      </c>
      <c r="Q46" s="242"/>
      <c r="R46" s="260">
        <f t="shared" si="1"/>
        <v>22103987.871643011</v>
      </c>
      <c r="S46" s="262"/>
      <c r="T46" s="242"/>
      <c r="U46" s="247">
        <f>'4. Customer Growth'!B17</f>
        <v>2006</v>
      </c>
      <c r="V46" s="264">
        <f>SUM(J20:J31)</f>
        <v>240687668</v>
      </c>
      <c r="W46" s="264"/>
      <c r="X46" s="264">
        <f>S31</f>
        <v>244958698.73945877</v>
      </c>
      <c r="Y46" s="264"/>
      <c r="Z46" s="265">
        <f t="shared" ref="Z46:Z55" si="3">(X46-V46)/V46</f>
        <v>1.7745116627490735E-2</v>
      </c>
      <c r="AA46" s="242"/>
      <c r="AB46" s="242"/>
      <c r="AC46" s="242"/>
      <c r="AD46" s="258"/>
      <c r="AE46" s="242"/>
      <c r="AF46" s="242"/>
      <c r="AG46" s="242"/>
      <c r="AH46" s="242"/>
      <c r="AI46" s="242"/>
      <c r="AJ46" s="242"/>
      <c r="AK46" s="242"/>
      <c r="AL46" s="242"/>
      <c r="AM46" s="242"/>
    </row>
    <row r="47" spans="1:39" x14ac:dyDescent="0.2">
      <c r="A47" s="500">
        <f t="shared" si="2"/>
        <v>28</v>
      </c>
      <c r="B47" s="259" t="str">
        <f>CONCATENATE('3. Consumption by Rate Class'!B52,"-",'3. Consumption by Rate Class'!C52)</f>
        <v>2008-April</v>
      </c>
      <c r="C47" s="670">
        <v>22564521</v>
      </c>
      <c r="D47" s="826">
        <v>2052242</v>
      </c>
      <c r="E47" s="827">
        <v>1880044</v>
      </c>
      <c r="F47" s="826"/>
      <c r="G47" s="826"/>
      <c r="H47" s="677"/>
      <c r="I47" s="677"/>
      <c r="J47" s="550">
        <f t="shared" si="0"/>
        <v>18632235</v>
      </c>
      <c r="K47" s="697">
        <f>IF(K$18='5.Variables'!$B$16,+'5.Variables'!$F29,+IF(K$18='5.Variables'!$B$39,+'5.Variables'!$F52,+IF(K$18='5.Variables'!$B$62,+'5.Variables'!$F66,+IF(K$18='5.Variables'!$B$76,+'5.Variables'!$F80,+IF(K$18='5.Variables'!$B$90,+'5.Variables'!$F94,+IF(K$18='5.Variables'!$B$104,+'5.Variables'!$F108,0))))))</f>
        <v>326.3</v>
      </c>
      <c r="L47" s="697">
        <f>IF(L$18='5.Variables'!$B$16,+'5.Variables'!$F28,+IF(L$18='5.Variables'!$B$39,+'5.Variables'!$F52,+IF(L$18='5.Variables'!$B$62,+'5.Variables'!$F66,+IF(L$18='5.Variables'!$B$76,+'5.Variables'!$F80,+IF(L$18='5.Variables'!$B$90,+'5.Variables'!$F94,+IF(L$18='5.Variables'!$B$104,+'5.Variables'!$F108,0))))))</f>
        <v>0</v>
      </c>
      <c r="M47" s="697">
        <f>IF(M$18='5.Variables'!$B$16,+'5.Variables'!$F28,+IF(M$18='5.Variables'!$B$39,+'5.Variables'!$F52,+IF(M$18='5.Variables'!$B$62,+'5.Variables'!$F66,+IF(M$18='5.Variables'!$B$76,+'5.Variables'!$F80,+IF(M$18='5.Variables'!$B$90,+'5.Variables'!$F94,+IF(M$18='5.Variables'!$B$104,+'5.Variables'!$F108,0))))))</f>
        <v>30</v>
      </c>
      <c r="N47" s="697">
        <f>IF(N$18='5.Variables'!$B$16,+'5.Variables'!$F28,+IF(N$18='5.Variables'!$B$39,+'5.Variables'!$F52,+IF(N$18='5.Variables'!$B$62,+'5.Variables'!$F66,+IF(N$18='5.Variables'!$B$76,+'5.Variables'!$F80,+IF(N$18='5.Variables'!$B$90,+'5.Variables'!$F94,+IF(N$18='5.Variables'!$B$104,+'5.Variables'!$F108,0))))))</f>
        <v>140.25</v>
      </c>
      <c r="O47" s="697">
        <f>IF(O$18='5.Variables'!$B$16,+'5.Variables'!$F28,+IF(O$18='5.Variables'!$B$39,+'5.Variables'!$F52,+IF(O$18='5.Variables'!$B$62,+'5.Variables'!$F66,+IF(O$18='5.Variables'!$B$76,+'5.Variables'!$F80,+IF(O$18='5.Variables'!$B$90,+'5.Variables'!$F94,+IF(O$18='5.Variables'!$B$104,+'5.Variables'!$F108,0))))))</f>
        <v>0</v>
      </c>
      <c r="P47" s="697">
        <f>IF(P$18='5.Variables'!$B$16,+'5.Variables'!$F28,+IF(P$18='5.Variables'!$B$39,+'5.Variables'!$F52,+IF(P$18='5.Variables'!$B$62,+'5.Variables'!$F66,+IF(P$18='5.Variables'!$B$76,+'5.Variables'!$F80,+IF(P$18='5.Variables'!$B$90,+'5.Variables'!$F94,+IF(P$18='5.Variables'!$B$104,+'5.Variables'!$F108,0))))))</f>
        <v>352</v>
      </c>
      <c r="Q47" s="242"/>
      <c r="R47" s="260">
        <f t="shared" si="1"/>
        <v>20093936.362653252</v>
      </c>
      <c r="S47" s="262"/>
      <c r="T47" s="242"/>
      <c r="U47" s="247">
        <f>'4. Customer Growth'!B18</f>
        <v>2007</v>
      </c>
      <c r="V47" s="264">
        <f>SUM(J32:J43)</f>
        <v>248683053.34999996</v>
      </c>
      <c r="W47" s="265">
        <f>(V47-V46)/V46</f>
        <v>3.321892399572364E-2</v>
      </c>
      <c r="X47" s="264">
        <f>S43</f>
        <v>248683575.31460232</v>
      </c>
      <c r="Y47" s="265">
        <f>(X47-X46)/X46</f>
        <v>1.5206141256920101E-2</v>
      </c>
      <c r="Z47" s="265">
        <f t="shared" si="3"/>
        <v>2.098915045958393E-6</v>
      </c>
      <c r="AA47" s="242"/>
      <c r="AB47" s="242"/>
      <c r="AC47" s="242"/>
      <c r="AD47" s="242"/>
      <c r="AE47" s="242"/>
      <c r="AF47" s="242"/>
      <c r="AG47" s="242"/>
      <c r="AH47" s="242"/>
      <c r="AI47" s="242"/>
      <c r="AJ47" s="242"/>
      <c r="AK47" s="242"/>
      <c r="AL47" s="242"/>
      <c r="AM47" s="242"/>
    </row>
    <row r="48" spans="1:39" x14ac:dyDescent="0.2">
      <c r="A48" s="500">
        <f t="shared" si="2"/>
        <v>29</v>
      </c>
      <c r="B48" s="259" t="str">
        <f>CONCATENATE('3. Consumption by Rate Class'!B53,"-",'3. Consumption by Rate Class'!C53)</f>
        <v>2008-May</v>
      </c>
      <c r="C48" s="670">
        <v>21827055</v>
      </c>
      <c r="D48" s="826">
        <v>2097715</v>
      </c>
      <c r="E48" s="827">
        <v>1598627</v>
      </c>
      <c r="F48" s="826"/>
      <c r="G48" s="826"/>
      <c r="H48" s="677"/>
      <c r="I48" s="677"/>
      <c r="J48" s="550">
        <f t="shared" si="0"/>
        <v>18130713</v>
      </c>
      <c r="K48" s="697">
        <f>IF(K$18='5.Variables'!$B$16,+'5.Variables'!$G29,+IF(K$18='5.Variables'!$B$39,+'5.Variables'!$G52,+IF(K$18='5.Variables'!$B$62,+'5.Variables'!$G66,+IF(K$18='5.Variables'!$B$76,+'5.Variables'!$G80,+IF(K$18='5.Variables'!$B$90,+'5.Variables'!$G94,+IF(K$18='5.Variables'!$B$104,+'5.Variables'!$G108,0))))))</f>
        <v>253.6</v>
      </c>
      <c r="L48" s="697">
        <f>IF(L$18='5.Variables'!$B$16,+'5.Variables'!$G28,+IF(L$18='5.Variables'!$B$39,+'5.Variables'!$G52,+IF(L$18='5.Variables'!$B$62,+'5.Variables'!$G66,+IF(L$18='5.Variables'!$B$76,+'5.Variables'!$G80,+IF(L$18='5.Variables'!$B$90,+'5.Variables'!$G94,+IF(L$18='5.Variables'!$B$104,+'5.Variables'!$G108,0))))))</f>
        <v>0</v>
      </c>
      <c r="M48" s="697">
        <f>IF(M$18='5.Variables'!$B$16,+'5.Variables'!$G28,+IF(M$18='5.Variables'!$B$39,+'5.Variables'!$G52,+IF(M$18='5.Variables'!$B$62,+'5.Variables'!$G66,+IF(M$18='5.Variables'!$B$76,+'5.Variables'!$G80,+IF(M$18='5.Variables'!$B$90,+'5.Variables'!$G94,+IF(M$18='5.Variables'!$B$104,+'5.Variables'!$G108,0))))))</f>
        <v>31</v>
      </c>
      <c r="N48" s="697">
        <f>IF(N$18='5.Variables'!$B$16,+'5.Variables'!$G28,+IF(N$18='5.Variables'!$B$39,+'5.Variables'!$G52,+IF(N$18='5.Variables'!$B$62,+'5.Variables'!$G66,+IF(N$18='5.Variables'!$B$76,+'5.Variables'!$G80,+IF(N$18='5.Variables'!$B$90,+'5.Variables'!$G94,+IF(N$18='5.Variables'!$B$104,+'5.Variables'!$G108,0))))))</f>
        <v>140.19</v>
      </c>
      <c r="O48" s="697">
        <f>IF(O$18='5.Variables'!$B$16,+'5.Variables'!$G28,+IF(O$18='5.Variables'!$B$39,+'5.Variables'!$G52,+IF(O$18='5.Variables'!$B$62,+'5.Variables'!$G66,+IF(O$18='5.Variables'!$B$76,+'5.Variables'!$G80,+IF(O$18='5.Variables'!$B$90,+'5.Variables'!$G94,+IF(O$18='5.Variables'!$B$104,+'5.Variables'!$G108,0))))))</f>
        <v>0</v>
      </c>
      <c r="P48" s="697">
        <f>IF(P$18='5.Variables'!$B$16,+'5.Variables'!$G28,+IF(P$18='5.Variables'!$B$39,+'5.Variables'!$G52,+IF(P$18='5.Variables'!$B$62,+'5.Variables'!$G66,+IF(P$18='5.Variables'!$B$76,+'5.Variables'!$G80,+IF(P$18='5.Variables'!$B$90,+'5.Variables'!$G94,+IF(P$18='5.Variables'!$B$104,+'5.Variables'!$G108,0))))))</f>
        <v>336</v>
      </c>
      <c r="Q48" s="242"/>
      <c r="R48" s="260">
        <f t="shared" si="1"/>
        <v>19876477.922374163</v>
      </c>
      <c r="S48" s="262"/>
      <c r="T48" s="242"/>
      <c r="U48" s="247">
        <f>'4. Customer Growth'!B19</f>
        <v>2008</v>
      </c>
      <c r="V48" s="264">
        <f>SUM(J44:J55)</f>
        <v>241507708</v>
      </c>
      <c r="W48" s="265">
        <f t="shared" ref="W48:Y55" si="4">(V48-V47)/V47</f>
        <v>-2.8853374821248008E-2</v>
      </c>
      <c r="X48" s="264">
        <f>S55</f>
        <v>247069840.93236792</v>
      </c>
      <c r="Y48" s="265">
        <f t="shared" si="4"/>
        <v>-6.4891072126211247E-3</v>
      </c>
      <c r="Z48" s="265">
        <f t="shared" si="3"/>
        <v>2.3030871264646844E-2</v>
      </c>
      <c r="AA48" s="242"/>
      <c r="AB48" s="242"/>
      <c r="AC48" s="242"/>
      <c r="AD48" s="242"/>
      <c r="AE48" s="242"/>
      <c r="AF48" s="242"/>
      <c r="AG48" s="242"/>
      <c r="AH48" s="242"/>
      <c r="AI48" s="242"/>
      <c r="AJ48" s="242"/>
      <c r="AK48" s="242"/>
      <c r="AL48" s="242"/>
      <c r="AM48" s="242"/>
    </row>
    <row r="49" spans="1:39" x14ac:dyDescent="0.2">
      <c r="A49" s="500">
        <f t="shared" si="2"/>
        <v>30</v>
      </c>
      <c r="B49" s="259" t="str">
        <f>CONCATENATE('3. Consumption by Rate Class'!B54,"-",'3. Consumption by Rate Class'!C54)</f>
        <v>2008-June</v>
      </c>
      <c r="C49" s="670">
        <v>22607091</v>
      </c>
      <c r="D49" s="826">
        <v>2071844</v>
      </c>
      <c r="E49" s="827">
        <v>1548458</v>
      </c>
      <c r="F49" s="826"/>
      <c r="G49" s="826"/>
      <c r="H49" s="677"/>
      <c r="I49" s="677"/>
      <c r="J49" s="550">
        <f t="shared" si="0"/>
        <v>18986789</v>
      </c>
      <c r="K49" s="697">
        <f>IF(K$18='5.Variables'!$B$16,+'5.Variables'!$H29,+IF(K$18='5.Variables'!$B$39,+'5.Variables'!$H52,+IF(K$18='5.Variables'!$B$62,+'5.Variables'!$H66,+IF(K$18='5.Variables'!$B$76,+'5.Variables'!$H80,+IF(K$18='5.Variables'!$B$90,+'5.Variables'!$H94,+IF(K$18='5.Variables'!$B$104,+'5.Variables'!$H108,0))))))</f>
        <v>71</v>
      </c>
      <c r="L49" s="697">
        <f>IF(L$18='5.Variables'!$B$16,+'5.Variables'!$H28,+IF(L$18='5.Variables'!$B$39,+'5.Variables'!$H52,+IF(L$18='5.Variables'!$B$62,+'5.Variables'!$H66,+IF(L$18='5.Variables'!$B$76,+'5.Variables'!$H80,+IF(L$18='5.Variables'!$B$90,+'5.Variables'!$H94,+IF(L$18='5.Variables'!$B$104,+'5.Variables'!$H108,0))))))</f>
        <v>2.6</v>
      </c>
      <c r="M49" s="697">
        <f>IF(M$18='5.Variables'!$B$16,+'5.Variables'!$H28,+IF(M$18='5.Variables'!$B$39,+'5.Variables'!$H52,+IF(M$18='5.Variables'!$B$62,+'5.Variables'!$H66,+IF(M$18='5.Variables'!$B$76,+'5.Variables'!$H80,+IF(M$18='5.Variables'!$B$90,+'5.Variables'!$H94,+IF(M$18='5.Variables'!$B$104,+'5.Variables'!$H108,0))))))</f>
        <v>30</v>
      </c>
      <c r="N49" s="697">
        <f>IF(N$18='5.Variables'!$B$16,+'5.Variables'!$H28,+IF(N$18='5.Variables'!$B$39,+'5.Variables'!$H52,+IF(N$18='5.Variables'!$B$62,+'5.Variables'!$H66,+IF(N$18='5.Variables'!$B$76,+'5.Variables'!$H80,+IF(N$18='5.Variables'!$B$90,+'5.Variables'!$H94,+IF(N$18='5.Variables'!$B$104,+'5.Variables'!$H108,0))))))</f>
        <v>140.13</v>
      </c>
      <c r="O49" s="697">
        <f>IF(O$18='5.Variables'!$B$16,+'5.Variables'!$H28,+IF(O$18='5.Variables'!$B$39,+'5.Variables'!$H52,+IF(O$18='5.Variables'!$B$62,+'5.Variables'!$H66,+IF(O$18='5.Variables'!$B$76,+'5.Variables'!$H80,+IF(O$18='5.Variables'!$B$90,+'5.Variables'!$H94,+IF(O$18='5.Variables'!$B$104,+'5.Variables'!$H108,0))))))</f>
        <v>0</v>
      </c>
      <c r="P49" s="697">
        <f>IF(P$18='5.Variables'!$B$16,+'5.Variables'!$H28,+IF(P$18='5.Variables'!$B$39,+'5.Variables'!$H52,+IF(P$18='5.Variables'!$B$62,+'5.Variables'!$H66,+IF(P$18='5.Variables'!$B$76,+'5.Variables'!$H80,+IF(P$18='5.Variables'!$B$90,+'5.Variables'!$H94,+IF(P$18='5.Variables'!$B$104,+'5.Variables'!$H108,0))))))</f>
        <v>336</v>
      </c>
      <c r="Q49" s="242"/>
      <c r="R49" s="260">
        <f t="shared" si="1"/>
        <v>18408788.794463981</v>
      </c>
      <c r="S49" s="262"/>
      <c r="T49" s="242"/>
      <c r="U49" s="247">
        <f>'4. Customer Growth'!B20</f>
        <v>2009</v>
      </c>
      <c r="V49" s="264">
        <f>SUM(J56:J67)</f>
        <v>236526800</v>
      </c>
      <c r="W49" s="265">
        <f t="shared" si="4"/>
        <v>-2.0624219579774242E-2</v>
      </c>
      <c r="X49" s="264">
        <f>S67</f>
        <v>245470671.7507762</v>
      </c>
      <c r="Y49" s="265">
        <f t="shared" si="4"/>
        <v>-6.4725390017532358E-3</v>
      </c>
      <c r="Z49" s="265">
        <f t="shared" si="3"/>
        <v>3.781335455760701E-2</v>
      </c>
      <c r="AA49" s="242"/>
      <c r="AB49" s="242"/>
      <c r="AC49" s="242"/>
      <c r="AD49" s="242"/>
      <c r="AE49" s="242"/>
      <c r="AF49" s="242"/>
      <c r="AG49" s="242"/>
      <c r="AH49" s="242"/>
      <c r="AI49" s="242"/>
      <c r="AJ49" s="242"/>
      <c r="AK49" s="242"/>
      <c r="AL49" s="242"/>
      <c r="AM49" s="242"/>
    </row>
    <row r="50" spans="1:39" x14ac:dyDescent="0.2">
      <c r="A50" s="500">
        <f t="shared" si="2"/>
        <v>31</v>
      </c>
      <c r="B50" s="259" t="str">
        <f>CONCATENATE('3. Consumption by Rate Class'!B55,"-",'3. Consumption by Rate Class'!C55)</f>
        <v>2008-July</v>
      </c>
      <c r="C50" s="670">
        <v>24337168</v>
      </c>
      <c r="D50" s="826">
        <v>2101677</v>
      </c>
      <c r="E50" s="827">
        <v>1712261</v>
      </c>
      <c r="F50" s="826"/>
      <c r="G50" s="826"/>
      <c r="H50" s="677"/>
      <c r="I50" s="677"/>
      <c r="J50" s="550">
        <f t="shared" si="0"/>
        <v>20523230</v>
      </c>
      <c r="K50" s="697">
        <f>IF(K$18='5.Variables'!$B$16,+'5.Variables'!$I29,+IF(K$18='5.Variables'!$B$39,+'5.Variables'!$I52,+IF(K$18='5.Variables'!$B$62,+'5.Variables'!$I66,+IF(K$18='5.Variables'!$B$76,+'5.Variables'!$I80,+IF(K$18='5.Variables'!$B$90,+'5.Variables'!$I94,+IF(K$18='5.Variables'!$B$104,+'5.Variables'!$I108,0))))))</f>
        <v>9.4</v>
      </c>
      <c r="L50" s="697">
        <f>IF(L$18='5.Variables'!$B$16,+'5.Variables'!$I28,+IF(L$18='5.Variables'!$B$39,+'5.Variables'!$I52,+IF(L$18='5.Variables'!$B$62,+'5.Variables'!$I66,+IF(L$18='5.Variables'!$B$76,+'5.Variables'!$I80,+IF(L$18='5.Variables'!$B$90,+'5.Variables'!$I94,+IF(L$18='5.Variables'!$B$104,+'5.Variables'!$I108,0))))))</f>
        <v>50.9</v>
      </c>
      <c r="M50" s="697">
        <f>IF(M$18='5.Variables'!$B$16,+'5.Variables'!$I28,+IF(M$18='5.Variables'!$B$39,+'5.Variables'!$I52,+IF(M$18='5.Variables'!$B$62,+'5.Variables'!$I66,+IF(M$18='5.Variables'!$B$76,+'5.Variables'!$I80,+IF(M$18='5.Variables'!$B$90,+'5.Variables'!$I94,+IF(M$18='5.Variables'!$B$104,+'5.Variables'!$I108,0))))))</f>
        <v>31</v>
      </c>
      <c r="N50" s="697">
        <f>IF(N$18='5.Variables'!$B$16,+'5.Variables'!$I28,+IF(N$18='5.Variables'!$B$39,+'5.Variables'!$I52,+IF(N$18='5.Variables'!$B$62,+'5.Variables'!$I66,+IF(N$18='5.Variables'!$B$76,+'5.Variables'!$I80,+IF(N$18='5.Variables'!$B$90,+'5.Variables'!$I94,+IF(N$18='5.Variables'!$B$104,+'5.Variables'!$I108,0))))))</f>
        <v>140.07</v>
      </c>
      <c r="O50" s="697">
        <f>IF(O$18='5.Variables'!$B$16,+'5.Variables'!$I28,+IF(O$18='5.Variables'!$B$39,+'5.Variables'!$I52,+IF(O$18='5.Variables'!$B$62,+'5.Variables'!$I66,+IF(O$18='5.Variables'!$B$76,+'5.Variables'!$I80,+IF(O$18='5.Variables'!$B$90,+'5.Variables'!$I94,+IF(O$18='5.Variables'!$B$104,+'5.Variables'!$I108,0))))))</f>
        <v>0</v>
      </c>
      <c r="P50" s="697">
        <f>IF(P$18='5.Variables'!$B$16,+'5.Variables'!$I28,+IF(P$18='5.Variables'!$B$39,+'5.Variables'!$I52,+IF(P$18='5.Variables'!$B$62,+'5.Variables'!$I66,+IF(P$18='5.Variables'!$B$76,+'5.Variables'!$I80,+IF(P$18='5.Variables'!$B$90,+'5.Variables'!$I94,+IF(P$18='5.Variables'!$B$104,+'5.Variables'!$I108,0))))))</f>
        <v>352</v>
      </c>
      <c r="Q50" s="242"/>
      <c r="R50" s="260">
        <f t="shared" si="1"/>
        <v>20429624.913804255</v>
      </c>
      <c r="S50" s="262"/>
      <c r="T50" s="242"/>
      <c r="U50" s="247">
        <f>'4. Customer Growth'!B21</f>
        <v>2010</v>
      </c>
      <c r="V50" s="264">
        <f>SUM(J68:J79)</f>
        <v>244543390.56</v>
      </c>
      <c r="W50" s="265">
        <f t="shared" si="4"/>
        <v>3.3892948114124924E-2</v>
      </c>
      <c r="X50" s="264">
        <f>S79</f>
        <v>247205392.77313605</v>
      </c>
      <c r="Y50" s="265">
        <f t="shared" si="4"/>
        <v>7.0669176483987139E-3</v>
      </c>
      <c r="Z50" s="265">
        <f t="shared" si="3"/>
        <v>1.088560278419347E-2</v>
      </c>
      <c r="AA50" s="242"/>
      <c r="AB50" s="242"/>
      <c r="AC50" s="242"/>
      <c r="AD50" s="242"/>
      <c r="AE50" s="242"/>
      <c r="AF50" s="242"/>
      <c r="AG50" s="242"/>
      <c r="AH50" s="242"/>
      <c r="AI50" s="242"/>
      <c r="AJ50" s="242"/>
      <c r="AK50" s="242"/>
      <c r="AL50" s="242"/>
      <c r="AM50" s="242"/>
    </row>
    <row r="51" spans="1:39" x14ac:dyDescent="0.2">
      <c r="A51" s="500">
        <f t="shared" si="2"/>
        <v>32</v>
      </c>
      <c r="B51" s="259" t="str">
        <f>CONCATENATE('3. Consumption by Rate Class'!B56,"-",'3. Consumption by Rate Class'!C56)</f>
        <v>2008-August</v>
      </c>
      <c r="C51" s="670">
        <v>22452560</v>
      </c>
      <c r="D51" s="826">
        <v>1789821</v>
      </c>
      <c r="E51" s="827">
        <v>1108712</v>
      </c>
      <c r="F51" s="826"/>
      <c r="G51" s="826"/>
      <c r="H51" s="677"/>
      <c r="I51" s="677"/>
      <c r="J51" s="550">
        <f t="shared" si="0"/>
        <v>19554027</v>
      </c>
      <c r="K51" s="697">
        <f>IF(K$18='5.Variables'!$B$16,+'5.Variables'!$J29,+IF(K$18='5.Variables'!$B$39,+'5.Variables'!$J52,+IF(K$18='5.Variables'!$B$62,+'5.Variables'!$J66,+IF(K$18='5.Variables'!$B$76,+'5.Variables'!$J80,+IF(K$18='5.Variables'!$B$90,+'5.Variables'!$J94,+IF(K$18='5.Variables'!$B$104,+'5.Variables'!$J108,0))))))</f>
        <v>15.2</v>
      </c>
      <c r="L51" s="697">
        <f>IF(L$18='5.Variables'!$B$16,+'5.Variables'!$J28,+IF(L$18='5.Variables'!$B$39,+'5.Variables'!$J52,+IF(L$18='5.Variables'!$B$62,+'5.Variables'!$J66,+IF(L$18='5.Variables'!$B$76,+'5.Variables'!$J80,+IF(L$18='5.Variables'!$B$90,+'5.Variables'!$J94,+IF(L$18='5.Variables'!$B$104,+'5.Variables'!$J108,0))))))</f>
        <v>40.4</v>
      </c>
      <c r="M51" s="697">
        <f>IF(M$18='5.Variables'!$B$16,+'5.Variables'!$J28,+IF(M$18='5.Variables'!$B$39,+'5.Variables'!$J52,+IF(M$18='5.Variables'!$B$62,+'5.Variables'!$J66,+IF(M$18='5.Variables'!$B$76,+'5.Variables'!$J80,+IF(M$18='5.Variables'!$B$90,+'5.Variables'!$J94,+IF(M$18='5.Variables'!$B$104,+'5.Variables'!$J108,0))))))</f>
        <v>31</v>
      </c>
      <c r="N51" s="697">
        <f>IF(N$18='5.Variables'!$B$16,+'5.Variables'!$J28,+IF(N$18='5.Variables'!$B$39,+'5.Variables'!$J52,+IF(N$18='5.Variables'!$B$62,+'5.Variables'!$J66,+IF(N$18='5.Variables'!$B$76,+'5.Variables'!$J80,+IF(N$18='5.Variables'!$B$90,+'5.Variables'!$J94,+IF(N$18='5.Variables'!$B$104,+'5.Variables'!$J108,0))))))</f>
        <v>140.02000000000001</v>
      </c>
      <c r="O51" s="697">
        <f>IF(O$18='5.Variables'!$B$16,+'5.Variables'!$J28,+IF(O$18='5.Variables'!$B$39,+'5.Variables'!$J52,+IF(O$18='5.Variables'!$B$62,+'5.Variables'!$J66,+IF(O$18='5.Variables'!$B$76,+'5.Variables'!$J80,+IF(O$18='5.Variables'!$B$90,+'5.Variables'!$J94,+IF(O$18='5.Variables'!$B$104,+'5.Variables'!$J108,0))))))</f>
        <v>0</v>
      </c>
      <c r="P51" s="697">
        <f>IF(P$18='5.Variables'!$B$16,+'5.Variables'!$J28,+IF(P$18='5.Variables'!$B$39,+'5.Variables'!$J52,+IF(P$18='5.Variables'!$B$62,+'5.Variables'!$J66,+IF(P$18='5.Variables'!$B$76,+'5.Variables'!$J80,+IF(P$18='5.Variables'!$B$90,+'5.Variables'!$J94,+IF(P$18='5.Variables'!$B$104,+'5.Variables'!$J108,0))))))</f>
        <v>320</v>
      </c>
      <c r="Q51" s="242"/>
      <c r="R51" s="260">
        <f t="shared" si="1"/>
        <v>19804577.721256938</v>
      </c>
      <c r="S51" s="262"/>
      <c r="T51" s="242"/>
      <c r="U51" s="247">
        <f>'4. Customer Growth'!B22</f>
        <v>2011</v>
      </c>
      <c r="V51" s="264">
        <f>SUM(J80:J91)</f>
        <v>248601682.74000001</v>
      </c>
      <c r="W51" s="265">
        <f t="shared" si="4"/>
        <v>1.6595386899259844E-2</v>
      </c>
      <c r="X51" s="264">
        <f>S91</f>
        <v>248673994.55355757</v>
      </c>
      <c r="Y51" s="265">
        <f t="shared" si="4"/>
        <v>5.9408161122491464E-3</v>
      </c>
      <c r="Z51" s="265">
        <f t="shared" si="3"/>
        <v>2.9087419184202587E-4</v>
      </c>
      <c r="AA51" s="242"/>
      <c r="AB51" s="242"/>
      <c r="AC51" s="242"/>
      <c r="AD51" s="242"/>
      <c r="AE51" s="242"/>
      <c r="AF51" s="242"/>
      <c r="AG51" s="242"/>
      <c r="AH51" s="242"/>
      <c r="AI51" s="242"/>
      <c r="AJ51" s="242"/>
      <c r="AK51" s="242"/>
      <c r="AL51" s="242"/>
      <c r="AM51" s="242"/>
    </row>
    <row r="52" spans="1:39" x14ac:dyDescent="0.2">
      <c r="A52" s="500">
        <f t="shared" si="2"/>
        <v>33</v>
      </c>
      <c r="B52" s="259" t="str">
        <f>CONCATENATE('3. Consumption by Rate Class'!B57,"-",'3. Consumption by Rate Class'!C57)</f>
        <v>2008-September</v>
      </c>
      <c r="C52" s="670">
        <v>22496229</v>
      </c>
      <c r="D52" s="826">
        <v>1759869</v>
      </c>
      <c r="E52" s="827">
        <v>1751959</v>
      </c>
      <c r="F52" s="826"/>
      <c r="G52" s="826"/>
      <c r="H52" s="677"/>
      <c r="I52" s="677"/>
      <c r="J52" s="550">
        <f t="shared" si="0"/>
        <v>18984401</v>
      </c>
      <c r="K52" s="697">
        <f>IF(K$18='5.Variables'!$B$16,+'5.Variables'!$K29,+IF(K$18='5.Variables'!$B$39,+'5.Variables'!$K52,+IF(K$18='5.Variables'!$B$62,+'5.Variables'!$K66,+IF(K$18='5.Variables'!$B$76,+'5.Variables'!$K80,+IF(K$18='5.Variables'!$B$90,+'5.Variables'!$K94,+IF(K$18='5.Variables'!$B$104,+'5.Variables'!$K108,0))))))</f>
        <v>73.5</v>
      </c>
      <c r="L52" s="697">
        <f>IF(L$18='5.Variables'!$B$16,+'5.Variables'!$K28,+IF(L$18='5.Variables'!$B$39,+'5.Variables'!$K52,+IF(L$18='5.Variables'!$B$62,+'5.Variables'!$K66,+IF(L$18='5.Variables'!$B$76,+'5.Variables'!$K80,+IF(L$18='5.Variables'!$B$90,+'5.Variables'!$K94,+IF(L$18='5.Variables'!$B$104,+'5.Variables'!$K108,0))))))</f>
        <v>16.2</v>
      </c>
      <c r="M52" s="697">
        <f>IF(M$18='5.Variables'!$B$16,+'5.Variables'!$K28,+IF(M$18='5.Variables'!$B$39,+'5.Variables'!$K52,+IF(M$18='5.Variables'!$B$62,+'5.Variables'!$K66,+IF(M$18='5.Variables'!$B$76,+'5.Variables'!$K80,+IF(M$18='5.Variables'!$B$90,+'5.Variables'!$K94,+IF(M$18='5.Variables'!$B$104,+'5.Variables'!$K108,0))))))</f>
        <v>30</v>
      </c>
      <c r="N52" s="697">
        <f>IF(N$18='5.Variables'!$B$16,+'5.Variables'!$K28,+IF(N$18='5.Variables'!$B$39,+'5.Variables'!$K52,+IF(N$18='5.Variables'!$B$62,+'5.Variables'!$K66,+IF(N$18='5.Variables'!$B$76,+'5.Variables'!$K80,+IF(N$18='5.Variables'!$B$90,+'5.Variables'!$K94,+IF(N$18='5.Variables'!$B$104,+'5.Variables'!$K108,0))))))</f>
        <v>139.96</v>
      </c>
      <c r="O52" s="697">
        <f>IF(O$18='5.Variables'!$B$16,+'5.Variables'!$K28,+IF(O$18='5.Variables'!$B$39,+'5.Variables'!$K52,+IF(O$18='5.Variables'!$B$62,+'5.Variables'!$K66,+IF(O$18='5.Variables'!$B$76,+'5.Variables'!$K80,+IF(O$18='5.Variables'!$B$90,+'5.Variables'!$K94,+IF(O$18='5.Variables'!$B$104,+'5.Variables'!$K108,0))))))</f>
        <v>0</v>
      </c>
      <c r="P52" s="697">
        <f>IF(P$18='5.Variables'!$B$16,+'5.Variables'!$K28,+IF(P$18='5.Variables'!$B$39,+'5.Variables'!$K52,+IF(P$18='5.Variables'!$B$62,+'5.Variables'!$K66,+IF(P$18='5.Variables'!$B$76,+'5.Variables'!$K80,+IF(P$18='5.Variables'!$B$90,+'5.Variables'!$K94,+IF(P$18='5.Variables'!$B$104,+'5.Variables'!$K108,0))))))</f>
        <v>336</v>
      </c>
      <c r="Q52" s="242"/>
      <c r="R52" s="260">
        <f t="shared" si="1"/>
        <v>18961435.960664462</v>
      </c>
      <c r="S52" s="262"/>
      <c r="T52" s="242"/>
      <c r="U52" s="247">
        <f>'4. Customer Growth'!B23</f>
        <v>2012</v>
      </c>
      <c r="V52" s="264">
        <f>SUM(J92:J103)</f>
        <v>250144401.56999999</v>
      </c>
      <c r="W52" s="265">
        <f t="shared" si="4"/>
        <v>6.2055848254793803E-3</v>
      </c>
      <c r="X52" s="264">
        <f>S103:S103</f>
        <v>250342774.98395351</v>
      </c>
      <c r="Y52" s="265">
        <f t="shared" si="4"/>
        <v>6.7107155028087243E-3</v>
      </c>
      <c r="Z52" s="265">
        <f t="shared" si="3"/>
        <v>7.93035593474997E-4</v>
      </c>
      <c r="AA52" s="242"/>
      <c r="AB52" s="242"/>
      <c r="AC52" s="242"/>
      <c r="AD52" s="242"/>
      <c r="AE52" s="242"/>
      <c r="AF52" s="242"/>
      <c r="AG52" s="242"/>
      <c r="AH52" s="242"/>
      <c r="AI52" s="242"/>
      <c r="AJ52" s="242"/>
      <c r="AK52" s="242"/>
      <c r="AL52" s="242"/>
      <c r="AM52" s="242"/>
    </row>
    <row r="53" spans="1:39" x14ac:dyDescent="0.2">
      <c r="A53" s="500">
        <f t="shared" si="2"/>
        <v>34</v>
      </c>
      <c r="B53" s="259" t="str">
        <f>CONCATENATE('3. Consumption by Rate Class'!B58,"-",'3. Consumption by Rate Class'!C58)</f>
        <v>2008-October</v>
      </c>
      <c r="C53" s="670">
        <v>21865207</v>
      </c>
      <c r="D53" s="826">
        <v>1165992</v>
      </c>
      <c r="E53" s="827">
        <v>1566094</v>
      </c>
      <c r="F53" s="826"/>
      <c r="G53" s="826"/>
      <c r="H53" s="677"/>
      <c r="I53" s="677"/>
      <c r="J53" s="550">
        <f t="shared" si="0"/>
        <v>19133121</v>
      </c>
      <c r="K53" s="697">
        <f>IF(K$18='5.Variables'!$B$16,+'5.Variables'!$L29,+IF(K$18='5.Variables'!$B$39,+'5.Variables'!$L52,+IF(K$18='5.Variables'!$B$62,+'5.Variables'!$L66,+IF(K$18='5.Variables'!$B$76,+'5.Variables'!$L80,+IF(K$18='5.Variables'!$B$90,+'5.Variables'!$L94,+IF(K$18='5.Variables'!$B$104,+'5.Variables'!$L108,0))))))</f>
        <v>288.10000000000002</v>
      </c>
      <c r="L53" s="697">
        <f>IF(L$18='5.Variables'!$B$16,+'5.Variables'!$L28,+IF(L$18='5.Variables'!$B$39,+'5.Variables'!$L52,+IF(L$18='5.Variables'!$B$62,+'5.Variables'!$L66,+IF(L$18='5.Variables'!$B$76,+'5.Variables'!$L80,+IF(L$18='5.Variables'!$B$90,+'5.Variables'!$L94,+IF(L$18='5.Variables'!$B$104,+'5.Variables'!$L108,0))))))</f>
        <v>0</v>
      </c>
      <c r="M53" s="697">
        <f>IF(M$18='5.Variables'!$B$16,+'5.Variables'!$L28,+IF(M$18='5.Variables'!$B$39,+'5.Variables'!$L52,+IF(M$18='5.Variables'!$B$62,+'5.Variables'!$L66,+IF(M$18='5.Variables'!$B$76,+'5.Variables'!$L80,+IF(M$18='5.Variables'!$B$90,+'5.Variables'!$L94,+IF(M$18='5.Variables'!$B$104,+'5.Variables'!$L108,0))))))</f>
        <v>31</v>
      </c>
      <c r="N53" s="697">
        <f>IF(N$18='5.Variables'!$B$16,+'5.Variables'!$L28,+IF(N$18='5.Variables'!$B$39,+'5.Variables'!$L52,+IF(N$18='5.Variables'!$B$62,+'5.Variables'!$L66,+IF(N$18='5.Variables'!$B$76,+'5.Variables'!$L80,+IF(N$18='5.Variables'!$B$90,+'5.Variables'!$L94,+IF(N$18='5.Variables'!$B$104,+'5.Variables'!$L108,0))))))</f>
        <v>139.9</v>
      </c>
      <c r="O53" s="697">
        <f>IF(O$18='5.Variables'!$B$16,+'5.Variables'!$L28,+IF(O$18='5.Variables'!$B$39,+'5.Variables'!$L52,+IF(O$18='5.Variables'!$B$62,+'5.Variables'!$L66,+IF(O$18='5.Variables'!$B$76,+'5.Variables'!$L80,+IF(O$18='5.Variables'!$B$90,+'5.Variables'!$L94,+IF(O$18='5.Variables'!$B$104,+'5.Variables'!$L108,0))))))</f>
        <v>0</v>
      </c>
      <c r="P53" s="697">
        <f>IF(P$18='5.Variables'!$B$16,+'5.Variables'!$L28,+IF(P$18='5.Variables'!$B$39,+'5.Variables'!$L52,+IF(P$18='5.Variables'!$B$62,+'5.Variables'!$L66,+IF(P$18='5.Variables'!$B$76,+'5.Variables'!$L80,+IF(P$18='5.Variables'!$B$90,+'5.Variables'!$L94,+IF(P$18='5.Variables'!$B$104,+'5.Variables'!$L108,0))))))</f>
        <v>352</v>
      </c>
      <c r="Q53" s="242"/>
      <c r="R53" s="260">
        <f t="shared" si="1"/>
        <v>20214483.51866753</v>
      </c>
      <c r="S53" s="262"/>
      <c r="T53" s="242"/>
      <c r="U53" s="247">
        <f>'4. Customer Growth'!B24</f>
        <v>2013</v>
      </c>
      <c r="V53" s="264">
        <f>SUM(J104:J115)</f>
        <v>246166626.33000001</v>
      </c>
      <c r="W53" s="265">
        <f t="shared" si="4"/>
        <v>-1.5901915913504247E-2</v>
      </c>
      <c r="X53" s="264">
        <f>S115</f>
        <v>249342246.0888707</v>
      </c>
      <c r="Y53" s="265">
        <f t="shared" si="4"/>
        <v>-3.9966357932516069E-3</v>
      </c>
      <c r="Z53" s="265">
        <f t="shared" si="3"/>
        <v>1.2900285494482898E-2</v>
      </c>
      <c r="AA53" s="242"/>
      <c r="AB53" s="242"/>
      <c r="AC53" s="242"/>
      <c r="AD53" s="242"/>
      <c r="AE53" s="242"/>
      <c r="AF53" s="242"/>
      <c r="AG53" s="242"/>
      <c r="AH53" s="242"/>
      <c r="AI53" s="242"/>
      <c r="AJ53" s="242"/>
      <c r="AK53" s="242"/>
      <c r="AL53" s="242"/>
      <c r="AM53" s="242"/>
    </row>
    <row r="54" spans="1:39" x14ac:dyDescent="0.2">
      <c r="A54" s="500">
        <f t="shared" si="2"/>
        <v>35</v>
      </c>
      <c r="B54" s="259" t="str">
        <f>CONCATENATE('3. Consumption by Rate Class'!B59,"-",'3. Consumption by Rate Class'!C59)</f>
        <v>2008-November</v>
      </c>
      <c r="C54" s="670">
        <v>22177406</v>
      </c>
      <c r="D54" s="826">
        <v>805206</v>
      </c>
      <c r="E54" s="827">
        <v>1670775</v>
      </c>
      <c r="F54" s="826"/>
      <c r="G54" s="826"/>
      <c r="H54" s="677"/>
      <c r="I54" s="677"/>
      <c r="J54" s="550">
        <f t="shared" si="0"/>
        <v>19701425</v>
      </c>
      <c r="K54" s="697">
        <f>IF(K$18='5.Variables'!$B$16,+'5.Variables'!$M29,+IF(K$18='5.Variables'!$B$39,+'5.Variables'!$M52,+IF(K$18='5.Variables'!$B$62,+'5.Variables'!$M66,+IF(K$18='5.Variables'!$B$76,+'5.Variables'!$M80,+IF(K$18='5.Variables'!$B$90,+'5.Variables'!$M94,+IF(K$18='5.Variables'!$B$104,+'5.Variables'!$M108,0))))))</f>
        <v>459</v>
      </c>
      <c r="L54" s="697">
        <f>IF(L$18='5.Variables'!$B$16,+'5.Variables'!$M28,+IF(L$18='5.Variables'!$B$39,+'5.Variables'!$M52,+IF(L$18='5.Variables'!$B$62,+'5.Variables'!$M66,+IF(L$18='5.Variables'!$B$76,+'5.Variables'!$M80,+IF(L$18='5.Variables'!$B$90,+'5.Variables'!$M94,+IF(L$18='5.Variables'!$B$104,+'5.Variables'!$M108,0))))))</f>
        <v>0</v>
      </c>
      <c r="M54" s="697">
        <f>IF(M$18='5.Variables'!$B$16,+'5.Variables'!$M28,+IF(M$18='5.Variables'!$B$39,+'5.Variables'!$M52,+IF(M$18='5.Variables'!$B$62,+'5.Variables'!$M66,+IF(M$18='5.Variables'!$B$76,+'5.Variables'!$M80,+IF(M$18='5.Variables'!$B$90,+'5.Variables'!$M94,+IF(M$18='5.Variables'!$B$104,+'5.Variables'!$M108,0))))))</f>
        <v>30</v>
      </c>
      <c r="N54" s="697">
        <f>IF(N$18='5.Variables'!$B$16,+'5.Variables'!$M28,+IF(N$18='5.Variables'!$B$39,+'5.Variables'!$M52,+IF(N$18='5.Variables'!$B$62,+'5.Variables'!$M66,+IF(N$18='5.Variables'!$B$76,+'5.Variables'!$M80,+IF(N$18='5.Variables'!$B$90,+'5.Variables'!$M94,+IF(N$18='5.Variables'!$B$104,+'5.Variables'!$M108,0))))))</f>
        <v>139.84</v>
      </c>
      <c r="O54" s="697">
        <f>IF(O$18='5.Variables'!$B$16,+'5.Variables'!$M28,+IF(O$18='5.Variables'!$B$39,+'5.Variables'!$M52,+IF(O$18='5.Variables'!$B$62,+'5.Variables'!$M66,+IF(O$18='5.Variables'!$B$76,+'5.Variables'!$M80,+IF(O$18='5.Variables'!$B$90,+'5.Variables'!$M94,+IF(O$18='5.Variables'!$B$104,+'5.Variables'!$M108,0))))))</f>
        <v>0</v>
      </c>
      <c r="P54" s="697">
        <f>IF(P$18='5.Variables'!$B$16,+'5.Variables'!$M28,+IF(P$18='5.Variables'!$B$39,+'5.Variables'!$M52,+IF(P$18='5.Variables'!$B$62,+'5.Variables'!$M66,+IF(P$18='5.Variables'!$B$76,+'5.Variables'!$M80,+IF(P$18='5.Variables'!$B$90,+'5.Variables'!$M94,+IF(P$18='5.Variables'!$B$104,+'5.Variables'!$M108,0))))))</f>
        <v>304</v>
      </c>
      <c r="Q54" s="242"/>
      <c r="R54" s="260">
        <f t="shared" si="1"/>
        <v>20581393.688178487</v>
      </c>
      <c r="S54" s="262"/>
      <c r="T54" s="242"/>
      <c r="U54" s="247">
        <f>'4. Customer Growth'!B25</f>
        <v>2014</v>
      </c>
      <c r="V54" s="264">
        <f>SUM(J116:J127)</f>
        <v>242535263.39000002</v>
      </c>
      <c r="W54" s="265">
        <f t="shared" si="4"/>
        <v>-1.4751646046170182E-2</v>
      </c>
      <c r="X54" s="264">
        <f>S127</f>
        <v>249658428.47991201</v>
      </c>
      <c r="Y54" s="265">
        <f t="shared" si="4"/>
        <v>1.2680658652951043E-3</v>
      </c>
      <c r="Z54" s="265">
        <f t="shared" si="3"/>
        <v>2.9369605847615859E-2</v>
      </c>
      <c r="AA54" s="242"/>
      <c r="AB54" s="242"/>
      <c r="AC54" s="242"/>
      <c r="AD54" s="242"/>
      <c r="AE54" s="242"/>
      <c r="AF54" s="242"/>
      <c r="AG54" s="242"/>
      <c r="AH54" s="242"/>
      <c r="AI54" s="242"/>
      <c r="AJ54" s="242"/>
      <c r="AK54" s="242"/>
      <c r="AL54" s="242"/>
      <c r="AM54" s="242"/>
    </row>
    <row r="55" spans="1:39" x14ac:dyDescent="0.2">
      <c r="A55" s="500">
        <f t="shared" si="2"/>
        <v>36</v>
      </c>
      <c r="B55" s="519" t="str">
        <f>CONCATENATE('3. Consumption by Rate Class'!B60,"-",'3. Consumption by Rate Class'!C60)</f>
        <v>2008-December</v>
      </c>
      <c r="C55" s="671">
        <v>23390423</v>
      </c>
      <c r="D55" s="828">
        <v>593847</v>
      </c>
      <c r="E55" s="829">
        <v>972650</v>
      </c>
      <c r="F55" s="828"/>
      <c r="G55" s="828"/>
      <c r="H55" s="679"/>
      <c r="I55" s="679"/>
      <c r="J55" s="550">
        <f t="shared" si="0"/>
        <v>21823926</v>
      </c>
      <c r="K55" s="697">
        <f>IF(K$18='5.Variables'!$B$16,+'5.Variables'!$N29,+IF(K$18='5.Variables'!$B$39,+'5.Variables'!$N52,+IF(K$18='5.Variables'!$B$62,+'5.Variables'!$N66,+IF(K$18='5.Variables'!$B$76,+'5.Variables'!$N80,+IF(K$18='5.Variables'!$B$90,+'5.Variables'!$N94,+IF(K$18='5.Variables'!$B$104,+'5.Variables'!$N108,0))))))</f>
        <v>652.5</v>
      </c>
      <c r="L55" s="697">
        <f>IF(L$18='5.Variables'!$B$16,+'5.Variables'!$N28,+IF(L$18='5.Variables'!$B$39,+'5.Variables'!$N52,+IF(L$18='5.Variables'!$B$62,+'5.Variables'!$N66,+IF(L$18='5.Variables'!$B$76,+'5.Variables'!$N80,+IF(L$18='5.Variables'!$B$90,+'5.Variables'!$N94,+IF(L$18='5.Variables'!$B$104,+'5.Variables'!$N108,0))))))</f>
        <v>0</v>
      </c>
      <c r="M55" s="697">
        <f>IF(M$18='5.Variables'!$B$16,+'5.Variables'!$N28,+IF(M$18='5.Variables'!$B$39,+'5.Variables'!$N52,+IF(M$18='5.Variables'!$B$62,+'5.Variables'!$N66,+IF(M$18='5.Variables'!$B$76,+'5.Variables'!$N80,+IF(M$18='5.Variables'!$B$90,+'5.Variables'!$N94,+IF(M$18='5.Variables'!$B$104,+'5.Variables'!$N108,0))))))</f>
        <v>31</v>
      </c>
      <c r="N55" s="697">
        <f>IF(N$18='5.Variables'!$B$16,+'5.Variables'!$N28,+IF(N$18='5.Variables'!$B$39,+'5.Variables'!$N52,+IF(N$18='5.Variables'!$B$62,+'5.Variables'!$N66,+IF(N$18='5.Variables'!$B$76,+'5.Variables'!$N80,+IF(N$18='5.Variables'!$B$90,+'5.Variables'!$N94,+IF(N$18='5.Variables'!$B$104,+'5.Variables'!$N108,0))))))</f>
        <v>139.78</v>
      </c>
      <c r="O55" s="697">
        <f>IF(O$18='5.Variables'!$B$16,+'5.Variables'!$N28,+IF(O$18='5.Variables'!$B$39,+'5.Variables'!$N52,+IF(O$18='5.Variables'!$B$62,+'5.Variables'!$N66,+IF(O$18='5.Variables'!$B$76,+'5.Variables'!$N80,+IF(O$18='5.Variables'!$B$90,+'5.Variables'!$N94,+IF(O$18='5.Variables'!$B$104,+'5.Variables'!$N108,0))))))</f>
        <v>0</v>
      </c>
      <c r="P55" s="697">
        <f>IF(P$18='5.Variables'!$B$16,+'5.Variables'!$N28,+IF(P$18='5.Variables'!$B$39,+'5.Variables'!$N52,+IF(P$18='5.Variables'!$B$62,+'5.Variables'!$N66,+IF(P$18='5.Variables'!$B$76,+'5.Variables'!$N80,+IF(P$18='5.Variables'!$B$90,+'5.Variables'!$N94,+IF(P$18='5.Variables'!$B$104,+'5.Variables'!$N108,0))))))</f>
        <v>336</v>
      </c>
      <c r="Q55" s="242"/>
      <c r="R55" s="260">
        <f t="shared" si="1"/>
        <v>22463506.598509498</v>
      </c>
      <c r="S55" s="262">
        <f>SUM(R44:R55)</f>
        <v>247069840.93236792</v>
      </c>
      <c r="T55" s="242"/>
      <c r="U55" s="247">
        <f>'4. Customer Growth'!B26</f>
        <v>2015</v>
      </c>
      <c r="V55" s="264">
        <f>SUM(J128:J139)</f>
        <v>239401282.51999998</v>
      </c>
      <c r="W55" s="265">
        <f t="shared" si="4"/>
        <v>-1.292175342337972E-2</v>
      </c>
      <c r="X55" s="264">
        <f>S139</f>
        <v>247399736.29403827</v>
      </c>
      <c r="Y55" s="265">
        <f t="shared" si="4"/>
        <v>-9.0471297108861096E-3</v>
      </c>
      <c r="Z55" s="265">
        <f t="shared" si="3"/>
        <v>3.3410237780869372E-2</v>
      </c>
      <c r="AA55" s="242"/>
      <c r="AB55" s="242"/>
      <c r="AC55" s="242"/>
      <c r="AD55" s="242"/>
      <c r="AE55" s="242"/>
      <c r="AF55" s="242"/>
      <c r="AG55" s="242"/>
      <c r="AH55" s="242"/>
      <c r="AI55" s="242"/>
      <c r="AJ55" s="242"/>
      <c r="AK55" s="242"/>
      <c r="AL55" s="242"/>
      <c r="AM55" s="242"/>
    </row>
    <row r="56" spans="1:39" x14ac:dyDescent="0.2">
      <c r="A56" s="500">
        <f t="shared" si="2"/>
        <v>37</v>
      </c>
      <c r="B56" s="259" t="str">
        <f>CONCATENATE('3. Consumption by Rate Class'!B61,"-",'3. Consumption by Rate Class'!C61)</f>
        <v>2009-January</v>
      </c>
      <c r="C56" s="670">
        <v>25602870</v>
      </c>
      <c r="D56" s="826">
        <v>483317</v>
      </c>
      <c r="E56" s="827">
        <v>1578844</v>
      </c>
      <c r="F56" s="826"/>
      <c r="G56" s="826"/>
      <c r="H56" s="677"/>
      <c r="I56" s="677"/>
      <c r="J56" s="550">
        <f t="shared" si="0"/>
        <v>23540709</v>
      </c>
      <c r="K56" s="697">
        <f>IF(K$18='5.Variables'!$B$16,+'5.Variables'!$C30,+IF(K$18='5.Variables'!$B$39,+'5.Variables'!$C53,+IF(K$18='5.Variables'!$B$62,+'5.Variables'!$C67,+IF(K$18='5.Variables'!$B$76,+'5.Variables'!$C81,+IF(K$18='5.Variables'!$B$90,+'5.Variables'!$C95,+IF(K$18='5.Variables'!$B$104,+'5.Variables'!$C109,0))))))</f>
        <v>823.9</v>
      </c>
      <c r="L56" s="697">
        <f>IF(L$18='5.Variables'!$B$16,+'5.Variables'!$C29,+IF(L$18='5.Variables'!$B$39,+'5.Variables'!$C53,+IF(L$18='5.Variables'!$B$62,+'5.Variables'!$C67,+IF(L$18='5.Variables'!$B$76,+'5.Variables'!$C81,+IF(L$18='5.Variables'!$B$90,+'5.Variables'!$C95,+IF(L$18='5.Variables'!$B$104,+'5.Variables'!$C109,0))))))</f>
        <v>0</v>
      </c>
      <c r="M56" s="697">
        <f>IF(M$18='5.Variables'!$B$16,+'5.Variables'!$C29,+IF(M$18='5.Variables'!$B$39,+'5.Variables'!$C53,+IF(M$18='5.Variables'!$B$62,+'5.Variables'!$C67,+IF(M$18='5.Variables'!$B$76,+'5.Variables'!$C81,+IF(M$18='5.Variables'!$B$90,+'5.Variables'!$C95,+IF(M$18='5.Variables'!$B$104,+'5.Variables'!$C109,0))))))</f>
        <v>31</v>
      </c>
      <c r="N56" s="697">
        <f>IF(N$18='5.Variables'!$B$16,+'5.Variables'!$C29,+IF(N$18='5.Variables'!$B$39,+'5.Variables'!$C53,+IF(N$18='5.Variables'!$B$62,+'5.Variables'!$C67,+IF(N$18='5.Variables'!$B$76,+'5.Variables'!$C81,+IF(N$18='5.Variables'!$B$90,+'5.Variables'!$C95,+IF(N$18='5.Variables'!$B$104,+'5.Variables'!$C109,0))))))</f>
        <v>139.38</v>
      </c>
      <c r="O56" s="697">
        <f>IF(O$18='5.Variables'!$B$16,+'5.Variables'!$C29,+IF(O$18='5.Variables'!$B$39,+'5.Variables'!$C53,+IF(O$18='5.Variables'!$B$62,+'5.Variables'!$C67,+IF(O$18='5.Variables'!$B$76,+'5.Variables'!$C81,+IF(O$18='5.Variables'!$B$90,+'5.Variables'!$C95,+IF(O$18='5.Variables'!$B$104,+'5.Variables'!$C109,0))))))</f>
        <v>0</v>
      </c>
      <c r="P56" s="697">
        <f>IF(P$18='5.Variables'!$B$16,+'5.Variables'!$C29,+IF(P$18='5.Variables'!$B$39,+'5.Variables'!$C53,+IF(P$18='5.Variables'!$B$62,+'5.Variables'!$C67,+IF(P$18='5.Variables'!$B$76,+'5.Variables'!$C81,+IF(P$18='5.Variables'!$B$90,+'5.Variables'!$C95,+IF(P$18='5.Variables'!$B$104,+'5.Variables'!$C109,0))))))</f>
        <v>336</v>
      </c>
      <c r="Q56" s="242"/>
      <c r="R56" s="260">
        <f t="shared" si="1"/>
        <v>23568549.604605474</v>
      </c>
      <c r="S56" s="262"/>
      <c r="T56" s="242"/>
      <c r="U56" s="703"/>
      <c r="V56" s="704"/>
      <c r="W56" s="705"/>
      <c r="X56" s="704"/>
      <c r="Y56" s="705"/>
      <c r="Z56" s="705"/>
      <c r="AA56" s="242"/>
      <c r="AB56" s="242"/>
      <c r="AC56" s="242"/>
      <c r="AD56" s="242"/>
      <c r="AE56" s="242"/>
      <c r="AF56" s="242"/>
      <c r="AG56" s="242"/>
      <c r="AH56" s="242"/>
      <c r="AI56" s="242"/>
      <c r="AJ56" s="242"/>
      <c r="AK56" s="242"/>
      <c r="AL56" s="242"/>
      <c r="AM56" s="242"/>
    </row>
    <row r="57" spans="1:39" x14ac:dyDescent="0.2">
      <c r="A57" s="500">
        <f t="shared" si="2"/>
        <v>38</v>
      </c>
      <c r="B57" s="259" t="str">
        <f>CONCATENATE('3. Consumption by Rate Class'!B62,"-",'3. Consumption by Rate Class'!C62)</f>
        <v>2009-February</v>
      </c>
      <c r="C57" s="670">
        <v>22117612</v>
      </c>
      <c r="D57" s="826">
        <v>367134</v>
      </c>
      <c r="E57" s="827">
        <v>1729600</v>
      </c>
      <c r="F57" s="826"/>
      <c r="G57" s="826"/>
      <c r="H57" s="677"/>
      <c r="I57" s="677"/>
      <c r="J57" s="550">
        <f t="shared" si="0"/>
        <v>20020878</v>
      </c>
      <c r="K57" s="697">
        <f>IF(K$18='5.Variables'!$B$16,+'5.Variables'!$D30,+IF(K$18='5.Variables'!$B$39,+'5.Variables'!$D53,+IF(K$18='5.Variables'!$B$62,+'5.Variables'!$D67,+IF(K$18='5.Variables'!$B$76,+'5.Variables'!$D81,+IF(K$18='5.Variables'!$B$90,+'5.Variables'!$D95,+IF(K$18='5.Variables'!$B$104,+'5.Variables'!$D109,0))))))</f>
        <v>608.5</v>
      </c>
      <c r="L57" s="697">
        <f>IF(L$18='5.Variables'!$B$16,+'5.Variables'!$D29,+IF(L$18='5.Variables'!$B$39,+'5.Variables'!$D53,+IF(L$18='5.Variables'!$B$62,+'5.Variables'!$D67,+IF(L$18='5.Variables'!$B$76,+'5.Variables'!$D81,+IF(L$18='5.Variables'!$B$90,+'5.Variables'!$D95,+IF(L$18='5.Variables'!$B$104,+'5.Variables'!$D109,0))))))</f>
        <v>0</v>
      </c>
      <c r="M57" s="697">
        <f>IF(M$18='5.Variables'!$B$16,+'5.Variables'!$D29,+IF(M$18='5.Variables'!$B$39,+'5.Variables'!$D53,+IF(M$18='5.Variables'!$B$62,+'5.Variables'!$D67,+IF(M$18='5.Variables'!$B$76,+'5.Variables'!$D81,+IF(M$18='5.Variables'!$B$90,+'5.Variables'!$D95,+IF(M$18='5.Variables'!$B$104,+'5.Variables'!$D109,0))))))</f>
        <v>28</v>
      </c>
      <c r="N57" s="697">
        <f>IF(N$18='5.Variables'!$B$16,+'5.Variables'!$D29,+IF(N$18='5.Variables'!$B$39,+'5.Variables'!$D53,+IF(N$18='5.Variables'!$B$62,+'5.Variables'!$D67,+IF(N$18='5.Variables'!$B$76,+'5.Variables'!$D81,+IF(N$18='5.Variables'!$B$90,+'5.Variables'!$D95,+IF(N$18='5.Variables'!$B$104,+'5.Variables'!$D109,0))))))</f>
        <v>138.97999999999999</v>
      </c>
      <c r="O57" s="697">
        <f>IF(O$18='5.Variables'!$B$16,+'5.Variables'!$D29,+IF(O$18='5.Variables'!$B$39,+'5.Variables'!$D53,+IF(O$18='5.Variables'!$B$62,+'5.Variables'!$D67,+IF(O$18='5.Variables'!$B$76,+'5.Variables'!$D81,+IF(O$18='5.Variables'!$B$90,+'5.Variables'!$D95,+IF(O$18='5.Variables'!$B$104,+'5.Variables'!$D109,0))))))</f>
        <v>0</v>
      </c>
      <c r="P57" s="697">
        <f>IF(P$18='5.Variables'!$B$16,+'5.Variables'!$D29,+IF(P$18='5.Variables'!$B$39,+'5.Variables'!$D53,+IF(P$18='5.Variables'!$B$62,+'5.Variables'!$D67,+IF(P$18='5.Variables'!$B$76,+'5.Variables'!$D81,+IF(P$18='5.Variables'!$B$90,+'5.Variables'!$D95,+IF(P$18='5.Variables'!$B$104,+'5.Variables'!$D109,0))))))</f>
        <v>304</v>
      </c>
      <c r="Q57" s="242"/>
      <c r="R57" s="260">
        <f t="shared" si="1"/>
        <v>20770892.985676114</v>
      </c>
      <c r="S57" s="262"/>
      <c r="T57" s="242"/>
      <c r="U57" s="242"/>
      <c r="V57" s="266"/>
      <c r="W57" s="266"/>
      <c r="X57" s="267"/>
      <c r="Y57" s="242"/>
      <c r="Z57" s="242"/>
      <c r="AA57" s="242"/>
      <c r="AB57" s="242"/>
      <c r="AC57" s="242"/>
      <c r="AD57" s="242"/>
      <c r="AE57" s="242"/>
      <c r="AF57" s="242"/>
      <c r="AG57" s="242"/>
      <c r="AH57" s="242"/>
      <c r="AI57" s="242"/>
      <c r="AJ57" s="242"/>
      <c r="AK57" s="242"/>
      <c r="AL57" s="242"/>
      <c r="AM57" s="242"/>
    </row>
    <row r="58" spans="1:39" x14ac:dyDescent="0.2">
      <c r="A58" s="500">
        <f t="shared" si="2"/>
        <v>39</v>
      </c>
      <c r="B58" s="259" t="str">
        <f>CONCATENATE('3. Consumption by Rate Class'!B63,"-",'3. Consumption by Rate Class'!C63)</f>
        <v>2009-March</v>
      </c>
      <c r="C58" s="670">
        <v>22665029</v>
      </c>
      <c r="D58" s="826">
        <v>250099</v>
      </c>
      <c r="E58" s="827">
        <v>1501644</v>
      </c>
      <c r="F58" s="826"/>
      <c r="G58" s="826"/>
      <c r="H58" s="677"/>
      <c r="I58" s="677"/>
      <c r="J58" s="550">
        <f t="shared" si="0"/>
        <v>20913286</v>
      </c>
      <c r="K58" s="697">
        <f>IF(K$18='5.Variables'!$B$16,+'5.Variables'!$E30,+IF(K$18='5.Variables'!$B$39,+'5.Variables'!$E53,+IF(K$18='5.Variables'!$B$62,+'5.Variables'!$E67,+IF(K$18='5.Variables'!$B$76,+'5.Variables'!$E81,+IF(K$18='5.Variables'!$B$90,+'5.Variables'!$E95,+IF(K$18='5.Variables'!$B$104,+'5.Variables'!$E109,0))))))</f>
        <v>568.1</v>
      </c>
      <c r="L58" s="697">
        <f>IF(L$18='5.Variables'!$B$16,+'5.Variables'!$E29,+IF(L$18='5.Variables'!$B$39,+'5.Variables'!$E53,+IF(L$18='5.Variables'!$B$62,+'5.Variables'!$E67,+IF(L$18='5.Variables'!$B$76,+'5.Variables'!$E81,+IF(L$18='5.Variables'!$B$90,+'5.Variables'!$E95,+IF(L$18='5.Variables'!$B$104,+'5.Variables'!$E109,0))))))</f>
        <v>0</v>
      </c>
      <c r="M58" s="697">
        <f>IF(M$18='5.Variables'!$B$16,+'5.Variables'!$E29,+IF(M$18='5.Variables'!$B$39,+'5.Variables'!$E53,+IF(M$18='5.Variables'!$B$62,+'5.Variables'!$E67,+IF(M$18='5.Variables'!$B$76,+'5.Variables'!$E81,+IF(M$18='5.Variables'!$B$90,+'5.Variables'!$E95,+IF(M$18='5.Variables'!$B$104,+'5.Variables'!$E109,0))))))</f>
        <v>31</v>
      </c>
      <c r="N58" s="697">
        <f>IF(N$18='5.Variables'!$B$16,+'5.Variables'!$E29,+IF(N$18='5.Variables'!$B$39,+'5.Variables'!$E53,+IF(N$18='5.Variables'!$B$62,+'5.Variables'!$E67,+IF(N$18='5.Variables'!$B$76,+'5.Variables'!$E81,+IF(N$18='5.Variables'!$B$90,+'5.Variables'!$E95,+IF(N$18='5.Variables'!$B$104,+'5.Variables'!$E109,0))))))</f>
        <v>138.58000000000001</v>
      </c>
      <c r="O58" s="697">
        <f>IF(O$18='5.Variables'!$B$16,+'5.Variables'!$E29,+IF(O$18='5.Variables'!$B$39,+'5.Variables'!$E53,+IF(O$18='5.Variables'!$B$62,+'5.Variables'!$E67,+IF(O$18='5.Variables'!$B$76,+'5.Variables'!$E81,+IF(O$18='5.Variables'!$B$90,+'5.Variables'!$E95,+IF(O$18='5.Variables'!$B$104,+'5.Variables'!$E109,0))))))</f>
        <v>0</v>
      </c>
      <c r="P58" s="697">
        <f>IF(P$18='5.Variables'!$B$16,+'5.Variables'!$E29,+IF(P$18='5.Variables'!$B$39,+'5.Variables'!$E53,+IF(P$18='5.Variables'!$B$62,+'5.Variables'!$E67,+IF(P$18='5.Variables'!$B$76,+'5.Variables'!$E81,+IF(P$18='5.Variables'!$B$90,+'5.Variables'!$E95,+IF(P$18='5.Variables'!$B$104,+'5.Variables'!$E109,0))))))</f>
        <v>352</v>
      </c>
      <c r="Q58" s="242"/>
      <c r="R58" s="260">
        <f t="shared" si="1"/>
        <v>22000165.433893852</v>
      </c>
      <c r="S58" s="262"/>
      <c r="T58" s="242"/>
      <c r="U58" s="246" t="s">
        <v>33</v>
      </c>
      <c r="V58" s="246" t="s">
        <v>43</v>
      </c>
      <c r="W58" s="246" t="s">
        <v>31</v>
      </c>
      <c r="X58" s="246" t="s">
        <v>30</v>
      </c>
      <c r="Y58" s="242"/>
      <c r="Z58" s="242"/>
      <c r="AA58" s="242"/>
      <c r="AB58" s="242"/>
      <c r="AC58" s="242"/>
      <c r="AD58" s="242"/>
      <c r="AE58" s="242"/>
      <c r="AF58" s="242"/>
      <c r="AG58" s="242"/>
      <c r="AH58" s="242"/>
      <c r="AI58" s="242"/>
      <c r="AJ58" s="242"/>
      <c r="AK58" s="242"/>
      <c r="AL58" s="242"/>
      <c r="AM58" s="242"/>
    </row>
    <row r="59" spans="1:39" x14ac:dyDescent="0.2">
      <c r="A59" s="500">
        <f t="shared" si="2"/>
        <v>40</v>
      </c>
      <c r="B59" s="259" t="str">
        <f>CONCATENATE('3. Consumption by Rate Class'!B64,"-",'3. Consumption by Rate Class'!C64)</f>
        <v>2009-April</v>
      </c>
      <c r="C59" s="670">
        <v>20109223</v>
      </c>
      <c r="D59" s="826"/>
      <c r="E59" s="827">
        <v>1650019</v>
      </c>
      <c r="F59" s="826"/>
      <c r="G59" s="826"/>
      <c r="H59" s="677"/>
      <c r="I59" s="677"/>
      <c r="J59" s="550">
        <f t="shared" si="0"/>
        <v>18459204</v>
      </c>
      <c r="K59" s="697">
        <f>IF(K$18='5.Variables'!$B$16,+'5.Variables'!$F30,+IF(K$18='5.Variables'!$B$39,+'5.Variables'!$F53,+IF(K$18='5.Variables'!$B$62,+'5.Variables'!$F67,+IF(K$18='5.Variables'!$B$76,+'5.Variables'!$F81,+IF(K$18='5.Variables'!$B$90,+'5.Variables'!$F95,+IF(K$18='5.Variables'!$B$104,+'5.Variables'!$F109,0))))))</f>
        <v>345.4</v>
      </c>
      <c r="L59" s="697">
        <f>IF(L$18='5.Variables'!$B$16,+'5.Variables'!$F29,+IF(L$18='5.Variables'!$B$39,+'5.Variables'!$F53,+IF(L$18='5.Variables'!$B$62,+'5.Variables'!$F67,+IF(L$18='5.Variables'!$B$76,+'5.Variables'!$F81,+IF(L$18='5.Variables'!$B$90,+'5.Variables'!$F95,+IF(L$18='5.Variables'!$B$104,+'5.Variables'!$F109,0))))))</f>
        <v>0</v>
      </c>
      <c r="M59" s="697">
        <f>IF(M$18='5.Variables'!$B$16,+'5.Variables'!$F29,+IF(M$18='5.Variables'!$B$39,+'5.Variables'!$F53,+IF(M$18='5.Variables'!$B$62,+'5.Variables'!$F67,+IF(M$18='5.Variables'!$B$76,+'5.Variables'!$F81,+IF(M$18='5.Variables'!$B$90,+'5.Variables'!$F95,+IF(M$18='5.Variables'!$B$104,+'5.Variables'!$F109,0))))))</f>
        <v>30</v>
      </c>
      <c r="N59" s="697">
        <f>IF(N$18='5.Variables'!$B$16,+'5.Variables'!$F29,+IF(N$18='5.Variables'!$B$39,+'5.Variables'!$F53,+IF(N$18='5.Variables'!$B$62,+'5.Variables'!$F67,+IF(N$18='5.Variables'!$B$76,+'5.Variables'!$F81,+IF(N$18='5.Variables'!$B$90,+'5.Variables'!$F95,+IF(N$18='5.Variables'!$B$104,+'5.Variables'!$F109,0))))))</f>
        <v>138.18</v>
      </c>
      <c r="O59" s="697">
        <f>IF(O$18='5.Variables'!$B$16,+'5.Variables'!$F29,+IF(O$18='5.Variables'!$B$39,+'5.Variables'!$F53,+IF(O$18='5.Variables'!$B$62,+'5.Variables'!$F67,+IF(O$18='5.Variables'!$B$76,+'5.Variables'!$F81,+IF(O$18='5.Variables'!$B$90,+'5.Variables'!$F95,+IF(O$18='5.Variables'!$B$104,+'5.Variables'!$F109,0))))))</f>
        <v>0</v>
      </c>
      <c r="P59" s="697">
        <f>IF(P$18='5.Variables'!$B$16,+'5.Variables'!$F29,+IF(P$18='5.Variables'!$B$39,+'5.Variables'!$F53,+IF(P$18='5.Variables'!$B$62,+'5.Variables'!$F67,+IF(P$18='5.Variables'!$B$76,+'5.Variables'!$F81,+IF(P$18='5.Variables'!$B$90,+'5.Variables'!$F95,+IF(P$18='5.Variables'!$B$104,+'5.Variables'!$F109,0))))))</f>
        <v>320</v>
      </c>
      <c r="Q59" s="242"/>
      <c r="R59" s="260">
        <f t="shared" si="1"/>
        <v>19914326.881817009</v>
      </c>
      <c r="S59" s="262"/>
      <c r="T59" s="242"/>
      <c r="U59" s="247">
        <f>'4. Customer Growth'!B17</f>
        <v>2006</v>
      </c>
      <c r="V59" s="264">
        <f>V46</f>
        <v>240687668</v>
      </c>
      <c r="W59" s="264">
        <f t="shared" ref="W59:W68" si="5">X46</f>
        <v>244958698.73945877</v>
      </c>
      <c r="X59" s="265">
        <f>IF(ABS(V59-W59)=0,0,ABS(V59-W59)/V59)</f>
        <v>1.7745116627490735E-2</v>
      </c>
      <c r="Y59" s="242"/>
      <c r="Z59" s="242"/>
      <c r="AA59" s="242"/>
      <c r="AB59" s="242"/>
      <c r="AC59" s="242"/>
      <c r="AD59" s="242"/>
      <c r="AE59" s="242"/>
      <c r="AF59" s="242"/>
      <c r="AG59" s="242"/>
      <c r="AH59" s="242"/>
      <c r="AI59" s="242"/>
      <c r="AJ59" s="242"/>
      <c r="AK59" s="242"/>
      <c r="AL59" s="242"/>
      <c r="AM59" s="242"/>
    </row>
    <row r="60" spans="1:39" x14ac:dyDescent="0.2">
      <c r="A60" s="500">
        <f t="shared" si="2"/>
        <v>41</v>
      </c>
      <c r="B60" s="259" t="str">
        <f>CONCATENATE('3. Consumption by Rate Class'!B65,"-",'3. Consumption by Rate Class'!C65)</f>
        <v>2009-May</v>
      </c>
      <c r="C60" s="670">
        <v>19485273</v>
      </c>
      <c r="D60" s="826"/>
      <c r="E60" s="827">
        <v>1911296</v>
      </c>
      <c r="F60" s="826"/>
      <c r="G60" s="826"/>
      <c r="H60" s="677"/>
      <c r="I60" s="677"/>
      <c r="J60" s="550">
        <f t="shared" si="0"/>
        <v>17573977</v>
      </c>
      <c r="K60" s="697">
        <f>IF(K$18='5.Variables'!$B$16,+'5.Variables'!$G30,+IF(K$18='5.Variables'!$B$39,+'5.Variables'!$G53,+IF(K$18='5.Variables'!$B$62,+'5.Variables'!$G67,+IF(K$18='5.Variables'!$B$76,+'5.Variables'!$G81,+IF(K$18='5.Variables'!$B$90,+'5.Variables'!$G95,+IF(K$18='5.Variables'!$B$104,+'5.Variables'!$G109,0))))))</f>
        <v>231.1</v>
      </c>
      <c r="L60" s="697">
        <f>IF(L$18='5.Variables'!$B$16,+'5.Variables'!$G29,+IF(L$18='5.Variables'!$B$39,+'5.Variables'!$G53,+IF(L$18='5.Variables'!$B$62,+'5.Variables'!$G67,+IF(L$18='5.Variables'!$B$76,+'5.Variables'!$G81,+IF(L$18='5.Variables'!$B$90,+'5.Variables'!$G95,+IF(L$18='5.Variables'!$B$104,+'5.Variables'!$G109,0))))))</f>
        <v>0</v>
      </c>
      <c r="M60" s="697">
        <f>IF(M$18='5.Variables'!$B$16,+'5.Variables'!$G29,+IF(M$18='5.Variables'!$B$39,+'5.Variables'!$G53,+IF(M$18='5.Variables'!$B$62,+'5.Variables'!$G67,+IF(M$18='5.Variables'!$B$76,+'5.Variables'!$G81,+IF(M$18='5.Variables'!$B$90,+'5.Variables'!$G95,+IF(M$18='5.Variables'!$B$104,+'5.Variables'!$G109,0))))))</f>
        <v>31</v>
      </c>
      <c r="N60" s="697">
        <f>IF(N$18='5.Variables'!$B$16,+'5.Variables'!$G29,+IF(N$18='5.Variables'!$B$39,+'5.Variables'!$G53,+IF(N$18='5.Variables'!$B$62,+'5.Variables'!$G67,+IF(N$18='5.Variables'!$B$76,+'5.Variables'!$G81,+IF(N$18='5.Variables'!$B$90,+'5.Variables'!$G95,+IF(N$18='5.Variables'!$B$104,+'5.Variables'!$G109,0))))))</f>
        <v>137.78</v>
      </c>
      <c r="O60" s="697">
        <f>IF(O$18='5.Variables'!$B$16,+'5.Variables'!$G29,+IF(O$18='5.Variables'!$B$39,+'5.Variables'!$G53,+IF(O$18='5.Variables'!$B$62,+'5.Variables'!$G67,+IF(O$18='5.Variables'!$B$76,+'5.Variables'!$G81,+IF(O$18='5.Variables'!$B$90,+'5.Variables'!$G95,+IF(O$18='5.Variables'!$B$104,+'5.Variables'!$G109,0))))))</f>
        <v>0</v>
      </c>
      <c r="P60" s="697">
        <f>IF(P$18='5.Variables'!$B$16,+'5.Variables'!$G29,+IF(P$18='5.Variables'!$B$39,+'5.Variables'!$G53,+IF(P$18='5.Variables'!$B$62,+'5.Variables'!$G67,+IF(P$18='5.Variables'!$B$76,+'5.Variables'!$G81,+IF(P$18='5.Variables'!$B$90,+'5.Variables'!$G95,+IF(P$18='5.Variables'!$B$104,+'5.Variables'!$G109,0))))))</f>
        <v>320</v>
      </c>
      <c r="Q60" s="242"/>
      <c r="R60" s="260">
        <f t="shared" si="1"/>
        <v>19537579.287632436</v>
      </c>
      <c r="S60" s="262"/>
      <c r="T60" s="242"/>
      <c r="U60" s="247">
        <f>'4. Customer Growth'!B18</f>
        <v>2007</v>
      </c>
      <c r="V60" s="264">
        <f>V47</f>
        <v>248683053.34999996</v>
      </c>
      <c r="W60" s="264">
        <f t="shared" si="5"/>
        <v>248683575.31460232</v>
      </c>
      <c r="X60" s="265">
        <f t="shared" ref="X60:X68" si="6">IF(ABS(V60-W60)=0,0,ABS(V60-W60)/V60)</f>
        <v>2.098915045958393E-6</v>
      </c>
      <c r="Y60" s="268"/>
      <c r="Z60" s="242"/>
      <c r="AA60" s="242"/>
      <c r="AB60" s="242"/>
      <c r="AC60" s="242"/>
      <c r="AD60" s="242"/>
      <c r="AE60" s="242"/>
      <c r="AF60" s="242"/>
      <c r="AG60" s="242"/>
      <c r="AH60" s="242"/>
      <c r="AI60" s="242"/>
      <c r="AJ60" s="242"/>
      <c r="AK60" s="242"/>
      <c r="AL60" s="242"/>
      <c r="AM60" s="242"/>
    </row>
    <row r="61" spans="1:39" x14ac:dyDescent="0.2">
      <c r="A61" s="500">
        <f t="shared" si="2"/>
        <v>42</v>
      </c>
      <c r="B61" s="259" t="str">
        <f>CONCATENATE('3. Consumption by Rate Class'!B66,"-",'3. Consumption by Rate Class'!C66)</f>
        <v>2009-June</v>
      </c>
      <c r="C61" s="670">
        <v>20406593</v>
      </c>
      <c r="D61" s="826"/>
      <c r="E61" s="827">
        <v>1979470</v>
      </c>
      <c r="F61" s="826"/>
      <c r="G61" s="826"/>
      <c r="H61" s="677"/>
      <c r="I61" s="677"/>
      <c r="J61" s="550">
        <f t="shared" si="0"/>
        <v>18427123</v>
      </c>
      <c r="K61" s="697">
        <f>IF(K$18='5.Variables'!$B$16,+'5.Variables'!$H30,+IF(K$18='5.Variables'!$B$39,+'5.Variables'!$H53,+IF(K$18='5.Variables'!$B$62,+'5.Variables'!$H67,+IF(K$18='5.Variables'!$B$76,+'5.Variables'!$H81,+IF(K$18='5.Variables'!$B$90,+'5.Variables'!$H95,+IF(K$18='5.Variables'!$B$104,+'5.Variables'!$H109,0))))))</f>
        <v>86.1</v>
      </c>
      <c r="L61" s="697">
        <f>IF(L$18='5.Variables'!$B$16,+'5.Variables'!$H29,+IF(L$18='5.Variables'!$B$39,+'5.Variables'!$H53,+IF(L$18='5.Variables'!$B$62,+'5.Variables'!$H67,+IF(L$18='5.Variables'!$B$76,+'5.Variables'!$H81,+IF(L$18='5.Variables'!$B$90,+'5.Variables'!$H95,+IF(L$18='5.Variables'!$B$104,+'5.Variables'!$H109,0))))))</f>
        <v>12.1</v>
      </c>
      <c r="M61" s="697">
        <f>IF(M$18='5.Variables'!$B$16,+'5.Variables'!$H29,+IF(M$18='5.Variables'!$B$39,+'5.Variables'!$H53,+IF(M$18='5.Variables'!$B$62,+'5.Variables'!$H67,+IF(M$18='5.Variables'!$B$76,+'5.Variables'!$H81,+IF(M$18='5.Variables'!$B$90,+'5.Variables'!$H95,+IF(M$18='5.Variables'!$B$104,+'5.Variables'!$H109,0))))))</f>
        <v>30</v>
      </c>
      <c r="N61" s="697">
        <f>IF(N$18='5.Variables'!$B$16,+'5.Variables'!$H29,+IF(N$18='5.Variables'!$B$39,+'5.Variables'!$H53,+IF(N$18='5.Variables'!$B$62,+'5.Variables'!$H67,+IF(N$18='5.Variables'!$B$76,+'5.Variables'!$H81,+IF(N$18='5.Variables'!$B$90,+'5.Variables'!$H95,+IF(N$18='5.Variables'!$B$104,+'5.Variables'!$H109,0))))))</f>
        <v>137.38</v>
      </c>
      <c r="O61" s="697">
        <f>IF(O$18='5.Variables'!$B$16,+'5.Variables'!$H29,+IF(O$18='5.Variables'!$B$39,+'5.Variables'!$H53,+IF(O$18='5.Variables'!$B$62,+'5.Variables'!$H67,+IF(O$18='5.Variables'!$B$76,+'5.Variables'!$H81,+IF(O$18='5.Variables'!$B$90,+'5.Variables'!$H95,+IF(O$18='5.Variables'!$B$104,+'5.Variables'!$H109,0))))))</f>
        <v>0</v>
      </c>
      <c r="P61" s="697">
        <f>IF(P$18='5.Variables'!$B$16,+'5.Variables'!$H29,+IF(P$18='5.Variables'!$B$39,+'5.Variables'!$H53,+IF(P$18='5.Variables'!$B$62,+'5.Variables'!$H67,+IF(P$18='5.Variables'!$B$76,+'5.Variables'!$H81,+IF(P$18='5.Variables'!$B$90,+'5.Variables'!$H95,+IF(P$18='5.Variables'!$B$104,+'5.Variables'!$H109,0))))))</f>
        <v>352</v>
      </c>
      <c r="Q61" s="242"/>
      <c r="R61" s="260">
        <f t="shared" si="1"/>
        <v>18926483.722606875</v>
      </c>
      <c r="S61" s="262"/>
      <c r="T61" s="242"/>
      <c r="U61" s="247">
        <f>'4. Customer Growth'!B19</f>
        <v>2008</v>
      </c>
      <c r="V61" s="264">
        <f t="shared" ref="V61:V68" si="7">V48</f>
        <v>241507708</v>
      </c>
      <c r="W61" s="264">
        <f t="shared" si="5"/>
        <v>247069840.93236792</v>
      </c>
      <c r="X61" s="265">
        <f t="shared" si="6"/>
        <v>2.3030871264646844E-2</v>
      </c>
      <c r="Y61" s="268"/>
      <c r="Z61" s="242"/>
      <c r="AA61" s="242"/>
      <c r="AB61" s="242"/>
      <c r="AC61" s="242"/>
      <c r="AD61" s="242"/>
      <c r="AE61" s="242"/>
      <c r="AF61" s="242"/>
      <c r="AG61" s="242"/>
      <c r="AH61" s="242"/>
      <c r="AI61" s="242"/>
      <c r="AJ61" s="242"/>
      <c r="AK61" s="242"/>
      <c r="AL61" s="242"/>
      <c r="AM61" s="242"/>
    </row>
    <row r="62" spans="1:39" x14ac:dyDescent="0.2">
      <c r="A62" s="500">
        <f t="shared" si="2"/>
        <v>43</v>
      </c>
      <c r="B62" s="259" t="str">
        <f>CONCATENATE('3. Consumption by Rate Class'!B67,"-",'3. Consumption by Rate Class'!C67)</f>
        <v>2009-July</v>
      </c>
      <c r="C62" s="670">
        <v>20738546</v>
      </c>
      <c r="D62" s="826"/>
      <c r="E62" s="827">
        <v>1750420</v>
      </c>
      <c r="F62" s="826"/>
      <c r="G62" s="826"/>
      <c r="H62" s="677"/>
      <c r="I62" s="677"/>
      <c r="J62" s="550">
        <f t="shared" si="0"/>
        <v>18988126</v>
      </c>
      <c r="K62" s="697">
        <f>IF(K$18='5.Variables'!$B$16,+'5.Variables'!$I30,+IF(K$18='5.Variables'!$B$39,+'5.Variables'!$I53,+IF(K$18='5.Variables'!$B$62,+'5.Variables'!$I67,+IF(K$18='5.Variables'!$B$76,+'5.Variables'!$I81,+IF(K$18='5.Variables'!$B$90,+'5.Variables'!$I95,+IF(K$18='5.Variables'!$B$104,+'5.Variables'!$I109,0))))))</f>
        <v>41.5</v>
      </c>
      <c r="L62" s="697">
        <f>IF(L$18='5.Variables'!$B$16,+'5.Variables'!$I29,+IF(L$18='5.Variables'!$B$39,+'5.Variables'!$I53,+IF(L$18='5.Variables'!$B$62,+'5.Variables'!$I67,+IF(L$18='5.Variables'!$B$76,+'5.Variables'!$I81,+IF(L$18='5.Variables'!$B$90,+'5.Variables'!$I95,+IF(L$18='5.Variables'!$B$104,+'5.Variables'!$I109,0))))))</f>
        <v>18.2</v>
      </c>
      <c r="M62" s="697">
        <f>IF(M$18='5.Variables'!$B$16,+'5.Variables'!$I29,+IF(M$18='5.Variables'!$B$39,+'5.Variables'!$I53,+IF(M$18='5.Variables'!$B$62,+'5.Variables'!$I67,+IF(M$18='5.Variables'!$B$76,+'5.Variables'!$I81,+IF(M$18='5.Variables'!$B$90,+'5.Variables'!$I95,+IF(M$18='5.Variables'!$B$104,+'5.Variables'!$I109,0))))))</f>
        <v>31</v>
      </c>
      <c r="N62" s="697">
        <f>IF(N$18='5.Variables'!$B$16,+'5.Variables'!$I29,+IF(N$18='5.Variables'!$B$39,+'5.Variables'!$I53,+IF(N$18='5.Variables'!$B$62,+'5.Variables'!$I67,+IF(N$18='5.Variables'!$B$76,+'5.Variables'!$I81,+IF(N$18='5.Variables'!$B$90,+'5.Variables'!$I95,+IF(N$18='5.Variables'!$B$104,+'5.Variables'!$I109,0))))))</f>
        <v>136.99</v>
      </c>
      <c r="O62" s="697">
        <f>IF(O$18='5.Variables'!$B$16,+'5.Variables'!$I29,+IF(O$18='5.Variables'!$B$39,+'5.Variables'!$I53,+IF(O$18='5.Variables'!$B$62,+'5.Variables'!$I67,+IF(O$18='5.Variables'!$B$76,+'5.Variables'!$I81,+IF(O$18='5.Variables'!$B$90,+'5.Variables'!$I95,+IF(O$18='5.Variables'!$B$104,+'5.Variables'!$I109,0))))))</f>
        <v>0</v>
      </c>
      <c r="P62" s="697">
        <f>IF(P$18='5.Variables'!$B$16,+'5.Variables'!$I29,+IF(P$18='5.Variables'!$B$39,+'5.Variables'!$I53,+IF(P$18='5.Variables'!$B$62,+'5.Variables'!$I67,+IF(P$18='5.Variables'!$B$76,+'5.Variables'!$I81,+IF(P$18='5.Variables'!$B$90,+'5.Variables'!$I95,+IF(P$18='5.Variables'!$B$104,+'5.Variables'!$I109,0))))))</f>
        <v>352</v>
      </c>
      <c r="Q62" s="242"/>
      <c r="R62" s="260">
        <f t="shared" si="1"/>
        <v>19246965.838247955</v>
      </c>
      <c r="S62" s="262"/>
      <c r="T62" s="242"/>
      <c r="U62" s="247">
        <f>'4. Customer Growth'!B20</f>
        <v>2009</v>
      </c>
      <c r="V62" s="264">
        <f t="shared" si="7"/>
        <v>236526800</v>
      </c>
      <c r="W62" s="264">
        <f t="shared" si="5"/>
        <v>245470671.7507762</v>
      </c>
      <c r="X62" s="265">
        <f t="shared" si="6"/>
        <v>3.781335455760701E-2</v>
      </c>
      <c r="Y62" s="268"/>
      <c r="Z62" s="242"/>
      <c r="AA62" s="242"/>
      <c r="AB62" s="242"/>
      <c r="AC62" s="242"/>
      <c r="AD62" s="242"/>
      <c r="AE62" s="242"/>
      <c r="AF62" s="242"/>
      <c r="AG62" s="242"/>
      <c r="AH62" s="242"/>
      <c r="AI62" s="242"/>
      <c r="AJ62" s="242"/>
      <c r="AK62" s="242"/>
      <c r="AL62" s="242"/>
      <c r="AM62" s="242"/>
    </row>
    <row r="63" spans="1:39" x14ac:dyDescent="0.2">
      <c r="A63" s="500">
        <f t="shared" si="2"/>
        <v>44</v>
      </c>
      <c r="B63" s="259" t="str">
        <f>CONCATENATE('3. Consumption by Rate Class'!B68,"-",'3. Consumption by Rate Class'!C68)</f>
        <v>2009-August</v>
      </c>
      <c r="C63" s="670">
        <v>22020601</v>
      </c>
      <c r="D63" s="826"/>
      <c r="E63" s="827">
        <v>1632661</v>
      </c>
      <c r="F63" s="826"/>
      <c r="G63" s="826"/>
      <c r="H63" s="677"/>
      <c r="I63" s="677"/>
      <c r="J63" s="550">
        <f t="shared" si="0"/>
        <v>20387940</v>
      </c>
      <c r="K63" s="697">
        <f>IF(K$18='5.Variables'!$B$16,+'5.Variables'!$J30,+IF(K$18='5.Variables'!$B$39,+'5.Variables'!$J53,+IF(K$18='5.Variables'!$B$62,+'5.Variables'!$J67,+IF(K$18='5.Variables'!$B$76,+'5.Variables'!$J81,+IF(K$18='5.Variables'!$B$90,+'5.Variables'!$J95,+IF(K$18='5.Variables'!$B$104,+'5.Variables'!$J109,0))))))</f>
        <v>15.7</v>
      </c>
      <c r="L63" s="697">
        <f>IF(L$18='5.Variables'!$B$16,+'5.Variables'!$J29,+IF(L$18='5.Variables'!$B$39,+'5.Variables'!$J53,+IF(L$18='5.Variables'!$B$62,+'5.Variables'!$J67,+IF(L$18='5.Variables'!$B$76,+'5.Variables'!$J81,+IF(L$18='5.Variables'!$B$90,+'5.Variables'!$J95,+IF(L$18='5.Variables'!$B$104,+'5.Variables'!$J109,0))))))</f>
        <v>58.6</v>
      </c>
      <c r="M63" s="697">
        <f>IF(M$18='5.Variables'!$B$16,+'5.Variables'!$J29,+IF(M$18='5.Variables'!$B$39,+'5.Variables'!$J53,+IF(M$18='5.Variables'!$B$62,+'5.Variables'!$J67,+IF(M$18='5.Variables'!$B$76,+'5.Variables'!$J81,+IF(M$18='5.Variables'!$B$90,+'5.Variables'!$J95,+IF(M$18='5.Variables'!$B$104,+'5.Variables'!$J109,0))))))</f>
        <v>31</v>
      </c>
      <c r="N63" s="697">
        <f>IF(N$18='5.Variables'!$B$16,+'5.Variables'!$J29,+IF(N$18='5.Variables'!$B$39,+'5.Variables'!$J53,+IF(N$18='5.Variables'!$B$62,+'5.Variables'!$J67,+IF(N$18='5.Variables'!$B$76,+'5.Variables'!$J81,+IF(N$18='5.Variables'!$B$90,+'5.Variables'!$J95,+IF(N$18='5.Variables'!$B$104,+'5.Variables'!$J109,0))))))</f>
        <v>136.59</v>
      </c>
      <c r="O63" s="697">
        <f>IF(O$18='5.Variables'!$B$16,+'5.Variables'!$J29,+IF(O$18='5.Variables'!$B$39,+'5.Variables'!$J53,+IF(O$18='5.Variables'!$B$62,+'5.Variables'!$J67,+IF(O$18='5.Variables'!$B$76,+'5.Variables'!$J81,+IF(O$18='5.Variables'!$B$90,+'5.Variables'!$J95,+IF(O$18='5.Variables'!$B$104,+'5.Variables'!$J109,0))))))</f>
        <v>0</v>
      </c>
      <c r="P63" s="697">
        <f>IF(P$18='5.Variables'!$B$16,+'5.Variables'!$J29,+IF(P$18='5.Variables'!$B$39,+'5.Variables'!$J53,+IF(P$18='5.Variables'!$B$62,+'5.Variables'!$J67,+IF(P$18='5.Variables'!$B$76,+'5.Variables'!$J81,+IF(P$18='5.Variables'!$B$90,+'5.Variables'!$J95,+IF(P$18='5.Variables'!$B$104,+'5.Variables'!$J109,0))))))</f>
        <v>320</v>
      </c>
      <c r="Q63" s="242"/>
      <c r="R63" s="260">
        <f t="shared" si="1"/>
        <v>20431812.534851134</v>
      </c>
      <c r="S63" s="262"/>
      <c r="T63" s="242"/>
      <c r="U63" s="247">
        <f>'4. Customer Growth'!B21</f>
        <v>2010</v>
      </c>
      <c r="V63" s="264">
        <f t="shared" si="7"/>
        <v>244543390.56</v>
      </c>
      <c r="W63" s="264">
        <f t="shared" si="5"/>
        <v>247205392.77313605</v>
      </c>
      <c r="X63" s="265">
        <f t="shared" si="6"/>
        <v>1.088560278419347E-2</v>
      </c>
      <c r="Y63" s="268"/>
      <c r="Z63" s="242"/>
      <c r="AA63" s="242"/>
      <c r="AB63" s="242"/>
      <c r="AC63" s="242"/>
      <c r="AD63" s="242"/>
      <c r="AE63" s="242"/>
      <c r="AF63" s="242"/>
      <c r="AG63" s="242"/>
      <c r="AH63" s="242"/>
      <c r="AI63" s="242"/>
      <c r="AJ63" s="242"/>
      <c r="AK63" s="242"/>
      <c r="AL63" s="242"/>
      <c r="AM63" s="242"/>
    </row>
    <row r="64" spans="1:39" x14ac:dyDescent="0.2">
      <c r="A64" s="500">
        <f t="shared" si="2"/>
        <v>45</v>
      </c>
      <c r="B64" s="259" t="str">
        <f>CONCATENATE('3. Consumption by Rate Class'!B69,"-",'3. Consumption by Rate Class'!C69)</f>
        <v>2009-September</v>
      </c>
      <c r="C64" s="670">
        <v>19999575</v>
      </c>
      <c r="D64" s="826"/>
      <c r="E64" s="827">
        <v>1592813</v>
      </c>
      <c r="F64" s="826"/>
      <c r="G64" s="826"/>
      <c r="H64" s="677"/>
      <c r="I64" s="677"/>
      <c r="J64" s="550">
        <f t="shared" si="0"/>
        <v>18406762</v>
      </c>
      <c r="K64" s="697">
        <f>IF(K$18='5.Variables'!$B$16,+'5.Variables'!$K30,+IF(K$18='5.Variables'!$B$39,+'5.Variables'!$K53,+IF(K$18='5.Variables'!$B$62,+'5.Variables'!$K67,+IF(K$18='5.Variables'!$B$76,+'5.Variables'!$K81,+IF(K$18='5.Variables'!$B$90,+'5.Variables'!$K95,+IF(K$18='5.Variables'!$B$104,+'5.Variables'!$K109,0))))))</f>
        <v>70.099999999999994</v>
      </c>
      <c r="L64" s="697">
        <f>IF(L$18='5.Variables'!$B$16,+'5.Variables'!$K29,+IF(L$18='5.Variables'!$B$39,+'5.Variables'!$K53,+IF(L$18='5.Variables'!$B$62,+'5.Variables'!$K67,+IF(L$18='5.Variables'!$B$76,+'5.Variables'!$K81,+IF(L$18='5.Variables'!$B$90,+'5.Variables'!$K95,+IF(L$18='5.Variables'!$B$104,+'5.Variables'!$K109,0))))))</f>
        <v>11.6</v>
      </c>
      <c r="M64" s="697">
        <f>IF(M$18='5.Variables'!$B$16,+'5.Variables'!$K29,+IF(M$18='5.Variables'!$B$39,+'5.Variables'!$K53,+IF(M$18='5.Variables'!$B$62,+'5.Variables'!$K67,+IF(M$18='5.Variables'!$B$76,+'5.Variables'!$K81,+IF(M$18='5.Variables'!$B$90,+'5.Variables'!$K95,+IF(M$18='5.Variables'!$B$104,+'5.Variables'!$K109,0))))))</f>
        <v>30</v>
      </c>
      <c r="N64" s="697">
        <f>IF(N$18='5.Variables'!$B$16,+'5.Variables'!$K29,+IF(N$18='5.Variables'!$B$39,+'5.Variables'!$K53,+IF(N$18='5.Variables'!$B$62,+'5.Variables'!$K67,+IF(N$18='5.Variables'!$B$76,+'5.Variables'!$K81,+IF(N$18='5.Variables'!$B$90,+'5.Variables'!$K95,+IF(N$18='5.Variables'!$B$104,+'5.Variables'!$K109,0))))))</f>
        <v>136.19999999999999</v>
      </c>
      <c r="O64" s="697">
        <f>IF(O$18='5.Variables'!$B$16,+'5.Variables'!$K29,+IF(O$18='5.Variables'!$B$39,+'5.Variables'!$K53,+IF(O$18='5.Variables'!$B$62,+'5.Variables'!$K67,+IF(O$18='5.Variables'!$B$76,+'5.Variables'!$K81,+IF(O$18='5.Variables'!$B$90,+'5.Variables'!$K95,+IF(O$18='5.Variables'!$B$104,+'5.Variables'!$K109,0))))))</f>
        <v>0</v>
      </c>
      <c r="P64" s="697">
        <f>IF(P$18='5.Variables'!$B$16,+'5.Variables'!$K29,+IF(P$18='5.Variables'!$B$39,+'5.Variables'!$K53,+IF(P$18='5.Variables'!$B$62,+'5.Variables'!$K67,+IF(P$18='5.Variables'!$B$76,+'5.Variables'!$K81,+IF(P$18='5.Variables'!$B$90,+'5.Variables'!$K95,+IF(P$18='5.Variables'!$B$104,+'5.Variables'!$K109,0))))))</f>
        <v>336</v>
      </c>
      <c r="Q64" s="242"/>
      <c r="R64" s="260">
        <f t="shared" si="1"/>
        <v>18646058.742347125</v>
      </c>
      <c r="S64" s="262"/>
      <c r="T64" s="242"/>
      <c r="U64" s="247">
        <f>'4. Customer Growth'!B22</f>
        <v>2011</v>
      </c>
      <c r="V64" s="264">
        <f t="shared" si="7"/>
        <v>248601682.74000001</v>
      </c>
      <c r="W64" s="264">
        <f t="shared" si="5"/>
        <v>248673994.55355757</v>
      </c>
      <c r="X64" s="265">
        <f t="shared" si="6"/>
        <v>2.9087419184202587E-4</v>
      </c>
      <c r="Y64" s="268"/>
      <c r="Z64" s="242"/>
      <c r="AA64" s="242"/>
      <c r="AB64" s="242"/>
      <c r="AC64" s="242"/>
      <c r="AD64" s="242"/>
      <c r="AE64" s="242"/>
      <c r="AF64" s="242"/>
      <c r="AG64" s="242"/>
      <c r="AH64" s="242"/>
      <c r="AI64" s="242"/>
      <c r="AJ64" s="242"/>
      <c r="AK64" s="242"/>
      <c r="AL64" s="242"/>
      <c r="AM64" s="242"/>
    </row>
    <row r="65" spans="1:39" x14ac:dyDescent="0.2">
      <c r="A65" s="500">
        <f t="shared" si="2"/>
        <v>46</v>
      </c>
      <c r="B65" s="259" t="str">
        <f>CONCATENATE('3. Consumption by Rate Class'!B70,"-",'3. Consumption by Rate Class'!C70)</f>
        <v>2009-October</v>
      </c>
      <c r="C65" s="670">
        <v>20858420</v>
      </c>
      <c r="D65" s="826"/>
      <c r="E65" s="827">
        <v>1681377</v>
      </c>
      <c r="F65" s="826"/>
      <c r="G65" s="826"/>
      <c r="H65" s="676"/>
      <c r="I65" s="677"/>
      <c r="J65" s="550">
        <f t="shared" si="0"/>
        <v>19177043</v>
      </c>
      <c r="K65" s="697">
        <f>IF(K$18='5.Variables'!$B$16,+'5.Variables'!$L30,+IF(K$18='5.Variables'!$B$39,+'5.Variables'!$L53,+IF(K$18='5.Variables'!$B$62,+'5.Variables'!$L67,+IF(K$18='5.Variables'!$B$76,+'5.Variables'!$L81,+IF(K$18='5.Variables'!$B$90,+'5.Variables'!$L95,+IF(K$18='5.Variables'!$B$104,+'5.Variables'!$L109,0))))))</f>
        <v>313.3</v>
      </c>
      <c r="L65" s="697">
        <f>IF(L$18='5.Variables'!$B$16,+'5.Variables'!$L29,+IF(L$18='5.Variables'!$B$39,+'5.Variables'!$L53,+IF(L$18='5.Variables'!$B$62,+'5.Variables'!$L67,+IF(L$18='5.Variables'!$B$76,+'5.Variables'!$L81,+IF(L$18='5.Variables'!$B$90,+'5.Variables'!$L95,+IF(L$18='5.Variables'!$B$104,+'5.Variables'!$L109,0))))))</f>
        <v>0</v>
      </c>
      <c r="M65" s="697">
        <f>IF(M$18='5.Variables'!$B$16,+'5.Variables'!$L29,+IF(M$18='5.Variables'!$B$39,+'5.Variables'!$L53,+IF(M$18='5.Variables'!$B$62,+'5.Variables'!$L67,+IF(M$18='5.Variables'!$B$76,+'5.Variables'!$L81,+IF(M$18='5.Variables'!$B$90,+'5.Variables'!$L95,+IF(M$18='5.Variables'!$B$104,+'5.Variables'!$L109,0))))))</f>
        <v>31</v>
      </c>
      <c r="N65" s="697">
        <f>IF(N$18='5.Variables'!$B$16,+'5.Variables'!$L29,+IF(N$18='5.Variables'!$B$39,+'5.Variables'!$L53,+IF(N$18='5.Variables'!$B$62,+'5.Variables'!$L67,+IF(N$18='5.Variables'!$B$76,+'5.Variables'!$L81,+IF(N$18='5.Variables'!$B$90,+'5.Variables'!$L95,+IF(N$18='5.Variables'!$B$104,+'5.Variables'!$L109,0))))))</f>
        <v>135.81</v>
      </c>
      <c r="O65" s="697">
        <f>IF(O$18='5.Variables'!$B$16,+'5.Variables'!$L29,+IF(O$18='5.Variables'!$B$39,+'5.Variables'!$L53,+IF(O$18='5.Variables'!$B$62,+'5.Variables'!$L67,+IF(O$18='5.Variables'!$B$76,+'5.Variables'!$L81,+IF(O$18='5.Variables'!$B$90,+'5.Variables'!$L95,+IF(O$18='5.Variables'!$B$104,+'5.Variables'!$L109,0))))))</f>
        <v>0</v>
      </c>
      <c r="P65" s="697">
        <f>IF(P$18='5.Variables'!$B$16,+'5.Variables'!$L29,+IF(P$18='5.Variables'!$B$39,+'5.Variables'!$L53,+IF(P$18='5.Variables'!$B$62,+'5.Variables'!$L67,+IF(P$18='5.Variables'!$B$76,+'5.Variables'!$L81,+IF(P$18='5.Variables'!$B$90,+'5.Variables'!$L95,+IF(P$18='5.Variables'!$B$104,+'5.Variables'!$L109,0))))))</f>
        <v>336</v>
      </c>
      <c r="Q65" s="242"/>
      <c r="R65" s="260">
        <f t="shared" si="1"/>
        <v>20137169.90667465</v>
      </c>
      <c r="S65" s="262"/>
      <c r="T65" s="242"/>
      <c r="U65" s="247">
        <f>'4. Customer Growth'!B23</f>
        <v>2012</v>
      </c>
      <c r="V65" s="264">
        <f t="shared" si="7"/>
        <v>250144401.56999999</v>
      </c>
      <c r="W65" s="264">
        <f t="shared" si="5"/>
        <v>250342774.98395351</v>
      </c>
      <c r="X65" s="265">
        <f t="shared" si="6"/>
        <v>7.93035593474997E-4</v>
      </c>
      <c r="Y65" s="268"/>
      <c r="Z65" s="242"/>
      <c r="AA65" s="242"/>
      <c r="AB65" s="242"/>
      <c r="AC65" s="242"/>
      <c r="AD65" s="242"/>
      <c r="AE65" s="242"/>
      <c r="AF65" s="242"/>
      <c r="AG65" s="242"/>
      <c r="AH65" s="242"/>
      <c r="AI65" s="242"/>
      <c r="AJ65" s="242"/>
      <c r="AK65" s="242"/>
      <c r="AL65" s="242"/>
      <c r="AM65" s="242"/>
    </row>
    <row r="66" spans="1:39" x14ac:dyDescent="0.2">
      <c r="A66" s="500">
        <f t="shared" si="2"/>
        <v>47</v>
      </c>
      <c r="B66" s="259" t="str">
        <f>CONCATENATE('3. Consumption by Rate Class'!B71,"-",'3. Consumption by Rate Class'!C71)</f>
        <v>2009-November</v>
      </c>
      <c r="C66" s="670">
        <v>20896295</v>
      </c>
      <c r="D66" s="826"/>
      <c r="E66" s="827">
        <v>1877472</v>
      </c>
      <c r="F66" s="826"/>
      <c r="G66" s="826"/>
      <c r="H66" s="676"/>
      <c r="I66" s="677"/>
      <c r="J66" s="550">
        <f t="shared" si="0"/>
        <v>19018823</v>
      </c>
      <c r="K66" s="697">
        <f>IF(K$18='5.Variables'!$B$16,+'5.Variables'!$M30,+IF(K$18='5.Variables'!$B$39,+'5.Variables'!$M53,+IF(K$18='5.Variables'!$B$62,+'5.Variables'!$M67,+IF(K$18='5.Variables'!$B$76,+'5.Variables'!$M81,+IF(K$18='5.Variables'!$B$90,+'5.Variables'!$M95,+IF(K$18='5.Variables'!$B$104,+'5.Variables'!$M109,0))))))</f>
        <v>361</v>
      </c>
      <c r="L66" s="697">
        <f>IF(L$18='5.Variables'!$B$16,+'5.Variables'!$M29,+IF(L$18='5.Variables'!$B$39,+'5.Variables'!$M53,+IF(L$18='5.Variables'!$B$62,+'5.Variables'!$M67,+IF(L$18='5.Variables'!$B$76,+'5.Variables'!$M81,+IF(L$18='5.Variables'!$B$90,+'5.Variables'!$M95,+IF(L$18='5.Variables'!$B$104,+'5.Variables'!$M109,0))))))</f>
        <v>0</v>
      </c>
      <c r="M66" s="697">
        <f>IF(M$18='5.Variables'!$B$16,+'5.Variables'!$M29,+IF(M$18='5.Variables'!$B$39,+'5.Variables'!$M53,+IF(M$18='5.Variables'!$B$62,+'5.Variables'!$M67,+IF(M$18='5.Variables'!$B$76,+'5.Variables'!$M81,+IF(M$18='5.Variables'!$B$90,+'5.Variables'!$M95,+IF(M$18='5.Variables'!$B$104,+'5.Variables'!$M109,0))))))</f>
        <v>30</v>
      </c>
      <c r="N66" s="697">
        <f>IF(N$18='5.Variables'!$B$16,+'5.Variables'!$M29,+IF(N$18='5.Variables'!$B$39,+'5.Variables'!$M53,+IF(N$18='5.Variables'!$B$62,+'5.Variables'!$M67,+IF(N$18='5.Variables'!$B$76,+'5.Variables'!$M81,+IF(N$18='5.Variables'!$B$90,+'5.Variables'!$M95,+IF(N$18='5.Variables'!$B$104,+'5.Variables'!$M109,0))))))</f>
        <v>135.41999999999999</v>
      </c>
      <c r="O66" s="697">
        <f>IF(O$18='5.Variables'!$B$16,+'5.Variables'!$M29,+IF(O$18='5.Variables'!$B$39,+'5.Variables'!$M53,+IF(O$18='5.Variables'!$B$62,+'5.Variables'!$M67,+IF(O$18='5.Variables'!$B$76,+'5.Variables'!$M81,+IF(O$18='5.Variables'!$B$90,+'5.Variables'!$M95,+IF(O$18='5.Variables'!$B$104,+'5.Variables'!$M109,0))))))</f>
        <v>0</v>
      </c>
      <c r="P66" s="697">
        <f>IF(P$18='5.Variables'!$B$16,+'5.Variables'!$M29,+IF(P$18='5.Variables'!$B$39,+'5.Variables'!$M53,+IF(P$18='5.Variables'!$B$62,+'5.Variables'!$M67,+IF(P$18='5.Variables'!$B$76,+'5.Variables'!$M81,+IF(P$18='5.Variables'!$B$90,+'5.Variables'!$M95,+IF(P$18='5.Variables'!$B$104,+'5.Variables'!$M109,0))))))</f>
        <v>320</v>
      </c>
      <c r="Q66" s="242"/>
      <c r="R66" s="260">
        <f t="shared" si="1"/>
        <v>19935132.365187999</v>
      </c>
      <c r="S66" s="262"/>
      <c r="T66" s="242"/>
      <c r="U66" s="247">
        <f>'4. Customer Growth'!B24</f>
        <v>2013</v>
      </c>
      <c r="V66" s="264">
        <f t="shared" si="7"/>
        <v>246166626.33000001</v>
      </c>
      <c r="W66" s="264">
        <f t="shared" si="5"/>
        <v>249342246.0888707</v>
      </c>
      <c r="X66" s="265">
        <f t="shared" si="6"/>
        <v>1.2900285494482898E-2</v>
      </c>
      <c r="Y66" s="268"/>
      <c r="Z66" s="242"/>
      <c r="AA66" s="242"/>
      <c r="AB66" s="242"/>
      <c r="AC66" s="242"/>
      <c r="AD66" s="242"/>
      <c r="AE66" s="242"/>
      <c r="AF66" s="242"/>
      <c r="AG66" s="242"/>
      <c r="AH66" s="242"/>
      <c r="AI66" s="242"/>
      <c r="AJ66" s="242"/>
      <c r="AK66" s="242"/>
      <c r="AL66" s="242"/>
      <c r="AM66" s="242"/>
    </row>
    <row r="67" spans="1:39" x14ac:dyDescent="0.2">
      <c r="A67" s="500">
        <f t="shared" si="2"/>
        <v>48</v>
      </c>
      <c r="B67" s="519" t="str">
        <f>CONCATENATE('3. Consumption by Rate Class'!B72,"-",'3. Consumption by Rate Class'!C72)</f>
        <v>2009-December</v>
      </c>
      <c r="C67" s="671">
        <v>23140679</v>
      </c>
      <c r="D67" s="828"/>
      <c r="E67" s="829">
        <v>1527750</v>
      </c>
      <c r="F67" s="828"/>
      <c r="G67" s="828"/>
      <c r="H67" s="678"/>
      <c r="I67" s="679"/>
      <c r="J67" s="550">
        <f t="shared" si="0"/>
        <v>21612929</v>
      </c>
      <c r="K67" s="697">
        <f>IF(K$18='5.Variables'!$B$16,+'5.Variables'!$N30,+IF(K$18='5.Variables'!$B$39,+'5.Variables'!$N53,+IF(K$18='5.Variables'!$B$62,+'5.Variables'!$N67,+IF(K$18='5.Variables'!$B$76,+'5.Variables'!$N81,+IF(K$18='5.Variables'!$B$90,+'5.Variables'!$N95,+IF(K$18='5.Variables'!$B$104,+'5.Variables'!$N109,0))))))</f>
        <v>638.6</v>
      </c>
      <c r="L67" s="697">
        <f>IF(L$18='5.Variables'!$B$16,+'5.Variables'!$N29,+IF(L$18='5.Variables'!$B$39,+'5.Variables'!$N53,+IF(L$18='5.Variables'!$B$62,+'5.Variables'!$N67,+IF(L$18='5.Variables'!$B$76,+'5.Variables'!$N81,+IF(L$18='5.Variables'!$B$90,+'5.Variables'!$N95,+IF(L$18='5.Variables'!$B$104,+'5.Variables'!$N109,0))))))</f>
        <v>0</v>
      </c>
      <c r="M67" s="697">
        <f>IF(M$18='5.Variables'!$B$16,+'5.Variables'!$N29,+IF(M$18='5.Variables'!$B$39,+'5.Variables'!$N53,+IF(M$18='5.Variables'!$B$62,+'5.Variables'!$N67,+IF(M$18='5.Variables'!$B$76,+'5.Variables'!$N81,+IF(M$18='5.Variables'!$B$90,+'5.Variables'!$N95,+IF(M$18='5.Variables'!$B$104,+'5.Variables'!$N109,0))))))</f>
        <v>31</v>
      </c>
      <c r="N67" s="697">
        <f>IF(N$18='5.Variables'!$B$16,+'5.Variables'!$N29,+IF(N$18='5.Variables'!$B$39,+'5.Variables'!$N53,+IF(N$18='5.Variables'!$B$62,+'5.Variables'!$N67,+IF(N$18='5.Variables'!$B$76,+'5.Variables'!$N81,+IF(N$18='5.Variables'!$B$90,+'5.Variables'!$N95,+IF(N$18='5.Variables'!$B$104,+'5.Variables'!$N109,0))))))</f>
        <v>135.03</v>
      </c>
      <c r="O67" s="697">
        <f>IF(O$18='5.Variables'!$B$16,+'5.Variables'!$N29,+IF(O$18='5.Variables'!$B$39,+'5.Variables'!$N53,+IF(O$18='5.Variables'!$B$62,+'5.Variables'!$N67,+IF(O$18='5.Variables'!$B$76,+'5.Variables'!$N81,+IF(O$18='5.Variables'!$B$90,+'5.Variables'!$N95,+IF(O$18='5.Variables'!$B$104,+'5.Variables'!$N109,0))))))</f>
        <v>0</v>
      </c>
      <c r="P67" s="697">
        <f>IF(P$18='5.Variables'!$B$16,+'5.Variables'!$N29,+IF(P$18='5.Variables'!$B$39,+'5.Variables'!$N53,+IF(P$18='5.Variables'!$B$62,+'5.Variables'!$N67,+IF(P$18='5.Variables'!$B$76,+'5.Variables'!$N81,+IF(P$18='5.Variables'!$B$90,+'5.Variables'!$N95,+IF(P$18='5.Variables'!$B$104,+'5.Variables'!$N109,0))))))</f>
        <v>352</v>
      </c>
      <c r="Q67" s="242"/>
      <c r="R67" s="260">
        <f t="shared" si="1"/>
        <v>22355534.447235588</v>
      </c>
      <c r="S67" s="262">
        <f>SUM(R56:R67)</f>
        <v>245470671.7507762</v>
      </c>
      <c r="T67" s="242"/>
      <c r="U67" s="247">
        <f>'4. Customer Growth'!B25</f>
        <v>2014</v>
      </c>
      <c r="V67" s="264">
        <f t="shared" si="7"/>
        <v>242535263.39000002</v>
      </c>
      <c r="W67" s="264">
        <f t="shared" si="5"/>
        <v>249658428.47991201</v>
      </c>
      <c r="X67" s="265">
        <f t="shared" si="6"/>
        <v>2.9369605847615859E-2</v>
      </c>
      <c r="Y67" s="268"/>
      <c r="Z67" s="242"/>
      <c r="AA67" s="242"/>
      <c r="AB67" s="242"/>
      <c r="AC67" s="242"/>
      <c r="AD67" s="242"/>
      <c r="AE67" s="242"/>
      <c r="AF67" s="242"/>
      <c r="AG67" s="242"/>
      <c r="AH67" s="242"/>
      <c r="AI67" s="242"/>
      <c r="AJ67" s="242"/>
      <c r="AK67" s="242"/>
      <c r="AL67" s="242"/>
      <c r="AM67" s="242"/>
    </row>
    <row r="68" spans="1:39" x14ac:dyDescent="0.2">
      <c r="A68" s="500">
        <f t="shared" si="2"/>
        <v>49</v>
      </c>
      <c r="B68" s="259" t="str">
        <f>CONCATENATE('3. Consumption by Rate Class'!B73,"-",'3. Consumption by Rate Class'!C73)</f>
        <v>2010-January</v>
      </c>
      <c r="C68" s="670">
        <v>25102489.190000001</v>
      </c>
      <c r="D68" s="826"/>
      <c r="E68" s="827">
        <v>1573886</v>
      </c>
      <c r="F68" s="826"/>
      <c r="G68" s="826"/>
      <c r="H68" s="676"/>
      <c r="I68" s="677"/>
      <c r="J68" s="550">
        <f t="shared" si="0"/>
        <v>23528603.190000001</v>
      </c>
      <c r="K68" s="697">
        <f>IF(K$18='5.Variables'!$B$16,+'5.Variables'!$C31,+IF(K$18='5.Variables'!$B$39,+'5.Variables'!$C54,+IF(K$18='5.Variables'!$B$62,+'5.Variables'!$C68,+IF(K$18='5.Variables'!$B$76,+'5.Variables'!$C82,+IF(K$18='5.Variables'!$B$90,+'5.Variables'!$C96,+IF(K$18='5.Variables'!$B$104,+'5.Variables'!$C110,0))))))</f>
        <v>718</v>
      </c>
      <c r="L68" s="697">
        <f>IF(L$18='5.Variables'!$B$16,+'5.Variables'!$C30,+IF(L$18='5.Variables'!$B$39,+'5.Variables'!$C54,+IF(L$18='5.Variables'!$B$62,+'5.Variables'!$C68,+IF(L$18='5.Variables'!$B$76,+'5.Variables'!$C82,+IF(L$18='5.Variables'!$B$90,+'5.Variables'!$C96,+IF(L$18='5.Variables'!$B$104,+'5.Variables'!$C110,0))))))</f>
        <v>0</v>
      </c>
      <c r="M68" s="697">
        <f>IF(M$18='5.Variables'!$B$16,+'5.Variables'!$C30,+IF(M$18='5.Variables'!$B$39,+'5.Variables'!$C54,+IF(M$18='5.Variables'!$B$62,+'5.Variables'!$C68,+IF(M$18='5.Variables'!$B$76,+'5.Variables'!$C82,+IF(M$18='5.Variables'!$B$90,+'5.Variables'!$C96,+IF(M$18='5.Variables'!$B$104,+'5.Variables'!$C110,0))))))</f>
        <v>31</v>
      </c>
      <c r="N68" s="697">
        <f>IF(N$18='5.Variables'!$B$16,+'5.Variables'!$C30,+IF(N$18='5.Variables'!$B$39,+'5.Variables'!$C54,+IF(N$18='5.Variables'!$B$62,+'5.Variables'!$C68,+IF(N$18='5.Variables'!$B$76,+'5.Variables'!$C82,+IF(N$18='5.Variables'!$B$90,+'5.Variables'!$C96,+IF(N$18='5.Variables'!$B$104,+'5.Variables'!$C110,0))))))</f>
        <v>135.33000000000001</v>
      </c>
      <c r="O68" s="697">
        <f>IF(O$18='5.Variables'!$B$16,+'5.Variables'!$C30,+IF(O$18='5.Variables'!$B$39,+'5.Variables'!$C54,+IF(O$18='5.Variables'!$B$62,+'5.Variables'!$C68,+IF(O$18='5.Variables'!$B$76,+'5.Variables'!$C82,+IF(O$18='5.Variables'!$B$90,+'5.Variables'!$C96,+IF(O$18='5.Variables'!$B$104,+'5.Variables'!$C110,0))))))</f>
        <v>0</v>
      </c>
      <c r="P68" s="697">
        <f>IF(P$18='5.Variables'!$B$16,+'5.Variables'!$C30,+IF(P$18='5.Variables'!$B$39,+'5.Variables'!$C54,+IF(P$18='5.Variables'!$B$62,+'5.Variables'!$C68,+IF(P$18='5.Variables'!$B$76,+'5.Variables'!$C82,+IF(P$18='5.Variables'!$B$90,+'5.Variables'!$C96,+IF(P$18='5.Variables'!$B$104,+'5.Variables'!$C110,0))))))</f>
        <v>320</v>
      </c>
      <c r="Q68" s="242"/>
      <c r="R68" s="260">
        <f t="shared" si="1"/>
        <v>22638224.156965848</v>
      </c>
      <c r="S68" s="262"/>
      <c r="T68" s="242"/>
      <c r="U68" s="247">
        <f>'4. Customer Growth'!B26</f>
        <v>2015</v>
      </c>
      <c r="V68" s="264">
        <f t="shared" si="7"/>
        <v>239401282.51999998</v>
      </c>
      <c r="W68" s="264">
        <f t="shared" si="5"/>
        <v>247399736.29403827</v>
      </c>
      <c r="X68" s="265">
        <f t="shared" si="6"/>
        <v>3.3410237780869372E-2</v>
      </c>
      <c r="Y68" s="268"/>
      <c r="Z68" s="242"/>
      <c r="AA68" s="242"/>
      <c r="AB68" s="242"/>
      <c r="AC68" s="242"/>
      <c r="AD68" s="242"/>
      <c r="AE68" s="242"/>
      <c r="AF68" s="242"/>
      <c r="AG68" s="242"/>
      <c r="AH68" s="242"/>
      <c r="AI68" s="242"/>
      <c r="AJ68" s="242"/>
      <c r="AK68" s="242"/>
      <c r="AL68" s="242"/>
      <c r="AM68" s="242"/>
    </row>
    <row r="69" spans="1:39" x14ac:dyDescent="0.2">
      <c r="A69" s="500">
        <f t="shared" si="2"/>
        <v>50</v>
      </c>
      <c r="B69" s="259" t="str">
        <f>CONCATENATE('3. Consumption by Rate Class'!B74,"-",'3. Consumption by Rate Class'!C74)</f>
        <v>2010-February</v>
      </c>
      <c r="C69" s="670">
        <v>22657765.329999998</v>
      </c>
      <c r="D69" s="826"/>
      <c r="E69" s="827">
        <v>1761873</v>
      </c>
      <c r="F69" s="826"/>
      <c r="G69" s="826"/>
      <c r="H69" s="676"/>
      <c r="I69" s="677"/>
      <c r="J69" s="550">
        <f t="shared" si="0"/>
        <v>20895892.329999998</v>
      </c>
      <c r="K69" s="697">
        <f>IF(K$18='5.Variables'!$B$16,+'5.Variables'!$D31,+IF(K$18='5.Variables'!$B$39,+'5.Variables'!$D54,+IF(K$18='5.Variables'!$B$62,+'5.Variables'!$D68,+IF(K$18='5.Variables'!$B$76,+'5.Variables'!$D82,+IF(K$18='5.Variables'!$B$90,+'5.Variables'!$D96,+IF(K$18='5.Variables'!$B$104,+'5.Variables'!$D110,0))))))</f>
        <v>597.20000000000005</v>
      </c>
      <c r="L69" s="697">
        <f>IF(L$18='5.Variables'!$B$16,+'5.Variables'!$D30,+IF(L$18='5.Variables'!$B$39,+'5.Variables'!$D54,+IF(L$18='5.Variables'!$B$62,+'5.Variables'!$D68,+IF(L$18='5.Variables'!$B$76,+'5.Variables'!$D82,+IF(L$18='5.Variables'!$B$90,+'5.Variables'!$D96,+IF(L$18='5.Variables'!$B$104,+'5.Variables'!$D110,0))))))</f>
        <v>0</v>
      </c>
      <c r="M69" s="697">
        <f>IF(M$18='5.Variables'!$B$16,+'5.Variables'!$D30,+IF(M$18='5.Variables'!$B$39,+'5.Variables'!$D54,+IF(M$18='5.Variables'!$B$62,+'5.Variables'!$D68,+IF(M$18='5.Variables'!$B$76,+'5.Variables'!$D82,+IF(M$18='5.Variables'!$B$90,+'5.Variables'!$D96,+IF(M$18='5.Variables'!$B$104,+'5.Variables'!$D110,0))))))</f>
        <v>28</v>
      </c>
      <c r="N69" s="697">
        <f>IF(N$18='5.Variables'!$B$16,+'5.Variables'!$D30,+IF(N$18='5.Variables'!$B$39,+'5.Variables'!$D54,+IF(N$18='5.Variables'!$B$62,+'5.Variables'!$D68,+IF(N$18='5.Variables'!$B$76,+'5.Variables'!$D82,+IF(N$18='5.Variables'!$B$90,+'5.Variables'!$D96,+IF(N$18='5.Variables'!$B$104,+'5.Variables'!$D110,0))))))</f>
        <v>135.63</v>
      </c>
      <c r="O69" s="697">
        <f>IF(O$18='5.Variables'!$B$16,+'5.Variables'!$D30,+IF(O$18='5.Variables'!$B$39,+'5.Variables'!$D54,+IF(O$18='5.Variables'!$B$62,+'5.Variables'!$D68,+IF(O$18='5.Variables'!$B$76,+'5.Variables'!$D82,+IF(O$18='5.Variables'!$B$90,+'5.Variables'!$D96,+IF(O$18='5.Variables'!$B$104,+'5.Variables'!$D110,0))))))</f>
        <v>0</v>
      </c>
      <c r="P69" s="697">
        <f>IF(P$18='5.Variables'!$B$16,+'5.Variables'!$D30,+IF(P$18='5.Variables'!$B$39,+'5.Variables'!$D54,+IF(P$18='5.Variables'!$B$62,+'5.Variables'!$D68,+IF(P$18='5.Variables'!$B$76,+'5.Variables'!$D82,+IF(P$18='5.Variables'!$B$90,+'5.Variables'!$D96,+IF(P$18='5.Variables'!$B$104,+'5.Variables'!$D110,0))))))</f>
        <v>304</v>
      </c>
      <c r="Q69" s="242"/>
      <c r="R69" s="260">
        <f t="shared" si="1"/>
        <v>20599150.98549816</v>
      </c>
      <c r="S69" s="262"/>
      <c r="T69" s="242"/>
      <c r="U69" s="269" t="s">
        <v>46</v>
      </c>
      <c r="V69" s="269"/>
      <c r="W69" s="269"/>
      <c r="X69" s="270">
        <f>AVERAGE(X59:X68)</f>
        <v>1.6624108305726918E-2</v>
      </c>
      <c r="Y69" s="242"/>
      <c r="Z69" s="242"/>
      <c r="AA69" s="242"/>
      <c r="AB69" s="242"/>
      <c r="AC69" s="242"/>
      <c r="AD69" s="242"/>
      <c r="AE69" s="242"/>
      <c r="AF69" s="242"/>
      <c r="AG69" s="242"/>
      <c r="AH69" s="242"/>
      <c r="AI69" s="242"/>
      <c r="AJ69" s="242"/>
      <c r="AK69" s="242"/>
      <c r="AL69" s="242"/>
      <c r="AM69" s="242"/>
    </row>
    <row r="70" spans="1:39" x14ac:dyDescent="0.2">
      <c r="A70" s="500">
        <f t="shared" si="2"/>
        <v>51</v>
      </c>
      <c r="B70" s="259" t="str">
        <f>CONCATENATE('3. Consumption by Rate Class'!B75,"-",'3. Consumption by Rate Class'!C75)</f>
        <v>2010-March</v>
      </c>
      <c r="C70" s="670">
        <v>22985700.899999999</v>
      </c>
      <c r="D70" s="826"/>
      <c r="E70" s="827">
        <v>2174724</v>
      </c>
      <c r="F70" s="826"/>
      <c r="G70" s="826"/>
      <c r="H70" s="676"/>
      <c r="I70" s="677"/>
      <c r="J70" s="550">
        <f t="shared" si="0"/>
        <v>20810976.899999999</v>
      </c>
      <c r="K70" s="697">
        <f>IF(K$18='5.Variables'!$B$16,+'5.Variables'!$E31,+IF(K$18='5.Variables'!$B$39,+'5.Variables'!$E54,+IF(K$18='5.Variables'!$B$62,+'5.Variables'!$E68,+IF(K$18='5.Variables'!$B$76,+'5.Variables'!$E82,+IF(K$18='5.Variables'!$B$90,+'5.Variables'!$E96,+IF(K$18='5.Variables'!$B$104,+'5.Variables'!$E110,0))))))</f>
        <v>450.7</v>
      </c>
      <c r="L70" s="697">
        <f>IF(L$18='5.Variables'!$B$16,+'5.Variables'!$E30,+IF(L$18='5.Variables'!$B$39,+'5.Variables'!$E54,+IF(L$18='5.Variables'!$B$62,+'5.Variables'!$E68,+IF(L$18='5.Variables'!$B$76,+'5.Variables'!$E82,+IF(L$18='5.Variables'!$B$90,+'5.Variables'!$E96,+IF(L$18='5.Variables'!$B$104,+'5.Variables'!$E110,0))))))</f>
        <v>0</v>
      </c>
      <c r="M70" s="697">
        <f>IF(M$18='5.Variables'!$B$16,+'5.Variables'!$E30,+IF(M$18='5.Variables'!$B$39,+'5.Variables'!$E54,+IF(M$18='5.Variables'!$B$62,+'5.Variables'!$E68,+IF(M$18='5.Variables'!$B$76,+'5.Variables'!$E82,+IF(M$18='5.Variables'!$B$90,+'5.Variables'!$E96,+IF(M$18='5.Variables'!$B$104,+'5.Variables'!$E110,0))))))</f>
        <v>31</v>
      </c>
      <c r="N70" s="697">
        <f>IF(N$18='5.Variables'!$B$16,+'5.Variables'!$E30,+IF(N$18='5.Variables'!$B$39,+'5.Variables'!$E54,+IF(N$18='5.Variables'!$B$62,+'5.Variables'!$E68,+IF(N$18='5.Variables'!$B$76,+'5.Variables'!$E82,+IF(N$18='5.Variables'!$B$90,+'5.Variables'!$E96,+IF(N$18='5.Variables'!$B$104,+'5.Variables'!$E110,0))))))</f>
        <v>135.93</v>
      </c>
      <c r="O70" s="697">
        <f>IF(O$18='5.Variables'!$B$16,+'5.Variables'!$E30,+IF(O$18='5.Variables'!$B$39,+'5.Variables'!$E54,+IF(O$18='5.Variables'!$B$62,+'5.Variables'!$E68,+IF(O$18='5.Variables'!$B$76,+'5.Variables'!$E82,+IF(O$18='5.Variables'!$B$90,+'5.Variables'!$E96,+IF(O$18='5.Variables'!$B$104,+'5.Variables'!$E110,0))))))</f>
        <v>0</v>
      </c>
      <c r="P70" s="697">
        <f>IF(P$18='5.Variables'!$B$16,+'5.Variables'!$E30,+IF(P$18='5.Variables'!$B$39,+'5.Variables'!$E54,+IF(P$18='5.Variables'!$B$62,+'5.Variables'!$E68,+IF(P$18='5.Variables'!$B$76,+'5.Variables'!$E82,+IF(P$18='5.Variables'!$B$90,+'5.Variables'!$E96,+IF(P$18='5.Variables'!$B$104,+'5.Variables'!$E110,0))))))</f>
        <v>368</v>
      </c>
      <c r="Q70" s="242"/>
      <c r="R70" s="260">
        <f t="shared" si="1"/>
        <v>21279343.996990524</v>
      </c>
      <c r="S70" s="262"/>
      <c r="T70" s="242"/>
      <c r="U70" s="269" t="s">
        <v>62</v>
      </c>
      <c r="V70" s="242"/>
      <c r="W70" s="242"/>
      <c r="X70" s="270">
        <f>MEDIAN(X59:X68)</f>
        <v>1.5322701060986817E-2</v>
      </c>
      <c r="Y70" s="242"/>
      <c r="Z70" s="242"/>
      <c r="AA70" s="242"/>
      <c r="AB70" s="242"/>
      <c r="AC70" s="242"/>
      <c r="AD70" s="242"/>
      <c r="AE70" s="242"/>
      <c r="AF70" s="242"/>
      <c r="AG70" s="242"/>
      <c r="AH70" s="242"/>
      <c r="AI70" s="242"/>
      <c r="AJ70" s="242"/>
      <c r="AK70" s="242"/>
      <c r="AL70" s="242"/>
      <c r="AM70" s="242"/>
    </row>
    <row r="71" spans="1:39" x14ac:dyDescent="0.2">
      <c r="A71" s="500">
        <f t="shared" si="2"/>
        <v>52</v>
      </c>
      <c r="B71" s="259" t="str">
        <f>CONCATENATE('3. Consumption by Rate Class'!B76,"-",'3. Consumption by Rate Class'!C76)</f>
        <v>2010-April</v>
      </c>
      <c r="C71" s="670">
        <v>20452235.890000001</v>
      </c>
      <c r="D71" s="826"/>
      <c r="E71" s="827">
        <v>2287274</v>
      </c>
      <c r="F71" s="826"/>
      <c r="G71" s="826"/>
      <c r="H71" s="676"/>
      <c r="I71" s="677"/>
      <c r="J71" s="550">
        <f t="shared" si="0"/>
        <v>18164961.890000001</v>
      </c>
      <c r="K71" s="697">
        <f>IF(K$18='5.Variables'!$B$16,+'5.Variables'!$F31,+IF(K$18='5.Variables'!$B$39,+'5.Variables'!$F54,+IF(K$18='5.Variables'!$B$62,+'5.Variables'!$F68,+IF(K$18='5.Variables'!$B$76,+'5.Variables'!$F82,+IF(K$18='5.Variables'!$B$90,+'5.Variables'!$F96,+IF(K$18='5.Variables'!$B$104,+'5.Variables'!$F110,0))))))</f>
        <v>262.7</v>
      </c>
      <c r="L71" s="697">
        <f>IF(L$18='5.Variables'!$B$16,+'5.Variables'!$F30,+IF(L$18='5.Variables'!$B$39,+'5.Variables'!$F54,+IF(L$18='5.Variables'!$B$62,+'5.Variables'!$F68,+IF(L$18='5.Variables'!$B$76,+'5.Variables'!$F82,+IF(L$18='5.Variables'!$B$90,+'5.Variables'!$F96,+IF(L$18='5.Variables'!$B$104,+'5.Variables'!$F110,0))))))</f>
        <v>0</v>
      </c>
      <c r="M71" s="697">
        <f>IF(M$18='5.Variables'!$B$16,+'5.Variables'!$F30,+IF(M$18='5.Variables'!$B$39,+'5.Variables'!$F54,+IF(M$18='5.Variables'!$B$62,+'5.Variables'!$F68,+IF(M$18='5.Variables'!$B$76,+'5.Variables'!$F82,+IF(M$18='5.Variables'!$B$90,+'5.Variables'!$F96,+IF(M$18='5.Variables'!$B$104,+'5.Variables'!$F110,0))))))</f>
        <v>30</v>
      </c>
      <c r="N71" s="697">
        <f>IF(N$18='5.Variables'!$B$16,+'5.Variables'!$F30,+IF(N$18='5.Variables'!$B$39,+'5.Variables'!$F54,+IF(N$18='5.Variables'!$B$62,+'5.Variables'!$F68,+IF(N$18='5.Variables'!$B$76,+'5.Variables'!$F82,+IF(N$18='5.Variables'!$B$90,+'5.Variables'!$F96,+IF(N$18='5.Variables'!$B$104,+'5.Variables'!$F110,0))))))</f>
        <v>136.22999999999999</v>
      </c>
      <c r="O71" s="697">
        <f>IF(O$18='5.Variables'!$B$16,+'5.Variables'!$F30,+IF(O$18='5.Variables'!$B$39,+'5.Variables'!$F54,+IF(O$18='5.Variables'!$B$62,+'5.Variables'!$F68,+IF(O$18='5.Variables'!$B$76,+'5.Variables'!$F82,+IF(O$18='5.Variables'!$B$90,+'5.Variables'!$F96,+IF(O$18='5.Variables'!$B$104,+'5.Variables'!$F110,0))))))</f>
        <v>0</v>
      </c>
      <c r="P71" s="697">
        <f>IF(P$18='5.Variables'!$B$16,+'5.Variables'!$F30,+IF(P$18='5.Variables'!$B$39,+'5.Variables'!$F54,+IF(P$18='5.Variables'!$B$62,+'5.Variables'!$F68,+IF(P$18='5.Variables'!$B$76,+'5.Variables'!$F82,+IF(P$18='5.Variables'!$B$90,+'5.Variables'!$F96,+IF(P$18='5.Variables'!$B$104,+'5.Variables'!$F110,0))))))</f>
        <v>320</v>
      </c>
      <c r="Q71" s="242"/>
      <c r="R71" s="260">
        <f t="shared" si="1"/>
        <v>19318381.466894336</v>
      </c>
      <c r="S71" s="262"/>
      <c r="T71" s="242"/>
      <c r="U71" s="242"/>
      <c r="V71" s="242"/>
      <c r="W71" s="242"/>
      <c r="X71" s="242"/>
      <c r="Y71" s="242"/>
      <c r="Z71" s="242"/>
      <c r="AA71" s="242"/>
      <c r="AB71" s="242"/>
      <c r="AC71" s="242"/>
      <c r="AD71" s="242"/>
      <c r="AE71" s="242"/>
      <c r="AF71" s="242"/>
      <c r="AG71" s="242"/>
      <c r="AH71" s="242"/>
      <c r="AI71" s="242"/>
      <c r="AJ71" s="242"/>
      <c r="AK71" s="242"/>
      <c r="AL71" s="242"/>
      <c r="AM71" s="242"/>
    </row>
    <row r="72" spans="1:39" x14ac:dyDescent="0.2">
      <c r="A72" s="500">
        <f t="shared" si="2"/>
        <v>53</v>
      </c>
      <c r="B72" s="259" t="str">
        <f>CONCATENATE('3. Consumption by Rate Class'!B77,"-",'3. Consumption by Rate Class'!C77)</f>
        <v>2010-May</v>
      </c>
      <c r="C72" s="670">
        <v>21307340.739999998</v>
      </c>
      <c r="D72" s="826"/>
      <c r="E72" s="827">
        <v>2305460</v>
      </c>
      <c r="F72" s="826"/>
      <c r="G72" s="826"/>
      <c r="H72" s="676"/>
      <c r="I72" s="677"/>
      <c r="J72" s="550">
        <f t="shared" si="0"/>
        <v>19001880.739999998</v>
      </c>
      <c r="K72" s="697">
        <f>IF(K$18='5.Variables'!$B$16,+'5.Variables'!$G31,+IF(K$18='5.Variables'!$B$39,+'5.Variables'!$G54,+IF(K$18='5.Variables'!$B$62,+'5.Variables'!$G68,+IF(K$18='5.Variables'!$B$76,+'5.Variables'!$G82,+IF(K$18='5.Variables'!$B$90,+'5.Variables'!$G96,+IF(K$18='5.Variables'!$B$104,+'5.Variables'!$G110,0))))))</f>
        <v>160.4</v>
      </c>
      <c r="L72" s="697">
        <f>IF(L$18='5.Variables'!$B$16,+'5.Variables'!$G30,+IF(L$18='5.Variables'!$B$39,+'5.Variables'!$G54,+IF(L$18='5.Variables'!$B$62,+'5.Variables'!$G68,+IF(L$18='5.Variables'!$B$76,+'5.Variables'!$G82,+IF(L$18='5.Variables'!$B$90,+'5.Variables'!$G96,+IF(L$18='5.Variables'!$B$104,+'5.Variables'!$G110,0))))))</f>
        <v>9.1</v>
      </c>
      <c r="M72" s="697">
        <f>IF(M$18='5.Variables'!$B$16,+'5.Variables'!$G30,+IF(M$18='5.Variables'!$B$39,+'5.Variables'!$G54,+IF(M$18='5.Variables'!$B$62,+'5.Variables'!$G68,+IF(M$18='5.Variables'!$B$76,+'5.Variables'!$G82,+IF(M$18='5.Variables'!$B$90,+'5.Variables'!$G96,+IF(M$18='5.Variables'!$B$104,+'5.Variables'!$G110,0))))))</f>
        <v>31</v>
      </c>
      <c r="N72" s="697">
        <f>IF(N$18='5.Variables'!$B$16,+'5.Variables'!$G30,+IF(N$18='5.Variables'!$B$39,+'5.Variables'!$G54,+IF(N$18='5.Variables'!$B$62,+'5.Variables'!$G68,+IF(N$18='5.Variables'!$B$76,+'5.Variables'!$G82,+IF(N$18='5.Variables'!$B$90,+'5.Variables'!$G96,+IF(N$18='5.Variables'!$B$104,+'5.Variables'!$G110,0))))))</f>
        <v>136.54</v>
      </c>
      <c r="O72" s="697">
        <f>IF(O$18='5.Variables'!$B$16,+'5.Variables'!$G30,+IF(O$18='5.Variables'!$B$39,+'5.Variables'!$G54,+IF(O$18='5.Variables'!$B$62,+'5.Variables'!$G68,+IF(O$18='5.Variables'!$B$76,+'5.Variables'!$G82,+IF(O$18='5.Variables'!$B$90,+'5.Variables'!$G96,+IF(O$18='5.Variables'!$B$104,+'5.Variables'!$G110,0))))))</f>
        <v>0</v>
      </c>
      <c r="P72" s="697">
        <f>IF(P$18='5.Variables'!$B$16,+'5.Variables'!$G30,+IF(P$18='5.Variables'!$B$39,+'5.Variables'!$G54,+IF(P$18='5.Variables'!$B$62,+'5.Variables'!$G68,+IF(P$18='5.Variables'!$B$76,+'5.Variables'!$G82,+IF(P$18='5.Variables'!$B$90,+'5.Variables'!$G96,+IF(P$18='5.Variables'!$B$104,+'5.Variables'!$G110,0))))))</f>
        <v>320</v>
      </c>
      <c r="Q72" s="242"/>
      <c r="R72" s="260">
        <f t="shared" si="1"/>
        <v>19402833.324776012</v>
      </c>
      <c r="S72" s="262"/>
      <c r="T72" s="242"/>
      <c r="U72" s="242" t="s">
        <v>123</v>
      </c>
      <c r="V72" s="242"/>
      <c r="W72" s="242"/>
      <c r="X72" s="242"/>
      <c r="Y72" s="242"/>
      <c r="Z72" s="242"/>
      <c r="AA72" s="242"/>
      <c r="AB72" s="242"/>
      <c r="AC72" s="242"/>
      <c r="AD72" s="242"/>
      <c r="AE72" s="242"/>
      <c r="AF72" s="242"/>
      <c r="AG72" s="242"/>
      <c r="AH72" s="242"/>
      <c r="AI72" s="242"/>
      <c r="AJ72" s="242"/>
      <c r="AK72" s="242"/>
      <c r="AL72" s="242"/>
      <c r="AM72" s="242"/>
    </row>
    <row r="73" spans="1:39" x14ac:dyDescent="0.2">
      <c r="A73" s="500">
        <f t="shared" si="2"/>
        <v>54</v>
      </c>
      <c r="B73" s="259" t="str">
        <f>CONCATENATE('3. Consumption by Rate Class'!B78,"-",'3. Consumption by Rate Class'!C78)</f>
        <v>2010-June</v>
      </c>
      <c r="C73" s="670">
        <v>21585694.350000001</v>
      </c>
      <c r="D73" s="826"/>
      <c r="E73" s="827">
        <v>2043340</v>
      </c>
      <c r="F73" s="826"/>
      <c r="G73" s="826"/>
      <c r="H73" s="676"/>
      <c r="I73" s="677"/>
      <c r="J73" s="550">
        <f t="shared" si="0"/>
        <v>19542354.350000001</v>
      </c>
      <c r="K73" s="697">
        <f>IF(K$18='5.Variables'!$B$16,+'5.Variables'!$H31,+IF(K$18='5.Variables'!$B$39,+'5.Variables'!$H54,+IF(K$18='5.Variables'!$B$62,+'5.Variables'!$H68,+IF(K$18='5.Variables'!$B$76,+'5.Variables'!$H82,+IF(K$18='5.Variables'!$B$90,+'5.Variables'!$H96,+IF(K$18='5.Variables'!$B$104,+'5.Variables'!$H110,0))))))</f>
        <v>37.9</v>
      </c>
      <c r="L73" s="697">
        <f>IF(L$18='5.Variables'!$B$16,+'5.Variables'!$H30,+IF(L$18='5.Variables'!$B$39,+'5.Variables'!$H54,+IF(L$18='5.Variables'!$B$62,+'5.Variables'!$H68,+IF(L$18='5.Variables'!$B$76,+'5.Variables'!$H82,+IF(L$18='5.Variables'!$B$90,+'5.Variables'!$H96,+IF(L$18='5.Variables'!$B$104,+'5.Variables'!$H110,0))))))</f>
        <v>15.7</v>
      </c>
      <c r="M73" s="697">
        <f>IF(M$18='5.Variables'!$B$16,+'5.Variables'!$H30,+IF(M$18='5.Variables'!$B$39,+'5.Variables'!$H54,+IF(M$18='5.Variables'!$B$62,+'5.Variables'!$H68,+IF(M$18='5.Variables'!$B$76,+'5.Variables'!$H82,+IF(M$18='5.Variables'!$B$90,+'5.Variables'!$H96,+IF(M$18='5.Variables'!$B$104,+'5.Variables'!$H110,0))))))</f>
        <v>30</v>
      </c>
      <c r="N73" s="697">
        <f>IF(N$18='5.Variables'!$B$16,+'5.Variables'!$H30,+IF(N$18='5.Variables'!$B$39,+'5.Variables'!$H54,+IF(N$18='5.Variables'!$B$62,+'5.Variables'!$H68,+IF(N$18='5.Variables'!$B$76,+'5.Variables'!$H82,+IF(N$18='5.Variables'!$B$90,+'5.Variables'!$H96,+IF(N$18='5.Variables'!$B$104,+'5.Variables'!$H110,0))))))</f>
        <v>136.84</v>
      </c>
      <c r="O73" s="697">
        <f>IF(O$18='5.Variables'!$B$16,+'5.Variables'!$H30,+IF(O$18='5.Variables'!$B$39,+'5.Variables'!$H54,+IF(O$18='5.Variables'!$B$62,+'5.Variables'!$H68,+IF(O$18='5.Variables'!$B$76,+'5.Variables'!$H82,+IF(O$18='5.Variables'!$B$90,+'5.Variables'!$H96,+IF(O$18='5.Variables'!$B$104,+'5.Variables'!$H110,0))))))</f>
        <v>0</v>
      </c>
      <c r="P73" s="697">
        <f>IF(P$18='5.Variables'!$B$16,+'5.Variables'!$H30,+IF(P$18='5.Variables'!$B$39,+'5.Variables'!$H54,+IF(P$18='5.Variables'!$B$62,+'5.Variables'!$H68,+IF(P$18='5.Variables'!$B$76,+'5.Variables'!$H82,+IF(P$18='5.Variables'!$B$90,+'5.Variables'!$H96,+IF(P$18='5.Variables'!$B$104,+'5.Variables'!$H110,0))))))</f>
        <v>352</v>
      </c>
      <c r="Q73" s="242"/>
      <c r="R73" s="260">
        <f t="shared" si="1"/>
        <v>18739915.509174585</v>
      </c>
      <c r="S73" s="262"/>
      <c r="T73" s="242"/>
      <c r="U73" s="242" t="s">
        <v>166</v>
      </c>
      <c r="V73" s="242"/>
      <c r="W73" s="242"/>
      <c r="X73" s="242"/>
      <c r="Y73" s="242"/>
      <c r="Z73" s="242"/>
      <c r="AA73" s="242"/>
      <c r="AB73" s="242"/>
      <c r="AC73" s="242"/>
      <c r="AD73" s="242"/>
      <c r="AE73" s="242"/>
      <c r="AF73" s="242"/>
      <c r="AG73" s="242"/>
      <c r="AH73" s="242"/>
      <c r="AI73" s="242"/>
      <c r="AJ73" s="242"/>
      <c r="AK73" s="242"/>
      <c r="AL73" s="242"/>
      <c r="AM73" s="242"/>
    </row>
    <row r="74" spans="1:39" x14ac:dyDescent="0.2">
      <c r="A74" s="500">
        <f t="shared" si="2"/>
        <v>55</v>
      </c>
      <c r="B74" s="259" t="str">
        <f>CONCATENATE('3. Consumption by Rate Class'!B79,"-",'3. Consumption by Rate Class'!C79)</f>
        <v>2010-July</v>
      </c>
      <c r="C74" s="670">
        <v>22982462.710000001</v>
      </c>
      <c r="D74" s="826"/>
      <c r="E74" s="827">
        <v>1512885</v>
      </c>
      <c r="F74" s="826"/>
      <c r="G74" s="826"/>
      <c r="H74" s="676"/>
      <c r="I74" s="677"/>
      <c r="J74" s="550">
        <f t="shared" si="0"/>
        <v>21469577.710000001</v>
      </c>
      <c r="K74" s="697">
        <f>IF(K$18='5.Variables'!$B$16,+'5.Variables'!$I31,+IF(K$18='5.Variables'!$B$39,+'5.Variables'!$I54,+IF(K$18='5.Variables'!$B$62,+'5.Variables'!$I68,+IF(K$18='5.Variables'!$B$76,+'5.Variables'!$I82,+IF(K$18='5.Variables'!$B$90,+'5.Variables'!$I96,+IF(K$18='5.Variables'!$B$104,+'5.Variables'!$I110,0))))))</f>
        <v>5.0999999999999996</v>
      </c>
      <c r="L74" s="697">
        <f>IF(L$18='5.Variables'!$B$16,+'5.Variables'!$I30,+IF(L$18='5.Variables'!$B$39,+'5.Variables'!$I54,+IF(L$18='5.Variables'!$B$62,+'5.Variables'!$I68,+IF(L$18='5.Variables'!$B$76,+'5.Variables'!$I82,+IF(L$18='5.Variables'!$B$90,+'5.Variables'!$I96,+IF(L$18='5.Variables'!$B$104,+'5.Variables'!$I110,0))))))</f>
        <v>90.2</v>
      </c>
      <c r="M74" s="697">
        <f>IF(M$18='5.Variables'!$B$16,+'5.Variables'!$I30,+IF(M$18='5.Variables'!$B$39,+'5.Variables'!$I54,+IF(M$18='5.Variables'!$B$62,+'5.Variables'!$I68,+IF(M$18='5.Variables'!$B$76,+'5.Variables'!$I82,+IF(M$18='5.Variables'!$B$90,+'5.Variables'!$I96,+IF(M$18='5.Variables'!$B$104,+'5.Variables'!$I110,0))))))</f>
        <v>31</v>
      </c>
      <c r="N74" s="697">
        <f>IF(N$18='5.Variables'!$B$16,+'5.Variables'!$I30,+IF(N$18='5.Variables'!$B$39,+'5.Variables'!$I54,+IF(N$18='5.Variables'!$B$62,+'5.Variables'!$I68,+IF(N$18='5.Variables'!$B$76,+'5.Variables'!$I82,+IF(N$18='5.Variables'!$B$90,+'5.Variables'!$I96,+IF(N$18='5.Variables'!$B$104,+'5.Variables'!$I110,0))))))</f>
        <v>137.13999999999999</v>
      </c>
      <c r="O74" s="697">
        <f>IF(O$18='5.Variables'!$B$16,+'5.Variables'!$I30,+IF(O$18='5.Variables'!$B$39,+'5.Variables'!$I54,+IF(O$18='5.Variables'!$B$62,+'5.Variables'!$I68,+IF(O$18='5.Variables'!$B$76,+'5.Variables'!$I82,+IF(O$18='5.Variables'!$B$90,+'5.Variables'!$I96,+IF(O$18='5.Variables'!$B$104,+'5.Variables'!$I110,0))))))</f>
        <v>0</v>
      </c>
      <c r="P74" s="697">
        <f>IF(P$18='5.Variables'!$B$16,+'5.Variables'!$I30,+IF(P$18='5.Variables'!$B$39,+'5.Variables'!$I54,+IF(P$18='5.Variables'!$B$62,+'5.Variables'!$I68,+IF(P$18='5.Variables'!$B$76,+'5.Variables'!$I82,+IF(P$18='5.Variables'!$B$90,+'5.Variables'!$I96,+IF(P$18='5.Variables'!$B$104,+'5.Variables'!$I110,0))))))</f>
        <v>336</v>
      </c>
      <c r="Q74" s="242"/>
      <c r="R74" s="260">
        <f t="shared" si="1"/>
        <v>21758384.514038805</v>
      </c>
      <c r="S74" s="262"/>
      <c r="T74" s="242"/>
      <c r="U74" s="242"/>
      <c r="V74" s="242"/>
      <c r="W74" s="242"/>
      <c r="X74" s="242"/>
      <c r="Y74" s="242"/>
      <c r="Z74" s="242"/>
      <c r="AA74" s="242"/>
      <c r="AB74" s="242"/>
      <c r="AC74" s="242"/>
      <c r="AD74" s="242"/>
      <c r="AE74" s="242"/>
      <c r="AF74" s="242"/>
      <c r="AG74" s="242"/>
      <c r="AH74" s="242"/>
      <c r="AI74" s="242"/>
      <c r="AJ74" s="242"/>
      <c r="AK74" s="242"/>
      <c r="AL74" s="242"/>
      <c r="AM74" s="242"/>
    </row>
    <row r="75" spans="1:39" x14ac:dyDescent="0.2">
      <c r="A75" s="500">
        <f t="shared" si="2"/>
        <v>56</v>
      </c>
      <c r="B75" s="259" t="str">
        <f>CONCATENATE('3. Consumption by Rate Class'!B80,"-",'3. Consumption by Rate Class'!C80)</f>
        <v>2010-August</v>
      </c>
      <c r="C75" s="670">
        <v>22592531.850000001</v>
      </c>
      <c r="D75" s="826"/>
      <c r="E75" s="827">
        <v>1317398</v>
      </c>
      <c r="F75" s="826"/>
      <c r="G75" s="826"/>
      <c r="H75" s="676"/>
      <c r="I75" s="677"/>
      <c r="J75" s="550">
        <f t="shared" si="0"/>
        <v>21275133.850000001</v>
      </c>
      <c r="K75" s="697">
        <f>IF(K$18='5.Variables'!$B$16,+'5.Variables'!$J31,+IF(K$18='5.Variables'!$B$39,+'5.Variables'!$J54,+IF(K$18='5.Variables'!$B$62,+'5.Variables'!$J68,+IF(K$18='5.Variables'!$B$76,+'5.Variables'!$J82,+IF(K$18='5.Variables'!$B$90,+'5.Variables'!$J96,+IF(K$18='5.Variables'!$B$104,+'5.Variables'!$J110,0))))))</f>
        <v>6</v>
      </c>
      <c r="L75" s="697">
        <f>IF(L$18='5.Variables'!$B$16,+'5.Variables'!$J30,+IF(L$18='5.Variables'!$B$39,+'5.Variables'!$J54,+IF(L$18='5.Variables'!$B$62,+'5.Variables'!$J68,+IF(L$18='5.Variables'!$B$76,+'5.Variables'!$J82,+IF(L$18='5.Variables'!$B$90,+'5.Variables'!$J96,+IF(L$18='5.Variables'!$B$104,+'5.Variables'!$J110,0))))))</f>
        <v>80.7</v>
      </c>
      <c r="M75" s="697">
        <f>IF(M$18='5.Variables'!$B$16,+'5.Variables'!$J30,+IF(M$18='5.Variables'!$B$39,+'5.Variables'!$J54,+IF(M$18='5.Variables'!$B$62,+'5.Variables'!$J68,+IF(M$18='5.Variables'!$B$76,+'5.Variables'!$J82,+IF(M$18='5.Variables'!$B$90,+'5.Variables'!$J96,+IF(M$18='5.Variables'!$B$104,+'5.Variables'!$J110,0))))))</f>
        <v>31</v>
      </c>
      <c r="N75" s="697">
        <f>IF(N$18='5.Variables'!$B$16,+'5.Variables'!$J30,+IF(N$18='5.Variables'!$B$39,+'5.Variables'!$J54,+IF(N$18='5.Variables'!$B$62,+'5.Variables'!$J68,+IF(N$18='5.Variables'!$B$76,+'5.Variables'!$J82,+IF(N$18='5.Variables'!$B$90,+'5.Variables'!$J96,+IF(N$18='5.Variables'!$B$104,+'5.Variables'!$J110,0))))))</f>
        <v>137.44999999999999</v>
      </c>
      <c r="O75" s="697">
        <f>IF(O$18='5.Variables'!$B$16,+'5.Variables'!$J30,+IF(O$18='5.Variables'!$B$39,+'5.Variables'!$J54,+IF(O$18='5.Variables'!$B$62,+'5.Variables'!$J68,+IF(O$18='5.Variables'!$B$76,+'5.Variables'!$J82,+IF(O$18='5.Variables'!$B$90,+'5.Variables'!$J96,+IF(O$18='5.Variables'!$B$104,+'5.Variables'!$J110,0))))))</f>
        <v>0</v>
      </c>
      <c r="P75" s="697">
        <f>IF(P$18='5.Variables'!$B$16,+'5.Variables'!$J30,+IF(P$18='5.Variables'!$B$39,+'5.Variables'!$J54,+IF(P$18='5.Variables'!$B$62,+'5.Variables'!$J68,+IF(P$18='5.Variables'!$B$76,+'5.Variables'!$J82,+IF(P$18='5.Variables'!$B$90,+'5.Variables'!$J96,+IF(P$18='5.Variables'!$B$104,+'5.Variables'!$J110,0))))))</f>
        <v>336</v>
      </c>
      <c r="Q75" s="242"/>
      <c r="R75" s="260">
        <f t="shared" si="1"/>
        <v>21395187.80240218</v>
      </c>
      <c r="S75" s="262"/>
      <c r="T75" s="242"/>
      <c r="U75" s="530" t="s">
        <v>33</v>
      </c>
      <c r="V75" s="530" t="s">
        <v>241</v>
      </c>
      <c r="W75" s="531" t="s">
        <v>45</v>
      </c>
      <c r="X75" s="242"/>
      <c r="Y75" s="242"/>
      <c r="Z75" s="242"/>
      <c r="AA75" s="242"/>
      <c r="AB75" s="242"/>
      <c r="AC75" s="242"/>
      <c r="AD75" s="242"/>
      <c r="AE75" s="242"/>
      <c r="AF75" s="242"/>
      <c r="AG75" s="242"/>
      <c r="AH75" s="242"/>
      <c r="AI75" s="242"/>
      <c r="AJ75" s="242"/>
      <c r="AK75" s="242"/>
      <c r="AL75" s="242"/>
      <c r="AM75" s="242"/>
    </row>
    <row r="76" spans="1:39" x14ac:dyDescent="0.2">
      <c r="A76" s="500">
        <f t="shared" si="2"/>
        <v>57</v>
      </c>
      <c r="B76" s="259" t="str">
        <f>CONCATENATE('3. Consumption by Rate Class'!B81,"-",'3. Consumption by Rate Class'!C81)</f>
        <v>2010-September</v>
      </c>
      <c r="C76" s="670">
        <v>19831509.289999999</v>
      </c>
      <c r="D76" s="826"/>
      <c r="E76" s="827">
        <v>1603035</v>
      </c>
      <c r="F76" s="826"/>
      <c r="G76" s="826"/>
      <c r="H76" s="677"/>
      <c r="I76" s="677"/>
      <c r="J76" s="550">
        <f t="shared" si="0"/>
        <v>18228474.289999999</v>
      </c>
      <c r="K76" s="697">
        <f>IF(K$18='5.Variables'!$B$16,+'5.Variables'!$K31,+IF(K$18='5.Variables'!$B$39,+'5.Variables'!$K54,+IF(K$18='5.Variables'!$B$62,+'5.Variables'!$K68,+IF(K$18='5.Variables'!$B$76,+'5.Variables'!$K82,+IF(K$18='5.Variables'!$B$90,+'5.Variables'!$K96,+IF(K$18='5.Variables'!$B$104,+'5.Variables'!$K110,0))))))</f>
        <v>99.9</v>
      </c>
      <c r="L76" s="697">
        <f>IF(L$18='5.Variables'!$B$16,+'5.Variables'!$K30,+IF(L$18='5.Variables'!$B$39,+'5.Variables'!$K54,+IF(L$18='5.Variables'!$B$62,+'5.Variables'!$K68,+IF(L$18='5.Variables'!$B$76,+'5.Variables'!$K82,+IF(L$18='5.Variables'!$B$90,+'5.Variables'!$K96,+IF(L$18='5.Variables'!$B$104,+'5.Variables'!$K110,0))))))</f>
        <v>14.4</v>
      </c>
      <c r="M76" s="697">
        <f>IF(M$18='5.Variables'!$B$16,+'5.Variables'!$K30,+IF(M$18='5.Variables'!$B$39,+'5.Variables'!$K54,+IF(M$18='5.Variables'!$B$62,+'5.Variables'!$K68,+IF(M$18='5.Variables'!$B$76,+'5.Variables'!$K82,+IF(M$18='5.Variables'!$B$90,+'5.Variables'!$K96,+IF(M$18='5.Variables'!$B$104,+'5.Variables'!$K110,0))))))</f>
        <v>30</v>
      </c>
      <c r="N76" s="697">
        <f>IF(N$18='5.Variables'!$B$16,+'5.Variables'!$K30,+IF(N$18='5.Variables'!$B$39,+'5.Variables'!$K54,+IF(N$18='5.Variables'!$B$62,+'5.Variables'!$K68,+IF(N$18='5.Variables'!$B$76,+'5.Variables'!$K82,+IF(N$18='5.Variables'!$B$90,+'5.Variables'!$K96,+IF(N$18='5.Variables'!$B$104,+'5.Variables'!$K110,0))))))</f>
        <v>137.75</v>
      </c>
      <c r="O76" s="697">
        <f>IF(O$18='5.Variables'!$B$16,+'5.Variables'!$K30,+IF(O$18='5.Variables'!$B$39,+'5.Variables'!$K54,+IF(O$18='5.Variables'!$B$62,+'5.Variables'!$K68,+IF(O$18='5.Variables'!$B$76,+'5.Variables'!$K82,+IF(O$18='5.Variables'!$B$90,+'5.Variables'!$K96,+IF(O$18='5.Variables'!$B$104,+'5.Variables'!$K110,0))))))</f>
        <v>0</v>
      </c>
      <c r="P76" s="697">
        <f>IF(P$18='5.Variables'!$B$16,+'5.Variables'!$K30,+IF(P$18='5.Variables'!$B$39,+'5.Variables'!$K54,+IF(P$18='5.Variables'!$B$62,+'5.Variables'!$K68,+IF(P$18='5.Variables'!$B$76,+'5.Variables'!$K82,+IF(P$18='5.Variables'!$B$90,+'5.Variables'!$K96,+IF(P$18='5.Variables'!$B$104,+'5.Variables'!$K110,0))))))</f>
        <v>336</v>
      </c>
      <c r="Q76" s="242"/>
      <c r="R76" s="260">
        <f t="shared" si="1"/>
        <v>18997070.0677354</v>
      </c>
      <c r="S76" s="262"/>
      <c r="T76" s="242"/>
      <c r="U76" s="529">
        <v>2015</v>
      </c>
      <c r="V76" s="527">
        <f>S151</f>
        <v>249817975.81562376</v>
      </c>
      <c r="W76" s="528">
        <f>(V76-V68)/V68</f>
        <v>4.3511434800912359E-2</v>
      </c>
      <c r="X76" s="242"/>
      <c r="Y76" s="242"/>
      <c r="Z76" s="242"/>
      <c r="AA76" s="242"/>
      <c r="AB76" s="242"/>
      <c r="AC76" s="242"/>
      <c r="AD76" s="242"/>
      <c r="AE76" s="242"/>
      <c r="AF76" s="242"/>
      <c r="AG76" s="242"/>
      <c r="AH76" s="242"/>
      <c r="AI76" s="242"/>
      <c r="AJ76" s="242"/>
      <c r="AK76" s="242"/>
      <c r="AL76" s="242"/>
      <c r="AM76" s="242"/>
    </row>
    <row r="77" spans="1:39" x14ac:dyDescent="0.2">
      <c r="A77" s="500">
        <f t="shared" si="2"/>
        <v>58</v>
      </c>
      <c r="B77" s="259" t="str">
        <f>CONCATENATE('3. Consumption by Rate Class'!B82,"-",'3. Consumption by Rate Class'!C82)</f>
        <v>2010-October</v>
      </c>
      <c r="C77" s="670">
        <v>19683208.989999998</v>
      </c>
      <c r="D77" s="826"/>
      <c r="E77" s="827">
        <v>1004145</v>
      </c>
      <c r="F77" s="826"/>
      <c r="G77" s="826"/>
      <c r="H77" s="677"/>
      <c r="I77" s="677"/>
      <c r="J77" s="550">
        <f t="shared" si="0"/>
        <v>18679063.989999998</v>
      </c>
      <c r="K77" s="697">
        <f>IF(K$18='5.Variables'!$B$16,+'5.Variables'!$L31,+IF(K$18='5.Variables'!$B$39,+'5.Variables'!$L54,+IF(K$18='5.Variables'!$B$62,+'5.Variables'!$L68,+IF(K$18='5.Variables'!$B$76,+'5.Variables'!$L82,+IF(K$18='5.Variables'!$B$90,+'5.Variables'!$L96,+IF(K$18='5.Variables'!$B$104,+'5.Variables'!$L110,0))))))</f>
        <v>265.5</v>
      </c>
      <c r="L77" s="697">
        <f>IF(L$18='5.Variables'!$B$16,+'5.Variables'!$L30,+IF(L$18='5.Variables'!$B$39,+'5.Variables'!$L54,+IF(L$18='5.Variables'!$B$62,+'5.Variables'!$L68,+IF(L$18='5.Variables'!$B$76,+'5.Variables'!$L82,+IF(L$18='5.Variables'!$B$90,+'5.Variables'!$L96,+IF(L$18='5.Variables'!$B$104,+'5.Variables'!$L110,0))))))</f>
        <v>0</v>
      </c>
      <c r="M77" s="697">
        <f>IF(M$18='5.Variables'!$B$16,+'5.Variables'!$L30,+IF(M$18='5.Variables'!$B$39,+'5.Variables'!$L54,+IF(M$18='5.Variables'!$B$62,+'5.Variables'!$L68,+IF(M$18='5.Variables'!$B$76,+'5.Variables'!$L82,+IF(M$18='5.Variables'!$B$90,+'5.Variables'!$L96,+IF(M$18='5.Variables'!$B$104,+'5.Variables'!$L110,0))))))</f>
        <v>31</v>
      </c>
      <c r="N77" s="697">
        <f>IF(N$18='5.Variables'!$B$16,+'5.Variables'!$L30,+IF(N$18='5.Variables'!$B$39,+'5.Variables'!$L54,+IF(N$18='5.Variables'!$B$62,+'5.Variables'!$L68,+IF(N$18='5.Variables'!$B$76,+'5.Variables'!$L82,+IF(N$18='5.Variables'!$B$90,+'5.Variables'!$L96,+IF(N$18='5.Variables'!$B$104,+'5.Variables'!$L110,0))))))</f>
        <v>138.06</v>
      </c>
      <c r="O77" s="697">
        <f>IF(O$18='5.Variables'!$B$16,+'5.Variables'!$L30,+IF(O$18='5.Variables'!$B$39,+'5.Variables'!$L54,+IF(O$18='5.Variables'!$B$62,+'5.Variables'!$L68,+IF(O$18='5.Variables'!$B$76,+'5.Variables'!$L82,+IF(O$18='5.Variables'!$B$90,+'5.Variables'!$L96,+IF(O$18='5.Variables'!$B$104,+'5.Variables'!$L110,0))))))</f>
        <v>0</v>
      </c>
      <c r="P77" s="697">
        <f>IF(P$18='5.Variables'!$B$16,+'5.Variables'!$L30,+IF(P$18='5.Variables'!$B$39,+'5.Variables'!$L54,+IF(P$18='5.Variables'!$B$62,+'5.Variables'!$L68,+IF(P$18='5.Variables'!$B$76,+'5.Variables'!$L82,+IF(P$18='5.Variables'!$B$90,+'5.Variables'!$L96,+IF(P$18='5.Variables'!$B$104,+'5.Variables'!$L110,0))))))</f>
        <v>320</v>
      </c>
      <c r="Q77" s="242"/>
      <c r="R77" s="260">
        <f t="shared" si="1"/>
        <v>19769913.63807774</v>
      </c>
      <c r="S77" s="262"/>
      <c r="T77" s="242"/>
      <c r="U77" s="529">
        <v>2016</v>
      </c>
      <c r="V77" s="527">
        <f>S163</f>
        <v>250282670.81650454</v>
      </c>
      <c r="W77" s="528">
        <f>(V77-V76)/V76</f>
        <v>1.8601343612828823E-3</v>
      </c>
      <c r="X77" s="242"/>
      <c r="Y77" s="242"/>
      <c r="Z77" s="242"/>
      <c r="AA77" s="242"/>
      <c r="AB77" s="242"/>
      <c r="AC77" s="242"/>
      <c r="AD77" s="242"/>
      <c r="AE77" s="242"/>
      <c r="AF77" s="242"/>
      <c r="AG77" s="242"/>
      <c r="AH77" s="242"/>
      <c r="AI77" s="242"/>
      <c r="AJ77" s="242"/>
      <c r="AK77" s="242"/>
      <c r="AL77" s="242"/>
      <c r="AM77" s="242"/>
    </row>
    <row r="78" spans="1:39" x14ac:dyDescent="0.2">
      <c r="A78" s="500">
        <f t="shared" si="2"/>
        <v>59</v>
      </c>
      <c r="B78" s="259" t="str">
        <f>CONCATENATE('3. Consumption by Rate Class'!B83,"-",'3. Consumption by Rate Class'!C83)</f>
        <v>2010-November</v>
      </c>
      <c r="C78" s="670">
        <v>21151312.399999999</v>
      </c>
      <c r="D78" s="826"/>
      <c r="E78" s="827">
        <v>1054100</v>
      </c>
      <c r="F78" s="826"/>
      <c r="G78" s="826"/>
      <c r="H78" s="677"/>
      <c r="I78" s="677"/>
      <c r="J78" s="550">
        <f t="shared" si="0"/>
        <v>20097212.399999999</v>
      </c>
      <c r="K78" s="697">
        <f>IF(K$18='5.Variables'!$B$16,+'5.Variables'!$M31,+IF(K$18='5.Variables'!$B$39,+'5.Variables'!$M54,+IF(K$18='5.Variables'!$B$62,+'5.Variables'!$M68,+IF(K$18='5.Variables'!$B$76,+'5.Variables'!$M82,+IF(K$18='5.Variables'!$B$90,+'5.Variables'!$M96,+IF(K$18='5.Variables'!$B$104,+'5.Variables'!$M110,0))))))</f>
        <v>412.1</v>
      </c>
      <c r="L78" s="697">
        <f>IF(L$18='5.Variables'!$B$16,+'5.Variables'!$M30,+IF(L$18='5.Variables'!$B$39,+'5.Variables'!$M54,+IF(L$18='5.Variables'!$B$62,+'5.Variables'!$M68,+IF(L$18='5.Variables'!$B$76,+'5.Variables'!$M82,+IF(L$18='5.Variables'!$B$90,+'5.Variables'!$M96,+IF(L$18='5.Variables'!$B$104,+'5.Variables'!$M110,0))))))</f>
        <v>0</v>
      </c>
      <c r="M78" s="697">
        <f>IF(M$18='5.Variables'!$B$16,+'5.Variables'!$M30,+IF(M$18='5.Variables'!$B$39,+'5.Variables'!$M54,+IF(M$18='5.Variables'!$B$62,+'5.Variables'!$M68,+IF(M$18='5.Variables'!$B$76,+'5.Variables'!$M82,+IF(M$18='5.Variables'!$B$90,+'5.Variables'!$M96,+IF(M$18='5.Variables'!$B$104,+'5.Variables'!$M110,0))))))</f>
        <v>30</v>
      </c>
      <c r="N78" s="697">
        <f>IF(N$18='5.Variables'!$B$16,+'5.Variables'!$M30,+IF(N$18='5.Variables'!$B$39,+'5.Variables'!$M54,+IF(N$18='5.Variables'!$B$62,+'5.Variables'!$M68,+IF(N$18='5.Variables'!$B$76,+'5.Variables'!$M82,+IF(N$18='5.Variables'!$B$90,+'5.Variables'!$M96,+IF(N$18='5.Variables'!$B$104,+'5.Variables'!$M110,0))))))</f>
        <v>138.37</v>
      </c>
      <c r="O78" s="697">
        <f>IF(O$18='5.Variables'!$B$16,+'5.Variables'!$M30,+IF(O$18='5.Variables'!$B$39,+'5.Variables'!$M54,+IF(O$18='5.Variables'!$B$62,+'5.Variables'!$M68,+IF(O$18='5.Variables'!$B$76,+'5.Variables'!$M82,+IF(O$18='5.Variables'!$B$90,+'5.Variables'!$M96,+IF(O$18='5.Variables'!$B$104,+'5.Variables'!$M110,0))))))</f>
        <v>0</v>
      </c>
      <c r="P78" s="697">
        <f>IF(P$18='5.Variables'!$B$16,+'5.Variables'!$M30,+IF(P$18='5.Variables'!$B$39,+'5.Variables'!$M54,+IF(P$18='5.Variables'!$B$62,+'5.Variables'!$M68,+IF(P$18='5.Variables'!$B$76,+'5.Variables'!$M82,+IF(P$18='5.Variables'!$B$90,+'5.Variables'!$M96,+IF(P$18='5.Variables'!$B$104,+'5.Variables'!$M110,0))))))</f>
        <v>336</v>
      </c>
      <c r="Q78" s="242"/>
      <c r="R78" s="260">
        <f t="shared" si="1"/>
        <v>20476190.421818692</v>
      </c>
      <c r="S78" s="262"/>
      <c r="T78" s="242"/>
      <c r="U78" s="242"/>
      <c r="V78" s="242"/>
      <c r="W78" s="242"/>
      <c r="X78" s="242"/>
      <c r="Y78" s="242"/>
      <c r="Z78" s="242"/>
      <c r="AA78" s="242"/>
      <c r="AB78" s="242"/>
      <c r="AC78" s="242"/>
      <c r="AD78" s="242"/>
      <c r="AE78" s="242"/>
      <c r="AF78" s="242"/>
      <c r="AG78" s="242"/>
      <c r="AH78" s="242"/>
      <c r="AI78" s="242"/>
      <c r="AJ78" s="242"/>
      <c r="AK78" s="242"/>
      <c r="AL78" s="242"/>
      <c r="AM78" s="242"/>
    </row>
    <row r="79" spans="1:39" x14ac:dyDescent="0.2">
      <c r="A79" s="500">
        <f t="shared" si="2"/>
        <v>60</v>
      </c>
      <c r="B79" s="519" t="str">
        <f>CONCATENATE('3. Consumption by Rate Class'!B84,"-",'3. Consumption by Rate Class'!C84)</f>
        <v>2010-December</v>
      </c>
      <c r="C79" s="671">
        <v>23903358.920000002</v>
      </c>
      <c r="D79" s="828"/>
      <c r="E79" s="829">
        <v>1054100</v>
      </c>
      <c r="F79" s="828"/>
      <c r="G79" s="828"/>
      <c r="H79" s="679"/>
      <c r="I79" s="679"/>
      <c r="J79" s="550">
        <f t="shared" si="0"/>
        <v>22849258.920000002</v>
      </c>
      <c r="K79" s="697">
        <f>IF(K$18='5.Variables'!$B$16,+'5.Variables'!$N31,+IF(K$18='5.Variables'!$B$39,+'5.Variables'!$N54,+IF(K$18='5.Variables'!$B$62,+'5.Variables'!$N68,+IF(K$18='5.Variables'!$B$76,+'5.Variables'!$N82,+IF(K$18='5.Variables'!$B$90,+'5.Variables'!$N96,+IF(K$18='5.Variables'!$B$104,+'5.Variables'!$N110,0))))))</f>
        <v>676.5</v>
      </c>
      <c r="L79" s="697">
        <f>IF(L$18='5.Variables'!$B$16,+'5.Variables'!$N30,+IF(L$18='5.Variables'!$B$39,+'5.Variables'!$N54,+IF(L$18='5.Variables'!$B$62,+'5.Variables'!$N68,+IF(L$18='5.Variables'!$B$76,+'5.Variables'!$N82,+IF(L$18='5.Variables'!$B$90,+'5.Variables'!$N96,+IF(L$18='5.Variables'!$B$104,+'5.Variables'!$N110,0))))))</f>
        <v>0</v>
      </c>
      <c r="M79" s="697">
        <f>IF(M$18='5.Variables'!$B$16,+'5.Variables'!$N30,+IF(M$18='5.Variables'!$B$39,+'5.Variables'!$N54,+IF(M$18='5.Variables'!$B$62,+'5.Variables'!$N68,+IF(M$18='5.Variables'!$B$76,+'5.Variables'!$N82,+IF(M$18='5.Variables'!$B$90,+'5.Variables'!$N96,+IF(M$18='5.Variables'!$B$104,+'5.Variables'!$N110,0))))))</f>
        <v>31</v>
      </c>
      <c r="N79" s="697">
        <f>IF(N$18='5.Variables'!$B$16,+'5.Variables'!$N30,+IF(N$18='5.Variables'!$B$39,+'5.Variables'!$N54,+IF(N$18='5.Variables'!$B$62,+'5.Variables'!$N68,+IF(N$18='5.Variables'!$B$76,+'5.Variables'!$N82,+IF(N$18='5.Variables'!$B$90,+'5.Variables'!$N96,+IF(N$18='5.Variables'!$B$104,+'5.Variables'!$N110,0))))))</f>
        <v>138.66999999999999</v>
      </c>
      <c r="O79" s="697">
        <f>IF(O$18='5.Variables'!$B$16,+'5.Variables'!$N30,+IF(O$18='5.Variables'!$B$39,+'5.Variables'!$N54,+IF(O$18='5.Variables'!$B$62,+'5.Variables'!$N68,+IF(O$18='5.Variables'!$B$76,+'5.Variables'!$N82,+IF(O$18='5.Variables'!$B$90,+'5.Variables'!$N96,+IF(O$18='5.Variables'!$B$104,+'5.Variables'!$N110,0))))))</f>
        <v>0</v>
      </c>
      <c r="P79" s="697">
        <f>IF(P$18='5.Variables'!$B$16,+'5.Variables'!$N30,+IF(P$18='5.Variables'!$B$39,+'5.Variables'!$N54,+IF(P$18='5.Variables'!$B$62,+'5.Variables'!$N68,+IF(P$18='5.Variables'!$B$76,+'5.Variables'!$N82,+IF(P$18='5.Variables'!$B$90,+'5.Variables'!$N96,+IF(P$18='5.Variables'!$B$104,+'5.Variables'!$N110,0))))))</f>
        <v>368</v>
      </c>
      <c r="Q79" s="242"/>
      <c r="R79" s="260">
        <f t="shared" si="1"/>
        <v>22830796.888763748</v>
      </c>
      <c r="S79" s="262">
        <f>SUM(R68:R79)</f>
        <v>247205392.77313605</v>
      </c>
      <c r="T79" s="242"/>
      <c r="U79" s="271"/>
      <c r="V79" s="242"/>
      <c r="W79" s="242"/>
      <c r="X79" s="242"/>
      <c r="Y79" s="242"/>
      <c r="Z79" s="242"/>
      <c r="AA79" s="242"/>
      <c r="AB79" s="242"/>
      <c r="AC79" s="242"/>
      <c r="AD79" s="242"/>
      <c r="AE79" s="242"/>
      <c r="AF79" s="242"/>
      <c r="AG79" s="242"/>
      <c r="AH79" s="242"/>
      <c r="AI79" s="242"/>
      <c r="AJ79" s="242"/>
      <c r="AK79" s="242"/>
      <c r="AL79" s="242"/>
      <c r="AM79" s="242"/>
    </row>
    <row r="80" spans="1:39" x14ac:dyDescent="0.2">
      <c r="A80" s="500">
        <f t="shared" si="2"/>
        <v>61</v>
      </c>
      <c r="B80" s="259" t="str">
        <f>CONCATENATE('3. Consumption by Rate Class'!B85,"-",'3. Consumption by Rate Class'!C85)</f>
        <v>2011-January</v>
      </c>
      <c r="C80" s="670">
        <v>25280038</v>
      </c>
      <c r="D80" s="826"/>
      <c r="E80" s="827">
        <v>1527291</v>
      </c>
      <c r="F80" s="826"/>
      <c r="G80" s="826">
        <f>'A - CDM Adjustment'!E19</f>
        <v>20317.307692307691</v>
      </c>
      <c r="H80" s="677"/>
      <c r="I80" s="677"/>
      <c r="J80" s="550">
        <f>C80-D80-E80+F80+G80</f>
        <v>23773064.307692308</v>
      </c>
      <c r="K80" s="697">
        <f>IF(K$18='5.Variables'!$B$16,+'5.Variables'!$C32,+IF(K$18='5.Variables'!$B$39,+'5.Variables'!$C55,+IF(K$18='5.Variables'!$B$62,+'5.Variables'!$C69,+IF(K$18='5.Variables'!$B$76,+'5.Variables'!$C83,+IF(K$18='5.Variables'!$B$90,+'5.Variables'!$C97,+IF(K$18='5.Variables'!$B$104,+'5.Variables'!$C111,0))))))</f>
        <v>789.5</v>
      </c>
      <c r="L80" s="697">
        <f>IF(L$18='5.Variables'!$B$16,+'5.Variables'!$C31,+IF(L$18='5.Variables'!$B$39,+'5.Variables'!$C55,+IF(L$18='5.Variables'!$B$62,+'5.Variables'!$C69,+IF(L$18='5.Variables'!$B$76,+'5.Variables'!$C83,+IF(L$18='5.Variables'!$B$90,+'5.Variables'!$C97,+IF(L$18='5.Variables'!$B$104,+'5.Variables'!$C111,0))))))</f>
        <v>0</v>
      </c>
      <c r="M80" s="697">
        <f>IF(M$18='5.Variables'!$B$16,+'5.Variables'!$C31,+IF(M$18='5.Variables'!$B$39,+'5.Variables'!$C55,+IF(M$18='5.Variables'!$B$62,+'5.Variables'!$C69,+IF(M$18='5.Variables'!$B$76,+'5.Variables'!$C83,+IF(M$18='5.Variables'!$B$90,+'5.Variables'!$C97,+IF(M$18='5.Variables'!$B$104,+'5.Variables'!$C111,0))))))</f>
        <v>31</v>
      </c>
      <c r="N80" s="697">
        <f>IF(N$18='5.Variables'!$B$16,+'5.Variables'!$C31,+IF(N$18='5.Variables'!$B$39,+'5.Variables'!$C55,+IF(N$18='5.Variables'!$B$62,+'5.Variables'!$C69,+IF(N$18='5.Variables'!$B$76,+'5.Variables'!$C83,+IF(N$18='5.Variables'!$B$90,+'5.Variables'!$C97,+IF(N$18='5.Variables'!$B$104,+'5.Variables'!$C111,0))))))</f>
        <v>139</v>
      </c>
      <c r="O80" s="697">
        <f>IF(O$18='5.Variables'!$B$16,+'5.Variables'!$C31,+IF(O$18='5.Variables'!$B$39,+'5.Variables'!$C55,+IF(O$18='5.Variables'!$B$62,+'5.Variables'!$C69,+IF(O$18='5.Variables'!$B$76,+'5.Variables'!$C83,+IF(O$18='5.Variables'!$B$90,+'5.Variables'!$C97,+IF(O$18='5.Variables'!$B$104,+'5.Variables'!$C111,0))))))</f>
        <v>0</v>
      </c>
      <c r="P80" s="697">
        <f>IF(P$18='5.Variables'!$B$16,+'5.Variables'!$C31,+IF(P$18='5.Variables'!$B$39,+'5.Variables'!$C55,+IF(P$18='5.Variables'!$B$62,+'5.Variables'!$C69,+IF(P$18='5.Variables'!$B$76,+'5.Variables'!$C83,+IF(P$18='5.Variables'!$B$90,+'5.Variables'!$C97,+IF(P$18='5.Variables'!$B$104,+'5.Variables'!$C111,0))))))</f>
        <v>352</v>
      </c>
      <c r="Q80" s="242"/>
      <c r="R80" s="260">
        <f t="shared" si="1"/>
        <v>23455000.580563106</v>
      </c>
      <c r="S80" s="262"/>
      <c r="T80" s="242"/>
      <c r="U80" s="271"/>
      <c r="V80" s="242"/>
      <c r="W80" s="242"/>
      <c r="X80" s="242"/>
      <c r="Y80" s="242"/>
      <c r="Z80" s="242"/>
      <c r="AA80" s="242"/>
      <c r="AB80" s="242"/>
      <c r="AC80" s="242"/>
      <c r="AD80" s="242"/>
      <c r="AE80" s="242"/>
      <c r="AF80" s="242"/>
      <c r="AG80" s="242"/>
      <c r="AH80" s="242"/>
      <c r="AI80" s="242"/>
      <c r="AJ80" s="242"/>
      <c r="AK80" s="242"/>
      <c r="AL80" s="242"/>
      <c r="AM80" s="242"/>
    </row>
    <row r="81" spans="1:39" x14ac:dyDescent="0.2">
      <c r="A81" s="500">
        <f t="shared" si="2"/>
        <v>62</v>
      </c>
      <c r="B81" s="259" t="str">
        <f>CONCATENATE('3. Consumption by Rate Class'!B86,"-",'3. Consumption by Rate Class'!C86)</f>
        <v>2011-February</v>
      </c>
      <c r="C81" s="670">
        <v>22933219</v>
      </c>
      <c r="D81" s="826"/>
      <c r="E81" s="827">
        <v>1529094.15</v>
      </c>
      <c r="F81" s="826"/>
      <c r="G81" s="826">
        <f>'A - CDM Adjustment'!E20</f>
        <v>40634.615384615383</v>
      </c>
      <c r="H81" s="677"/>
      <c r="I81" s="677"/>
      <c r="J81" s="550">
        <f t="shared" si="0"/>
        <v>21444759.465384617</v>
      </c>
      <c r="K81" s="697">
        <f>IF(K$18='5.Variables'!$B$16,+'5.Variables'!$D32,+IF(K$18='5.Variables'!$B$39,+'5.Variables'!$D55,+IF(K$18='5.Variables'!$B$62,+'5.Variables'!$D69,+IF(K$18='5.Variables'!$B$76,+'5.Variables'!$D83,+IF(K$18='5.Variables'!$B$90,+'5.Variables'!$D97,+IF(K$18='5.Variables'!$B$104,+'5.Variables'!$D111,0))))))</f>
        <v>648.9</v>
      </c>
      <c r="L81" s="697">
        <f>IF(L$18='5.Variables'!$B$16,+'5.Variables'!$D31,+IF(L$18='5.Variables'!$B$39,+'5.Variables'!$D55,+IF(L$18='5.Variables'!$B$62,+'5.Variables'!$D69,+IF(L$18='5.Variables'!$B$76,+'5.Variables'!$D83,+IF(L$18='5.Variables'!$B$90,+'5.Variables'!$D97,+IF(L$18='5.Variables'!$B$104,+'5.Variables'!$D111,0))))))</f>
        <v>0</v>
      </c>
      <c r="M81" s="697">
        <f>IF(M$18='5.Variables'!$B$16,+'5.Variables'!$D31,+IF(M$18='5.Variables'!$B$39,+'5.Variables'!$D55,+IF(M$18='5.Variables'!$B$62,+'5.Variables'!$D69,+IF(M$18='5.Variables'!$B$76,+'5.Variables'!$D83,+IF(M$18='5.Variables'!$B$90,+'5.Variables'!$D97,+IF(M$18='5.Variables'!$B$104,+'5.Variables'!$D111,0))))))</f>
        <v>28</v>
      </c>
      <c r="N81" s="697">
        <f>IF(N$18='5.Variables'!$B$16,+'5.Variables'!$D31,+IF(N$18='5.Variables'!$B$39,+'5.Variables'!$D55,+IF(N$18='5.Variables'!$B$62,+'5.Variables'!$D69,+IF(N$18='5.Variables'!$B$76,+'5.Variables'!$D83,+IF(N$18='5.Variables'!$B$90,+'5.Variables'!$D97,+IF(N$18='5.Variables'!$B$104,+'5.Variables'!$D111,0))))))</f>
        <v>139.30000000000001</v>
      </c>
      <c r="O81" s="697">
        <f>IF(O$18='5.Variables'!$B$16,+'5.Variables'!$D31,+IF(O$18='5.Variables'!$B$39,+'5.Variables'!$D55,+IF(O$18='5.Variables'!$B$62,+'5.Variables'!$D69,+IF(O$18='5.Variables'!$B$76,+'5.Variables'!$D83,+IF(O$18='5.Variables'!$B$90,+'5.Variables'!$D97,+IF(O$18='5.Variables'!$B$104,+'5.Variables'!$D111,0))))))</f>
        <v>0</v>
      </c>
      <c r="P81" s="697">
        <f>IF(P$18='5.Variables'!$B$16,+'5.Variables'!$D31,+IF(P$18='5.Variables'!$B$39,+'5.Variables'!$D55,+IF(P$18='5.Variables'!$B$62,+'5.Variables'!$D69,+IF(P$18='5.Variables'!$B$76,+'5.Variables'!$D83,+IF(P$18='5.Variables'!$B$90,+'5.Variables'!$D97,+IF(P$18='5.Variables'!$B$104,+'5.Variables'!$D111,0))))))</f>
        <v>320</v>
      </c>
      <c r="Q81" s="242"/>
      <c r="R81" s="260">
        <f t="shared" si="1"/>
        <v>21165206.124229841</v>
      </c>
      <c r="S81" s="262"/>
      <c r="T81" s="242"/>
      <c r="U81" s="271"/>
      <c r="V81" s="242"/>
      <c r="W81" s="242"/>
      <c r="X81" s="242"/>
      <c r="Y81" s="242"/>
      <c r="Z81" s="242"/>
      <c r="AA81" s="242"/>
      <c r="AB81" s="242"/>
      <c r="AC81" s="242"/>
      <c r="AD81" s="242"/>
      <c r="AE81" s="242"/>
      <c r="AF81" s="242"/>
      <c r="AG81" s="242"/>
      <c r="AH81" s="242"/>
      <c r="AI81" s="242"/>
      <c r="AJ81" s="242"/>
      <c r="AK81" s="242"/>
      <c r="AL81" s="242"/>
      <c r="AM81" s="242"/>
    </row>
    <row r="82" spans="1:39" x14ac:dyDescent="0.2">
      <c r="A82" s="500">
        <f t="shared" si="2"/>
        <v>63</v>
      </c>
      <c r="B82" s="259" t="str">
        <f>CONCATENATE('3. Consumption by Rate Class'!B87,"-",'3. Consumption by Rate Class'!C87)</f>
        <v>2011-March</v>
      </c>
      <c r="C82" s="670">
        <v>24373637</v>
      </c>
      <c r="D82" s="826"/>
      <c r="E82" s="827">
        <v>2165761.9</v>
      </c>
      <c r="F82" s="826"/>
      <c r="G82" s="826">
        <f>'A - CDM Adjustment'!E21</f>
        <v>60951.923076923071</v>
      </c>
      <c r="H82" s="677"/>
      <c r="I82" s="677"/>
      <c r="J82" s="550">
        <f t="shared" si="0"/>
        <v>22268827.023076925</v>
      </c>
      <c r="K82" s="697">
        <f>IF(K$18='5.Variables'!$B$16,+'5.Variables'!$E32,+IF(K$18='5.Variables'!$B$39,+'5.Variables'!$E55,+IF(K$18='5.Variables'!$B$62,+'5.Variables'!$E69,+IF(K$18='5.Variables'!$B$76,+'5.Variables'!$E83,+IF(K$18='5.Variables'!$B$90,+'5.Variables'!$E97,+IF(K$18='5.Variables'!$B$104,+'5.Variables'!$E111,0))))))</f>
        <v>574.5</v>
      </c>
      <c r="L82" s="697">
        <f>IF(L$18='5.Variables'!$B$16,+'5.Variables'!$E31,+IF(L$18='5.Variables'!$B$39,+'5.Variables'!$E55,+IF(L$18='5.Variables'!$B$62,+'5.Variables'!$E69,+IF(L$18='5.Variables'!$B$76,+'5.Variables'!$E83,+IF(L$18='5.Variables'!$B$90,+'5.Variables'!$E97,+IF(L$18='5.Variables'!$B$104,+'5.Variables'!$E111,0))))))</f>
        <v>0</v>
      </c>
      <c r="M82" s="697">
        <f>IF(M$18='5.Variables'!$B$16,+'5.Variables'!$E31,+IF(M$18='5.Variables'!$B$39,+'5.Variables'!$E55,+IF(M$18='5.Variables'!$B$62,+'5.Variables'!$E69,+IF(M$18='5.Variables'!$B$76,+'5.Variables'!$E83,+IF(M$18='5.Variables'!$B$90,+'5.Variables'!$E97,+IF(M$18='5.Variables'!$B$104,+'5.Variables'!$E111,0))))))</f>
        <v>31</v>
      </c>
      <c r="N82" s="697">
        <f>IF(N$18='5.Variables'!$B$16,+'5.Variables'!$E31,+IF(N$18='5.Variables'!$B$39,+'5.Variables'!$E55,+IF(N$18='5.Variables'!$B$62,+'5.Variables'!$E69,+IF(N$18='5.Variables'!$B$76,+'5.Variables'!$E83,+IF(N$18='5.Variables'!$B$90,+'5.Variables'!$E97,+IF(N$18='5.Variables'!$B$104,+'5.Variables'!$E111,0))))))</f>
        <v>139.6</v>
      </c>
      <c r="O82" s="697">
        <f>IF(O$18='5.Variables'!$B$16,+'5.Variables'!$E31,+IF(O$18='5.Variables'!$B$39,+'5.Variables'!$E55,+IF(O$18='5.Variables'!$B$62,+'5.Variables'!$E69,+IF(O$18='5.Variables'!$B$76,+'5.Variables'!$E83,+IF(O$18='5.Variables'!$B$90,+'5.Variables'!$E97,+IF(O$18='5.Variables'!$B$104,+'5.Variables'!$E111,0))))))</f>
        <v>0</v>
      </c>
      <c r="P82" s="697">
        <f>IF(P$18='5.Variables'!$B$16,+'5.Variables'!$E31,+IF(P$18='5.Variables'!$B$39,+'5.Variables'!$E55,+IF(P$18='5.Variables'!$B$62,+'5.Variables'!$E69,+IF(P$18='5.Variables'!$B$76,+'5.Variables'!$E83,+IF(P$18='5.Variables'!$B$90,+'5.Variables'!$E97,+IF(P$18='5.Variables'!$B$104,+'5.Variables'!$E111,0))))))</f>
        <v>352</v>
      </c>
      <c r="Q82" s="242"/>
      <c r="R82" s="260">
        <f t="shared" si="1"/>
        <v>22071739.048122052</v>
      </c>
      <c r="S82" s="262"/>
      <c r="T82" s="242"/>
      <c r="U82" s="271"/>
      <c r="V82" s="242"/>
      <c r="W82" s="242"/>
      <c r="X82" s="242"/>
      <c r="Y82" s="242"/>
      <c r="Z82" s="242"/>
      <c r="AA82" s="242"/>
      <c r="AB82" s="242"/>
      <c r="AC82" s="242"/>
      <c r="AD82" s="242"/>
      <c r="AE82" s="242"/>
      <c r="AF82" s="242"/>
      <c r="AG82" s="242"/>
      <c r="AH82" s="242"/>
      <c r="AI82" s="242"/>
      <c r="AJ82" s="242"/>
      <c r="AK82" s="242"/>
      <c r="AL82" s="242"/>
      <c r="AM82" s="242"/>
    </row>
    <row r="83" spans="1:39" x14ac:dyDescent="0.2">
      <c r="A83" s="500">
        <f t="shared" si="2"/>
        <v>64</v>
      </c>
      <c r="B83" s="259" t="str">
        <f>CONCATENATE('3. Consumption by Rate Class'!B88,"-",'3. Consumption by Rate Class'!C88)</f>
        <v>2011-April</v>
      </c>
      <c r="C83" s="670">
        <v>21210410</v>
      </c>
      <c r="D83" s="826"/>
      <c r="E83" s="827">
        <v>1885923.27</v>
      </c>
      <c r="F83" s="826"/>
      <c r="G83" s="826">
        <f>'A - CDM Adjustment'!E22</f>
        <v>81269.230769230751</v>
      </c>
      <c r="H83" s="677"/>
      <c r="I83" s="677"/>
      <c r="J83" s="550">
        <f t="shared" si="0"/>
        <v>19405755.960769232</v>
      </c>
      <c r="K83" s="697">
        <f>IF(K$18='5.Variables'!$B$16,+'5.Variables'!$F32,+IF(K$18='5.Variables'!$B$39,+'5.Variables'!$F55,+IF(K$18='5.Variables'!$B$62,+'5.Variables'!$F69,+IF(K$18='5.Variables'!$B$76,+'5.Variables'!$F83,+IF(K$18='5.Variables'!$B$90,+'5.Variables'!$F97,+IF(K$18='5.Variables'!$B$104,+'5.Variables'!$F111,0))))))</f>
        <v>372.4</v>
      </c>
      <c r="L83" s="697">
        <f>IF(L$18='5.Variables'!$B$16,+'5.Variables'!$F31,+IF(L$18='5.Variables'!$B$39,+'5.Variables'!$F55,+IF(L$18='5.Variables'!$B$62,+'5.Variables'!$F69,+IF(L$18='5.Variables'!$B$76,+'5.Variables'!$F83,+IF(L$18='5.Variables'!$B$90,+'5.Variables'!$F97,+IF(L$18='5.Variables'!$B$104,+'5.Variables'!$F111,0))))))</f>
        <v>0</v>
      </c>
      <c r="M83" s="697">
        <f>IF(M$18='5.Variables'!$B$16,+'5.Variables'!$F31,+IF(M$18='5.Variables'!$B$39,+'5.Variables'!$F55,+IF(M$18='5.Variables'!$B$62,+'5.Variables'!$F69,+IF(M$18='5.Variables'!$B$76,+'5.Variables'!$F83,+IF(M$18='5.Variables'!$B$90,+'5.Variables'!$F97,+IF(M$18='5.Variables'!$B$104,+'5.Variables'!$F111,0))))))</f>
        <v>30</v>
      </c>
      <c r="N83" s="697">
        <f>IF(N$18='5.Variables'!$B$16,+'5.Variables'!$F31,+IF(N$18='5.Variables'!$B$39,+'5.Variables'!$F55,+IF(N$18='5.Variables'!$B$62,+'5.Variables'!$F69,+IF(N$18='5.Variables'!$B$76,+'5.Variables'!$F83,+IF(N$18='5.Variables'!$B$90,+'5.Variables'!$F97,+IF(N$18='5.Variables'!$B$104,+'5.Variables'!$F111,0))))))</f>
        <v>139.9</v>
      </c>
      <c r="O83" s="697">
        <f>IF(O$18='5.Variables'!$B$16,+'5.Variables'!$F31,+IF(O$18='5.Variables'!$B$39,+'5.Variables'!$F55,+IF(O$18='5.Variables'!$B$62,+'5.Variables'!$F69,+IF(O$18='5.Variables'!$B$76,+'5.Variables'!$F83,+IF(O$18='5.Variables'!$B$90,+'5.Variables'!$F97,+IF(O$18='5.Variables'!$B$104,+'5.Variables'!$F111,0))))))</f>
        <v>0</v>
      </c>
      <c r="P83" s="697">
        <f>IF(P$18='5.Variables'!$B$16,+'5.Variables'!$F31,+IF(P$18='5.Variables'!$B$39,+'5.Variables'!$F55,+IF(P$18='5.Variables'!$B$62,+'5.Variables'!$F69,+IF(P$18='5.Variables'!$B$76,+'5.Variables'!$F83,+IF(P$18='5.Variables'!$B$90,+'5.Variables'!$F97,+IF(P$18='5.Variables'!$B$104,+'5.Variables'!$F111,0))))))</f>
        <v>320</v>
      </c>
      <c r="Q83" s="242"/>
      <c r="R83" s="260">
        <f t="shared" si="1"/>
        <v>20140622.009299312</v>
      </c>
      <c r="S83" s="262"/>
      <c r="T83" s="242"/>
      <c r="U83" s="242"/>
      <c r="V83" s="242"/>
      <c r="W83" s="242"/>
      <c r="X83" s="242"/>
      <c r="Y83" s="242"/>
      <c r="Z83" s="242"/>
      <c r="AA83" s="242"/>
      <c r="AB83" s="242"/>
      <c r="AC83" s="242"/>
      <c r="AD83" s="242"/>
      <c r="AE83" s="242"/>
      <c r="AF83" s="242"/>
      <c r="AG83" s="242"/>
      <c r="AH83" s="242"/>
      <c r="AI83" s="242"/>
      <c r="AJ83" s="242"/>
      <c r="AK83" s="242"/>
      <c r="AL83" s="242"/>
      <c r="AM83" s="242"/>
    </row>
    <row r="84" spans="1:39" x14ac:dyDescent="0.2">
      <c r="A84" s="500">
        <f t="shared" si="2"/>
        <v>65</v>
      </c>
      <c r="B84" s="259" t="str">
        <f>CONCATENATE('3. Consumption by Rate Class'!B89,"-",'3. Consumption by Rate Class'!C89)</f>
        <v>2011-May</v>
      </c>
      <c r="C84" s="670">
        <v>20370130</v>
      </c>
      <c r="D84" s="826"/>
      <c r="E84" s="827">
        <v>1668094.5</v>
      </c>
      <c r="F84" s="826"/>
      <c r="G84" s="826">
        <f>'A - CDM Adjustment'!E23</f>
        <v>101586.53846153844</v>
      </c>
      <c r="H84" s="677"/>
      <c r="I84" s="677"/>
      <c r="J84" s="550">
        <f t="shared" ref="J84:J139" si="8">C84-D84-E84+F84+G84</f>
        <v>18803622.03846154</v>
      </c>
      <c r="K84" s="697">
        <f>IF(K$18='5.Variables'!$B$16,+'5.Variables'!$G32,+IF(K$18='5.Variables'!$B$39,+'5.Variables'!$G55,+IF(K$18='5.Variables'!$B$62,+'5.Variables'!$G69,+IF(K$18='5.Variables'!$B$76,+'5.Variables'!$G83,+IF(K$18='5.Variables'!$B$90,+'5.Variables'!$G97,+IF(K$18='5.Variables'!$B$104,+'5.Variables'!$G111,0))))))</f>
        <v>177.6</v>
      </c>
      <c r="L84" s="697">
        <f>IF(L$18='5.Variables'!$B$16,+'5.Variables'!$G31,+IF(L$18='5.Variables'!$B$39,+'5.Variables'!$G55,+IF(L$18='5.Variables'!$B$62,+'5.Variables'!$G69,+IF(L$18='5.Variables'!$B$76,+'5.Variables'!$G83,+IF(L$18='5.Variables'!$B$90,+'5.Variables'!$G97,+IF(L$18='5.Variables'!$B$104,+'5.Variables'!$G111,0))))))</f>
        <v>0.1</v>
      </c>
      <c r="M84" s="697">
        <f>IF(M$18='5.Variables'!$B$16,+'5.Variables'!$G31,+IF(M$18='5.Variables'!$B$39,+'5.Variables'!$G55,+IF(M$18='5.Variables'!$B$62,+'5.Variables'!$G69,+IF(M$18='5.Variables'!$B$76,+'5.Variables'!$G83,+IF(M$18='5.Variables'!$B$90,+'5.Variables'!$G97,+IF(M$18='5.Variables'!$B$104,+'5.Variables'!$G111,0))))))</f>
        <v>31</v>
      </c>
      <c r="N84" s="697">
        <f>IF(N$18='5.Variables'!$B$16,+'5.Variables'!$G31,+IF(N$18='5.Variables'!$B$39,+'5.Variables'!$G55,+IF(N$18='5.Variables'!$B$62,+'5.Variables'!$G69,+IF(N$18='5.Variables'!$B$76,+'5.Variables'!$G83,+IF(N$18='5.Variables'!$B$90,+'5.Variables'!$G97,+IF(N$18='5.Variables'!$B$104,+'5.Variables'!$G111,0))))))</f>
        <v>140.19999999999999</v>
      </c>
      <c r="O84" s="697">
        <f>IF(O$18='5.Variables'!$B$16,+'5.Variables'!$G31,+IF(O$18='5.Variables'!$B$39,+'5.Variables'!$G55,+IF(O$18='5.Variables'!$B$62,+'5.Variables'!$G69,+IF(O$18='5.Variables'!$B$76,+'5.Variables'!$G83,+IF(O$18='5.Variables'!$B$90,+'5.Variables'!$G97,+IF(O$18='5.Variables'!$B$104,+'5.Variables'!$G111,0))))))</f>
        <v>0</v>
      </c>
      <c r="P84" s="697">
        <f>IF(P$18='5.Variables'!$B$16,+'5.Variables'!$G31,+IF(P$18='5.Variables'!$B$39,+'5.Variables'!$G55,+IF(P$18='5.Variables'!$B$62,+'5.Variables'!$G69,+IF(P$18='5.Variables'!$B$76,+'5.Variables'!$G83,+IF(P$18='5.Variables'!$B$90,+'5.Variables'!$G97,+IF(P$18='5.Variables'!$B$104,+'5.Variables'!$G111,0))))))</f>
        <v>352</v>
      </c>
      <c r="Q84" s="242"/>
      <c r="R84" s="260">
        <f t="shared" si="1"/>
        <v>19507286.644460391</v>
      </c>
      <c r="S84" s="262"/>
      <c r="T84" s="242"/>
      <c r="U84" s="242"/>
      <c r="V84" s="242"/>
      <c r="W84" s="242"/>
      <c r="X84" s="242"/>
      <c r="Y84" s="242"/>
      <c r="Z84" s="242"/>
      <c r="AA84" s="242"/>
      <c r="AB84" s="242"/>
      <c r="AC84" s="242"/>
      <c r="AD84" s="242"/>
      <c r="AE84" s="242"/>
      <c r="AF84" s="242"/>
      <c r="AG84" s="242"/>
      <c r="AH84" s="242"/>
      <c r="AI84" s="242"/>
      <c r="AJ84" s="242"/>
      <c r="AK84" s="242"/>
      <c r="AL84" s="242"/>
      <c r="AM84" s="242"/>
    </row>
    <row r="85" spans="1:39" x14ac:dyDescent="0.2">
      <c r="A85" s="500">
        <f t="shared" si="2"/>
        <v>66</v>
      </c>
      <c r="B85" s="259" t="str">
        <f>CONCATENATE('3. Consumption by Rate Class'!B90,"-",'3. Consumption by Rate Class'!C90)</f>
        <v>2011-June</v>
      </c>
      <c r="C85" s="670">
        <v>20125692</v>
      </c>
      <c r="D85" s="826"/>
      <c r="E85" s="827">
        <v>1194523.31</v>
      </c>
      <c r="F85" s="826"/>
      <c r="G85" s="826">
        <f>'A - CDM Adjustment'!E24</f>
        <v>121903.84615384611</v>
      </c>
      <c r="H85" s="677"/>
      <c r="I85" s="677"/>
      <c r="J85" s="550">
        <f t="shared" si="8"/>
        <v>19053072.536153849</v>
      </c>
      <c r="K85" s="697">
        <f>IF(K$18='5.Variables'!$B$16,+'5.Variables'!$H32,+IF(K$18='5.Variables'!$B$39,+'5.Variables'!$H55,+IF(K$18='5.Variables'!$B$62,+'5.Variables'!$H69,+IF(K$18='5.Variables'!$B$76,+'5.Variables'!$H83,+IF(K$18='5.Variables'!$B$90,+'5.Variables'!$H97,+IF(K$18='5.Variables'!$B$104,+'5.Variables'!$H111,0))))))</f>
        <v>64</v>
      </c>
      <c r="L85" s="697">
        <f>IF(L$18='5.Variables'!$B$16,+'5.Variables'!$H31,+IF(L$18='5.Variables'!$B$39,+'5.Variables'!$H55,+IF(L$18='5.Variables'!$B$62,+'5.Variables'!$H69,+IF(L$18='5.Variables'!$B$76,+'5.Variables'!$H83,+IF(L$18='5.Variables'!$B$90,+'5.Variables'!$H97,+IF(L$18='5.Variables'!$B$104,+'5.Variables'!$H111,0))))))</f>
        <v>14.7</v>
      </c>
      <c r="M85" s="697">
        <f>IF(M$18='5.Variables'!$B$16,+'5.Variables'!$H31,+IF(M$18='5.Variables'!$B$39,+'5.Variables'!$H55,+IF(M$18='5.Variables'!$B$62,+'5.Variables'!$H69,+IF(M$18='5.Variables'!$B$76,+'5.Variables'!$H83,+IF(M$18='5.Variables'!$B$90,+'5.Variables'!$H97,+IF(M$18='5.Variables'!$B$104,+'5.Variables'!$H111,0))))))</f>
        <v>30</v>
      </c>
      <c r="N85" s="697">
        <f>IF(N$18='5.Variables'!$B$16,+'5.Variables'!$H31,+IF(N$18='5.Variables'!$B$39,+'5.Variables'!$H55,+IF(N$18='5.Variables'!$B$62,+'5.Variables'!$H69,+IF(N$18='5.Variables'!$B$76,+'5.Variables'!$H83,+IF(N$18='5.Variables'!$B$90,+'5.Variables'!$H97,+IF(N$18='5.Variables'!$B$104,+'5.Variables'!$H111,0))))))</f>
        <v>140.5</v>
      </c>
      <c r="O85" s="697">
        <f>IF(O$18='5.Variables'!$B$16,+'5.Variables'!$H31,+IF(O$18='5.Variables'!$B$39,+'5.Variables'!$H55,+IF(O$18='5.Variables'!$B$62,+'5.Variables'!$H69,+IF(O$18='5.Variables'!$B$76,+'5.Variables'!$H83,+IF(O$18='5.Variables'!$B$90,+'5.Variables'!$H97,+IF(O$18='5.Variables'!$B$104,+'5.Variables'!$H111,0))))))</f>
        <v>0</v>
      </c>
      <c r="P85" s="697">
        <f>IF(P$18='5.Variables'!$B$16,+'5.Variables'!$H31,+IF(P$18='5.Variables'!$B$39,+'5.Variables'!$H55,+IF(P$18='5.Variables'!$B$62,+'5.Variables'!$H69,+IF(P$18='5.Variables'!$B$76,+'5.Variables'!$H83,+IF(P$18='5.Variables'!$B$90,+'5.Variables'!$H97,+IF(P$18='5.Variables'!$B$104,+'5.Variables'!$H111,0))))))</f>
        <v>336</v>
      </c>
      <c r="Q85" s="242"/>
      <c r="R85" s="260">
        <f t="shared" ref="R85:R148" si="9">$V$34+(K85*$V$35)+(L85*$V$36)+(M85*$V$37)+(N85*$V$38)+(O85*$V$39)+(P85*$V$40)</f>
        <v>18855648.11009581</v>
      </c>
      <c r="S85" s="262"/>
      <c r="T85" s="242"/>
      <c r="U85" s="242"/>
      <c r="V85" s="242"/>
      <c r="W85" s="242"/>
      <c r="X85" s="242"/>
      <c r="Y85" s="242"/>
      <c r="Z85" s="242"/>
      <c r="AA85" s="242"/>
      <c r="AB85" s="242"/>
      <c r="AC85" s="242"/>
      <c r="AD85" s="242"/>
      <c r="AE85" s="242"/>
      <c r="AF85" s="242"/>
      <c r="AG85" s="242"/>
      <c r="AH85" s="242"/>
      <c r="AI85" s="242"/>
      <c r="AJ85" s="242"/>
      <c r="AK85" s="242"/>
      <c r="AL85" s="242"/>
      <c r="AM85" s="242"/>
    </row>
    <row r="86" spans="1:39" x14ac:dyDescent="0.2">
      <c r="A86" s="500">
        <f t="shared" ref="A86:A149" si="10">+A85+1</f>
        <v>67</v>
      </c>
      <c r="B86" s="259" t="str">
        <f>CONCATENATE('3. Consumption by Rate Class'!B91,"-",'3. Consumption by Rate Class'!C91)</f>
        <v>2011-July</v>
      </c>
      <c r="C86" s="670">
        <v>22481329</v>
      </c>
      <c r="D86" s="826"/>
      <c r="E86" s="827">
        <v>966871.17</v>
      </c>
      <c r="F86" s="826"/>
      <c r="G86" s="826">
        <f>'A - CDM Adjustment'!E25</f>
        <v>142221.15384615379</v>
      </c>
      <c r="H86" s="677"/>
      <c r="I86" s="677"/>
      <c r="J86" s="550">
        <f t="shared" si="8"/>
        <v>21656678.98384615</v>
      </c>
      <c r="K86" s="697">
        <f>IF(K$18='5.Variables'!$B$16,+'5.Variables'!$I32,+IF(K$18='5.Variables'!$B$39,+'5.Variables'!$I55,+IF(K$18='5.Variables'!$B$62,+'5.Variables'!$I69,+IF(K$18='5.Variables'!$B$76,+'5.Variables'!$I83,+IF(K$18='5.Variables'!$B$90,+'5.Variables'!$I97,+IF(K$18='5.Variables'!$B$104,+'5.Variables'!$I111,0))))))</f>
        <v>8.4</v>
      </c>
      <c r="L86" s="697">
        <f>IF(L$18='5.Variables'!$B$16,+'5.Variables'!$I31,+IF(L$18='5.Variables'!$B$39,+'5.Variables'!$I55,+IF(L$18='5.Variables'!$B$62,+'5.Variables'!$I69,+IF(L$18='5.Variables'!$B$76,+'5.Variables'!$I83,+IF(L$18='5.Variables'!$B$90,+'5.Variables'!$I97,+IF(L$18='5.Variables'!$B$104,+'5.Variables'!$I111,0))))))</f>
        <v>91.3</v>
      </c>
      <c r="M86" s="697">
        <f>IF(M$18='5.Variables'!$B$16,+'5.Variables'!$I31,+IF(M$18='5.Variables'!$B$39,+'5.Variables'!$I55,+IF(M$18='5.Variables'!$B$62,+'5.Variables'!$I69,+IF(M$18='5.Variables'!$B$76,+'5.Variables'!$I83,+IF(M$18='5.Variables'!$B$90,+'5.Variables'!$I97,+IF(M$18='5.Variables'!$B$104,+'5.Variables'!$I111,0))))))</f>
        <v>31</v>
      </c>
      <c r="N86" s="697">
        <f>IF(N$18='5.Variables'!$B$16,+'5.Variables'!$I31,+IF(N$18='5.Variables'!$B$39,+'5.Variables'!$I55,+IF(N$18='5.Variables'!$B$62,+'5.Variables'!$I69,+IF(N$18='5.Variables'!$B$76,+'5.Variables'!$I83,+IF(N$18='5.Variables'!$B$90,+'5.Variables'!$I97,+IF(N$18='5.Variables'!$B$104,+'5.Variables'!$I111,0))))))</f>
        <v>140.80000000000001</v>
      </c>
      <c r="O86" s="697">
        <f>IF(O$18='5.Variables'!$B$16,+'5.Variables'!$I31,+IF(O$18='5.Variables'!$B$39,+'5.Variables'!$I55,+IF(O$18='5.Variables'!$B$62,+'5.Variables'!$I69,+IF(O$18='5.Variables'!$B$76,+'5.Variables'!$I83,+IF(O$18='5.Variables'!$B$90,+'5.Variables'!$I97,+IF(O$18='5.Variables'!$B$104,+'5.Variables'!$I111,0))))))</f>
        <v>0</v>
      </c>
      <c r="P86" s="697">
        <f>IF(P$18='5.Variables'!$B$16,+'5.Variables'!$I31,+IF(P$18='5.Variables'!$B$39,+'5.Variables'!$I55,+IF(P$18='5.Variables'!$B$62,+'5.Variables'!$I69,+IF(P$18='5.Variables'!$B$76,+'5.Variables'!$I83,+IF(P$18='5.Variables'!$B$90,+'5.Variables'!$I97,+IF(P$18='5.Variables'!$B$104,+'5.Variables'!$I111,0))))))</f>
        <v>336</v>
      </c>
      <c r="Q86" s="242"/>
      <c r="R86" s="260">
        <f t="shared" si="9"/>
        <v>21930866.538870133</v>
      </c>
      <c r="S86" s="262"/>
      <c r="T86" s="242"/>
      <c r="U86" s="242"/>
      <c r="V86" s="242"/>
      <c r="W86" s="242"/>
      <c r="X86" s="242"/>
      <c r="Y86" s="242"/>
      <c r="Z86" s="242"/>
      <c r="AA86" s="242"/>
      <c r="AB86" s="242"/>
      <c r="AC86" s="242"/>
      <c r="AD86" s="242"/>
      <c r="AE86" s="242"/>
      <c r="AF86" s="242"/>
      <c r="AG86" s="242"/>
      <c r="AH86" s="242"/>
      <c r="AI86" s="242"/>
      <c r="AJ86" s="242"/>
      <c r="AK86" s="242"/>
      <c r="AL86" s="242"/>
      <c r="AM86" s="242"/>
    </row>
    <row r="87" spans="1:39" x14ac:dyDescent="0.2">
      <c r="A87" s="500">
        <f t="shared" si="10"/>
        <v>68</v>
      </c>
      <c r="B87" s="259" t="str">
        <f>CONCATENATE('3. Consumption by Rate Class'!B92,"-",'3. Consumption by Rate Class'!C92)</f>
        <v>2011-August</v>
      </c>
      <c r="C87" s="670">
        <v>22073076</v>
      </c>
      <c r="D87" s="826"/>
      <c r="E87" s="827">
        <v>1049799.55</v>
      </c>
      <c r="F87" s="826"/>
      <c r="G87" s="826">
        <f>'A - CDM Adjustment'!E26</f>
        <v>162538.46153846147</v>
      </c>
      <c r="H87" s="677"/>
      <c r="I87" s="677"/>
      <c r="J87" s="550">
        <f t="shared" si="8"/>
        <v>21185814.911538459</v>
      </c>
      <c r="K87" s="697">
        <f>IF(K$18='5.Variables'!$B$16,+'5.Variables'!$J32,+IF(K$18='5.Variables'!$B$39,+'5.Variables'!$J55,+IF(K$18='5.Variables'!$B$62,+'5.Variables'!$J69,+IF(K$18='5.Variables'!$B$76,+'5.Variables'!$J83,+IF(K$18='5.Variables'!$B$90,+'5.Variables'!$J97,+IF(K$18='5.Variables'!$B$104,+'5.Variables'!$J111,0))))))</f>
        <v>9.1</v>
      </c>
      <c r="L87" s="697">
        <f>IF(L$18='5.Variables'!$B$16,+'5.Variables'!$J31,+IF(L$18='5.Variables'!$B$39,+'5.Variables'!$J55,+IF(L$18='5.Variables'!$B$62,+'5.Variables'!$J69,+IF(L$18='5.Variables'!$B$76,+'5.Variables'!$J83,+IF(L$18='5.Variables'!$B$90,+'5.Variables'!$J97,+IF(L$18='5.Variables'!$B$104,+'5.Variables'!$J111,0))))))</f>
        <v>57.5</v>
      </c>
      <c r="M87" s="697">
        <f>IF(M$18='5.Variables'!$B$16,+'5.Variables'!$J31,+IF(M$18='5.Variables'!$B$39,+'5.Variables'!$J55,+IF(M$18='5.Variables'!$B$62,+'5.Variables'!$J69,+IF(M$18='5.Variables'!$B$76,+'5.Variables'!$J83,+IF(M$18='5.Variables'!$B$90,+'5.Variables'!$J97,+IF(M$18='5.Variables'!$B$104,+'5.Variables'!$J111,0))))))</f>
        <v>31</v>
      </c>
      <c r="N87" s="697">
        <f>IF(N$18='5.Variables'!$B$16,+'5.Variables'!$J31,+IF(N$18='5.Variables'!$B$39,+'5.Variables'!$J55,+IF(N$18='5.Variables'!$B$62,+'5.Variables'!$J69,+IF(N$18='5.Variables'!$B$76,+'5.Variables'!$J83,+IF(N$18='5.Variables'!$B$90,+'5.Variables'!$J97,+IF(N$18='5.Variables'!$B$104,+'5.Variables'!$J111,0))))))</f>
        <v>141.1</v>
      </c>
      <c r="O87" s="697">
        <f>IF(O$18='5.Variables'!$B$16,+'5.Variables'!$J31,+IF(O$18='5.Variables'!$B$39,+'5.Variables'!$J55,+IF(O$18='5.Variables'!$B$62,+'5.Variables'!$J69,+IF(O$18='5.Variables'!$B$76,+'5.Variables'!$J83,+IF(O$18='5.Variables'!$B$90,+'5.Variables'!$J97,+IF(O$18='5.Variables'!$B$104,+'5.Variables'!$J111,0))))))</f>
        <v>0</v>
      </c>
      <c r="P87" s="697">
        <f>IF(P$18='5.Variables'!$B$16,+'5.Variables'!$J31,+IF(P$18='5.Variables'!$B$39,+'5.Variables'!$J55,+IF(P$18='5.Variables'!$B$62,+'5.Variables'!$J69,+IF(P$18='5.Variables'!$B$76,+'5.Variables'!$J83,+IF(P$18='5.Variables'!$B$90,+'5.Variables'!$J97,+IF(P$18='5.Variables'!$B$104,+'5.Variables'!$J111,0))))))</f>
        <v>352</v>
      </c>
      <c r="Q87" s="242"/>
      <c r="R87" s="260">
        <f t="shared" si="9"/>
        <v>20720545.375607733</v>
      </c>
      <c r="S87" s="262"/>
      <c r="T87" s="242"/>
      <c r="U87" s="242"/>
      <c r="V87" s="242"/>
      <c r="W87" s="242"/>
      <c r="X87" s="242"/>
      <c r="Y87" s="242"/>
      <c r="Z87" s="242"/>
      <c r="AA87" s="242"/>
      <c r="AB87" s="242"/>
      <c r="AC87" s="242"/>
      <c r="AD87" s="242"/>
      <c r="AE87" s="242"/>
      <c r="AF87" s="242"/>
      <c r="AG87" s="242"/>
      <c r="AH87" s="242"/>
      <c r="AI87" s="242"/>
      <c r="AJ87" s="242"/>
      <c r="AK87" s="242"/>
      <c r="AL87" s="242"/>
      <c r="AM87" s="242"/>
    </row>
    <row r="88" spans="1:39" x14ac:dyDescent="0.2">
      <c r="A88" s="500">
        <f t="shared" si="10"/>
        <v>69</v>
      </c>
      <c r="B88" s="259" t="str">
        <f>CONCATENATE('3. Consumption by Rate Class'!B93,"-",'3. Consumption by Rate Class'!C93)</f>
        <v>2011-September</v>
      </c>
      <c r="C88" s="670">
        <v>20224886</v>
      </c>
      <c r="D88" s="826"/>
      <c r="E88" s="827">
        <v>929057.4</v>
      </c>
      <c r="F88" s="826"/>
      <c r="G88" s="826">
        <f>'A - CDM Adjustment'!E27</f>
        <v>182855.76923076916</v>
      </c>
      <c r="H88" s="677"/>
      <c r="I88" s="677"/>
      <c r="J88" s="550">
        <f t="shared" si="8"/>
        <v>19478684.36923077</v>
      </c>
      <c r="K88" s="697">
        <f>IF(K$18='5.Variables'!$B$16,+'5.Variables'!$K32,+IF(K$18='5.Variables'!$B$39,+'5.Variables'!$K55,+IF(K$18='5.Variables'!$B$62,+'5.Variables'!$K69,+IF(K$18='5.Variables'!$B$76,+'5.Variables'!$K83,+IF(K$18='5.Variables'!$B$90,+'5.Variables'!$K97,+IF(K$18='5.Variables'!$B$104,+'5.Variables'!$K111,0))))))</f>
        <v>59.7</v>
      </c>
      <c r="L88" s="697">
        <f>IF(L$18='5.Variables'!$B$16,+'5.Variables'!$K31,+IF(L$18='5.Variables'!$B$39,+'5.Variables'!$K55,+IF(L$18='5.Variables'!$B$62,+'5.Variables'!$K69,+IF(L$18='5.Variables'!$B$76,+'5.Variables'!$K83,+IF(L$18='5.Variables'!$B$90,+'5.Variables'!$K97,+IF(L$18='5.Variables'!$B$104,+'5.Variables'!$K111,0))))))</f>
        <v>21.4</v>
      </c>
      <c r="M88" s="697">
        <f>IF(M$18='5.Variables'!$B$16,+'5.Variables'!$K31,+IF(M$18='5.Variables'!$B$39,+'5.Variables'!$K55,+IF(M$18='5.Variables'!$B$62,+'5.Variables'!$K69,+IF(M$18='5.Variables'!$B$76,+'5.Variables'!$K83,+IF(M$18='5.Variables'!$B$90,+'5.Variables'!$K97,+IF(M$18='5.Variables'!$B$104,+'5.Variables'!$K111,0))))))</f>
        <v>30</v>
      </c>
      <c r="N88" s="697">
        <f>IF(N$18='5.Variables'!$B$16,+'5.Variables'!$K31,+IF(N$18='5.Variables'!$B$39,+'5.Variables'!$K55,+IF(N$18='5.Variables'!$B$62,+'5.Variables'!$K69,+IF(N$18='5.Variables'!$B$76,+'5.Variables'!$K83,+IF(N$18='5.Variables'!$B$90,+'5.Variables'!$K97,+IF(N$18='5.Variables'!$B$104,+'5.Variables'!$K111,0))))))</f>
        <v>141.4</v>
      </c>
      <c r="O88" s="697">
        <f>IF(O$18='5.Variables'!$B$16,+'5.Variables'!$K31,+IF(O$18='5.Variables'!$B$39,+'5.Variables'!$K55,+IF(O$18='5.Variables'!$B$62,+'5.Variables'!$K69,+IF(O$18='5.Variables'!$B$76,+'5.Variables'!$K83,+IF(O$18='5.Variables'!$B$90,+'5.Variables'!$K97,+IF(O$18='5.Variables'!$B$104,+'5.Variables'!$K111,0))))))</f>
        <v>0</v>
      </c>
      <c r="P88" s="697">
        <f>IF(P$18='5.Variables'!$B$16,+'5.Variables'!$K31,+IF(P$18='5.Variables'!$B$39,+'5.Variables'!$K55,+IF(P$18='5.Variables'!$B$62,+'5.Variables'!$K69,+IF(P$18='5.Variables'!$B$76,+'5.Variables'!$K83,+IF(P$18='5.Variables'!$B$90,+'5.Variables'!$K97,+IF(P$18='5.Variables'!$B$104,+'5.Variables'!$K111,0))))))</f>
        <v>304</v>
      </c>
      <c r="Q88" s="242"/>
      <c r="R88" s="260">
        <f t="shared" si="9"/>
        <v>18877251.070295647</v>
      </c>
      <c r="S88" s="262"/>
      <c r="T88" s="242"/>
      <c r="U88" s="242"/>
      <c r="V88" s="242"/>
      <c r="W88" s="242"/>
      <c r="X88" s="242"/>
      <c r="Y88" s="242"/>
      <c r="Z88" s="242"/>
      <c r="AA88" s="242"/>
      <c r="AB88" s="242"/>
      <c r="AC88" s="242"/>
      <c r="AD88" s="242"/>
      <c r="AE88" s="242"/>
      <c r="AF88" s="242"/>
      <c r="AG88" s="242"/>
      <c r="AH88" s="242"/>
      <c r="AI88" s="242"/>
      <c r="AJ88" s="242"/>
      <c r="AK88" s="242"/>
      <c r="AL88" s="242"/>
      <c r="AM88" s="242"/>
    </row>
    <row r="89" spans="1:39" x14ac:dyDescent="0.2">
      <c r="A89" s="500">
        <f t="shared" si="10"/>
        <v>70</v>
      </c>
      <c r="B89" s="259" t="str">
        <f>CONCATENATE('3. Consumption by Rate Class'!B94,"-",'3. Consumption by Rate Class'!C94)</f>
        <v>2011-October</v>
      </c>
      <c r="C89" s="670">
        <v>20124841</v>
      </c>
      <c r="D89" s="826"/>
      <c r="E89" s="827">
        <v>817723.09</v>
      </c>
      <c r="F89" s="826"/>
      <c r="G89" s="826">
        <f>'A - CDM Adjustment'!E28</f>
        <v>203173.07692307682</v>
      </c>
      <c r="H89" s="677"/>
      <c r="I89" s="677"/>
      <c r="J89" s="550">
        <f t="shared" si="8"/>
        <v>19510290.986923076</v>
      </c>
      <c r="K89" s="697">
        <f>IF(K$18='5.Variables'!$B$16,+'5.Variables'!$L32,+IF(K$18='5.Variables'!$B$39,+'5.Variables'!$L55,+IF(K$18='5.Variables'!$B$62,+'5.Variables'!$L69,+IF(K$18='5.Variables'!$B$76,+'5.Variables'!$L83,+IF(K$18='5.Variables'!$B$90,+'5.Variables'!$L97,+IF(K$18='5.Variables'!$B$104,+'5.Variables'!$L111,0))))))</f>
        <v>244.3</v>
      </c>
      <c r="L89" s="697">
        <f>IF(L$18='5.Variables'!$B$16,+'5.Variables'!$L31,+IF(L$18='5.Variables'!$B$39,+'5.Variables'!$L55,+IF(L$18='5.Variables'!$B$62,+'5.Variables'!$L69,+IF(L$18='5.Variables'!$B$76,+'5.Variables'!$L83,+IF(L$18='5.Variables'!$B$90,+'5.Variables'!$L97,+IF(L$18='5.Variables'!$B$104,+'5.Variables'!$L111,0))))))</f>
        <v>0</v>
      </c>
      <c r="M89" s="697">
        <f>IF(M$18='5.Variables'!$B$16,+'5.Variables'!$L31,+IF(M$18='5.Variables'!$B$39,+'5.Variables'!$L55,+IF(M$18='5.Variables'!$B$62,+'5.Variables'!$L69,+IF(M$18='5.Variables'!$B$76,+'5.Variables'!$L83,+IF(M$18='5.Variables'!$B$90,+'5.Variables'!$L97,+IF(M$18='5.Variables'!$B$104,+'5.Variables'!$L111,0))))))</f>
        <v>31</v>
      </c>
      <c r="N89" s="697">
        <f>IF(N$18='5.Variables'!$B$16,+'5.Variables'!$L31,+IF(N$18='5.Variables'!$B$39,+'5.Variables'!$L55,+IF(N$18='5.Variables'!$B$62,+'5.Variables'!$L69,+IF(N$18='5.Variables'!$B$76,+'5.Variables'!$L83,+IF(N$18='5.Variables'!$B$90,+'5.Variables'!$L97,+IF(N$18='5.Variables'!$B$104,+'5.Variables'!$L111,0))))))</f>
        <v>141.69999999999999</v>
      </c>
      <c r="O89" s="697">
        <f>IF(O$18='5.Variables'!$B$16,+'5.Variables'!$L31,+IF(O$18='5.Variables'!$B$39,+'5.Variables'!$L55,+IF(O$18='5.Variables'!$B$62,+'5.Variables'!$L69,+IF(O$18='5.Variables'!$B$76,+'5.Variables'!$L83,+IF(O$18='5.Variables'!$B$90,+'5.Variables'!$L97,+IF(O$18='5.Variables'!$B$104,+'5.Variables'!$L111,0))))))</f>
        <v>0</v>
      </c>
      <c r="P89" s="697">
        <f>IF(P$18='5.Variables'!$B$16,+'5.Variables'!$L31,+IF(P$18='5.Variables'!$B$39,+'5.Variables'!$L55,+IF(P$18='5.Variables'!$B$62,+'5.Variables'!$L69,+IF(P$18='5.Variables'!$B$76,+'5.Variables'!$L83,+IF(P$18='5.Variables'!$B$90,+'5.Variables'!$L97,+IF(P$18='5.Variables'!$B$104,+'5.Variables'!$L111,0))))))</f>
        <v>352</v>
      </c>
      <c r="Q89" s="242"/>
      <c r="R89" s="260">
        <f t="shared" si="9"/>
        <v>19981823.614783596</v>
      </c>
      <c r="S89" s="262"/>
      <c r="T89" s="242"/>
      <c r="U89" s="242"/>
      <c r="V89" s="242"/>
      <c r="W89" s="242"/>
      <c r="X89" s="242"/>
      <c r="Y89" s="242"/>
      <c r="Z89" s="242"/>
      <c r="AA89" s="242"/>
      <c r="AB89" s="242"/>
      <c r="AC89" s="242"/>
      <c r="AD89" s="242"/>
      <c r="AE89" s="242"/>
      <c r="AF89" s="242"/>
      <c r="AG89" s="242"/>
      <c r="AH89" s="242"/>
      <c r="AI89" s="242"/>
      <c r="AJ89" s="242"/>
      <c r="AK89" s="242"/>
      <c r="AL89" s="242"/>
      <c r="AM89" s="242"/>
    </row>
    <row r="90" spans="1:39" x14ac:dyDescent="0.2">
      <c r="A90" s="500">
        <f t="shared" si="10"/>
        <v>71</v>
      </c>
      <c r="B90" s="259" t="str">
        <f>CONCATENATE('3. Consumption by Rate Class'!B95,"-",'3. Consumption by Rate Class'!C95)</f>
        <v>2011-November</v>
      </c>
      <c r="C90" s="670">
        <v>20676388</v>
      </c>
      <c r="D90" s="826"/>
      <c r="E90" s="827">
        <v>738926.16</v>
      </c>
      <c r="F90" s="826"/>
      <c r="G90" s="826">
        <f>'A - CDM Adjustment'!E29</f>
        <v>223490.38461538454</v>
      </c>
      <c r="H90" s="677"/>
      <c r="I90" s="677"/>
      <c r="J90" s="550">
        <f t="shared" si="8"/>
        <v>20160952.224615384</v>
      </c>
      <c r="K90" s="697">
        <f>IF(K$18='5.Variables'!$B$16,+'5.Variables'!$M32,+IF(K$18='5.Variables'!$B$39,+'5.Variables'!$M55,+IF(K$18='5.Variables'!$B$62,+'5.Variables'!$M69,+IF(K$18='5.Variables'!$B$76,+'5.Variables'!$M83,+IF(K$18='5.Variables'!$B$90,+'5.Variables'!$M97,+IF(K$18='5.Variables'!$B$104,+'5.Variables'!$M111,0))))))</f>
        <v>360.3</v>
      </c>
      <c r="L90" s="697">
        <f>IF(L$18='5.Variables'!$B$16,+'5.Variables'!$M31,+IF(L$18='5.Variables'!$B$39,+'5.Variables'!$M55,+IF(L$18='5.Variables'!$B$62,+'5.Variables'!$M69,+IF(L$18='5.Variables'!$B$76,+'5.Variables'!$M83,+IF(L$18='5.Variables'!$B$90,+'5.Variables'!$M97,+IF(L$18='5.Variables'!$B$104,+'5.Variables'!$M111,0))))))</f>
        <v>0</v>
      </c>
      <c r="M90" s="697">
        <f>IF(M$18='5.Variables'!$B$16,+'5.Variables'!$M31,+IF(M$18='5.Variables'!$B$39,+'5.Variables'!$M55,+IF(M$18='5.Variables'!$B$62,+'5.Variables'!$M69,+IF(M$18='5.Variables'!$B$76,+'5.Variables'!$M83,+IF(M$18='5.Variables'!$B$90,+'5.Variables'!$M97,+IF(M$18='5.Variables'!$B$104,+'5.Variables'!$M111,0))))))</f>
        <v>30</v>
      </c>
      <c r="N90" s="697">
        <f>IF(N$18='5.Variables'!$B$16,+'5.Variables'!$M31,+IF(N$18='5.Variables'!$B$39,+'5.Variables'!$M55,+IF(N$18='5.Variables'!$B$62,+'5.Variables'!$M69,+IF(N$18='5.Variables'!$B$76,+'5.Variables'!$M83,+IF(N$18='5.Variables'!$B$90,+'5.Variables'!$M97,+IF(N$18='5.Variables'!$B$104,+'5.Variables'!$M111,0))))))</f>
        <v>142</v>
      </c>
      <c r="O90" s="697">
        <f>IF(O$18='5.Variables'!$B$16,+'5.Variables'!$M31,+IF(O$18='5.Variables'!$B$39,+'5.Variables'!$M55,+IF(O$18='5.Variables'!$B$62,+'5.Variables'!$M69,+IF(O$18='5.Variables'!$B$76,+'5.Variables'!$M83,+IF(O$18='5.Variables'!$B$90,+'5.Variables'!$M97,+IF(O$18='5.Variables'!$B$104,+'5.Variables'!$M111,0))))))</f>
        <v>0</v>
      </c>
      <c r="P90" s="697">
        <f>IF(P$18='5.Variables'!$B$16,+'5.Variables'!$M31,+IF(P$18='5.Variables'!$B$39,+'5.Variables'!$M55,+IF(P$18='5.Variables'!$B$62,+'5.Variables'!$M69,+IF(P$18='5.Variables'!$B$76,+'5.Variables'!$M83,+IF(P$18='5.Variables'!$B$90,+'5.Variables'!$M97,+IF(P$18='5.Variables'!$B$104,+'5.Variables'!$M111,0))))))</f>
        <v>352</v>
      </c>
      <c r="Q90" s="242"/>
      <c r="R90" s="260">
        <f t="shared" si="9"/>
        <v>20366718.718417939</v>
      </c>
      <c r="S90" s="262"/>
      <c r="T90" s="242"/>
      <c r="U90" s="242"/>
      <c r="V90" s="242"/>
      <c r="W90" s="242"/>
      <c r="X90" s="242"/>
      <c r="Y90" s="242"/>
      <c r="Z90" s="242"/>
      <c r="AA90" s="242"/>
      <c r="AB90" s="242"/>
      <c r="AC90" s="242"/>
      <c r="AD90" s="242"/>
      <c r="AE90" s="242"/>
      <c r="AF90" s="242"/>
      <c r="AG90" s="242"/>
      <c r="AH90" s="242"/>
      <c r="AI90" s="242"/>
      <c r="AJ90" s="242"/>
      <c r="AK90" s="242"/>
      <c r="AL90" s="242"/>
      <c r="AM90" s="242"/>
    </row>
    <row r="91" spans="1:39" x14ac:dyDescent="0.2">
      <c r="A91" s="500">
        <f t="shared" si="10"/>
        <v>72</v>
      </c>
      <c r="B91" s="519" t="str">
        <f>CONCATENATE('3. Consumption by Rate Class'!B96,"-",'3. Consumption by Rate Class'!C96)</f>
        <v>2011-December</v>
      </c>
      <c r="C91" s="671">
        <v>22475131</v>
      </c>
      <c r="D91" s="828"/>
      <c r="E91" s="829">
        <v>858778.76</v>
      </c>
      <c r="F91" s="828"/>
      <c r="G91" s="828">
        <f>'A - CDM Adjustment'!E30</f>
        <v>243807.69230769222</v>
      </c>
      <c r="H91" s="679"/>
      <c r="I91" s="679"/>
      <c r="J91" s="550">
        <f t="shared" si="8"/>
        <v>21860159.93230769</v>
      </c>
      <c r="K91" s="697">
        <f>IF(K$18='5.Variables'!$B$16,+'5.Variables'!$N32,+IF(K$18='5.Variables'!$B$39,+'5.Variables'!$N55,+IF(K$18='5.Variables'!$B$62,+'5.Variables'!$N69,+IF(K$18='5.Variables'!$B$76,+'5.Variables'!$N83,+IF(K$18='5.Variables'!$B$90,+'5.Variables'!$N97,+IF(K$18='5.Variables'!$B$104,+'5.Variables'!$N111,0))))))</f>
        <v>546.20000000000005</v>
      </c>
      <c r="L91" s="697">
        <f>IF(L$18='5.Variables'!$B$16,+'5.Variables'!$N31,+IF(L$18='5.Variables'!$B$39,+'5.Variables'!$N55,+IF(L$18='5.Variables'!$B$62,+'5.Variables'!$N69,+IF(L$18='5.Variables'!$B$76,+'5.Variables'!$N83,+IF(L$18='5.Variables'!$B$90,+'5.Variables'!$N97,+IF(L$18='5.Variables'!$B$104,+'5.Variables'!$N111,0))))))</f>
        <v>0</v>
      </c>
      <c r="M91" s="697">
        <f>IF(M$18='5.Variables'!$B$16,+'5.Variables'!$N31,+IF(M$18='5.Variables'!$B$39,+'5.Variables'!$N55,+IF(M$18='5.Variables'!$B$62,+'5.Variables'!$N69,+IF(M$18='5.Variables'!$B$76,+'5.Variables'!$N83,+IF(M$18='5.Variables'!$B$90,+'5.Variables'!$N97,+IF(M$18='5.Variables'!$B$104,+'5.Variables'!$N111,0))))))</f>
        <v>31</v>
      </c>
      <c r="N91" s="697">
        <f>IF(N$18='5.Variables'!$B$16,+'5.Variables'!$N31,+IF(N$18='5.Variables'!$B$39,+'5.Variables'!$N55,+IF(N$18='5.Variables'!$B$62,+'5.Variables'!$N69,+IF(N$18='5.Variables'!$B$76,+'5.Variables'!$N83,+IF(N$18='5.Variables'!$B$90,+'5.Variables'!$N97,+IF(N$18='5.Variables'!$B$104,+'5.Variables'!$N111,0))))))</f>
        <v>142.30000000000001</v>
      </c>
      <c r="O91" s="697">
        <f>IF(O$18='5.Variables'!$B$16,+'5.Variables'!$N31,+IF(O$18='5.Variables'!$B$39,+'5.Variables'!$N55,+IF(O$18='5.Variables'!$B$62,+'5.Variables'!$N69,+IF(O$18='5.Variables'!$B$76,+'5.Variables'!$N83,+IF(O$18='5.Variables'!$B$90,+'5.Variables'!$N97,+IF(O$18='5.Variables'!$B$104,+'5.Variables'!$N111,0))))))</f>
        <v>0</v>
      </c>
      <c r="P91" s="697">
        <f>IF(P$18='5.Variables'!$B$16,+'5.Variables'!$N31,+IF(P$18='5.Variables'!$B$39,+'5.Variables'!$N55,+IF(P$18='5.Variables'!$B$62,+'5.Variables'!$N69,+IF(P$18='5.Variables'!$B$76,+'5.Variables'!$N83,+IF(P$18='5.Variables'!$B$90,+'5.Variables'!$N97,+IF(P$18='5.Variables'!$B$104,+'5.Variables'!$N111,0))))))</f>
        <v>304</v>
      </c>
      <c r="Q91" s="242"/>
      <c r="R91" s="260">
        <f t="shared" si="9"/>
        <v>21601286.718812056</v>
      </c>
      <c r="S91" s="262">
        <f>SUM(R80:R91)</f>
        <v>248673994.55355757</v>
      </c>
      <c r="T91" s="242"/>
      <c r="U91" s="242"/>
      <c r="V91" s="242"/>
      <c r="W91" s="242"/>
      <c r="X91" s="242"/>
      <c r="Y91" s="242"/>
      <c r="Z91" s="242"/>
      <c r="AA91" s="242"/>
      <c r="AB91" s="242"/>
      <c r="AC91" s="242"/>
      <c r="AD91" s="242"/>
      <c r="AE91" s="242"/>
      <c r="AF91" s="242"/>
      <c r="AG91" s="242"/>
      <c r="AH91" s="242"/>
      <c r="AI91" s="242"/>
      <c r="AJ91" s="242"/>
      <c r="AK91" s="242"/>
      <c r="AL91" s="242"/>
      <c r="AM91" s="242"/>
    </row>
    <row r="92" spans="1:39" x14ac:dyDescent="0.2">
      <c r="A92" s="500">
        <f t="shared" si="10"/>
        <v>73</v>
      </c>
      <c r="B92" s="259" t="str">
        <f>CONCATENATE('3. Consumption by Rate Class'!B97,"-",'3. Consumption by Rate Class'!C97)</f>
        <v>2012-January</v>
      </c>
      <c r="C92" s="670">
        <v>24661415</v>
      </c>
      <c r="D92" s="826"/>
      <c r="E92" s="827">
        <v>1463576.41</v>
      </c>
      <c r="F92" s="826"/>
      <c r="G92" s="826">
        <f>'A - CDM Adjustment'!E32</f>
        <v>28444.230769230766</v>
      </c>
      <c r="H92" s="677"/>
      <c r="I92" s="677"/>
      <c r="J92" s="550">
        <f t="shared" si="8"/>
        <v>23226282.820769232</v>
      </c>
      <c r="K92" s="697">
        <f>IF(K$18='5.Variables'!$B$16,+'5.Variables'!$C33,+IF(K$18='5.Variables'!$B$39,+'5.Variables'!$C56,+IF(K$18='5.Variables'!$B$62,+'5.Variables'!$C70,+IF(K$18='5.Variables'!$B$76,+'5.Variables'!$C84,+IF(K$18='5.Variables'!$B$90,+'5.Variables'!$C98,+IF(K$18='5.Variables'!$B$104,+'5.Variables'!$C112,0))))))</f>
        <v>633</v>
      </c>
      <c r="L92" s="697">
        <f>IF(L$18='5.Variables'!$B$16,+'5.Variables'!$C32,+IF(L$18='5.Variables'!$B$39,+'5.Variables'!$C56,+IF(L$18='5.Variables'!$B$62,+'5.Variables'!$C70,+IF(L$18='5.Variables'!$B$76,+'5.Variables'!$C84,+IF(L$18='5.Variables'!$B$90,+'5.Variables'!$C98,+IF(L$18='5.Variables'!$B$104,+'5.Variables'!$C112,0))))))</f>
        <v>0</v>
      </c>
      <c r="M92" s="697">
        <f>IF(M$18='5.Variables'!$B$16,+'5.Variables'!$C32,+IF(M$18='5.Variables'!$B$39,+'5.Variables'!$C56,+IF(M$18='5.Variables'!$B$62,+'5.Variables'!$C70,+IF(M$18='5.Variables'!$B$76,+'5.Variables'!$C84,+IF(M$18='5.Variables'!$B$90,+'5.Variables'!$C98,+IF(M$18='5.Variables'!$B$104,+'5.Variables'!$C112,0))))))</f>
        <v>31</v>
      </c>
      <c r="N92" s="697">
        <f>IF(N$18='5.Variables'!$B$16,+'5.Variables'!$C32,+IF(N$18='5.Variables'!$B$39,+'5.Variables'!$C56,+IF(N$18='5.Variables'!$B$62,+'5.Variables'!$C70,+IF(N$18='5.Variables'!$B$76,+'5.Variables'!$C84,+IF(N$18='5.Variables'!$B$90,+'5.Variables'!$C98,+IF(N$18='5.Variables'!$B$104,+'5.Variables'!$C112,0))))))</f>
        <v>142.6</v>
      </c>
      <c r="O92" s="697">
        <f>IF(O$18='5.Variables'!$B$16,+'5.Variables'!$C32,+IF(O$18='5.Variables'!$B$39,+'5.Variables'!$C56,+IF(O$18='5.Variables'!$B$62,+'5.Variables'!$C70,+IF(O$18='5.Variables'!$B$76,+'5.Variables'!$C84,+IF(O$18='5.Variables'!$B$90,+'5.Variables'!$C98,+IF(O$18='5.Variables'!$B$104,+'5.Variables'!$C112,0))))))</f>
        <v>0</v>
      </c>
      <c r="P92" s="697">
        <f>IF(P$18='5.Variables'!$B$16,+'5.Variables'!$C32,+IF(P$18='5.Variables'!$B$39,+'5.Variables'!$C56,+IF(P$18='5.Variables'!$B$62,+'5.Variables'!$C70,+IF(P$18='5.Variables'!$B$76,+'5.Variables'!$C84,+IF(P$18='5.Variables'!$B$90,+'5.Variables'!$C98,+IF(P$18='5.Variables'!$B$104,+'5.Variables'!$C112,0))))))</f>
        <v>352</v>
      </c>
      <c r="Q92" s="242"/>
      <c r="R92" s="260">
        <f t="shared" si="9"/>
        <v>22540762.124461967</v>
      </c>
      <c r="S92" s="262"/>
      <c r="T92" s="242"/>
      <c r="U92" s="242"/>
      <c r="V92" s="242"/>
      <c r="W92" s="242"/>
      <c r="X92" s="242"/>
      <c r="Y92" s="242"/>
      <c r="Z92" s="242"/>
      <c r="AA92" s="242"/>
      <c r="AB92" s="242"/>
      <c r="AC92" s="242"/>
      <c r="AD92" s="242"/>
      <c r="AE92" s="242"/>
      <c r="AF92" s="242"/>
      <c r="AG92" s="242"/>
      <c r="AH92" s="242"/>
      <c r="AI92" s="242"/>
      <c r="AJ92" s="242"/>
      <c r="AK92" s="242"/>
      <c r="AL92" s="242"/>
      <c r="AM92" s="242"/>
    </row>
    <row r="93" spans="1:39" x14ac:dyDescent="0.2">
      <c r="A93" s="500">
        <f t="shared" si="10"/>
        <v>74</v>
      </c>
      <c r="B93" s="259" t="str">
        <f>CONCATENATE('3. Consumption by Rate Class'!B98,"-",'3. Consumption by Rate Class'!C98)</f>
        <v>2012-February</v>
      </c>
      <c r="C93" s="670">
        <v>22891233</v>
      </c>
      <c r="D93" s="826"/>
      <c r="E93" s="827">
        <v>1703758.76</v>
      </c>
      <c r="F93" s="826"/>
      <c r="G93" s="826">
        <f>'A - CDM Adjustment'!E33</f>
        <v>56888.461538461532</v>
      </c>
      <c r="H93" s="677"/>
      <c r="I93" s="677"/>
      <c r="J93" s="550">
        <f t="shared" si="8"/>
        <v>21244362.701538458</v>
      </c>
      <c r="K93" s="697">
        <f>IF(K$18='5.Variables'!$B$16,+'5.Variables'!$D33+IF(K$18='5.Variables'!$B$39,+'5.Variables'!$D56,+IF(K$18='5.Variables'!$B$62,+'5.Variables'!$D70,+IF(K$18='5.Variables'!$B$76,+'5.Variables'!$D84,+IF(K$18='5.Variables'!$B$90,+'5.Variables'!$D98,+IF(K$18='5.Variables'!$B$104,+'5.Variables'!$D112,0))))))</f>
        <v>539.6</v>
      </c>
      <c r="L93" s="697">
        <f>IF(L$18='5.Variables'!$B$16,+'5.Variables'!$D32,+IF(L$18='5.Variables'!$B$39,+'5.Variables'!$D56,+IF(L$18='5.Variables'!$B$62,+'5.Variables'!$D70,+IF(L$18='5.Variables'!$B$76,+'5.Variables'!$D84,+IF(L$18='5.Variables'!$B$90,+'5.Variables'!$D98,+IF(L$18='5.Variables'!$B$104,+'5.Variables'!$D112,0))))))</f>
        <v>0</v>
      </c>
      <c r="M93" s="697">
        <f>IF(M$18='5.Variables'!$B$16,+'5.Variables'!$D32,+IF(M$18='5.Variables'!$B$39,+'5.Variables'!$D56,+IF(M$18='5.Variables'!$B$62,+'5.Variables'!$D70,+IF(M$18='5.Variables'!$B$76,+'5.Variables'!$D84,+IF(M$18='5.Variables'!$B$90,+'5.Variables'!$D98,+IF(M$18='5.Variables'!$B$104,+'5.Variables'!$D112,0))))))</f>
        <v>29</v>
      </c>
      <c r="N93" s="697">
        <f>IF(N$18='5.Variables'!$B$16,+'5.Variables'!$D32,+IF(N$18='5.Variables'!$B$39,+'5.Variables'!$D56,+IF(N$18='5.Variables'!$B$62,+'5.Variables'!$D70,+IF(N$18='5.Variables'!$B$76,+'5.Variables'!$D84,+IF(N$18='5.Variables'!$B$90,+'5.Variables'!$D98,+IF(N$18='5.Variables'!$B$104,+'5.Variables'!$D112,0))))))</f>
        <v>142.9</v>
      </c>
      <c r="O93" s="697">
        <f>IF(O$18='5.Variables'!$B$16,+'5.Variables'!$D32,+IF(O$18='5.Variables'!$B$39,+'5.Variables'!$D56,+IF(O$18='5.Variables'!$B$62,+'5.Variables'!$D70,+IF(O$18='5.Variables'!$B$76,+'5.Variables'!$D84,+IF(O$18='5.Variables'!$B$90,+'5.Variables'!$D98,+IF(O$18='5.Variables'!$B$104,+'5.Variables'!$D112,0))))))</f>
        <v>0</v>
      </c>
      <c r="P93" s="697">
        <f>IF(P$18='5.Variables'!$B$16,+'5.Variables'!$D32,+IF(P$18='5.Variables'!$B$39,+'5.Variables'!$D56,+IF(P$18='5.Variables'!$B$62,+'5.Variables'!$D70,+IF(P$18='5.Variables'!$B$76,+'5.Variables'!$D84,+IF(P$18='5.Variables'!$B$90,+'5.Variables'!$D98,+IF(P$18='5.Variables'!$B$104,+'5.Variables'!$D112,0))))))</f>
        <v>320</v>
      </c>
      <c r="Q93" s="242"/>
      <c r="R93" s="260">
        <f t="shared" si="9"/>
        <v>20938190.39194316</v>
      </c>
      <c r="S93" s="262"/>
      <c r="T93" s="242"/>
      <c r="U93" s="242"/>
      <c r="V93" s="242"/>
      <c r="W93" s="242"/>
      <c r="X93" s="242"/>
      <c r="Y93" s="242"/>
      <c r="Z93" s="242"/>
      <c r="AA93" s="242"/>
      <c r="AB93" s="242"/>
      <c r="AC93" s="242"/>
      <c r="AD93" s="242"/>
      <c r="AE93" s="242"/>
      <c r="AF93" s="242"/>
      <c r="AG93" s="242"/>
      <c r="AH93" s="242"/>
      <c r="AI93" s="242"/>
      <c r="AJ93" s="242"/>
      <c r="AK93" s="242"/>
      <c r="AL93" s="242"/>
      <c r="AM93" s="242"/>
    </row>
    <row r="94" spans="1:39" x14ac:dyDescent="0.2">
      <c r="A94" s="500">
        <f t="shared" si="10"/>
        <v>75</v>
      </c>
      <c r="B94" s="259" t="str">
        <f>CONCATENATE('3. Consumption by Rate Class'!B99,"-",'3. Consumption by Rate Class'!C99)</f>
        <v>2012-March</v>
      </c>
      <c r="C94" s="670">
        <v>22613348</v>
      </c>
      <c r="D94" s="826"/>
      <c r="E94" s="827">
        <v>1845227.44</v>
      </c>
      <c r="F94" s="826"/>
      <c r="G94" s="826">
        <f>'A - CDM Adjustment'!E34</f>
        <v>85332.692307692283</v>
      </c>
      <c r="H94" s="677"/>
      <c r="I94" s="677"/>
      <c r="J94" s="550">
        <f t="shared" si="8"/>
        <v>20853453.252307691</v>
      </c>
      <c r="K94" s="697">
        <f>IF(K$18='5.Variables'!$B$16,+'5.Variables'!$E33,+IF(K$18='5.Variables'!$B$39,+'5.Variables'!$E56,+IF(K$18='5.Variables'!$B$62,+'5.Variables'!$E70,+IF(K$18='5.Variables'!$B$76,+'5.Variables'!$E84,+IF(K$18='5.Variables'!$B$90,+'5.Variables'!$E98,+IF(K$18='5.Variables'!$B$104,+'5.Variables'!$E112,0))))))</f>
        <v>425.1</v>
      </c>
      <c r="L94" s="697">
        <f>IF(L$18='5.Variables'!$B$16,+'5.Variables'!$E32,+IF(L$18='5.Variables'!$B$39,+'5.Variables'!$E56,+IF(L$18='5.Variables'!$B$62,+'5.Variables'!$E70,+IF(L$18='5.Variables'!$B$76,+'5.Variables'!$E84,+IF(L$18='5.Variables'!$B$90,+'5.Variables'!$E98,+IF(L$18='5.Variables'!$B$104,+'5.Variables'!$E112,0))))))</f>
        <v>0</v>
      </c>
      <c r="M94" s="697">
        <f>IF(M$18='5.Variables'!$B$16,+'5.Variables'!$E32,+IF(M$18='5.Variables'!$B$39,+'5.Variables'!$E56,+IF(M$18='5.Variables'!$B$62,+'5.Variables'!$E70,+IF(M$18='5.Variables'!$B$76,+'5.Variables'!$E84,+IF(M$18='5.Variables'!$B$90,+'5.Variables'!$E98,+IF(M$18='5.Variables'!$B$104,+'5.Variables'!$E112,0))))))</f>
        <v>31</v>
      </c>
      <c r="N94" s="697">
        <f>IF(N$18='5.Variables'!$B$16,+'5.Variables'!$E32,+IF(N$18='5.Variables'!$B$39,+'5.Variables'!$E56,+IF(N$18='5.Variables'!$B$62,+'5.Variables'!$E70,+IF(N$18='5.Variables'!$B$76,+'5.Variables'!$E84,+IF(N$18='5.Variables'!$B$90,+'5.Variables'!$E98,+IF(N$18='5.Variables'!$B$104,+'5.Variables'!$E112,0))))))</f>
        <v>143.19999999999999</v>
      </c>
      <c r="O94" s="697">
        <f>IF(O$18='5.Variables'!$B$16,+'5.Variables'!$E32,+IF(O$18='5.Variables'!$B$39,+'5.Variables'!$E56,+IF(O$18='5.Variables'!$B$62,+'5.Variables'!$E70,+IF(O$18='5.Variables'!$B$76,+'5.Variables'!$E84,+IF(O$18='5.Variables'!$B$90,+'5.Variables'!$E98,+IF(O$18='5.Variables'!$B$104,+'5.Variables'!$E112,0))))))</f>
        <v>0</v>
      </c>
      <c r="P94" s="697">
        <f>IF(P$18='5.Variables'!$B$16,+'5.Variables'!$E32,+IF(P$18='5.Variables'!$B$39,+'5.Variables'!$E56,+IF(P$18='5.Variables'!$B$62,+'5.Variables'!$E70,+IF(P$18='5.Variables'!$B$76,+'5.Variables'!$E84,+IF(P$18='5.Variables'!$B$90,+'5.Variables'!$E98,+IF(P$18='5.Variables'!$B$104,+'5.Variables'!$E112,0))))))</f>
        <v>304</v>
      </c>
      <c r="Q94" s="242"/>
      <c r="R94" s="260">
        <f t="shared" si="9"/>
        <v>20838618.161432341</v>
      </c>
      <c r="S94" s="262"/>
      <c r="T94" s="242"/>
      <c r="U94" s="242"/>
      <c r="V94" s="242"/>
      <c r="W94" s="242"/>
      <c r="X94" s="242"/>
      <c r="Y94" s="242"/>
      <c r="Z94" s="242"/>
      <c r="AA94" s="242"/>
      <c r="AB94" s="242"/>
      <c r="AC94" s="242"/>
      <c r="AD94" s="242"/>
      <c r="AE94" s="242"/>
      <c r="AF94" s="242"/>
      <c r="AG94" s="242"/>
      <c r="AH94" s="242"/>
      <c r="AI94" s="242"/>
      <c r="AJ94" s="242"/>
      <c r="AK94" s="242"/>
      <c r="AL94" s="242"/>
      <c r="AM94" s="242"/>
    </row>
    <row r="95" spans="1:39" x14ac:dyDescent="0.2">
      <c r="A95" s="500">
        <f t="shared" si="10"/>
        <v>76</v>
      </c>
      <c r="B95" s="259" t="str">
        <f>CONCATENATE('3. Consumption by Rate Class'!B100,"-",'3. Consumption by Rate Class'!C100)</f>
        <v>2012-April</v>
      </c>
      <c r="C95" s="670">
        <v>20387692</v>
      </c>
      <c r="D95" s="826"/>
      <c r="E95" s="827">
        <v>1627383.9</v>
      </c>
      <c r="F95" s="826"/>
      <c r="G95" s="826">
        <f>'A - CDM Adjustment'!E35</f>
        <v>113776.92307692303</v>
      </c>
      <c r="H95" s="677"/>
      <c r="I95" s="677"/>
      <c r="J95" s="550">
        <f t="shared" si="8"/>
        <v>18874085.023076925</v>
      </c>
      <c r="K95" s="697">
        <f>IF(K$18='5.Variables'!$B$16,+'5.Variables'!$F33,+IF(K$18='5.Variables'!$B$39,+'5.Variables'!$F56,+IF(K$18='5.Variables'!$B$62,+'5.Variables'!$F70,+IF(K$18='5.Variables'!$B$76,+'5.Variables'!$F84,+IF(K$18='5.Variables'!$B$90,+'5.Variables'!$F98,+IF(K$18='5.Variables'!$B$104,+'5.Variables'!$F112,0))))))</f>
        <v>355.6</v>
      </c>
      <c r="L95" s="697">
        <f>IF(L$18='5.Variables'!$B$16,+'5.Variables'!$F32,+IF(L$18='5.Variables'!$B$39,+'5.Variables'!$F56,+IF(L$18='5.Variables'!$B$62,+'5.Variables'!$F70,+IF(L$18='5.Variables'!$B$76,+'5.Variables'!$F84,+IF(L$18='5.Variables'!$B$90,+'5.Variables'!$F98,+IF(L$18='5.Variables'!$B$104,+'5.Variables'!$F112,0))))))</f>
        <v>0</v>
      </c>
      <c r="M95" s="697">
        <f>IF(M$18='5.Variables'!$B$16,+'5.Variables'!$F32,+IF(M$18='5.Variables'!$B$39,+'5.Variables'!$F56,+IF(M$18='5.Variables'!$B$62,+'5.Variables'!$F70,+IF(M$18='5.Variables'!$B$76,+'5.Variables'!$F84,+IF(M$18='5.Variables'!$B$90,+'5.Variables'!$F98,+IF(M$18='5.Variables'!$B$104,+'5.Variables'!$F112,0))))))</f>
        <v>30</v>
      </c>
      <c r="N95" s="697">
        <f>IF(N$18='5.Variables'!$B$16,+'5.Variables'!$F32,+IF(N$18='5.Variables'!$B$39,+'5.Variables'!$F56,+IF(N$18='5.Variables'!$B$62,+'5.Variables'!$F70,+IF(N$18='5.Variables'!$B$76,+'5.Variables'!$F84,+IF(N$18='5.Variables'!$B$90,+'5.Variables'!$F98,+IF(N$18='5.Variables'!$B$104,+'5.Variables'!$F112,0))))))</f>
        <v>143.5</v>
      </c>
      <c r="O95" s="697">
        <f>IF(O$18='5.Variables'!$B$16,+'5.Variables'!$F32,+IF(O$18='5.Variables'!$B$39,+'5.Variables'!$F56,+IF(O$18='5.Variables'!$B$62,+'5.Variables'!$F70,+IF(O$18='5.Variables'!$B$76,+'5.Variables'!$F84,+IF(O$18='5.Variables'!$B$90,+'5.Variables'!$F98,+IF(O$18='5.Variables'!$B$104,+'5.Variables'!$F112,0))))))</f>
        <v>0</v>
      </c>
      <c r="P95" s="697">
        <f>IF(P$18='5.Variables'!$B$16,+'5.Variables'!$F32,+IF(P$18='5.Variables'!$B$39,+'5.Variables'!$F56,+IF(P$18='5.Variables'!$B$62,+'5.Variables'!$F70,+IF(P$18='5.Variables'!$B$76,+'5.Variables'!$F84,+IF(P$18='5.Variables'!$B$90,+'5.Variables'!$F98,+IF(P$18='5.Variables'!$B$104,+'5.Variables'!$F112,0))))))</f>
        <v>352</v>
      </c>
      <c r="Q95" s="242"/>
      <c r="R95" s="260">
        <f t="shared" si="9"/>
        <v>20380028.687488992</v>
      </c>
      <c r="S95" s="262"/>
      <c r="T95" s="242"/>
      <c r="U95" s="242"/>
      <c r="V95" s="242"/>
      <c r="W95" s="242"/>
      <c r="X95" s="242"/>
      <c r="Y95" s="242"/>
      <c r="Z95" s="242"/>
      <c r="AA95" s="242"/>
      <c r="AB95" s="242"/>
      <c r="AC95" s="242"/>
      <c r="AD95" s="242"/>
      <c r="AE95" s="242"/>
      <c r="AF95" s="242"/>
      <c r="AG95" s="242"/>
      <c r="AH95" s="242"/>
      <c r="AI95" s="242"/>
      <c r="AJ95" s="242"/>
      <c r="AK95" s="242"/>
      <c r="AL95" s="242"/>
      <c r="AM95" s="242"/>
    </row>
    <row r="96" spans="1:39" x14ac:dyDescent="0.2">
      <c r="A96" s="500">
        <f t="shared" si="10"/>
        <v>77</v>
      </c>
      <c r="B96" s="259" t="str">
        <f>CONCATENATE('3. Consumption by Rate Class'!B101,"-",'3. Consumption by Rate Class'!C101)</f>
        <v>2012-May</v>
      </c>
      <c r="C96" s="670">
        <v>20532741</v>
      </c>
      <c r="D96" s="826"/>
      <c r="E96" s="827">
        <v>1520891.52</v>
      </c>
      <c r="F96" s="826"/>
      <c r="G96" s="826">
        <f>'A - CDM Adjustment'!E36</f>
        <v>142221.15384615379</v>
      </c>
      <c r="H96" s="677"/>
      <c r="I96" s="677"/>
      <c r="J96" s="550">
        <f t="shared" si="8"/>
        <v>19154070.633846153</v>
      </c>
      <c r="K96" s="697">
        <f>IF(K$18='5.Variables'!$B$16,+'5.Variables'!$G33,+IF(K$18='5.Variables'!$B$39,+'5.Variables'!$G56,+IF(K$18='5.Variables'!$B$62,+'5.Variables'!$G70,+IF(K$18='5.Variables'!$B$76,+'5.Variables'!$G84,+IF(K$18='5.Variables'!$B$90,+'5.Variables'!$G98,+IF(K$18='5.Variables'!$B$104,+'5.Variables'!$G112,0))))))</f>
        <v>136</v>
      </c>
      <c r="L96" s="697">
        <f>IF(L$18='5.Variables'!$B$16,+'5.Variables'!$G32,+IF(L$18='5.Variables'!$B$39,+'5.Variables'!$G56,+IF(L$18='5.Variables'!$B$62,+'5.Variables'!$G70,+IF(L$18='5.Variables'!$B$76,+'5.Variables'!$G84,+IF(L$18='5.Variables'!$B$90,+'5.Variables'!$G98,+IF(L$18='5.Variables'!$B$104,+'5.Variables'!$G112,0))))))</f>
        <v>5.6</v>
      </c>
      <c r="M96" s="697">
        <f>IF(M$18='5.Variables'!$B$16,+'5.Variables'!$G32,+IF(M$18='5.Variables'!$B$39,+'5.Variables'!$G56,+IF(M$18='5.Variables'!$B$62,+'5.Variables'!$G70,+IF(M$18='5.Variables'!$B$76,+'5.Variables'!$G84,+IF(M$18='5.Variables'!$B$90,+'5.Variables'!$G98,+IF(M$18='5.Variables'!$B$104,+'5.Variables'!$G112,0))))))</f>
        <v>31</v>
      </c>
      <c r="N96" s="697">
        <f>IF(N$18='5.Variables'!$B$16,+'5.Variables'!$G32,+IF(N$18='5.Variables'!$B$39,+'5.Variables'!$G56,+IF(N$18='5.Variables'!$B$62,+'5.Variables'!$G70,+IF(N$18='5.Variables'!$B$76,+'5.Variables'!$G84,+IF(N$18='5.Variables'!$B$90,+'5.Variables'!$G98,+IF(N$18='5.Variables'!$B$104,+'5.Variables'!$G112,0))))))</f>
        <v>143.80000000000001</v>
      </c>
      <c r="O96" s="697">
        <f>IF(O$18='5.Variables'!$B$16,+'5.Variables'!$G32,+IF(O$18='5.Variables'!$B$39,+'5.Variables'!$G56,+IF(O$18='5.Variables'!$B$62,+'5.Variables'!$G70,+IF(O$18='5.Variables'!$B$76,+'5.Variables'!$G84,+IF(O$18='5.Variables'!$B$90,+'5.Variables'!$G98,+IF(O$18='5.Variables'!$B$104,+'5.Variables'!$G112,0))))))</f>
        <v>0</v>
      </c>
      <c r="P96" s="697">
        <f>IF(P$18='5.Variables'!$B$16,+'5.Variables'!$G32,+IF(P$18='5.Variables'!$B$39,+'5.Variables'!$G56,+IF(P$18='5.Variables'!$B$62,+'5.Variables'!$G70,+IF(P$18='5.Variables'!$B$76,+'5.Variables'!$G84,+IF(P$18='5.Variables'!$B$90,+'5.Variables'!$G98,+IF(P$18='5.Variables'!$B$104,+'5.Variables'!$G112,0))))))</f>
        <v>336</v>
      </c>
      <c r="Q96" s="242"/>
      <c r="R96" s="260">
        <f t="shared" si="9"/>
        <v>19438889.351827629</v>
      </c>
      <c r="S96" s="262"/>
      <c r="T96" s="242"/>
      <c r="U96" s="242"/>
      <c r="V96" s="242"/>
      <c r="W96" s="242"/>
      <c r="X96" s="242"/>
      <c r="Y96" s="242"/>
      <c r="Z96" s="242"/>
      <c r="AA96" s="242"/>
      <c r="AB96" s="242"/>
      <c r="AC96" s="242"/>
      <c r="AD96" s="242"/>
      <c r="AE96" s="242"/>
      <c r="AF96" s="242"/>
      <c r="AG96" s="242"/>
      <c r="AH96" s="242"/>
      <c r="AI96" s="242"/>
      <c r="AJ96" s="242"/>
      <c r="AK96" s="242"/>
      <c r="AL96" s="242"/>
      <c r="AM96" s="242"/>
    </row>
    <row r="97" spans="1:39" x14ac:dyDescent="0.2">
      <c r="A97" s="500">
        <f t="shared" si="10"/>
        <v>78</v>
      </c>
      <c r="B97" s="259" t="str">
        <f>CONCATENATE('3. Consumption by Rate Class'!B102,"-",'3. Consumption by Rate Class'!C102)</f>
        <v>2012-June</v>
      </c>
      <c r="C97" s="670">
        <v>21256195</v>
      </c>
      <c r="D97" s="826"/>
      <c r="E97" s="827">
        <v>1345782.12</v>
      </c>
      <c r="F97" s="826"/>
      <c r="G97" s="826">
        <f>'A - CDM Adjustment'!E37</f>
        <v>170665.38461538454</v>
      </c>
      <c r="H97" s="677"/>
      <c r="I97" s="677"/>
      <c r="J97" s="550">
        <f t="shared" si="8"/>
        <v>20081078.264615383</v>
      </c>
      <c r="K97" s="697">
        <f>IF(K$18='5.Variables'!$B$16,+'5.Variables'!$H33,+IF(K$18='5.Variables'!$B$39,+'5.Variables'!$H56,+IF(K$18='5.Variables'!$B$62,+'5.Variables'!$H70,+IF(K$18='5.Variables'!$B$76,+'5.Variables'!$H84,+IF(K$18='5.Variables'!$B$90,+'5.Variables'!$H98,+IF(K$18='5.Variables'!$B$104,+'5.Variables'!$H112,0))))))</f>
        <v>36.6</v>
      </c>
      <c r="L97" s="697">
        <f>IF(L$18='5.Variables'!$B$16,+'5.Variables'!$H32,+IF(L$18='5.Variables'!$B$39,+'5.Variables'!$H56,+IF(L$18='5.Variables'!$B$62,+'5.Variables'!$H70,+IF(L$18='5.Variables'!$B$76,+'5.Variables'!$H84,+IF(L$18='5.Variables'!$B$90,+'5.Variables'!$H98,+IF(L$18='5.Variables'!$B$104,+'5.Variables'!$H112,0))))))</f>
        <v>39.299999999999997</v>
      </c>
      <c r="M97" s="697">
        <f>IF(M$18='5.Variables'!$B$16,+'5.Variables'!$H32,+IF(M$18='5.Variables'!$B$39,+'5.Variables'!$H56,+IF(M$18='5.Variables'!$B$62,+'5.Variables'!$H70,+IF(M$18='5.Variables'!$B$76,+'5.Variables'!$H84,+IF(M$18='5.Variables'!$B$90,+'5.Variables'!$H98,+IF(M$18='5.Variables'!$B$104,+'5.Variables'!$H112,0))))))</f>
        <v>30</v>
      </c>
      <c r="N97" s="697">
        <f>IF(N$18='5.Variables'!$B$16,+'5.Variables'!$H32,+IF(N$18='5.Variables'!$B$39,+'5.Variables'!$H56,+IF(N$18='5.Variables'!$B$62,+'5.Variables'!$H70,+IF(N$18='5.Variables'!$B$76,+'5.Variables'!$H84,+IF(N$18='5.Variables'!$B$90,+'5.Variables'!$H98,+IF(N$18='5.Variables'!$B$104,+'5.Variables'!$H112,0))))))</f>
        <v>144.11000000000001</v>
      </c>
      <c r="O97" s="697">
        <f>IF(O$18='5.Variables'!$B$16,+'5.Variables'!$H32,+IF(O$18='5.Variables'!$B$39,+'5.Variables'!$H56,+IF(O$18='5.Variables'!$B$62,+'5.Variables'!$H70,+IF(O$18='5.Variables'!$B$76,+'5.Variables'!$H84,+IF(O$18='5.Variables'!$B$90,+'5.Variables'!$H98,+IF(O$18='5.Variables'!$B$104,+'5.Variables'!$H112,0))))))</f>
        <v>0</v>
      </c>
      <c r="P97" s="697">
        <f>IF(P$18='5.Variables'!$B$16,+'5.Variables'!$H32,+IF(P$18='5.Variables'!$B$39,+'5.Variables'!$H56,+IF(P$18='5.Variables'!$B$62,+'5.Variables'!$H70,+IF(P$18='5.Variables'!$B$76,+'5.Variables'!$H84,+IF(P$18='5.Variables'!$B$90,+'5.Variables'!$H98,+IF(P$18='5.Variables'!$B$104,+'5.Variables'!$H112,0))))))</f>
        <v>336</v>
      </c>
      <c r="Q97" s="242"/>
      <c r="R97" s="260">
        <f t="shared" si="9"/>
        <v>19762038.813524146</v>
      </c>
      <c r="S97" s="262"/>
      <c r="T97" s="242"/>
      <c r="U97" s="242"/>
      <c r="V97" s="242"/>
      <c r="W97" s="242"/>
      <c r="X97" s="242"/>
      <c r="Y97" s="242"/>
      <c r="Z97" s="242"/>
      <c r="AA97" s="242"/>
      <c r="AB97" s="242"/>
      <c r="AC97" s="242"/>
      <c r="AD97" s="242"/>
      <c r="AE97" s="242"/>
      <c r="AF97" s="242"/>
      <c r="AG97" s="242"/>
      <c r="AH97" s="242"/>
      <c r="AI97" s="242"/>
      <c r="AJ97" s="242"/>
      <c r="AK97" s="242"/>
      <c r="AL97" s="242"/>
      <c r="AM97" s="242"/>
    </row>
    <row r="98" spans="1:39" x14ac:dyDescent="0.2">
      <c r="A98" s="500">
        <f t="shared" si="10"/>
        <v>79</v>
      </c>
      <c r="B98" s="259" t="str">
        <f>CONCATENATE('3. Consumption by Rate Class'!B103,"-",'3. Consumption by Rate Class'!C103)</f>
        <v>2012-July</v>
      </c>
      <c r="C98" s="670">
        <v>23878303</v>
      </c>
      <c r="D98" s="826"/>
      <c r="E98" s="827">
        <v>1406539.73</v>
      </c>
      <c r="F98" s="826"/>
      <c r="G98" s="826">
        <f>'A - CDM Adjustment'!E38</f>
        <v>199109.61538461532</v>
      </c>
      <c r="H98" s="677"/>
      <c r="I98" s="677"/>
      <c r="J98" s="550">
        <f t="shared" si="8"/>
        <v>22670872.885384616</v>
      </c>
      <c r="K98" s="697">
        <f>IF(K$18='5.Variables'!$B$16,+'5.Variables'!$I33,+IF(K$18='5.Variables'!$B$39,+'5.Variables'!$I56,+IF(K$18='5.Variables'!$B$62,+'5.Variables'!$I70,+IF(K$18='5.Variables'!$B$76,+'5.Variables'!$I84,+IF(K$18='5.Variables'!$B$90,+'5.Variables'!$I98,+IF(K$18='5.Variables'!$B$104,+'5.Variables'!$I112,0))))))</f>
        <v>0</v>
      </c>
      <c r="L98" s="697">
        <f>IF(L$18='5.Variables'!$B$16,+'5.Variables'!$I32,+IF(L$18='5.Variables'!$B$39,+'5.Variables'!$I56,+IF(L$18='5.Variables'!$B$62,+'5.Variables'!$I70,+IF(L$18='5.Variables'!$B$76,+'5.Variables'!$I84,+IF(L$18='5.Variables'!$B$90,+'5.Variables'!$I98,+IF(L$18='5.Variables'!$B$104,+'5.Variables'!$I112,0))))))</f>
        <v>120.3</v>
      </c>
      <c r="M98" s="697">
        <f>IF(M$18='5.Variables'!$B$16,+'5.Variables'!$I32,+IF(M$18='5.Variables'!$B$39,+'5.Variables'!$I56,+IF(M$18='5.Variables'!$B$62,+'5.Variables'!$I70,+IF(M$18='5.Variables'!$B$76,+'5.Variables'!$I84,+IF(M$18='5.Variables'!$B$90,+'5.Variables'!$I98,+IF(M$18='5.Variables'!$B$104,+'5.Variables'!$I112,0))))))</f>
        <v>31</v>
      </c>
      <c r="N98" s="697">
        <f>IF(N$18='5.Variables'!$B$16,+'5.Variables'!$I32,+IF(N$18='5.Variables'!$B$39,+'5.Variables'!$I56,+IF(N$18='5.Variables'!$B$62,+'5.Variables'!$I70,+IF(N$18='5.Variables'!$B$76,+'5.Variables'!$I84,+IF(N$18='5.Variables'!$B$90,+'5.Variables'!$I98,+IF(N$18='5.Variables'!$B$104,+'5.Variables'!$I112,0))))))</f>
        <v>144.4</v>
      </c>
      <c r="O98" s="697">
        <f>IF(O$18='5.Variables'!$B$16,+'5.Variables'!$I32,+IF(O$18='5.Variables'!$B$39,+'5.Variables'!$I56,+IF(O$18='5.Variables'!$B$62,+'5.Variables'!$I70,+IF(O$18='5.Variables'!$B$76,+'5.Variables'!$I84,+IF(O$18='5.Variables'!$B$90,+'5.Variables'!$I98,+IF(O$18='5.Variables'!$B$104,+'5.Variables'!$I112,0))))))</f>
        <v>0</v>
      </c>
      <c r="P98" s="697">
        <f>IF(P$18='5.Variables'!$B$16,+'5.Variables'!$I32,+IF(P$18='5.Variables'!$B$39,+'5.Variables'!$I56,+IF(P$18='5.Variables'!$B$62,+'5.Variables'!$I70,+IF(P$18='5.Variables'!$B$76,+'5.Variables'!$I84,+IF(P$18='5.Variables'!$B$90,+'5.Variables'!$I98,+IF(P$18='5.Variables'!$B$104,+'5.Variables'!$I112,0))))))</f>
        <v>352</v>
      </c>
      <c r="Q98" s="242"/>
      <c r="R98" s="260">
        <f t="shared" si="9"/>
        <v>23257611.819747504</v>
      </c>
      <c r="S98" s="262"/>
      <c r="T98" s="242"/>
      <c r="U98" s="242"/>
      <c r="V98" s="242"/>
      <c r="W98" s="242"/>
      <c r="X98" s="242"/>
      <c r="Y98" s="242"/>
      <c r="Z98" s="242"/>
      <c r="AA98" s="242"/>
      <c r="AB98" s="242"/>
      <c r="AC98" s="242"/>
      <c r="AD98" s="242"/>
      <c r="AE98" s="242"/>
      <c r="AF98" s="242"/>
      <c r="AG98" s="242"/>
      <c r="AH98" s="242"/>
      <c r="AI98" s="242"/>
      <c r="AJ98" s="242"/>
      <c r="AK98" s="242"/>
      <c r="AL98" s="242"/>
      <c r="AM98" s="242"/>
    </row>
    <row r="99" spans="1:39" x14ac:dyDescent="0.2">
      <c r="A99" s="500">
        <f t="shared" si="10"/>
        <v>80</v>
      </c>
      <c r="B99" s="259" t="str">
        <f>CONCATENATE('3. Consumption by Rate Class'!B104,"-",'3. Consumption by Rate Class'!C104)</f>
        <v>2012-August</v>
      </c>
      <c r="C99" s="670">
        <v>22916905</v>
      </c>
      <c r="D99" s="826"/>
      <c r="E99" s="827">
        <v>1094443.8799999999</v>
      </c>
      <c r="F99" s="826"/>
      <c r="G99" s="826">
        <f>'A - CDM Adjustment'!E39</f>
        <v>227553.84615384607</v>
      </c>
      <c r="H99" s="677"/>
      <c r="I99" s="677"/>
      <c r="J99" s="550">
        <f t="shared" si="8"/>
        <v>22050014.966153849</v>
      </c>
      <c r="K99" s="697">
        <f>IF(K$18='5.Variables'!$B$16,+'5.Variables'!$J33,+IF(K$18='5.Variables'!$B$39,+'5.Variables'!$J56,+IF(K$18='5.Variables'!$B$62,+'5.Variables'!$J70,+IF(K$18='5.Variables'!$B$76,+'5.Variables'!$J84,+IF(K$18='5.Variables'!$B$90,+'5.Variables'!$J98,+IF(K$18='5.Variables'!$B$104,+'5.Variables'!$J112,0))))))</f>
        <v>7.3</v>
      </c>
      <c r="L99" s="697">
        <f>IF(L$18='5.Variables'!$B$16,+'5.Variables'!$J32,+IF(L$18='5.Variables'!$B$39,+'5.Variables'!$J56,+IF(L$18='5.Variables'!$B$62,+'5.Variables'!$J70,+IF(L$18='5.Variables'!$B$76,+'5.Variables'!$J84,+IF(L$18='5.Variables'!$B$90,+'5.Variables'!$J98,+IF(L$18='5.Variables'!$B$104,+'5.Variables'!$J112,0))))))</f>
        <v>74.2</v>
      </c>
      <c r="M99" s="697">
        <f>IF(M$18='5.Variables'!$B$16,+'5.Variables'!$J32,+IF(M$18='5.Variables'!$B$39,+'5.Variables'!$J56,+IF(M$18='5.Variables'!$B$62,+'5.Variables'!$J70,+IF(M$18='5.Variables'!$B$76,+'5.Variables'!$J84,+IF(M$18='5.Variables'!$B$90,+'5.Variables'!$J98,+IF(M$18='5.Variables'!$B$104,+'5.Variables'!$J112,0))))))</f>
        <v>31</v>
      </c>
      <c r="N99" s="697">
        <f>IF(N$18='5.Variables'!$B$16,+'5.Variables'!$J32,+IF(N$18='5.Variables'!$B$39,+'5.Variables'!$J56,+IF(N$18='5.Variables'!$B$62,+'5.Variables'!$J70,+IF(N$18='5.Variables'!$B$76,+'5.Variables'!$J84,+IF(N$18='5.Variables'!$B$90,+'5.Variables'!$J98,+IF(N$18='5.Variables'!$B$104,+'5.Variables'!$J112,0))))))</f>
        <v>144.69999999999999</v>
      </c>
      <c r="O99" s="697">
        <f>IF(O$18='5.Variables'!$B$16,+'5.Variables'!$J32,+IF(O$18='5.Variables'!$B$39,+'5.Variables'!$J56,+IF(O$18='5.Variables'!$B$62,+'5.Variables'!$J70,+IF(O$18='5.Variables'!$B$76,+'5.Variables'!$J84,+IF(O$18='5.Variables'!$B$90,+'5.Variables'!$J98,+IF(O$18='5.Variables'!$B$104,+'5.Variables'!$J112,0))))))</f>
        <v>0</v>
      </c>
      <c r="P99" s="697">
        <f>IF(P$18='5.Variables'!$B$16,+'5.Variables'!$J32,+IF(P$18='5.Variables'!$B$39,+'5.Variables'!$J56,+IF(P$18='5.Variables'!$B$62,+'5.Variables'!$J70,+IF(P$18='5.Variables'!$B$76,+'5.Variables'!$J84,+IF(P$18='5.Variables'!$B$90,+'5.Variables'!$J98,+IF(P$18='5.Variables'!$B$104,+'5.Variables'!$J112,0))))))</f>
        <v>320</v>
      </c>
      <c r="Q99" s="242"/>
      <c r="R99" s="260">
        <f t="shared" si="9"/>
        <v>21235558.513197102</v>
      </c>
      <c r="S99" s="262"/>
      <c r="T99" s="242"/>
      <c r="U99" s="242"/>
      <c r="V99" s="242"/>
      <c r="W99" s="242"/>
      <c r="X99" s="242"/>
      <c r="Y99" s="242"/>
      <c r="Z99" s="242"/>
      <c r="AA99" s="242"/>
      <c r="AB99" s="242"/>
      <c r="AC99" s="242"/>
      <c r="AD99" s="242"/>
      <c r="AE99" s="242"/>
      <c r="AF99" s="242"/>
      <c r="AG99" s="242"/>
      <c r="AH99" s="242"/>
      <c r="AI99" s="242"/>
      <c r="AJ99" s="242"/>
      <c r="AK99" s="242"/>
      <c r="AL99" s="242"/>
      <c r="AM99" s="242"/>
    </row>
    <row r="100" spans="1:39" x14ac:dyDescent="0.2">
      <c r="A100" s="500">
        <f t="shared" si="10"/>
        <v>81</v>
      </c>
      <c r="B100" s="259" t="str">
        <f>CONCATENATE('3. Consumption by Rate Class'!B105,"-",'3. Consumption by Rate Class'!C105)</f>
        <v>2012-September</v>
      </c>
      <c r="C100" s="670">
        <v>20363041</v>
      </c>
      <c r="D100" s="826"/>
      <c r="E100" s="827">
        <v>1033023.28</v>
      </c>
      <c r="F100" s="826"/>
      <c r="G100" s="826">
        <f>'A - CDM Adjustment'!E40</f>
        <v>255998.07692307682</v>
      </c>
      <c r="H100" s="677"/>
      <c r="I100" s="677"/>
      <c r="J100" s="550">
        <f t="shared" si="8"/>
        <v>19586015.796923075</v>
      </c>
      <c r="K100" s="697">
        <f>IF(K$18='5.Variables'!$B$16,+'5.Variables'!$K33,+IF(K$18='5.Variables'!$B$39,+'5.Variables'!$K56,+IF(K$18='5.Variables'!$B$62,+'5.Variables'!$K70,+IF(K$18='5.Variables'!$B$76,+'5.Variables'!$K84,+IF(K$18='5.Variables'!$B$90,+'5.Variables'!$K98,+IF(K$18='5.Variables'!$B$104,+'5.Variables'!$K112,0))))))</f>
        <v>87.5</v>
      </c>
      <c r="L100" s="697">
        <f>IF(L$18='5.Variables'!$B$16,+'5.Variables'!$K32,+IF(L$18='5.Variables'!$B$39,+'5.Variables'!$K56,+IF(L$18='5.Variables'!$B$62,+'5.Variables'!$K70,+IF(L$18='5.Variables'!$B$76,+'5.Variables'!$K84,+IF(L$18='5.Variables'!$B$90,+'5.Variables'!$K98,+IF(L$18='5.Variables'!$B$104,+'5.Variables'!$K112,0))))))</f>
        <v>18.2</v>
      </c>
      <c r="M100" s="697">
        <f>IF(M$18='5.Variables'!$B$16,+'5.Variables'!$K32,+IF(M$18='5.Variables'!$B$39,+'5.Variables'!$K56,+IF(M$18='5.Variables'!$B$62,+'5.Variables'!$K70,+IF(M$18='5.Variables'!$B$76,+'5.Variables'!$K84,+IF(M$18='5.Variables'!$B$90,+'5.Variables'!$K98,+IF(M$18='5.Variables'!$B$104,+'5.Variables'!$K112,0))))))</f>
        <v>30</v>
      </c>
      <c r="N100" s="697">
        <f>IF(N$18='5.Variables'!$B$16,+'5.Variables'!$K32,+IF(N$18='5.Variables'!$B$39,+'5.Variables'!$K56,+IF(N$18='5.Variables'!$B$62,+'5.Variables'!$K70,+IF(N$18='5.Variables'!$B$76,+'5.Variables'!$K84,+IF(N$18='5.Variables'!$B$90,+'5.Variables'!$K98,+IF(N$18='5.Variables'!$B$104,+'5.Variables'!$K112,0))))))</f>
        <v>145</v>
      </c>
      <c r="O100" s="697">
        <f>IF(O$18='5.Variables'!$B$16,+'5.Variables'!$K32,+IF(O$18='5.Variables'!$B$39,+'5.Variables'!$K56,+IF(O$18='5.Variables'!$B$62,+'5.Variables'!$K70,+IF(O$18='5.Variables'!$B$76,+'5.Variables'!$K84,+IF(O$18='5.Variables'!$B$90,+'5.Variables'!$K98,+IF(O$18='5.Variables'!$B$104,+'5.Variables'!$K112,0))))))</f>
        <v>0</v>
      </c>
      <c r="P100" s="697">
        <f>IF(P$18='5.Variables'!$B$16,+'5.Variables'!$K32,+IF(P$18='5.Variables'!$B$39,+'5.Variables'!$K56,+IF(P$18='5.Variables'!$B$62,+'5.Variables'!$K70,+IF(P$18='5.Variables'!$B$76,+'5.Variables'!$K84,+IF(P$18='5.Variables'!$B$90,+'5.Variables'!$K98,+IF(P$18='5.Variables'!$B$104,+'5.Variables'!$K112,0))))))</f>
        <v>336</v>
      </c>
      <c r="Q100" s="242"/>
      <c r="R100" s="260">
        <f t="shared" si="9"/>
        <v>19279875.983094253</v>
      </c>
      <c r="S100" s="262"/>
      <c r="T100" s="242"/>
      <c r="U100" s="242"/>
      <c r="V100" s="242"/>
      <c r="W100" s="242"/>
      <c r="X100" s="242"/>
      <c r="Y100" s="242"/>
      <c r="Z100" s="242"/>
      <c r="AA100" s="242"/>
      <c r="AB100" s="242"/>
      <c r="AC100" s="242"/>
      <c r="AD100" s="242"/>
      <c r="AE100" s="242"/>
      <c r="AF100" s="242"/>
      <c r="AG100" s="242"/>
      <c r="AH100" s="242"/>
      <c r="AI100" s="242"/>
      <c r="AJ100" s="242"/>
      <c r="AK100" s="242"/>
      <c r="AL100" s="242"/>
      <c r="AM100" s="242"/>
    </row>
    <row r="101" spans="1:39" x14ac:dyDescent="0.2">
      <c r="A101" s="500">
        <f t="shared" si="10"/>
        <v>82</v>
      </c>
      <c r="B101" s="259" t="str">
        <f>CONCATENATE('3. Consumption by Rate Class'!B106,"-",'3. Consumption by Rate Class'!C106)</f>
        <v>2012-October</v>
      </c>
      <c r="C101" s="670">
        <v>20987563</v>
      </c>
      <c r="D101" s="826"/>
      <c r="E101" s="827">
        <v>1174248.94</v>
      </c>
      <c r="F101" s="826"/>
      <c r="G101" s="826">
        <f>'A - CDM Adjustment'!E41</f>
        <v>284442.30769230757</v>
      </c>
      <c r="H101" s="677"/>
      <c r="I101" s="677"/>
      <c r="J101" s="550">
        <f t="shared" si="8"/>
        <v>20097756.367692307</v>
      </c>
      <c r="K101" s="697">
        <f>IF(K$18='5.Variables'!$B$16,+'5.Variables'!$L33,+IF(K$18='5.Variables'!$B$39,+'5.Variables'!$L56,+IF(K$18='5.Variables'!$B$62,+'5.Variables'!$L70,+IF(K$18='5.Variables'!$B$76,+'5.Variables'!$L84,+IF(K$18='5.Variables'!$B$90,+'5.Variables'!$L98,+IF(K$18='5.Variables'!$B$104,+'5.Variables'!$L112,0))))))</f>
        <v>245.1</v>
      </c>
      <c r="L101" s="697">
        <f>IF(L$18='5.Variables'!$B$16,+'5.Variables'!$L32,+IF(L$18='5.Variables'!$B$39,+'5.Variables'!$L56,+IF(L$18='5.Variables'!$B$62,+'5.Variables'!$L70,+IF(L$18='5.Variables'!$B$76,+'5.Variables'!$L84,+IF(L$18='5.Variables'!$B$90,+'5.Variables'!$L98,+IF(L$18='5.Variables'!$B$104,+'5.Variables'!$L112,0))))))</f>
        <v>0</v>
      </c>
      <c r="M101" s="697">
        <f>IF(M$18='5.Variables'!$B$16,+'5.Variables'!$L32,+IF(M$18='5.Variables'!$B$39,+'5.Variables'!$L56,+IF(M$18='5.Variables'!$B$62,+'5.Variables'!$L70,+IF(M$18='5.Variables'!$B$76,+'5.Variables'!$L84,+IF(M$18='5.Variables'!$B$90,+'5.Variables'!$L98,+IF(M$18='5.Variables'!$B$104,+'5.Variables'!$L112,0))))))</f>
        <v>31</v>
      </c>
      <c r="N101" s="697">
        <f>IF(N$18='5.Variables'!$B$16,+'5.Variables'!$L32,+IF(N$18='5.Variables'!$B$39,+'5.Variables'!$L56,+IF(N$18='5.Variables'!$B$62,+'5.Variables'!$L70,+IF(N$18='5.Variables'!$B$76,+'5.Variables'!$L84,+IF(N$18='5.Variables'!$B$90,+'5.Variables'!$L98,+IF(N$18='5.Variables'!$B$104,+'5.Variables'!$L112,0))))))</f>
        <v>145.4</v>
      </c>
      <c r="O101" s="697">
        <f>IF(O$18='5.Variables'!$B$16,+'5.Variables'!$L32,+IF(O$18='5.Variables'!$B$39,+'5.Variables'!$L56,+IF(O$18='5.Variables'!$B$62,+'5.Variables'!$L70,+IF(O$18='5.Variables'!$B$76,+'5.Variables'!$L84,+IF(O$18='5.Variables'!$B$90,+'5.Variables'!$L98,+IF(O$18='5.Variables'!$B$104,+'5.Variables'!$L112,0))))))</f>
        <v>0</v>
      </c>
      <c r="P101" s="697">
        <f>IF(P$18='5.Variables'!$B$16,+'5.Variables'!$L32,+IF(P$18='5.Variables'!$B$39,+'5.Variables'!$L56,+IF(P$18='5.Variables'!$B$62,+'5.Variables'!$L70,+IF(P$18='5.Variables'!$B$76,+'5.Variables'!$L84,+IF(P$18='5.Variables'!$B$90,+'5.Variables'!$L98,+IF(P$18='5.Variables'!$B$104,+'5.Variables'!$L112,0))))))</f>
        <v>352</v>
      </c>
      <c r="Q101" s="242"/>
      <c r="R101" s="260">
        <f t="shared" si="9"/>
        <v>20095403.76077101</v>
      </c>
      <c r="S101" s="262"/>
      <c r="T101" s="242"/>
      <c r="U101" s="242"/>
      <c r="V101" s="242"/>
      <c r="W101" s="242"/>
      <c r="X101" s="242"/>
      <c r="Y101" s="242"/>
      <c r="Z101" s="242"/>
      <c r="AA101" s="242"/>
      <c r="AB101" s="242"/>
      <c r="AC101" s="242"/>
      <c r="AD101" s="242"/>
      <c r="AE101" s="242"/>
      <c r="AF101" s="242"/>
      <c r="AG101" s="242"/>
      <c r="AH101" s="242"/>
      <c r="AI101" s="242"/>
      <c r="AJ101" s="242"/>
      <c r="AK101" s="242"/>
      <c r="AL101" s="242"/>
      <c r="AM101" s="242"/>
    </row>
    <row r="102" spans="1:39" x14ac:dyDescent="0.2">
      <c r="A102" s="500">
        <f t="shared" si="10"/>
        <v>83</v>
      </c>
      <c r="B102" s="259" t="str">
        <f>CONCATENATE('3. Consumption by Rate Class'!B107,"-",'3. Consumption by Rate Class'!C107)</f>
        <v>2012-November</v>
      </c>
      <c r="C102" s="670">
        <v>21546676</v>
      </c>
      <c r="D102" s="826"/>
      <c r="E102" s="827">
        <v>957581.32</v>
      </c>
      <c r="F102" s="826">
        <v>1608.67</v>
      </c>
      <c r="G102" s="826">
        <f>'A - CDM Adjustment'!E42</f>
        <v>312886.53846153838</v>
      </c>
      <c r="H102" s="677"/>
      <c r="I102" s="677"/>
      <c r="J102" s="550">
        <f t="shared" si="8"/>
        <v>20903589.888461541</v>
      </c>
      <c r="K102" s="697">
        <f>IF(K$18='5.Variables'!$B$16,+'5.Variables'!$M33,+IF(K$18='5.Variables'!$B$39,+'5.Variables'!$M56,+IF(K$18='5.Variables'!$B$62,+'5.Variables'!$M70,+IF(K$18='5.Variables'!$B$76,+'5.Variables'!$M84,+IF(K$18='5.Variables'!$B$90,+'5.Variables'!$M98,+IF(K$18='5.Variables'!$B$104,+'5.Variables'!$M112,0))))))</f>
        <v>449.4</v>
      </c>
      <c r="L102" s="697">
        <f>IF(L$18='5.Variables'!$B$16,+'5.Variables'!$M32,+IF(L$18='5.Variables'!$B$39,+'5.Variables'!$M56,+IF(L$18='5.Variables'!$B$62,+'5.Variables'!$M70,+IF(L$18='5.Variables'!$B$76,+'5.Variables'!$M84,+IF(L$18='5.Variables'!$B$90,+'5.Variables'!$M98,+IF(L$18='5.Variables'!$B$104,+'5.Variables'!$M112,0))))))</f>
        <v>0</v>
      </c>
      <c r="M102" s="697">
        <f>IF(M$18='5.Variables'!$B$16,+'5.Variables'!$M32,+IF(M$18='5.Variables'!$B$39,+'5.Variables'!$M56,+IF(M$18='5.Variables'!$B$62,+'5.Variables'!$M70,+IF(M$18='5.Variables'!$B$76,+'5.Variables'!$M84,+IF(M$18='5.Variables'!$B$90,+'5.Variables'!$M98,+IF(M$18='5.Variables'!$B$104,+'5.Variables'!$M112,0))))))</f>
        <v>30</v>
      </c>
      <c r="N102" s="697">
        <f>IF(N$18='5.Variables'!$B$16,+'5.Variables'!$M32,+IF(N$18='5.Variables'!$B$39,+'5.Variables'!$M56,+IF(N$18='5.Variables'!$B$62,+'5.Variables'!$M70,+IF(N$18='5.Variables'!$B$76,+'5.Variables'!$M84,+IF(N$18='5.Variables'!$B$90,+'5.Variables'!$M98,+IF(N$18='5.Variables'!$B$104,+'5.Variables'!$M112,0))))))</f>
        <v>145.69999999999999</v>
      </c>
      <c r="O102" s="697">
        <f>IF(O$18='5.Variables'!$B$16,+'5.Variables'!$M32,+IF(O$18='5.Variables'!$B$39,+'5.Variables'!$M56,+IF(O$18='5.Variables'!$B$62,+'5.Variables'!$M70,+IF(O$18='5.Variables'!$B$76,+'5.Variables'!$M84,+IF(O$18='5.Variables'!$B$90,+'5.Variables'!$M98,+IF(O$18='5.Variables'!$B$104,+'5.Variables'!$M112,0))))))</f>
        <v>0</v>
      </c>
      <c r="P102" s="697">
        <f>IF(P$18='5.Variables'!$B$16,+'5.Variables'!$M32,+IF(P$18='5.Variables'!$B$39,+'5.Variables'!$M56,+IF(P$18='5.Variables'!$B$62,+'5.Variables'!$M70,+IF(P$18='5.Variables'!$B$76,+'5.Variables'!$M84,+IF(P$18='5.Variables'!$B$90,+'5.Variables'!$M98,+IF(P$18='5.Variables'!$B$104,+'5.Variables'!$M112,0))))))</f>
        <v>304</v>
      </c>
      <c r="Q102" s="242"/>
      <c r="R102" s="260">
        <f t="shared" si="9"/>
        <v>20690475.856816221</v>
      </c>
      <c r="S102" s="262"/>
      <c r="T102" s="242"/>
      <c r="U102" s="242"/>
      <c r="V102" s="242"/>
      <c r="W102" s="242"/>
      <c r="X102" s="242"/>
      <c r="Y102" s="242"/>
      <c r="Z102" s="242"/>
      <c r="AA102" s="242"/>
      <c r="AB102" s="242"/>
      <c r="AC102" s="242"/>
      <c r="AD102" s="242"/>
      <c r="AE102" s="242"/>
      <c r="AF102" s="242"/>
      <c r="AG102" s="242"/>
      <c r="AH102" s="242"/>
      <c r="AI102" s="242"/>
      <c r="AJ102" s="242"/>
      <c r="AK102" s="242"/>
      <c r="AL102" s="242"/>
      <c r="AM102" s="242"/>
    </row>
    <row r="103" spans="1:39" x14ac:dyDescent="0.2">
      <c r="A103" s="500">
        <f t="shared" si="10"/>
        <v>84</v>
      </c>
      <c r="B103" s="519" t="str">
        <f>CONCATENATE('3. Consumption by Rate Class'!B108,"-",'3. Consumption by Rate Class'!C108)</f>
        <v>2012-December</v>
      </c>
      <c r="C103" s="671">
        <v>21986713</v>
      </c>
      <c r="D103" s="828"/>
      <c r="E103" s="829">
        <v>925881.6</v>
      </c>
      <c r="F103" s="828">
        <v>656.8</v>
      </c>
      <c r="G103" s="828">
        <f>'A - CDM Adjustment'!E43</f>
        <v>341330.76923076907</v>
      </c>
      <c r="H103" s="679"/>
      <c r="I103" s="679"/>
      <c r="J103" s="550">
        <f t="shared" si="8"/>
        <v>21402818.969230767</v>
      </c>
      <c r="K103" s="697">
        <f>IF(K$18='5.Variables'!$B$16,+'5.Variables'!$N33,+IF(K$18='5.Variables'!$B$39,+'5.Variables'!$N56,+IF(K$18='5.Variables'!$B$62,+'5.Variables'!$N70,+IF(K$18='5.Variables'!$B$76,+'5.Variables'!$N84,+IF(K$18='5.Variables'!$B$90,+'5.Variables'!$N98,+IF(K$18='5.Variables'!$B$104,+'5.Variables'!$N112,0))))))</f>
        <v>535.79999999999995</v>
      </c>
      <c r="L103" s="697">
        <f>IF(L$18='5.Variables'!$B$16,+'5.Variables'!$N32,+IF(L$18='5.Variables'!$B$39,+'5.Variables'!$N56,+IF(L$18='5.Variables'!$B$62,+'5.Variables'!$N70,+IF(L$18='5.Variables'!$B$76,+'5.Variables'!$N84,+IF(L$18='5.Variables'!$B$90,+'5.Variables'!$N98,+IF(L$18='5.Variables'!$B$104,+'5.Variables'!$N112,0))))))</f>
        <v>0</v>
      </c>
      <c r="M103" s="697">
        <f>IF(M$18='5.Variables'!$B$16,+'5.Variables'!$N32,+IF(M$18='5.Variables'!$B$39,+'5.Variables'!$N56,+IF(M$18='5.Variables'!$B$62,+'5.Variables'!$N70,+IF(M$18='5.Variables'!$B$76,+'5.Variables'!$N84,+IF(M$18='5.Variables'!$B$90,+'5.Variables'!$N98,+IF(M$18='5.Variables'!$B$104,+'5.Variables'!$N112,0))))))</f>
        <v>31</v>
      </c>
      <c r="N103" s="697">
        <f>IF(N$18='5.Variables'!$B$16,+'5.Variables'!$N32,+IF(N$18='5.Variables'!$B$39,+'5.Variables'!$N56,+IF(N$18='5.Variables'!$B$62,+'5.Variables'!$N70,+IF(N$18='5.Variables'!$B$76,+'5.Variables'!$N84,+IF(N$18='5.Variables'!$B$90,+'5.Variables'!$N98,+IF(N$18='5.Variables'!$B$104,+'5.Variables'!$N112,0))))))</f>
        <v>146</v>
      </c>
      <c r="O103" s="697">
        <f>IF(O$18='5.Variables'!$B$16,+'5.Variables'!$N32,+IF(O$18='5.Variables'!$B$39,+'5.Variables'!$N56,+IF(O$18='5.Variables'!$B$62,+'5.Variables'!$N70,+IF(O$18='5.Variables'!$B$76,+'5.Variables'!$N84,+IF(O$18='5.Variables'!$B$90,+'5.Variables'!$N98,+IF(O$18='5.Variables'!$B$104,+'5.Variables'!$N112,0))))))</f>
        <v>0</v>
      </c>
      <c r="P103" s="697">
        <f>IF(P$18='5.Variables'!$B$16,+'5.Variables'!$N32,+IF(P$18='5.Variables'!$B$39,+'5.Variables'!$N56,+IF(P$18='5.Variables'!$B$62,+'5.Variables'!$N70,+IF(P$18='5.Variables'!$B$76,+'5.Variables'!$N84,+IF(P$18='5.Variables'!$B$90,+'5.Variables'!$N98,+IF(P$18='5.Variables'!$B$104,+'5.Variables'!$N112,0))))))</f>
        <v>336</v>
      </c>
      <c r="Q103" s="242"/>
      <c r="R103" s="260">
        <f t="shared" si="9"/>
        <v>21885321.519649196</v>
      </c>
      <c r="S103" s="262">
        <f>SUM(R92:R103)</f>
        <v>250342774.98395351</v>
      </c>
      <c r="T103" s="242"/>
      <c r="U103" s="242"/>
      <c r="V103" s="242"/>
      <c r="W103" s="242"/>
      <c r="X103" s="242"/>
      <c r="Y103" s="242"/>
      <c r="Z103" s="242"/>
      <c r="AA103" s="242"/>
      <c r="AB103" s="242"/>
      <c r="AC103" s="242"/>
      <c r="AD103" s="242"/>
      <c r="AE103" s="242"/>
      <c r="AF103" s="242"/>
      <c r="AG103" s="242"/>
      <c r="AH103" s="242"/>
      <c r="AI103" s="242"/>
      <c r="AJ103" s="242"/>
      <c r="AK103" s="242"/>
      <c r="AL103" s="242"/>
      <c r="AM103" s="242"/>
    </row>
    <row r="104" spans="1:39" x14ac:dyDescent="0.2">
      <c r="A104" s="500">
        <f t="shared" si="10"/>
        <v>85</v>
      </c>
      <c r="B104" s="259" t="str">
        <f>CONCATENATE('3. Consumption by Rate Class'!B109,"-",'3. Consumption by Rate Class'!C109)</f>
        <v>2013-January</v>
      </c>
      <c r="C104" s="670">
        <v>24525821</v>
      </c>
      <c r="D104" s="826"/>
      <c r="E104" s="827">
        <v>1227898.56</v>
      </c>
      <c r="F104" s="826">
        <v>856.37</v>
      </c>
      <c r="G104" s="826">
        <f>'A - CDM Adjustment'!E45</f>
        <v>41718.205128205125</v>
      </c>
      <c r="H104" s="677"/>
      <c r="I104" s="677"/>
      <c r="J104" s="550">
        <f t="shared" si="8"/>
        <v>23340497.015128206</v>
      </c>
      <c r="K104" s="697">
        <f>IF(K$18='5.Variables'!$B$16,+'5.Variables'!$C34,+IF(K$18='5.Variables'!$B$39,+'5.Variables'!$C57,+IF(K$18='5.Variables'!$B$62,+'5.Variables'!$C71,+IF(K$18='5.Variables'!$B$76,+'5.Variables'!$C85,+IF(K$18='5.Variables'!$B$90,+'5.Variables'!$C99,+IF(K$18='5.Variables'!$B$104,+'5.Variables'!$C113,0))))))</f>
        <v>649.6</v>
      </c>
      <c r="L104" s="697">
        <f>IF(L$18='5.Variables'!$B$16,+'5.Variables'!$C33,+IF(L$18='5.Variables'!$B$39,+'5.Variables'!$C57,+IF(L$18='5.Variables'!$B$62,+'5.Variables'!$C71,+IF(L$18='5.Variables'!$B$76,+'5.Variables'!$C85,+IF(L$18='5.Variables'!$B$90,+'5.Variables'!$C99,+IF(L$18='5.Variables'!$B$104,+'5.Variables'!$C113,0))))))</f>
        <v>0</v>
      </c>
      <c r="M104" s="697">
        <f>IF(M$18='5.Variables'!$B$16,+'5.Variables'!$C33,+IF(M$18='5.Variables'!$B$39,+'5.Variables'!$C57,+IF(M$18='5.Variables'!$B$62,+'5.Variables'!$C71,+IF(M$18='5.Variables'!$B$76,+'5.Variables'!$C85,+IF(M$18='5.Variables'!$B$90,+'5.Variables'!$C99,+IF(M$18='5.Variables'!$B$104,+'5.Variables'!$C113,0))))))</f>
        <v>31</v>
      </c>
      <c r="N104" s="697">
        <f>IF(N$18='5.Variables'!$B$16,+'5.Variables'!$C33,+IF(N$18='5.Variables'!$B$39,+'5.Variables'!$C57,+IF(N$18='5.Variables'!$B$62,+'5.Variables'!$C71,+IF(N$18='5.Variables'!$B$76,+'5.Variables'!$C85,+IF(N$18='5.Variables'!$B$90,+'5.Variables'!$C99,+IF(N$18='5.Variables'!$B$104,+'5.Variables'!$C113,0))))))</f>
        <v>145</v>
      </c>
      <c r="O104" s="697">
        <f>IF(O$18='5.Variables'!$B$16,+'5.Variables'!$C33,+IF(O$18='5.Variables'!$B$39,+'5.Variables'!$C57,+IF(O$18='5.Variables'!$B$62,+'5.Variables'!$C71,+IF(O$18='5.Variables'!$B$76,+'5.Variables'!$C85,+IF(O$18='5.Variables'!$B$90,+'5.Variables'!$C99,+IF(O$18='5.Variables'!$B$104,+'5.Variables'!$C113,0))))))</f>
        <v>0</v>
      </c>
      <c r="P104" s="697">
        <f>IF(P$18='5.Variables'!$B$16,+'5.Variables'!$C33,+IF(P$18='5.Variables'!$B$39,+'5.Variables'!$C57,+IF(P$18='5.Variables'!$B$62,+'5.Variables'!$C71,+IF(P$18='5.Variables'!$B$76,+'5.Variables'!$C85,+IF(P$18='5.Variables'!$B$90,+'5.Variables'!$C99,+IF(P$18='5.Variables'!$B$104,+'5.Variables'!$C113,0))))))</f>
        <v>352</v>
      </c>
      <c r="Q104" s="242"/>
      <c r="R104" s="260">
        <f t="shared" si="9"/>
        <v>22719212.179442976</v>
      </c>
      <c r="S104" s="262"/>
      <c r="T104" s="242"/>
      <c r="U104" s="242"/>
      <c r="V104" s="242"/>
      <c r="W104" s="242"/>
      <c r="X104" s="242"/>
      <c r="Y104" s="242"/>
      <c r="Z104" s="242"/>
      <c r="AA104" s="242"/>
      <c r="AB104" s="242"/>
      <c r="AC104" s="242"/>
      <c r="AD104" s="242"/>
      <c r="AE104" s="242"/>
      <c r="AF104" s="242"/>
      <c r="AG104" s="242"/>
      <c r="AH104" s="242"/>
      <c r="AI104" s="242"/>
      <c r="AJ104" s="242"/>
      <c r="AK104" s="242"/>
      <c r="AL104" s="242"/>
      <c r="AM104" s="242"/>
    </row>
    <row r="105" spans="1:39" x14ac:dyDescent="0.2">
      <c r="A105" s="500">
        <f t="shared" si="10"/>
        <v>86</v>
      </c>
      <c r="B105" s="259" t="str">
        <f>CONCATENATE('3. Consumption by Rate Class'!B110,"-",'3. Consumption by Rate Class'!C110)</f>
        <v>2013-February</v>
      </c>
      <c r="C105" s="670">
        <v>22406076</v>
      </c>
      <c r="D105" s="826"/>
      <c r="E105" s="827">
        <v>1384324.99</v>
      </c>
      <c r="F105" s="826">
        <v>1713.43</v>
      </c>
      <c r="G105" s="826">
        <f>'A - CDM Adjustment'!E46</f>
        <v>83436.41025641025</v>
      </c>
      <c r="H105" s="677"/>
      <c r="I105" s="677"/>
      <c r="J105" s="550">
        <f t="shared" si="8"/>
        <v>21106900.850256413</v>
      </c>
      <c r="K105" s="697">
        <f>IF(K$18='5.Variables'!$B$16,+'5.Variables'!$D34,+IF(K$18='5.Variables'!$B$39,+'5.Variables'!$D57,+IF(K$18='5.Variables'!$B$62,+'5.Variables'!$D71,+IF(K$18='5.Variables'!$B$76,+'5.Variables'!$D85,+IF(K$18='5.Variables'!$B$90,+'5.Variables'!$D99,+IF(K$18='5.Variables'!$B$104,+'5.Variables'!$D113,0))))))</f>
        <v>633.29999999999995</v>
      </c>
      <c r="L105" s="697">
        <f>IF(L$18='5.Variables'!$B$16,+'5.Variables'!$D33,+IF(L$18='5.Variables'!$B$39,+'5.Variables'!$D57,+IF(L$18='5.Variables'!$B$62,+'5.Variables'!$D71,+IF(L$18='5.Variables'!$B$76,+'5.Variables'!$D85,+IF(L$18='5.Variables'!$B$90,+'5.Variables'!$D99,+IF(L$18='5.Variables'!$B$104,+'5.Variables'!$D113,0))))))</f>
        <v>0</v>
      </c>
      <c r="M105" s="697">
        <f>IF(M$18='5.Variables'!$B$16,+'5.Variables'!$D33,+IF(M$18='5.Variables'!$B$39,+'5.Variables'!$D57,+IF(M$18='5.Variables'!$B$62,+'5.Variables'!$D71,+IF(M$18='5.Variables'!$B$76,+'5.Variables'!$D85,+IF(M$18='5.Variables'!$B$90,+'5.Variables'!$D99,+IF(M$18='5.Variables'!$B$104,+'5.Variables'!$D113,0))))))</f>
        <v>28</v>
      </c>
      <c r="N105" s="697">
        <f>IF(N$18='5.Variables'!$B$16,+'5.Variables'!$D33,+IF(N$18='5.Variables'!$B$39,+'5.Variables'!$D57,+IF(N$18='5.Variables'!$B$62,+'5.Variables'!$D71,+IF(N$18='5.Variables'!$B$76,+'5.Variables'!$D85,+IF(N$18='5.Variables'!$B$90,+'5.Variables'!$D99,+IF(N$18='5.Variables'!$B$104,+'5.Variables'!$D113,0))))))</f>
        <v>145.1</v>
      </c>
      <c r="O105" s="697">
        <f>IF(O$18='5.Variables'!$B$16,+'5.Variables'!$D33,+IF(O$18='5.Variables'!$B$39,+'5.Variables'!$D57,+IF(O$18='5.Variables'!$B$62,+'5.Variables'!$D71,+IF(O$18='5.Variables'!$B$76,+'5.Variables'!$D85,+IF(O$18='5.Variables'!$B$90,+'5.Variables'!$D99,+IF(O$18='5.Variables'!$B$104,+'5.Variables'!$D113,0))))))</f>
        <v>0</v>
      </c>
      <c r="P105" s="697">
        <f>IF(P$18='5.Variables'!$B$16,+'5.Variables'!$D33,+IF(P$18='5.Variables'!$B$39,+'5.Variables'!$D57,+IF(P$18='5.Variables'!$B$62,+'5.Variables'!$D71,+IF(P$18='5.Variables'!$B$76,+'5.Variables'!$D85,+IF(P$18='5.Variables'!$B$90,+'5.Variables'!$D99,+IF(P$18='5.Variables'!$B$104,+'5.Variables'!$D113,0))))))</f>
        <v>304</v>
      </c>
      <c r="Q105" s="242"/>
      <c r="R105" s="260">
        <f t="shared" si="9"/>
        <v>21111723.73320305</v>
      </c>
      <c r="S105" s="262"/>
      <c r="T105" s="242"/>
      <c r="U105" s="242"/>
      <c r="V105" s="242"/>
      <c r="W105" s="242"/>
      <c r="X105" s="242"/>
      <c r="Y105" s="242"/>
      <c r="Z105" s="242"/>
      <c r="AA105" s="242"/>
      <c r="AB105" s="242"/>
      <c r="AC105" s="242"/>
      <c r="AD105" s="242"/>
      <c r="AE105" s="242"/>
      <c r="AF105" s="242"/>
      <c r="AG105" s="242"/>
      <c r="AH105" s="242"/>
      <c r="AI105" s="242"/>
      <c r="AJ105" s="242"/>
      <c r="AK105" s="242"/>
      <c r="AL105" s="242"/>
      <c r="AM105" s="242"/>
    </row>
    <row r="106" spans="1:39" x14ac:dyDescent="0.2">
      <c r="A106" s="500">
        <f t="shared" si="10"/>
        <v>87</v>
      </c>
      <c r="B106" s="259" t="str">
        <f>CONCATENATE('3. Consumption by Rate Class'!B111,"-",'3. Consumption by Rate Class'!C111)</f>
        <v>2013-March</v>
      </c>
      <c r="C106" s="670">
        <v>22949758</v>
      </c>
      <c r="D106" s="826"/>
      <c r="E106" s="827">
        <v>1545727.05</v>
      </c>
      <c r="F106" s="826">
        <v>3595</v>
      </c>
      <c r="G106" s="826">
        <f>'A - CDM Adjustment'!E47</f>
        <v>125154.61538461538</v>
      </c>
      <c r="H106" s="677"/>
      <c r="I106" s="677"/>
      <c r="J106" s="550">
        <f t="shared" si="8"/>
        <v>21532780.565384615</v>
      </c>
      <c r="K106" s="697">
        <f>IF(K$18='5.Variables'!$B$16,+'5.Variables'!$E34,+IF(K$18='5.Variables'!$B$39,+'5.Variables'!$E57,+IF(K$18='5.Variables'!$B$62,+'5.Variables'!$E71,+IF(K$18='5.Variables'!$B$76,+'5.Variables'!$E85,+IF(K$18='5.Variables'!$B$90,+'5.Variables'!$E99,+IF(K$18='5.Variables'!$B$104,+'5.Variables'!$E113,0))))))</f>
        <v>556.1</v>
      </c>
      <c r="L106" s="697">
        <f>IF(L$18='5.Variables'!$B$16,+'5.Variables'!$E33,+IF(L$18='5.Variables'!$B$39,+'5.Variables'!$E57,+IF(L$18='5.Variables'!$B$62,+'5.Variables'!$E71,+IF(L$18='5.Variables'!$B$76,+'5.Variables'!$E85,+IF(L$18='5.Variables'!$B$90,+'5.Variables'!$E99,+IF(L$18='5.Variables'!$B$104,+'5.Variables'!$E113,0))))))</f>
        <v>0</v>
      </c>
      <c r="M106" s="697">
        <f>IF(M$18='5.Variables'!$B$16,+'5.Variables'!$E33,+IF(M$18='5.Variables'!$B$39,+'5.Variables'!$E57,+IF(M$18='5.Variables'!$B$62,+'5.Variables'!$E71,+IF(M$18='5.Variables'!$B$76,+'5.Variables'!$E85,+IF(M$18='5.Variables'!$B$90,+'5.Variables'!$E99,+IF(M$18='5.Variables'!$B$104,+'5.Variables'!$E113,0))))))</f>
        <v>31</v>
      </c>
      <c r="N106" s="697">
        <f>IF(N$18='5.Variables'!$B$16,+'5.Variables'!$E33,+IF(N$18='5.Variables'!$B$39,+'5.Variables'!$E57,+IF(N$18='5.Variables'!$B$62,+'5.Variables'!$E71,+IF(N$18='5.Variables'!$B$76,+'5.Variables'!$E85,+IF(N$18='5.Variables'!$B$90,+'5.Variables'!$E99,+IF(N$18='5.Variables'!$B$104,+'5.Variables'!$E113,0))))))</f>
        <v>145.30000000000001</v>
      </c>
      <c r="O106" s="697">
        <f>IF(O$18='5.Variables'!$B$16,+'5.Variables'!$E33,+IF(O$18='5.Variables'!$B$39,+'5.Variables'!$E57,+IF(O$18='5.Variables'!$B$62,+'5.Variables'!$E71,+IF(O$18='5.Variables'!$B$76,+'5.Variables'!$E85,+IF(O$18='5.Variables'!$B$90,+'5.Variables'!$E99,+IF(O$18='5.Variables'!$B$104,+'5.Variables'!$E113,0))))))</f>
        <v>0</v>
      </c>
      <c r="P106" s="697">
        <f>IF(P$18='5.Variables'!$B$16,+'5.Variables'!$E33,+IF(P$18='5.Variables'!$B$39,+'5.Variables'!$E57,+IF(P$18='5.Variables'!$B$62,+'5.Variables'!$E71,+IF(P$18='5.Variables'!$B$76,+'5.Variables'!$E85,+IF(P$18='5.Variables'!$B$90,+'5.Variables'!$E99,+IF(P$18='5.Variables'!$B$104,+'5.Variables'!$E113,0))))))</f>
        <v>320</v>
      </c>
      <c r="Q106" s="242"/>
      <c r="R106" s="260">
        <f t="shared" si="9"/>
        <v>21875370.18675201</v>
      </c>
      <c r="S106" s="262"/>
      <c r="T106" s="242"/>
      <c r="U106" s="242"/>
      <c r="V106" s="242"/>
      <c r="W106" s="242"/>
      <c r="X106" s="242"/>
      <c r="Y106" s="242"/>
      <c r="Z106" s="242"/>
      <c r="AA106" s="242"/>
      <c r="AB106" s="242"/>
      <c r="AC106" s="242"/>
      <c r="AD106" s="242"/>
      <c r="AE106" s="242"/>
      <c r="AF106" s="242"/>
      <c r="AG106" s="242"/>
      <c r="AH106" s="242"/>
      <c r="AI106" s="242"/>
      <c r="AJ106" s="242"/>
      <c r="AK106" s="242"/>
      <c r="AL106" s="242"/>
      <c r="AM106" s="242"/>
    </row>
    <row r="107" spans="1:39" x14ac:dyDescent="0.2">
      <c r="A107" s="500">
        <f t="shared" si="10"/>
        <v>88</v>
      </c>
      <c r="B107" s="259" t="str">
        <f>CONCATENATE('3. Consumption by Rate Class'!B112,"-",'3. Consumption by Rate Class'!C112)</f>
        <v>2013-April</v>
      </c>
      <c r="C107" s="670">
        <v>21342594</v>
      </c>
      <c r="D107" s="826"/>
      <c r="E107" s="827">
        <v>1720655.02</v>
      </c>
      <c r="F107" s="826">
        <v>3664.39</v>
      </c>
      <c r="G107" s="826">
        <f>'A - CDM Adjustment'!E48</f>
        <v>166872.8205128205</v>
      </c>
      <c r="H107" s="677"/>
      <c r="I107" s="677"/>
      <c r="J107" s="550">
        <f t="shared" si="8"/>
        <v>19792476.190512821</v>
      </c>
      <c r="K107" s="697">
        <f>IF(K$18='5.Variables'!$B$16,+'5.Variables'!$F34,+IF(K$18='5.Variables'!$B$39,+'5.Variables'!$F57,+IF(K$18='5.Variables'!$B$62,+'5.Variables'!$F71,+IF(K$18='5.Variables'!$B$76,+'5.Variables'!$F85,+IF(K$18='5.Variables'!$B$90,+'5.Variables'!$F99,+IF(K$18='5.Variables'!$B$104,+'5.Variables'!$F113,0))))))</f>
        <v>383.6</v>
      </c>
      <c r="L107" s="697">
        <f>IF(L$18='5.Variables'!$B$16,+'5.Variables'!$F33,+IF(L$18='5.Variables'!$B$39,+'5.Variables'!$F57,+IF(L$18='5.Variables'!$B$62,+'5.Variables'!$F71,+IF(L$18='5.Variables'!$B$76,+'5.Variables'!$F85,+IF(L$18='5.Variables'!$B$90,+'5.Variables'!$F99,+IF(L$18='5.Variables'!$B$104,+'5.Variables'!$F113,0))))))</f>
        <v>0</v>
      </c>
      <c r="M107" s="697">
        <f>IF(M$18='5.Variables'!$B$16,+'5.Variables'!$F33,+IF(M$18='5.Variables'!$B$39,+'5.Variables'!$F57,+IF(M$18='5.Variables'!$B$62,+'5.Variables'!$F71,+IF(M$18='5.Variables'!$B$76,+'5.Variables'!$F85,+IF(M$18='5.Variables'!$B$90,+'5.Variables'!$F99,+IF(M$18='5.Variables'!$B$104,+'5.Variables'!$F113,0))))))</f>
        <v>30</v>
      </c>
      <c r="N107" s="697">
        <f>IF(N$18='5.Variables'!$B$16,+'5.Variables'!$F33,+IF(N$18='5.Variables'!$B$39,+'5.Variables'!$F57,+IF(N$18='5.Variables'!$B$62,+'5.Variables'!$F71,+IF(N$18='5.Variables'!$B$76,+'5.Variables'!$F85,+IF(N$18='5.Variables'!$B$90,+'5.Variables'!$F99,+IF(N$18='5.Variables'!$B$104,+'5.Variables'!$F113,0))))))</f>
        <v>145.5</v>
      </c>
      <c r="O107" s="697">
        <f>IF(O$18='5.Variables'!$B$16,+'5.Variables'!$F33,+IF(O$18='5.Variables'!$B$39,+'5.Variables'!$F57,+IF(O$18='5.Variables'!$B$62,+'5.Variables'!$F71,+IF(O$18='5.Variables'!$B$76,+'5.Variables'!$F85,+IF(O$18='5.Variables'!$B$90,+'5.Variables'!$F99,+IF(O$18='5.Variables'!$B$104,+'5.Variables'!$F113,0))))))</f>
        <v>0</v>
      </c>
      <c r="P107" s="697">
        <f>IF(P$18='5.Variables'!$B$16,+'5.Variables'!$F33,+IF(P$18='5.Variables'!$B$39,+'5.Variables'!$F57,+IF(P$18='5.Variables'!$B$62,+'5.Variables'!$F71,+IF(P$18='5.Variables'!$B$76,+'5.Variables'!$F85,+IF(P$18='5.Variables'!$B$90,+'5.Variables'!$F99,+IF(P$18='5.Variables'!$B$104,+'5.Variables'!$F113,0))))))</f>
        <v>352</v>
      </c>
      <c r="Q107" s="242"/>
      <c r="R107" s="260">
        <f t="shared" si="9"/>
        <v>20621040.126892198</v>
      </c>
      <c r="S107" s="262"/>
      <c r="T107" s="242"/>
      <c r="U107" s="242"/>
      <c r="V107" s="242"/>
      <c r="W107" s="242"/>
      <c r="X107" s="242"/>
      <c r="Y107" s="242"/>
      <c r="Z107" s="242"/>
      <c r="AA107" s="242"/>
      <c r="AB107" s="242"/>
      <c r="AC107" s="242"/>
      <c r="AD107" s="242"/>
      <c r="AE107" s="242"/>
      <c r="AF107" s="242"/>
      <c r="AG107" s="242"/>
      <c r="AH107" s="242"/>
      <c r="AI107" s="242"/>
      <c r="AJ107" s="242"/>
      <c r="AK107" s="242"/>
      <c r="AL107" s="242"/>
      <c r="AM107" s="242"/>
    </row>
    <row r="108" spans="1:39" x14ac:dyDescent="0.2">
      <c r="A108" s="500">
        <f t="shared" si="10"/>
        <v>89</v>
      </c>
      <c r="B108" s="259" t="str">
        <f>CONCATENATE('3. Consumption by Rate Class'!B113,"-",'3. Consumption by Rate Class'!C113)</f>
        <v>2013-May</v>
      </c>
      <c r="C108" s="670">
        <v>19856595</v>
      </c>
      <c r="D108" s="826"/>
      <c r="E108" s="827">
        <v>1425412.55</v>
      </c>
      <c r="F108" s="826">
        <v>5254.83</v>
      </c>
      <c r="G108" s="826">
        <f>'A - CDM Adjustment'!E49</f>
        <v>208591.02564102566</v>
      </c>
      <c r="H108" s="677"/>
      <c r="I108" s="677"/>
      <c r="J108" s="550">
        <f t="shared" si="8"/>
        <v>18645028.305641022</v>
      </c>
      <c r="K108" s="697">
        <f>IF(K$18='5.Variables'!$B$16,+'5.Variables'!$G34,+IF(K$18='5.Variables'!$B$39,+'5.Variables'!$G57,+IF(K$18='5.Variables'!$B$62,+'5.Variables'!$G71,+IF(K$18='5.Variables'!$B$76,+'5.Variables'!$G85,+IF(K$18='5.Variables'!$B$90,+'5.Variables'!$G99,+IF(K$18='5.Variables'!$B$104,+'5.Variables'!$G113,0))))))</f>
        <v>171.6</v>
      </c>
      <c r="L108" s="697">
        <f>IF(L$18='5.Variables'!$B$16,+'5.Variables'!$G33,+IF(L$18='5.Variables'!$B$39,+'5.Variables'!$G57,+IF(L$18='5.Variables'!$B$62,+'5.Variables'!$G71,+IF(L$18='5.Variables'!$B$76,+'5.Variables'!$G85,+IF(L$18='5.Variables'!$B$90,+'5.Variables'!$G99,+IF(L$18='5.Variables'!$B$104,+'5.Variables'!$G113,0))))))</f>
        <v>0.1</v>
      </c>
      <c r="M108" s="697">
        <f>IF(M$18='5.Variables'!$B$16,+'5.Variables'!$G33,+IF(M$18='5.Variables'!$B$39,+'5.Variables'!$G57,+IF(M$18='5.Variables'!$B$62,+'5.Variables'!$G71,+IF(M$18='5.Variables'!$B$76,+'5.Variables'!$G85,+IF(M$18='5.Variables'!$B$90,+'5.Variables'!$G99,+IF(M$18='5.Variables'!$B$104,+'5.Variables'!$G113,0))))))</f>
        <v>31</v>
      </c>
      <c r="N108" s="697">
        <f>IF(N$18='5.Variables'!$B$16,+'5.Variables'!$G33,+IF(N$18='5.Variables'!$B$39,+'5.Variables'!$G57,+IF(N$18='5.Variables'!$B$62,+'5.Variables'!$G71,+IF(N$18='5.Variables'!$B$76,+'5.Variables'!$G85,+IF(N$18='5.Variables'!$B$90,+'5.Variables'!$G99,+IF(N$18='5.Variables'!$B$104,+'5.Variables'!$G113,0))))))</f>
        <v>145.6</v>
      </c>
      <c r="O108" s="697">
        <f>IF(O$18='5.Variables'!$B$16,+'5.Variables'!$G33,+IF(O$18='5.Variables'!$B$39,+'5.Variables'!$G57,+IF(O$18='5.Variables'!$B$62,+'5.Variables'!$G71,+IF(O$18='5.Variables'!$B$76,+'5.Variables'!$G85,+IF(O$18='5.Variables'!$B$90,+'5.Variables'!$G99,+IF(O$18='5.Variables'!$B$104,+'5.Variables'!$G113,0))))))</f>
        <v>0</v>
      </c>
      <c r="P108" s="697">
        <f>IF(P$18='5.Variables'!$B$16,+'5.Variables'!$G33,+IF(P$18='5.Variables'!$B$39,+'5.Variables'!$G57,+IF(P$18='5.Variables'!$B$62,+'5.Variables'!$G71,+IF(P$18='5.Variables'!$B$76,+'5.Variables'!$G85,+IF(P$18='5.Variables'!$B$90,+'5.Variables'!$G99,+IF(P$18='5.Variables'!$B$104,+'5.Variables'!$G113,0))))))</f>
        <v>352</v>
      </c>
      <c r="Q108" s="242"/>
      <c r="R108" s="260">
        <f t="shared" si="9"/>
        <v>19626351.903795417</v>
      </c>
      <c r="S108" s="262"/>
      <c r="T108" s="242"/>
      <c r="U108" s="242"/>
      <c r="V108" s="242"/>
      <c r="W108" s="242"/>
      <c r="X108" s="242"/>
      <c r="Y108" s="242"/>
      <c r="Z108" s="242"/>
      <c r="AA108" s="242"/>
      <c r="AB108" s="242"/>
      <c r="AC108" s="242"/>
      <c r="AD108" s="242"/>
      <c r="AE108" s="242"/>
      <c r="AF108" s="242"/>
      <c r="AG108" s="242"/>
      <c r="AH108" s="242"/>
      <c r="AI108" s="242"/>
      <c r="AJ108" s="242"/>
      <c r="AK108" s="242"/>
      <c r="AL108" s="242"/>
      <c r="AM108" s="242"/>
    </row>
    <row r="109" spans="1:39" x14ac:dyDescent="0.2">
      <c r="A109" s="500">
        <f t="shared" si="10"/>
        <v>90</v>
      </c>
      <c r="B109" s="259" t="str">
        <f>CONCATENATE('3. Consumption by Rate Class'!B114,"-",'3. Consumption by Rate Class'!C114)</f>
        <v>2013-June</v>
      </c>
      <c r="C109" s="670">
        <v>19952203</v>
      </c>
      <c r="D109" s="826"/>
      <c r="E109" s="827">
        <v>1387509.57</v>
      </c>
      <c r="F109" s="826">
        <v>4157.6400000000003</v>
      </c>
      <c r="G109" s="826">
        <f>'A - CDM Adjustment'!E50</f>
        <v>250309.23076923075</v>
      </c>
      <c r="H109" s="677"/>
      <c r="I109" s="677"/>
      <c r="J109" s="550">
        <f t="shared" si="8"/>
        <v>18819160.300769232</v>
      </c>
      <c r="K109" s="697">
        <f>IF(K$18='5.Variables'!$B$16,+'5.Variables'!$H34,+IF(K$18='5.Variables'!$B$39,+'5.Variables'!$H57,+IF(K$18='5.Variables'!$B$62,+'5.Variables'!$H71,+IF(K$18='5.Variables'!$B$76,+'5.Variables'!$H85,+IF(K$18='5.Variables'!$B$90,+'5.Variables'!$H99,+IF(K$18='5.Variables'!$B$104,+'5.Variables'!$H113,0))))))</f>
        <v>67.099999999999994</v>
      </c>
      <c r="L109" s="697">
        <f>IF(L$18='5.Variables'!$B$16,+'5.Variables'!$H33,+IF(L$18='5.Variables'!$B$39,+'5.Variables'!$H57,+IF(L$18='5.Variables'!$B$62,+'5.Variables'!$H71,+IF(L$18='5.Variables'!$B$76,+'5.Variables'!$H85,+IF(L$18='5.Variables'!$B$90,+'5.Variables'!$H99,+IF(L$18='5.Variables'!$B$104,+'5.Variables'!$H113,0))))))</f>
        <v>13.3</v>
      </c>
      <c r="M109" s="697">
        <f>IF(M$18='5.Variables'!$B$16,+'5.Variables'!$H33,+IF(M$18='5.Variables'!$B$39,+'5.Variables'!$H57,+IF(M$18='5.Variables'!$B$62,+'5.Variables'!$H71,+IF(M$18='5.Variables'!$B$76,+'5.Variables'!$H85,+IF(M$18='5.Variables'!$B$90,+'5.Variables'!$H99,+IF(M$18='5.Variables'!$B$104,+'5.Variables'!$H113,0))))))</f>
        <v>30</v>
      </c>
      <c r="N109" s="697">
        <f>IF(N$18='5.Variables'!$B$16,+'5.Variables'!$H33,+IF(N$18='5.Variables'!$B$39,+'5.Variables'!$H57,+IF(N$18='5.Variables'!$B$62,+'5.Variables'!$H71,+IF(N$18='5.Variables'!$B$76,+'5.Variables'!$H85,+IF(N$18='5.Variables'!$B$90,+'5.Variables'!$H99,+IF(N$18='5.Variables'!$B$104,+'5.Variables'!$H113,0))))))</f>
        <v>145.80000000000001</v>
      </c>
      <c r="O109" s="697">
        <f>IF(O$18='5.Variables'!$B$16,+'5.Variables'!$H33,+IF(O$18='5.Variables'!$B$39,+'5.Variables'!$H57,+IF(O$18='5.Variables'!$B$62,+'5.Variables'!$H71,+IF(O$18='5.Variables'!$B$76,+'5.Variables'!$H85,+IF(O$18='5.Variables'!$B$90,+'5.Variables'!$H99,+IF(O$18='5.Variables'!$B$104,+'5.Variables'!$H113,0))))))</f>
        <v>0</v>
      </c>
      <c r="P109" s="697">
        <f>IF(P$18='5.Variables'!$B$16,+'5.Variables'!$H33,+IF(P$18='5.Variables'!$B$39,+'5.Variables'!$H57,+IF(P$18='5.Variables'!$B$62,+'5.Variables'!$H71,+IF(P$18='5.Variables'!$B$76,+'5.Variables'!$H85,+IF(P$18='5.Variables'!$B$90,+'5.Variables'!$H99,+IF(P$18='5.Variables'!$B$104,+'5.Variables'!$H113,0))))))</f>
        <v>320</v>
      </c>
      <c r="Q109" s="242"/>
      <c r="R109" s="260">
        <f t="shared" si="9"/>
        <v>18853635.555822793</v>
      </c>
      <c r="S109" s="262"/>
      <c r="T109" s="242"/>
      <c r="U109" s="242"/>
      <c r="V109" s="242"/>
      <c r="W109" s="242"/>
      <c r="X109" s="242"/>
      <c r="Y109" s="242"/>
      <c r="Z109" s="242"/>
      <c r="AA109" s="242"/>
      <c r="AB109" s="242"/>
      <c r="AC109" s="242"/>
      <c r="AD109" s="242"/>
      <c r="AE109" s="242"/>
      <c r="AF109" s="242"/>
      <c r="AG109" s="242"/>
      <c r="AH109" s="242"/>
      <c r="AI109" s="242"/>
      <c r="AJ109" s="242"/>
      <c r="AK109" s="242"/>
      <c r="AL109" s="242"/>
      <c r="AM109" s="242"/>
    </row>
    <row r="110" spans="1:39" x14ac:dyDescent="0.2">
      <c r="A110" s="500">
        <f t="shared" si="10"/>
        <v>91</v>
      </c>
      <c r="B110" s="259" t="str">
        <f>CONCATENATE('3. Consumption by Rate Class'!B115,"-",'3. Consumption by Rate Class'!C115)</f>
        <v>2013-July</v>
      </c>
      <c r="C110" s="670">
        <v>22595752</v>
      </c>
      <c r="D110" s="826"/>
      <c r="E110" s="827">
        <v>1138886.1299999999</v>
      </c>
      <c r="F110" s="826">
        <v>17275.28</v>
      </c>
      <c r="G110" s="826">
        <f>'A - CDM Adjustment'!E51</f>
        <v>292027.43589743593</v>
      </c>
      <c r="H110" s="677"/>
      <c r="I110" s="677"/>
      <c r="J110" s="550">
        <f t="shared" si="8"/>
        <v>21766168.585897438</v>
      </c>
      <c r="K110" s="697">
        <f>IF(K$18='5.Variables'!$B$16,+'5.Variables'!$I34,+IF(K$18='5.Variables'!$B$39,+'5.Variables'!$I57,+IF(K$18='5.Variables'!$B$62,+'5.Variables'!$I71,+IF(K$18='5.Variables'!$B$76,+'5.Variables'!$I85,+IF(K$18='5.Variables'!$B$90,+'5.Variables'!$I99,+IF(K$18='5.Variables'!$B$104,+'5.Variables'!$I113,0))))))</f>
        <v>9.3000000000000007</v>
      </c>
      <c r="L110" s="697">
        <f>IF(L$18='5.Variables'!$B$16,+'5.Variables'!$I33,+IF(L$18='5.Variables'!$B$39,+'5.Variables'!$I57,+IF(L$18='5.Variables'!$B$62,+'5.Variables'!$I71,+IF(L$18='5.Variables'!$B$76,+'5.Variables'!$I85,+IF(L$18='5.Variables'!$B$90,+'5.Variables'!$I99,+IF(L$18='5.Variables'!$B$104,+'5.Variables'!$I113,0))))))</f>
        <v>72</v>
      </c>
      <c r="M110" s="697">
        <f>IF(M$18='5.Variables'!$B$16,+'5.Variables'!$I33,+IF(M$18='5.Variables'!$B$39,+'5.Variables'!$I57,+IF(M$18='5.Variables'!$B$62,+'5.Variables'!$I71,+IF(M$18='5.Variables'!$B$76,+'5.Variables'!$I85,+IF(M$18='5.Variables'!$B$90,+'5.Variables'!$I99,+IF(M$18='5.Variables'!$B$104,+'5.Variables'!$I113,0))))))</f>
        <v>31</v>
      </c>
      <c r="N110" s="697">
        <f>IF(N$18='5.Variables'!$B$16,+'5.Variables'!$I33,+IF(N$18='5.Variables'!$B$39,+'5.Variables'!$I57,+IF(N$18='5.Variables'!$B$62,+'5.Variables'!$I71,+IF(N$18='5.Variables'!$B$76,+'5.Variables'!$I85,+IF(N$18='5.Variables'!$B$90,+'5.Variables'!$I99,+IF(N$18='5.Variables'!$B$104,+'5.Variables'!$I113,0))))))</f>
        <v>145.9</v>
      </c>
      <c r="O110" s="697">
        <f>IF(O$18='5.Variables'!$B$16,+'5.Variables'!$I33,+IF(O$18='5.Variables'!$B$39,+'5.Variables'!$I57,+IF(O$18='5.Variables'!$B$62,+'5.Variables'!$I71,+IF(O$18='5.Variables'!$B$76,+'5.Variables'!$I85,+IF(O$18='5.Variables'!$B$90,+'5.Variables'!$I99,+IF(O$18='5.Variables'!$B$104,+'5.Variables'!$I113,0))))))</f>
        <v>0</v>
      </c>
      <c r="P110" s="697">
        <f>IF(P$18='5.Variables'!$B$16,+'5.Variables'!$I33,+IF(P$18='5.Variables'!$B$39,+'5.Variables'!$I57,+IF(P$18='5.Variables'!$B$62,+'5.Variables'!$I71,+IF(P$18='5.Variables'!$B$76,+'5.Variables'!$I85,+IF(P$18='5.Variables'!$B$90,+'5.Variables'!$I99,+IF(P$18='5.Variables'!$B$104,+'5.Variables'!$I113,0))))))</f>
        <v>352</v>
      </c>
      <c r="Q110" s="242"/>
      <c r="R110" s="260">
        <f t="shared" si="9"/>
        <v>21439594.901966162</v>
      </c>
      <c r="S110" s="262"/>
      <c r="T110" s="242"/>
      <c r="U110" s="242"/>
      <c r="V110" s="242"/>
      <c r="W110" s="242"/>
      <c r="X110" s="242"/>
      <c r="Y110" s="242"/>
      <c r="Z110" s="242"/>
      <c r="AA110" s="242"/>
      <c r="AB110" s="242"/>
      <c r="AC110" s="242"/>
      <c r="AD110" s="242"/>
      <c r="AE110" s="242"/>
      <c r="AF110" s="242"/>
      <c r="AG110" s="242"/>
      <c r="AH110" s="242"/>
      <c r="AI110" s="242"/>
      <c r="AJ110" s="242"/>
      <c r="AK110" s="242"/>
      <c r="AL110" s="242"/>
      <c r="AM110" s="242"/>
    </row>
    <row r="111" spans="1:39" x14ac:dyDescent="0.2">
      <c r="A111" s="500">
        <f t="shared" si="10"/>
        <v>92</v>
      </c>
      <c r="B111" s="259" t="str">
        <f>CONCATENATE('3. Consumption by Rate Class'!B116,"-",'3. Consumption by Rate Class'!C116)</f>
        <v>2013-August</v>
      </c>
      <c r="C111" s="670">
        <v>20483499</v>
      </c>
      <c r="D111" s="826"/>
      <c r="E111" s="827">
        <v>697434.4</v>
      </c>
      <c r="F111" s="826">
        <v>35182.61</v>
      </c>
      <c r="G111" s="826">
        <f>'A - CDM Adjustment'!E52</f>
        <v>333745.64102564106</v>
      </c>
      <c r="H111" s="677"/>
      <c r="I111" s="677"/>
      <c r="J111" s="550">
        <f t="shared" si="8"/>
        <v>20154992.851025641</v>
      </c>
      <c r="K111" s="697">
        <f>IF(K$18='5.Variables'!$B$16,+'5.Variables'!$J34,+IF(K$18='5.Variables'!$B$39,+'5.Variables'!$J57,+IF(K$18='5.Variables'!$B$62,+'5.Variables'!$J71,+IF(K$18='5.Variables'!$B$76,+'5.Variables'!$J85,+IF(K$18='5.Variables'!$B$90,+'5.Variables'!$J99,+IF(K$18='5.Variables'!$B$104,+'5.Variables'!$J113,0))))))</f>
        <v>18.5</v>
      </c>
      <c r="L111" s="697">
        <f>IF(L$18='5.Variables'!$B$16,+'5.Variables'!$J33,+IF(L$18='5.Variables'!$B$39,+'5.Variables'!$J57,+IF(L$18='5.Variables'!$B$62,+'5.Variables'!$J71,+IF(L$18='5.Variables'!$B$76,+'5.Variables'!$J85,+IF(L$18='5.Variables'!$B$90,+'5.Variables'!$J99,+IF(L$18='5.Variables'!$B$104,+'5.Variables'!$J113,0))))))</f>
        <v>40.6</v>
      </c>
      <c r="M111" s="697">
        <f>IF(M$18='5.Variables'!$B$16,+'5.Variables'!$J33,+IF(M$18='5.Variables'!$B$39,+'5.Variables'!$J57,+IF(M$18='5.Variables'!$B$62,+'5.Variables'!$J71,+IF(M$18='5.Variables'!$B$76,+'5.Variables'!$J85,+IF(M$18='5.Variables'!$B$90,+'5.Variables'!$J99,+IF(M$18='5.Variables'!$B$104,+'5.Variables'!$J113,0))))))</f>
        <v>31</v>
      </c>
      <c r="N111" s="697">
        <f>IF(N$18='5.Variables'!$B$16,+'5.Variables'!$J33,+IF(N$18='5.Variables'!$B$39,+'5.Variables'!$J57,+IF(N$18='5.Variables'!$B$62,+'5.Variables'!$J71,+IF(N$18='5.Variables'!$B$76,+'5.Variables'!$J85,+IF(N$18='5.Variables'!$B$90,+'5.Variables'!$J99,+IF(N$18='5.Variables'!$B$104,+'5.Variables'!$J113,0))))))</f>
        <v>146.1</v>
      </c>
      <c r="O111" s="697">
        <f>IF(O$18='5.Variables'!$B$16,+'5.Variables'!$J33,+IF(O$18='5.Variables'!$B$39,+'5.Variables'!$J57,+IF(O$18='5.Variables'!$B$62,+'5.Variables'!$J71,+IF(O$18='5.Variables'!$B$76,+'5.Variables'!$J85,+IF(O$18='5.Variables'!$B$90,+'5.Variables'!$J99,+IF(O$18='5.Variables'!$B$104,+'5.Variables'!$J113,0))))))</f>
        <v>0</v>
      </c>
      <c r="P111" s="697">
        <f>IF(P$18='5.Variables'!$B$16,+'5.Variables'!$J33,+IF(P$18='5.Variables'!$B$39,+'5.Variables'!$J57,+IF(P$18='5.Variables'!$B$62,+'5.Variables'!$J71,+IF(P$18='5.Variables'!$B$76,+'5.Variables'!$J85,+IF(P$18='5.Variables'!$B$90,+'5.Variables'!$J99,+IF(P$18='5.Variables'!$B$104,+'5.Variables'!$J113,0))))))</f>
        <v>336</v>
      </c>
      <c r="Q111" s="242"/>
      <c r="R111" s="260">
        <f t="shared" si="9"/>
        <v>20133828.486782245</v>
      </c>
      <c r="S111" s="262"/>
      <c r="T111" s="242"/>
      <c r="U111" s="242"/>
      <c r="V111" s="242"/>
      <c r="W111" s="242"/>
      <c r="X111" s="242"/>
      <c r="Y111" s="242"/>
      <c r="Z111" s="242"/>
      <c r="AA111" s="242"/>
      <c r="AB111" s="242"/>
      <c r="AC111" s="242"/>
      <c r="AD111" s="242"/>
      <c r="AE111" s="242"/>
      <c r="AF111" s="242"/>
      <c r="AG111" s="242"/>
      <c r="AH111" s="242"/>
      <c r="AI111" s="242"/>
      <c r="AJ111" s="242"/>
      <c r="AK111" s="242"/>
      <c r="AL111" s="242"/>
      <c r="AM111" s="242"/>
    </row>
    <row r="112" spans="1:39" x14ac:dyDescent="0.2">
      <c r="A112" s="500">
        <f t="shared" si="10"/>
        <v>93</v>
      </c>
      <c r="B112" s="259" t="str">
        <f>CONCATENATE('3. Consumption by Rate Class'!B117,"-",'3. Consumption by Rate Class'!C117)</f>
        <v>2013-September</v>
      </c>
      <c r="C112" s="670">
        <v>18849394</v>
      </c>
      <c r="D112" s="826"/>
      <c r="E112" s="827">
        <v>878363.34</v>
      </c>
      <c r="F112" s="826">
        <v>34856.65</v>
      </c>
      <c r="G112" s="826">
        <f>'A - CDM Adjustment'!E53</f>
        <v>375463.84615384619</v>
      </c>
      <c r="H112" s="677"/>
      <c r="I112" s="677"/>
      <c r="J112" s="550">
        <f t="shared" si="8"/>
        <v>18381351.156153847</v>
      </c>
      <c r="K112" s="697">
        <f>IF(K$18='5.Variables'!$B$16,+'5.Variables'!$K34,+IF(K$18='5.Variables'!$B$39,+'5.Variables'!$K57,+IF(K$18='5.Variables'!$B$62,+'5.Variables'!$K71,+IF(K$18='5.Variables'!$B$76,+'5.Variables'!$K85,+IF(K$18='5.Variables'!$B$90,+'5.Variables'!$K99,+IF(K$18='5.Variables'!$B$104,+'5.Variables'!$K113,0))))))</f>
        <v>110.4</v>
      </c>
      <c r="L112" s="697">
        <f>IF(L$18='5.Variables'!$B$16,+'5.Variables'!$K33,+IF(L$18='5.Variables'!$B$39,+'5.Variables'!$K57,+IF(L$18='5.Variables'!$B$62,+'5.Variables'!$K71,+IF(L$18='5.Variables'!$B$76,+'5.Variables'!$K85,+IF(L$18='5.Variables'!$B$90,+'5.Variables'!$K99,+IF(L$18='5.Variables'!$B$104,+'5.Variables'!$K113,0))))))</f>
        <v>14.5</v>
      </c>
      <c r="M112" s="697">
        <f>IF(M$18='5.Variables'!$B$16,+'5.Variables'!$K33,+IF(M$18='5.Variables'!$B$39,+'5.Variables'!$K57,+IF(M$18='5.Variables'!$B$62,+'5.Variables'!$K71,+IF(M$18='5.Variables'!$B$76,+'5.Variables'!$K85,+IF(M$18='5.Variables'!$B$90,+'5.Variables'!$K99,+IF(M$18='5.Variables'!$B$104,+'5.Variables'!$K113,0))))))</f>
        <v>30</v>
      </c>
      <c r="N112" s="697">
        <f>IF(N$18='5.Variables'!$B$16,+'5.Variables'!$K33,+IF(N$18='5.Variables'!$B$39,+'5.Variables'!$K57,+IF(N$18='5.Variables'!$B$62,+'5.Variables'!$K71,+IF(N$18='5.Variables'!$B$76,+'5.Variables'!$K85,+IF(N$18='5.Variables'!$B$90,+'5.Variables'!$K99,+IF(N$18='5.Variables'!$B$104,+'5.Variables'!$K113,0))))))</f>
        <v>146.19999999999999</v>
      </c>
      <c r="O112" s="697">
        <f>IF(O$18='5.Variables'!$B$16,+'5.Variables'!$K33,+IF(O$18='5.Variables'!$B$39,+'5.Variables'!$K57,+IF(O$18='5.Variables'!$B$62,+'5.Variables'!$K71,+IF(O$18='5.Variables'!$B$76,+'5.Variables'!$K85,+IF(O$18='5.Variables'!$B$90,+'5.Variables'!$K99,+IF(O$18='5.Variables'!$B$104,+'5.Variables'!$K113,0))))))</f>
        <v>0</v>
      </c>
      <c r="P112" s="697">
        <f>IF(P$18='5.Variables'!$B$16,+'5.Variables'!$K33,+IF(P$18='5.Variables'!$B$39,+'5.Variables'!$K57,+IF(P$18='5.Variables'!$B$62,+'5.Variables'!$K71,+IF(P$18='5.Variables'!$B$76,+'5.Variables'!$K85,+IF(P$18='5.Variables'!$B$90,+'5.Variables'!$K99,+IF(P$18='5.Variables'!$B$104,+'5.Variables'!$K113,0))))))</f>
        <v>320</v>
      </c>
      <c r="Q112" s="242"/>
      <c r="R112" s="260">
        <f t="shared" si="9"/>
        <v>19195237.644847557</v>
      </c>
      <c r="S112" s="262"/>
      <c r="T112" s="242"/>
      <c r="U112" s="242"/>
      <c r="V112" s="242"/>
      <c r="W112" s="242"/>
      <c r="X112" s="242"/>
      <c r="Y112" s="242"/>
      <c r="Z112" s="242"/>
      <c r="AA112" s="242"/>
      <c r="AB112" s="242"/>
      <c r="AC112" s="242"/>
      <c r="AD112" s="242"/>
      <c r="AE112" s="242"/>
      <c r="AF112" s="242"/>
      <c r="AG112" s="242"/>
      <c r="AH112" s="242"/>
      <c r="AI112" s="242"/>
      <c r="AJ112" s="242"/>
      <c r="AK112" s="242"/>
      <c r="AL112" s="242"/>
      <c r="AM112" s="242"/>
    </row>
    <row r="113" spans="1:39" x14ac:dyDescent="0.2">
      <c r="A113" s="500">
        <f t="shared" si="10"/>
        <v>94</v>
      </c>
      <c r="B113" s="259" t="str">
        <f>CONCATENATE('3. Consumption by Rate Class'!B118,"-",'3. Consumption by Rate Class'!C118)</f>
        <v>2013-October</v>
      </c>
      <c r="C113" s="670">
        <v>20065544</v>
      </c>
      <c r="D113" s="826"/>
      <c r="E113" s="827">
        <v>1262489.6299999999</v>
      </c>
      <c r="F113" s="826">
        <v>25081.88</v>
      </c>
      <c r="G113" s="826">
        <f>'A - CDM Adjustment'!E54</f>
        <v>417182.05128205137</v>
      </c>
      <c r="H113" s="677"/>
      <c r="I113" s="677"/>
      <c r="J113" s="550">
        <f t="shared" si="8"/>
        <v>19245318.301282052</v>
      </c>
      <c r="K113" s="697">
        <f>IF(K$18='5.Variables'!$B$16,+'5.Variables'!$L34,+IF(K$18='5.Variables'!$B$39,+'5.Variables'!$L57,+IF(K$18='5.Variables'!$B$62,+'5.Variables'!$L71,+IF(K$18='5.Variables'!$B$76,+'5.Variables'!$L85,+IF(K$18='5.Variables'!$B$90,+'5.Variables'!$L99,+IF(K$18='5.Variables'!$B$104,+'5.Variables'!$L113,0))))))</f>
        <v>202.2</v>
      </c>
      <c r="L113" s="697">
        <f>IF(L$18='5.Variables'!$B$16,+'5.Variables'!$L33,+IF(L$18='5.Variables'!$B$39,+'5.Variables'!$L57,+IF(L$18='5.Variables'!$B$62,+'5.Variables'!$L71,+IF(L$18='5.Variables'!$B$76,+'5.Variables'!$L85,+IF(L$18='5.Variables'!$B$90,+'5.Variables'!$L99,+IF(L$18='5.Variables'!$B$104,+'5.Variables'!$L113,0))))))</f>
        <v>0</v>
      </c>
      <c r="M113" s="697">
        <f>IF(M$18='5.Variables'!$B$16,+'5.Variables'!$L33,+IF(M$18='5.Variables'!$B$39,+'5.Variables'!$L57,+IF(M$18='5.Variables'!$B$62,+'5.Variables'!$L71,+IF(M$18='5.Variables'!$B$76,+'5.Variables'!$L85,+IF(M$18='5.Variables'!$B$90,+'5.Variables'!$L99,+IF(M$18='5.Variables'!$B$104,+'5.Variables'!$L113,0))))))</f>
        <v>31</v>
      </c>
      <c r="N113" s="697">
        <f>IF(N$18='5.Variables'!$B$16,+'5.Variables'!$L33,+IF(N$18='5.Variables'!$B$39,+'5.Variables'!$L57,+IF(N$18='5.Variables'!$B$62,+'5.Variables'!$L71,+IF(N$18='5.Variables'!$B$76,+'5.Variables'!$L85,+IF(N$18='5.Variables'!$B$90,+'5.Variables'!$L99,+IF(N$18='5.Variables'!$B$104,+'5.Variables'!$L113,0))))))</f>
        <v>146.4</v>
      </c>
      <c r="O113" s="697">
        <f>IF(O$18='5.Variables'!$B$16,+'5.Variables'!$L33,+IF(O$18='5.Variables'!$B$39,+'5.Variables'!$L57,+IF(O$18='5.Variables'!$B$62,+'5.Variables'!$L71,+IF(O$18='5.Variables'!$B$76,+'5.Variables'!$L85,+IF(O$18='5.Variables'!$B$90,+'5.Variables'!$L99,+IF(O$18='5.Variables'!$B$104,+'5.Variables'!$L113,0))))))</f>
        <v>0</v>
      </c>
      <c r="P113" s="697">
        <f>IF(P$18='5.Variables'!$B$16,+'5.Variables'!$L33,+IF(P$18='5.Variables'!$B$39,+'5.Variables'!$L57,+IF(P$18='5.Variables'!$B$62,+'5.Variables'!$L71,+IF(P$18='5.Variables'!$B$76,+'5.Variables'!$L85,+IF(P$18='5.Variables'!$B$90,+'5.Variables'!$L99,+IF(P$18='5.Variables'!$B$104,+'5.Variables'!$L113,0))))))</f>
        <v>352</v>
      </c>
      <c r="Q113" s="242"/>
      <c r="R113" s="260">
        <f t="shared" si="9"/>
        <v>19845176.953764874</v>
      </c>
      <c r="S113" s="262"/>
      <c r="T113" s="242"/>
      <c r="U113" s="242"/>
      <c r="V113" s="242"/>
      <c r="W113" s="242"/>
      <c r="X113" s="242"/>
      <c r="Y113" s="242"/>
      <c r="Z113" s="242"/>
      <c r="AA113" s="242"/>
      <c r="AB113" s="242"/>
      <c r="AC113" s="242"/>
      <c r="AD113" s="242"/>
      <c r="AE113" s="242"/>
      <c r="AF113" s="242"/>
      <c r="AG113" s="242"/>
      <c r="AH113" s="242"/>
      <c r="AI113" s="242"/>
      <c r="AJ113" s="242"/>
      <c r="AK113" s="242"/>
      <c r="AL113" s="242"/>
      <c r="AM113" s="242"/>
    </row>
    <row r="114" spans="1:39" x14ac:dyDescent="0.2">
      <c r="A114" s="500">
        <f t="shared" si="10"/>
        <v>95</v>
      </c>
      <c r="B114" s="259" t="str">
        <f>CONCATENATE('3. Consumption by Rate Class'!B119,"-",'3. Consumption by Rate Class'!C119)</f>
        <v>2013-November</v>
      </c>
      <c r="C114" s="670">
        <v>21282596</v>
      </c>
      <c r="D114" s="826"/>
      <c r="E114" s="827">
        <v>1146180.58</v>
      </c>
      <c r="F114" s="826">
        <v>23434.34</v>
      </c>
      <c r="G114" s="826">
        <f>'A - CDM Adjustment'!E55</f>
        <v>458900.25641025655</v>
      </c>
      <c r="H114" s="677"/>
      <c r="I114" s="677"/>
      <c r="J114" s="550">
        <f t="shared" si="8"/>
        <v>20618750.016410258</v>
      </c>
      <c r="K114" s="697">
        <f>IF(K$18='5.Variables'!$B$16,+'5.Variables'!$M34,+IF(K$18='5.Variables'!$B$39,+'5.Variables'!$M57,+IF(K$18='5.Variables'!$B$62,+'5.Variables'!$M71,+IF(K$18='5.Variables'!$B$76,+'5.Variables'!$M85,+IF(K$18='5.Variables'!$B$90,+'5.Variables'!$M99,+IF(K$18='5.Variables'!$B$104,+'5.Variables'!$M113,0))))))</f>
        <v>481.9</v>
      </c>
      <c r="L114" s="697">
        <f>IF(L$18='5.Variables'!$B$16,+'5.Variables'!$M33,+IF(L$18='5.Variables'!$B$39,+'5.Variables'!$M57,+IF(L$18='5.Variables'!$B$62,+'5.Variables'!$M71,+IF(L$18='5.Variables'!$B$76,+'5.Variables'!$M85,+IF(L$18='5.Variables'!$B$90,+'5.Variables'!$M99,+IF(L$18='5.Variables'!$B$104,+'5.Variables'!$M113,0))))))</f>
        <v>0</v>
      </c>
      <c r="M114" s="697">
        <f>IF(M$18='5.Variables'!$B$16,+'5.Variables'!$M33,+IF(M$18='5.Variables'!$B$39,+'5.Variables'!$M57,+IF(M$18='5.Variables'!$B$62,+'5.Variables'!$M71,+IF(M$18='5.Variables'!$B$76,+'5.Variables'!$M85,+IF(M$18='5.Variables'!$B$90,+'5.Variables'!$M99,+IF(M$18='5.Variables'!$B$104,+'5.Variables'!$M113,0))))))</f>
        <v>30</v>
      </c>
      <c r="N114" s="697">
        <f>IF(N$18='5.Variables'!$B$16,+'5.Variables'!$M33,+IF(N$18='5.Variables'!$B$39,+'5.Variables'!$M57,+IF(N$18='5.Variables'!$B$62,+'5.Variables'!$M71,+IF(N$18='5.Variables'!$B$76,+'5.Variables'!$M85,+IF(N$18='5.Variables'!$B$90,+'5.Variables'!$M99,+IF(N$18='5.Variables'!$B$104,+'5.Variables'!$M113,0))))))</f>
        <v>146.6</v>
      </c>
      <c r="O114" s="697">
        <f>IF(O$18='5.Variables'!$B$16,+'5.Variables'!$M33,+IF(O$18='5.Variables'!$B$39,+'5.Variables'!$M57,+IF(O$18='5.Variables'!$B$62,+'5.Variables'!$M71,+IF(O$18='5.Variables'!$B$76,+'5.Variables'!$M85,+IF(O$18='5.Variables'!$B$90,+'5.Variables'!$M99,+IF(O$18='5.Variables'!$B$104,+'5.Variables'!$M113,0))))))</f>
        <v>0</v>
      </c>
      <c r="P114" s="697">
        <f>IF(P$18='5.Variables'!$B$16,+'5.Variables'!$M33,+IF(P$18='5.Variables'!$B$39,+'5.Variables'!$M57,+IF(P$18='5.Variables'!$B$62,+'5.Variables'!$M71,+IF(P$18='5.Variables'!$B$76,+'5.Variables'!$M85,+IF(P$18='5.Variables'!$B$90,+'5.Variables'!$M99,+IF(P$18='5.Variables'!$B$104,+'5.Variables'!$M113,0))))))</f>
        <v>336</v>
      </c>
      <c r="Q114" s="242"/>
      <c r="R114" s="260">
        <f t="shared" si="9"/>
        <v>21172018.02461024</v>
      </c>
      <c r="S114" s="262"/>
      <c r="T114" s="242"/>
      <c r="U114" s="242"/>
      <c r="V114" s="242"/>
      <c r="W114" s="242"/>
      <c r="X114" s="242"/>
      <c r="Y114" s="242"/>
      <c r="Z114" s="242"/>
      <c r="AA114" s="242"/>
      <c r="AB114" s="242"/>
      <c r="AC114" s="242"/>
      <c r="AD114" s="242"/>
      <c r="AE114" s="242"/>
      <c r="AF114" s="242"/>
      <c r="AG114" s="242"/>
      <c r="AH114" s="242"/>
      <c r="AI114" s="242"/>
      <c r="AJ114" s="242"/>
      <c r="AK114" s="242"/>
      <c r="AL114" s="242"/>
      <c r="AM114" s="242"/>
    </row>
    <row r="115" spans="1:39" x14ac:dyDescent="0.2">
      <c r="A115" s="500">
        <f t="shared" si="10"/>
        <v>96</v>
      </c>
      <c r="B115" s="519" t="str">
        <f>CONCATENATE('3. Consumption by Rate Class'!B120,"-",'3. Consumption by Rate Class'!C120)</f>
        <v>2013-December</v>
      </c>
      <c r="C115" s="671">
        <v>23218277</v>
      </c>
      <c r="D115" s="828"/>
      <c r="E115" s="829">
        <v>967248.74</v>
      </c>
      <c r="F115" s="828">
        <v>11555.47</v>
      </c>
      <c r="G115" s="828">
        <f>'A - CDM Adjustment'!E56</f>
        <v>500618.46153846162</v>
      </c>
      <c r="H115" s="679"/>
      <c r="I115" s="679"/>
      <c r="J115" s="550">
        <f t="shared" si="8"/>
        <v>22763202.191538461</v>
      </c>
      <c r="K115" s="697">
        <f>IF(K$18='5.Variables'!$B$16,+'5.Variables'!$N34,+IF(K$18='5.Variables'!$B$39,+'5.Variables'!$N57,+IF(K$18='5.Variables'!$B$62,+'5.Variables'!$N71,+IF(K$18='5.Variables'!$B$76,+'5.Variables'!$N85,+IF(K$18='5.Variables'!$B$90,+'5.Variables'!$N99,+IF(K$18='5.Variables'!$B$104,+'5.Variables'!$N113,0))))))</f>
        <v>683.9</v>
      </c>
      <c r="L115" s="697">
        <f>IF(L$18='5.Variables'!$B$16,+'5.Variables'!$N33,+IF(L$18='5.Variables'!$B$39,+'5.Variables'!$N57,+IF(L$18='5.Variables'!$B$62,+'5.Variables'!$N71,+IF(L$18='5.Variables'!$B$76,+'5.Variables'!$N85,+IF(L$18='5.Variables'!$B$90,+'5.Variables'!$N99,+IF(L$18='5.Variables'!$B$104,+'5.Variables'!$N113,0))))))</f>
        <v>0</v>
      </c>
      <c r="M115" s="697">
        <f>IF(M$18='5.Variables'!$B$16,+'5.Variables'!$N33,+IF(M$18='5.Variables'!$B$39,+'5.Variables'!$N57,+IF(M$18='5.Variables'!$B$62,+'5.Variables'!$N71,+IF(M$18='5.Variables'!$B$76,+'5.Variables'!$N85,+IF(M$18='5.Variables'!$B$90,+'5.Variables'!$N99,+IF(M$18='5.Variables'!$B$104,+'5.Variables'!$N113,0))))))</f>
        <v>31</v>
      </c>
      <c r="N115" s="697">
        <f>IF(N$18='5.Variables'!$B$16,+'5.Variables'!$N33,+IF(N$18='5.Variables'!$B$39,+'5.Variables'!$N57,+IF(N$18='5.Variables'!$B$62,+'5.Variables'!$N71,+IF(N$18='5.Variables'!$B$76,+'5.Variables'!$N85,+IF(N$18='5.Variables'!$B$90,+'5.Variables'!$N99,+IF(N$18='5.Variables'!$B$104,+'5.Variables'!$N113,0))))))</f>
        <v>146.69999999999999</v>
      </c>
      <c r="O115" s="697">
        <f>IF(O$18='5.Variables'!$B$16,+'5.Variables'!$N33,+IF(O$18='5.Variables'!$B$39,+'5.Variables'!$N57,+IF(O$18='5.Variables'!$B$62,+'5.Variables'!$N71,+IF(O$18='5.Variables'!$B$76,+'5.Variables'!$N85,+IF(O$18='5.Variables'!$B$90,+'5.Variables'!$N99,+IF(O$18='5.Variables'!$B$104,+'5.Variables'!$N113,0))))))</f>
        <v>0</v>
      </c>
      <c r="P115" s="697">
        <f>IF(P$18='5.Variables'!$B$16,+'5.Variables'!$N33,+IF(P$18='5.Variables'!$B$39,+'5.Variables'!$N57,+IF(P$18='5.Variables'!$B$62,+'5.Variables'!$N71,+IF(P$18='5.Variables'!$B$76,+'5.Variables'!$N85,+IF(P$18='5.Variables'!$B$90,+'5.Variables'!$N99,+IF(P$18='5.Variables'!$B$104,+'5.Variables'!$N113,0))))))</f>
        <v>320</v>
      </c>
      <c r="Q115" s="242"/>
      <c r="R115" s="260">
        <f t="shared" si="9"/>
        <v>22749056.390991144</v>
      </c>
      <c r="S115" s="262">
        <f>SUM(R104:R115)</f>
        <v>249342246.0888707</v>
      </c>
      <c r="T115" s="242"/>
      <c r="U115" s="242"/>
      <c r="V115" s="242"/>
      <c r="W115" s="242"/>
      <c r="X115" s="242"/>
      <c r="Y115" s="242"/>
      <c r="Z115" s="242"/>
      <c r="AA115" s="242"/>
      <c r="AB115" s="242"/>
      <c r="AC115" s="242"/>
      <c r="AD115" s="242"/>
      <c r="AE115" s="242"/>
      <c r="AF115" s="242"/>
      <c r="AG115" s="242"/>
      <c r="AH115" s="242"/>
      <c r="AI115" s="242"/>
      <c r="AJ115" s="242"/>
      <c r="AK115" s="242"/>
      <c r="AL115" s="242"/>
      <c r="AM115" s="242"/>
    </row>
    <row r="116" spans="1:39" x14ac:dyDescent="0.2">
      <c r="A116" s="500">
        <f t="shared" si="10"/>
        <v>97</v>
      </c>
      <c r="B116" s="259" t="str">
        <f>CONCATENATE('3. Consumption by Rate Class'!B121,"-",'3. Consumption by Rate Class'!C121)</f>
        <v>2014-January</v>
      </c>
      <c r="C116" s="670">
        <v>24436239</v>
      </c>
      <c r="D116" s="826"/>
      <c r="E116" s="827">
        <v>462759.42</v>
      </c>
      <c r="F116" s="826">
        <v>15181.87</v>
      </c>
      <c r="G116" s="826">
        <f>'A - CDM Adjustment'!E58</f>
        <v>54179.48717948718</v>
      </c>
      <c r="H116" s="677"/>
      <c r="I116" s="677"/>
      <c r="J116" s="550">
        <f t="shared" si="8"/>
        <v>24042840.937179487</v>
      </c>
      <c r="K116" s="697">
        <f>IF(K$18='5.Variables'!$B$16,+'5.Variables'!$C35,+IF(K$18='5.Variables'!$B$39,+'5.Variables'!$C58,+IF(K$18='5.Variables'!$B$62,+'5.Variables'!$C72,+IF(K$18='5.Variables'!$B$76,+'5.Variables'!$C86,+IF(K$18='5.Variables'!$B$90,+'5.Variables'!$C100,+IF(K$18='5.Variables'!$B$104,+'5.Variables'!$C114,0))))))</f>
        <v>792.3</v>
      </c>
      <c r="L116" s="697">
        <f>IF(L$18='5.Variables'!$B$16,+'5.Variables'!$C34,+IF(L$18='5.Variables'!$B$39,+'5.Variables'!$C58,+IF(L$18='5.Variables'!$B$62,+'5.Variables'!$C72,+IF(L$18='5.Variables'!$B$76,+'5.Variables'!$C86,+IF(L$18='5.Variables'!$B$90,+'5.Variables'!$C100,+IF(L$18='5.Variables'!$B$104,+'5.Variables'!$C114,0))))))</f>
        <v>0</v>
      </c>
      <c r="M116" s="697">
        <f>IF(M$18='5.Variables'!$B$16,+'5.Variables'!$C34,+IF(M$18='5.Variables'!$B$39,+'5.Variables'!$C58,+IF(M$18='5.Variables'!$B$62,+'5.Variables'!$C72,+IF(M$18='5.Variables'!$B$76,+'5.Variables'!$C86,+IF(M$18='5.Variables'!$B$90,+'5.Variables'!$C100,+IF(M$18='5.Variables'!$B$104,+'5.Variables'!$C114,0))))))</f>
        <v>31</v>
      </c>
      <c r="N116" s="697">
        <f>IF(N$18='5.Variables'!$B$16,+'5.Variables'!$C34,+IF(N$18='5.Variables'!$B$39,+'5.Variables'!$C58,+IF(N$18='5.Variables'!$B$62,+'5.Variables'!$C72,+IF(N$18='5.Variables'!$B$76,+'5.Variables'!$C86,+IF(N$18='5.Variables'!$B$90,+'5.Variables'!$C100,+IF(N$18='5.Variables'!$B$104,+'5.Variables'!$C114,0))))))</f>
        <v>146.9</v>
      </c>
      <c r="O116" s="697">
        <f>IF(O$18='5.Variables'!$B$16,+'5.Variables'!$C34,+IF(O$18='5.Variables'!$B$39,+'5.Variables'!$C58,+IF(O$18='5.Variables'!$B$62,+'5.Variables'!$C72,+IF(O$18='5.Variables'!$B$76,+'5.Variables'!$C86,+IF(O$18='5.Variables'!$B$90,+'5.Variables'!$C100,+IF(O$18='5.Variables'!$B$104,+'5.Variables'!$C114,0))))))</f>
        <v>0</v>
      </c>
      <c r="P116" s="697">
        <f>IF(P$18='5.Variables'!$B$16,+'5.Variables'!$C34,+IF(P$18='5.Variables'!$B$39,+'5.Variables'!$C58,+IF(P$18='5.Variables'!$B$62,+'5.Variables'!$C72,+IF(P$18='5.Variables'!$B$76,+'5.Variables'!$C86,+IF(P$18='5.Variables'!$B$90,+'5.Variables'!$C100,+IF(P$18='5.Variables'!$B$104,+'5.Variables'!$C114,0))))))</f>
        <v>352</v>
      </c>
      <c r="Q116" s="242"/>
      <c r="R116" s="260">
        <f t="shared" si="9"/>
        <v>23704623.773603056</v>
      </c>
      <c r="S116" s="262"/>
      <c r="T116" s="242"/>
      <c r="U116" s="242"/>
      <c r="V116" s="242"/>
      <c r="W116" s="242"/>
      <c r="X116" s="242"/>
      <c r="Y116" s="242"/>
      <c r="Z116" s="242"/>
      <c r="AA116" s="242"/>
      <c r="AB116" s="242"/>
      <c r="AC116" s="242"/>
      <c r="AD116" s="242"/>
      <c r="AE116" s="242"/>
      <c r="AF116" s="242"/>
      <c r="AG116" s="242"/>
      <c r="AH116" s="242"/>
      <c r="AI116" s="242"/>
      <c r="AJ116" s="242"/>
      <c r="AK116" s="242"/>
      <c r="AL116" s="242"/>
      <c r="AM116" s="242"/>
    </row>
    <row r="117" spans="1:39" x14ac:dyDescent="0.2">
      <c r="A117" s="500">
        <f t="shared" si="10"/>
        <v>98</v>
      </c>
      <c r="B117" s="259" t="str">
        <f>CONCATENATE('3. Consumption by Rate Class'!B122,"-",'3. Consumption by Rate Class'!C122)</f>
        <v>2014-February</v>
      </c>
      <c r="C117" s="670">
        <v>21999576</v>
      </c>
      <c r="D117" s="826"/>
      <c r="E117" s="827">
        <v>1139661.58</v>
      </c>
      <c r="F117" s="826">
        <v>24355.98</v>
      </c>
      <c r="G117" s="826">
        <f>'A - CDM Adjustment'!E59</f>
        <v>108358.97435897436</v>
      </c>
      <c r="H117" s="677"/>
      <c r="I117" s="677"/>
      <c r="J117" s="550">
        <f t="shared" si="8"/>
        <v>20992629.374358978</v>
      </c>
      <c r="K117" s="697">
        <f>IF(K$18='5.Variables'!$B$16,+'5.Variables'!$D35,+IF(K$18='5.Variables'!$B$39,+'5.Variables'!$D58,+IF(K$18='5.Variables'!$B$62,+'5.Variables'!$D72,+IF(K$18='5.Variables'!$B$76,+'5.Variables'!$D86,+IF(K$18='5.Variables'!$B$90,+'5.Variables'!$D100,+IF(K$18='5.Variables'!$B$104,+'5.Variables'!$D114,0))))))</f>
        <v>714.7</v>
      </c>
      <c r="L117" s="697">
        <f>IF(L$18='5.Variables'!$B$16,+'5.Variables'!$D34,+IF(L$18='5.Variables'!$B$39,+'5.Variables'!$D58,+IF(L$18='5.Variables'!$B$62,+'5.Variables'!$D72,+IF(L$18='5.Variables'!$B$76,+'5.Variables'!$D86,+IF(L$18='5.Variables'!$B$90,+'5.Variables'!$D100,+IF(L$18='5.Variables'!$B$104,+'5.Variables'!$D114,0))))))</f>
        <v>0</v>
      </c>
      <c r="M117" s="697">
        <f>IF(M$18='5.Variables'!$B$16,+'5.Variables'!$D34,+IF(M$18='5.Variables'!$B$39,+'5.Variables'!$D58,+IF(M$18='5.Variables'!$B$62,+'5.Variables'!$D72,+IF(M$18='5.Variables'!$B$76,+'5.Variables'!$D86,+IF(M$18='5.Variables'!$B$90,+'5.Variables'!$D100,+IF(M$18='5.Variables'!$B$104,+'5.Variables'!$D114,0))))))</f>
        <v>28</v>
      </c>
      <c r="N117" s="697">
        <f>IF(N$18='5.Variables'!$B$16,+'5.Variables'!$D34,+IF(N$18='5.Variables'!$B$39,+'5.Variables'!$D58,+IF(N$18='5.Variables'!$B$62,+'5.Variables'!$D72,+IF(N$18='5.Variables'!$B$76,+'5.Variables'!$D86,+IF(N$18='5.Variables'!$B$90,+'5.Variables'!$D100,+IF(N$18='5.Variables'!$B$104,+'5.Variables'!$D114,0))))))</f>
        <v>147.19999999999999</v>
      </c>
      <c r="O117" s="697">
        <f>IF(O$18='5.Variables'!$B$16,+'5.Variables'!$D34,+IF(O$18='5.Variables'!$B$39,+'5.Variables'!$D58,+IF(O$18='5.Variables'!$B$62,+'5.Variables'!$D72,+IF(O$18='5.Variables'!$B$76,+'5.Variables'!$D86,+IF(O$18='5.Variables'!$B$90,+'5.Variables'!$D100,+IF(O$18='5.Variables'!$B$104,+'5.Variables'!$D114,0))))))</f>
        <v>0</v>
      </c>
      <c r="P117" s="697">
        <f>IF(P$18='5.Variables'!$B$16,+'5.Variables'!$D34,+IF(P$18='5.Variables'!$B$39,+'5.Variables'!$D58,+IF(P$18='5.Variables'!$B$62,+'5.Variables'!$D72,+IF(P$18='5.Variables'!$B$76,+'5.Variables'!$D86,+IF(P$18='5.Variables'!$B$90,+'5.Variables'!$D100,+IF(P$18='5.Variables'!$B$104,+'5.Variables'!$D114,0))))))</f>
        <v>304</v>
      </c>
      <c r="Q117" s="242"/>
      <c r="R117" s="260">
        <f t="shared" si="9"/>
        <v>21703592.271620393</v>
      </c>
      <c r="S117" s="262"/>
      <c r="T117" s="242"/>
      <c r="U117" s="242"/>
      <c r="V117" s="242"/>
      <c r="W117" s="242"/>
      <c r="X117" s="242"/>
      <c r="Y117" s="242"/>
      <c r="Z117" s="242"/>
      <c r="AA117" s="242"/>
      <c r="AB117" s="242"/>
      <c r="AC117" s="242"/>
      <c r="AD117" s="242"/>
      <c r="AE117" s="242"/>
      <c r="AF117" s="242"/>
      <c r="AG117" s="242"/>
      <c r="AH117" s="242"/>
      <c r="AI117" s="242"/>
      <c r="AJ117" s="242"/>
      <c r="AK117" s="242"/>
      <c r="AL117" s="242"/>
      <c r="AM117" s="242"/>
    </row>
    <row r="118" spans="1:39" x14ac:dyDescent="0.2">
      <c r="A118" s="500">
        <f t="shared" si="10"/>
        <v>99</v>
      </c>
      <c r="B118" s="259" t="str">
        <f>CONCATENATE('3. Consumption by Rate Class'!B123,"-",'3. Consumption by Rate Class'!C123)</f>
        <v>2014-March</v>
      </c>
      <c r="C118" s="670">
        <v>23407004</v>
      </c>
      <c r="D118" s="826"/>
      <c r="E118" s="827">
        <v>1481130.14</v>
      </c>
      <c r="F118" s="826">
        <v>85661.88</v>
      </c>
      <c r="G118" s="826">
        <f>'A - CDM Adjustment'!E60</f>
        <v>162538.46153846153</v>
      </c>
      <c r="H118" s="677"/>
      <c r="I118" s="677"/>
      <c r="J118" s="550">
        <f t="shared" si="8"/>
        <v>22174074.201538458</v>
      </c>
      <c r="K118" s="697">
        <f>IF(K$18='5.Variables'!$B$16,+'5.Variables'!$E35,+IF(K$18='5.Variables'!$B$39,+'5.Variables'!$E58,+IF(K$18='5.Variables'!$B$62,+'5.Variables'!$E72,+IF(K$18='5.Variables'!$B$76,+'5.Variables'!$E86,+IF(K$18='5.Variables'!$B$90,+'5.Variables'!$E100,+IF(K$18='5.Variables'!$B$104,+'5.Variables'!$E114,0))))))</f>
        <v>692.7</v>
      </c>
      <c r="L118" s="697">
        <f>IF(L$18='5.Variables'!$B$16,+'5.Variables'!$E34,+IF(L$18='5.Variables'!$B$39,+'5.Variables'!$E58,+IF(L$18='5.Variables'!$B$62,+'5.Variables'!$E72,+IF(L$18='5.Variables'!$B$76,+'5.Variables'!$E86,+IF(L$18='5.Variables'!$B$90,+'5.Variables'!$E100,+IF(L$18='5.Variables'!$B$104,+'5.Variables'!$E114,0))))))</f>
        <v>0</v>
      </c>
      <c r="M118" s="697">
        <f>IF(M$18='5.Variables'!$B$16,+'5.Variables'!$E34,+IF(M$18='5.Variables'!$B$39,+'5.Variables'!$E58,+IF(M$18='5.Variables'!$B$62,+'5.Variables'!$E72,+IF(M$18='5.Variables'!$B$76,+'5.Variables'!$E86,+IF(M$18='5.Variables'!$B$90,+'5.Variables'!$E100,+IF(M$18='5.Variables'!$B$104,+'5.Variables'!$E114,0))))))</f>
        <v>31</v>
      </c>
      <c r="N118" s="697">
        <f>IF(N$18='5.Variables'!$B$16,+'5.Variables'!$E34,+IF(N$18='5.Variables'!$B$39,+'5.Variables'!$E58,+IF(N$18='5.Variables'!$B$62,+'5.Variables'!$E72,+IF(N$18='5.Variables'!$B$76,+'5.Variables'!$E86,+IF(N$18='5.Variables'!$B$90,+'5.Variables'!$E100,+IF(N$18='5.Variables'!$B$104,+'5.Variables'!$E114,0))))))</f>
        <v>147.4</v>
      </c>
      <c r="O118" s="697">
        <f>IF(O$18='5.Variables'!$B$16,+'5.Variables'!$E34,+IF(O$18='5.Variables'!$B$39,+'5.Variables'!$E58,+IF(O$18='5.Variables'!$B$62,+'5.Variables'!$E72,+IF(O$18='5.Variables'!$B$76,+'5.Variables'!$E86,+IF(O$18='5.Variables'!$B$90,+'5.Variables'!$E100,+IF(O$18='5.Variables'!$B$104,+'5.Variables'!$E114,0))))))</f>
        <v>0</v>
      </c>
      <c r="P118" s="697">
        <f>IF(P$18='5.Variables'!$B$16,+'5.Variables'!$E34,+IF(P$18='5.Variables'!$B$39,+'5.Variables'!$E58,+IF(P$18='5.Variables'!$B$62,+'5.Variables'!$E72,+IF(P$18='5.Variables'!$B$76,+'5.Variables'!$E86,+IF(P$18='5.Variables'!$B$90,+'5.Variables'!$E100,+IF(P$18='5.Variables'!$B$104,+'5.Variables'!$E114,0))))))</f>
        <v>336</v>
      </c>
      <c r="Q118" s="242"/>
      <c r="R118" s="260">
        <f t="shared" si="9"/>
        <v>22948609.068830255</v>
      </c>
      <c r="S118" s="262"/>
      <c r="T118" s="242"/>
      <c r="U118" s="242"/>
      <c r="V118" s="242"/>
      <c r="W118" s="242"/>
      <c r="X118" s="242"/>
      <c r="Y118" s="242"/>
      <c r="Z118" s="242"/>
      <c r="AA118" s="242"/>
      <c r="AB118" s="242"/>
      <c r="AC118" s="242"/>
      <c r="AD118" s="242"/>
      <c r="AE118" s="242"/>
      <c r="AF118" s="242"/>
      <c r="AG118" s="242"/>
      <c r="AH118" s="242"/>
      <c r="AI118" s="242"/>
      <c r="AJ118" s="242"/>
      <c r="AK118" s="242"/>
      <c r="AL118" s="242"/>
      <c r="AM118" s="242"/>
    </row>
    <row r="119" spans="1:39" x14ac:dyDescent="0.2">
      <c r="A119" s="500">
        <f t="shared" si="10"/>
        <v>100</v>
      </c>
      <c r="B119" s="259" t="str">
        <f>CONCATENATE('3. Consumption by Rate Class'!B124,"-",'3. Consumption by Rate Class'!C124)</f>
        <v>2014-April</v>
      </c>
      <c r="C119" s="670">
        <v>19803682</v>
      </c>
      <c r="D119" s="826"/>
      <c r="E119" s="827">
        <v>1083335.1299999999</v>
      </c>
      <c r="F119" s="826">
        <v>130895.74</v>
      </c>
      <c r="G119" s="826">
        <f>'A - CDM Adjustment'!E61</f>
        <v>216717.94871794872</v>
      </c>
      <c r="H119" s="677"/>
      <c r="I119" s="677"/>
      <c r="J119" s="550">
        <f t="shared" si="8"/>
        <v>19067960.558717947</v>
      </c>
      <c r="K119" s="697">
        <f>IF(K$18='5.Variables'!$B$16,+'5.Variables'!$F35,+IF(K$18='5.Variables'!$B$39,+'5.Variables'!$F58,+IF(K$18='5.Variables'!$B$62,+'5.Variables'!$F72,+IF(K$18='5.Variables'!$B$76,+'5.Variables'!$F86,+IF(K$18='5.Variables'!$B$90,+'5.Variables'!$F100,+IF(K$18='5.Variables'!$B$104,+'5.Variables'!$F114,0))))))</f>
        <v>394.2</v>
      </c>
      <c r="L119" s="697">
        <f>IF(L$18='5.Variables'!$B$16,+'5.Variables'!$F34,+IF(L$18='5.Variables'!$B$39,+'5.Variables'!$F58,+IF(L$18='5.Variables'!$B$62,+'5.Variables'!$F72,+IF(L$18='5.Variables'!$B$76,+'5.Variables'!$F86,+IF(L$18='5.Variables'!$B$90,+'5.Variables'!$F100,+IF(L$18='5.Variables'!$B$104,+'5.Variables'!$F114,0))))))</f>
        <v>0</v>
      </c>
      <c r="M119" s="697">
        <f>IF(M$18='5.Variables'!$B$16,+'5.Variables'!$F34,+IF(M$18='5.Variables'!$B$39,+'5.Variables'!$F58,+IF(M$18='5.Variables'!$B$62,+'5.Variables'!$F72,+IF(M$18='5.Variables'!$B$76,+'5.Variables'!$F86,+IF(M$18='5.Variables'!$B$90,+'5.Variables'!$F100,+IF(M$18='5.Variables'!$B$104,+'5.Variables'!$F114,0))))))</f>
        <v>30</v>
      </c>
      <c r="N119" s="697">
        <f>IF(N$18='5.Variables'!$B$16,+'5.Variables'!$F34,+IF(N$18='5.Variables'!$B$39,+'5.Variables'!$F58,+IF(N$18='5.Variables'!$B$62,+'5.Variables'!$F72,+IF(N$18='5.Variables'!$B$76,+'5.Variables'!$F86,+IF(N$18='5.Variables'!$B$90,+'5.Variables'!$F100,+IF(N$18='5.Variables'!$B$104,+'5.Variables'!$F114,0))))))</f>
        <v>147.6</v>
      </c>
      <c r="O119" s="697">
        <f>IF(O$18='5.Variables'!$B$16,+'5.Variables'!$F34,+IF(O$18='5.Variables'!$B$39,+'5.Variables'!$F58,+IF(O$18='5.Variables'!$B$62,+'5.Variables'!$F72,+IF(O$18='5.Variables'!$B$76,+'5.Variables'!$F86,+IF(O$18='5.Variables'!$B$90,+'5.Variables'!$F100,+IF(O$18='5.Variables'!$B$104,+'5.Variables'!$F114,0))))))</f>
        <v>0</v>
      </c>
      <c r="P119" s="697">
        <f>IF(P$18='5.Variables'!$B$16,+'5.Variables'!$F34,+IF(P$18='5.Variables'!$B$39,+'5.Variables'!$F58,+IF(P$18='5.Variables'!$B$62,+'5.Variables'!$F72,+IF(P$18='5.Variables'!$B$76,+'5.Variables'!$F86,+IF(P$18='5.Variables'!$B$90,+'5.Variables'!$F100,+IF(P$18='5.Variables'!$B$104,+'5.Variables'!$F114,0))))))</f>
        <v>336</v>
      </c>
      <c r="Q119" s="242"/>
      <c r="R119" s="260">
        <f t="shared" si="9"/>
        <v>20629896.363535445</v>
      </c>
      <c r="S119" s="262"/>
      <c r="T119" s="242"/>
      <c r="U119" s="242"/>
      <c r="V119" s="242"/>
      <c r="W119" s="242"/>
      <c r="X119" s="242"/>
      <c r="Y119" s="242"/>
      <c r="Z119" s="242"/>
      <c r="AA119" s="242"/>
      <c r="AB119" s="242"/>
      <c r="AC119" s="242"/>
      <c r="AD119" s="242"/>
      <c r="AE119" s="242"/>
      <c r="AF119" s="242"/>
      <c r="AG119" s="242"/>
      <c r="AH119" s="242"/>
      <c r="AI119" s="242"/>
      <c r="AJ119" s="242"/>
      <c r="AK119" s="242"/>
      <c r="AL119" s="242"/>
      <c r="AM119" s="242"/>
    </row>
    <row r="120" spans="1:39" x14ac:dyDescent="0.2">
      <c r="A120" s="500">
        <f t="shared" si="10"/>
        <v>101</v>
      </c>
      <c r="B120" s="259" t="str">
        <f>CONCATENATE('3. Consumption by Rate Class'!B125,"-",'3. Consumption by Rate Class'!C125)</f>
        <v>2014-May</v>
      </c>
      <c r="C120" s="670">
        <v>18789088</v>
      </c>
      <c r="D120" s="826"/>
      <c r="E120" s="827">
        <v>1083522.8899999999</v>
      </c>
      <c r="F120" s="826">
        <v>166742.46</v>
      </c>
      <c r="G120" s="826">
        <f>'A - CDM Adjustment'!E62</f>
        <v>270897.43589743588</v>
      </c>
      <c r="H120" s="677"/>
      <c r="I120" s="677"/>
      <c r="J120" s="550">
        <f t="shared" si="8"/>
        <v>18143205.005897436</v>
      </c>
      <c r="K120" s="697">
        <f>IF(K$18='5.Variables'!$B$16,+'5.Variables'!$G35,+IF(K$18='5.Variables'!$B$39,+'5.Variables'!$G58,+IF(K$18='5.Variables'!$B$62,+'5.Variables'!$G72,+IF(K$18='5.Variables'!$B$76,+'5.Variables'!$G86,+IF(K$18='5.Variables'!$B$90,+'5.Variables'!$G100,+IF(K$18='5.Variables'!$B$104,+'5.Variables'!$G114,0))))))</f>
        <v>218.9</v>
      </c>
      <c r="L120" s="697">
        <f>IF(L$18='5.Variables'!$B$16,+'5.Variables'!$G34,+IF(L$18='5.Variables'!$B$39,+'5.Variables'!$G58,+IF(L$18='5.Variables'!$B$62,+'5.Variables'!$G72,+IF(L$18='5.Variables'!$B$76,+'5.Variables'!$G86,+IF(L$18='5.Variables'!$B$90,+'5.Variables'!$G100,+IF(L$18='5.Variables'!$B$104,+'5.Variables'!$G114,0))))))</f>
        <v>0</v>
      </c>
      <c r="M120" s="697">
        <f>IF(M$18='5.Variables'!$B$16,+'5.Variables'!$G34,+IF(M$18='5.Variables'!$B$39,+'5.Variables'!$G58,+IF(M$18='5.Variables'!$B$62,+'5.Variables'!$G72,+IF(M$18='5.Variables'!$B$76,+'5.Variables'!$G86,+IF(M$18='5.Variables'!$B$90,+'5.Variables'!$G100,+IF(M$18='5.Variables'!$B$104,+'5.Variables'!$G114,0))))))</f>
        <v>31</v>
      </c>
      <c r="N120" s="697">
        <f>IF(N$18='5.Variables'!$B$16,+'5.Variables'!$G34,+IF(N$18='5.Variables'!$B$39,+'5.Variables'!$G58,+IF(N$18='5.Variables'!$B$62,+'5.Variables'!$G72,+IF(N$18='5.Variables'!$B$76,+'5.Variables'!$G86,+IF(N$18='5.Variables'!$B$90,+'5.Variables'!$G100,+IF(N$18='5.Variables'!$B$104,+'5.Variables'!$G114,0))))))</f>
        <v>147.9</v>
      </c>
      <c r="O120" s="697">
        <f>IF(O$18='5.Variables'!$B$16,+'5.Variables'!$G34,+IF(O$18='5.Variables'!$B$39,+'5.Variables'!$G58,+IF(O$18='5.Variables'!$B$62,+'5.Variables'!$G72,+IF(O$18='5.Variables'!$B$76,+'5.Variables'!$G86,+IF(O$18='5.Variables'!$B$90,+'5.Variables'!$G100,+IF(O$18='5.Variables'!$B$104,+'5.Variables'!$G114,0))))))</f>
        <v>0</v>
      </c>
      <c r="P120" s="697">
        <f>IF(P$18='5.Variables'!$B$16,+'5.Variables'!$G34,+IF(P$18='5.Variables'!$B$39,+'5.Variables'!$G58,+IF(P$18='5.Variables'!$B$62,+'5.Variables'!$G72,+IF(P$18='5.Variables'!$B$76,+'5.Variables'!$G86,+IF(P$18='5.Variables'!$B$90,+'5.Variables'!$G100,+IF(P$18='5.Variables'!$B$104,+'5.Variables'!$G114,0))))))</f>
        <v>336</v>
      </c>
      <c r="Q120" s="242"/>
      <c r="R120" s="260">
        <f t="shared" si="9"/>
        <v>19876204.655551348</v>
      </c>
      <c r="S120" s="262"/>
      <c r="T120" s="242"/>
      <c r="U120" s="242"/>
      <c r="V120" s="242"/>
      <c r="W120" s="242"/>
      <c r="X120" s="242"/>
      <c r="Y120" s="242"/>
      <c r="Z120" s="242"/>
      <c r="AA120" s="242"/>
      <c r="AB120" s="242"/>
      <c r="AC120" s="242"/>
      <c r="AD120" s="242"/>
      <c r="AE120" s="242"/>
      <c r="AF120" s="242"/>
      <c r="AG120" s="242"/>
      <c r="AH120" s="242"/>
      <c r="AI120" s="242"/>
      <c r="AJ120" s="242"/>
      <c r="AK120" s="242"/>
      <c r="AL120" s="242"/>
      <c r="AM120" s="242"/>
    </row>
    <row r="121" spans="1:39" x14ac:dyDescent="0.2">
      <c r="A121" s="500">
        <f t="shared" si="10"/>
        <v>102</v>
      </c>
      <c r="B121" s="259" t="str">
        <f>CONCATENATE('3. Consumption by Rate Class'!B126,"-",'3. Consumption by Rate Class'!C126)</f>
        <v>2014-June</v>
      </c>
      <c r="C121" s="670">
        <v>19194905</v>
      </c>
      <c r="D121" s="826"/>
      <c r="E121" s="827">
        <v>1161099.42</v>
      </c>
      <c r="F121" s="826">
        <v>161808.60999999999</v>
      </c>
      <c r="G121" s="826">
        <f>'A - CDM Adjustment'!E63</f>
        <v>325076.92307692306</v>
      </c>
      <c r="H121" s="677"/>
      <c r="I121" s="677"/>
      <c r="J121" s="550">
        <f t="shared" si="8"/>
        <v>18520691.113076922</v>
      </c>
      <c r="K121" s="697">
        <f>IF(K$18='5.Variables'!$B$16,+'5.Variables'!$H35,+IF(K$18='5.Variables'!$B$39,+'5.Variables'!$H58,+IF(K$18='5.Variables'!$B$62,+'5.Variables'!$H72,+IF(K$18='5.Variables'!$B$76,+'5.Variables'!$H86,+IF(K$18='5.Variables'!$B$90,+'5.Variables'!$H100,+IF(K$18='5.Variables'!$B$104,+'5.Variables'!$H114,0))))))</f>
        <v>61.9</v>
      </c>
      <c r="L121" s="697">
        <f>IF(L$18='5.Variables'!$B$16,+'5.Variables'!$H34,+IF(L$18='5.Variables'!$B$39,+'5.Variables'!$H58,+IF(L$18='5.Variables'!$B$62,+'5.Variables'!$H72,+IF(L$18='5.Variables'!$B$76,+'5.Variables'!$H86,+IF(L$18='5.Variables'!$B$90,+'5.Variables'!$H100,+IF(L$18='5.Variables'!$B$104,+'5.Variables'!$H114,0))))))</f>
        <v>17.5</v>
      </c>
      <c r="M121" s="697">
        <f>IF(M$18='5.Variables'!$B$16,+'5.Variables'!$H34,+IF(M$18='5.Variables'!$B$39,+'5.Variables'!$H58,+IF(M$18='5.Variables'!$B$62,+'5.Variables'!$H72,+IF(M$18='5.Variables'!$B$76,+'5.Variables'!$H86,+IF(M$18='5.Variables'!$B$90,+'5.Variables'!$H100,+IF(M$18='5.Variables'!$B$104,+'5.Variables'!$H114,0))))))</f>
        <v>30</v>
      </c>
      <c r="N121" s="697">
        <f>IF(N$18='5.Variables'!$B$16,+'5.Variables'!$H34,+IF(N$18='5.Variables'!$B$39,+'5.Variables'!$H58,+IF(N$18='5.Variables'!$B$62,+'5.Variables'!$H72,+IF(N$18='5.Variables'!$B$76,+'5.Variables'!$H86,+IF(N$18='5.Variables'!$B$90,+'5.Variables'!$H100,+IF(N$18='5.Variables'!$B$104,+'5.Variables'!$H114,0))))))</f>
        <v>148.1</v>
      </c>
      <c r="O121" s="697">
        <f>IF(O$18='5.Variables'!$B$16,+'5.Variables'!$H34,+IF(O$18='5.Variables'!$B$39,+'5.Variables'!$H58,+IF(O$18='5.Variables'!$B$62,+'5.Variables'!$H72,+IF(O$18='5.Variables'!$B$76,+'5.Variables'!$H86,+IF(O$18='5.Variables'!$B$90,+'5.Variables'!$H100,+IF(O$18='5.Variables'!$B$104,+'5.Variables'!$H114,0))))))</f>
        <v>0</v>
      </c>
      <c r="P121" s="697">
        <f>IF(P$18='5.Variables'!$B$16,+'5.Variables'!$H34,+IF(P$18='5.Variables'!$B$39,+'5.Variables'!$H58,+IF(P$18='5.Variables'!$B$62,+'5.Variables'!$H72,+IF(P$18='5.Variables'!$B$76,+'5.Variables'!$H86,+IF(P$18='5.Variables'!$B$90,+'5.Variables'!$H100,+IF(P$18='5.Variables'!$B$104,+'5.Variables'!$H114,0))))))</f>
        <v>336</v>
      </c>
      <c r="Q121" s="242"/>
      <c r="R121" s="260">
        <f t="shared" si="9"/>
        <v>19176010.557884015</v>
      </c>
      <c r="S121" s="262"/>
      <c r="T121" s="242"/>
      <c r="U121" s="242"/>
      <c r="V121" s="242"/>
      <c r="W121" s="242"/>
      <c r="X121" s="242"/>
      <c r="Y121" s="242"/>
      <c r="Z121" s="242"/>
      <c r="AA121" s="242"/>
      <c r="AB121" s="242"/>
      <c r="AC121" s="242"/>
      <c r="AD121" s="242"/>
      <c r="AE121" s="242"/>
      <c r="AF121" s="242"/>
      <c r="AG121" s="242"/>
      <c r="AH121" s="242"/>
      <c r="AI121" s="242"/>
      <c r="AJ121" s="242"/>
      <c r="AK121" s="242"/>
      <c r="AL121" s="242"/>
      <c r="AM121" s="242"/>
    </row>
    <row r="122" spans="1:39" x14ac:dyDescent="0.2">
      <c r="A122" s="500">
        <f t="shared" si="10"/>
        <v>103</v>
      </c>
      <c r="B122" s="259" t="str">
        <f>CONCATENATE('3. Consumption by Rate Class'!B127,"-",'3. Consumption by Rate Class'!C127)</f>
        <v>2014-July</v>
      </c>
      <c r="C122" s="670">
        <v>20208703</v>
      </c>
      <c r="D122" s="826"/>
      <c r="E122" s="827">
        <v>1064556.57</v>
      </c>
      <c r="F122" s="826">
        <v>171165.61</v>
      </c>
      <c r="G122" s="826">
        <f>'A - CDM Adjustment'!E64</f>
        <v>379256.41025641031</v>
      </c>
      <c r="H122" s="677"/>
      <c r="I122" s="677"/>
      <c r="J122" s="550">
        <f t="shared" si="8"/>
        <v>19694568.450256411</v>
      </c>
      <c r="K122" s="697">
        <f>IF(K$18='5.Variables'!$B$16,+'5.Variables'!$I35,+IF(K$18='5.Variables'!$B$39,+'5.Variables'!$I58,+IF(K$18='5.Variables'!$B$62,+'5.Variables'!$I72,+IF(K$18='5.Variables'!$B$76,+'5.Variables'!$I86,+IF(K$18='5.Variables'!$B$90,+'5.Variables'!$I100,+IF(K$18='5.Variables'!$B$104,+'5.Variables'!$I114,0))))))</f>
        <v>36.9</v>
      </c>
      <c r="L122" s="697">
        <f>IF(L$18='5.Variables'!$B$16,+'5.Variables'!$I34,+IF(L$18='5.Variables'!$B$39,+'5.Variables'!$I58,+IF(L$18='5.Variables'!$B$62,+'5.Variables'!$I72,+IF(L$18='5.Variables'!$B$76,+'5.Variables'!$I86,+IF(L$18='5.Variables'!$B$90,+'5.Variables'!$I100,+IF(L$18='5.Variables'!$B$104,+'5.Variables'!$I114,0))))))</f>
        <v>18.8</v>
      </c>
      <c r="M122" s="697">
        <f>IF(M$18='5.Variables'!$B$16,+'5.Variables'!$I34,+IF(M$18='5.Variables'!$B$39,+'5.Variables'!$I58,+IF(M$18='5.Variables'!$B$62,+'5.Variables'!$I72,+IF(M$18='5.Variables'!$B$76,+'5.Variables'!$I86,+IF(M$18='5.Variables'!$B$90,+'5.Variables'!$I100,+IF(M$18='5.Variables'!$B$104,+'5.Variables'!$I114,0))))))</f>
        <v>31</v>
      </c>
      <c r="N122" s="697">
        <f>IF(N$18='5.Variables'!$B$16,+'5.Variables'!$I34,+IF(N$18='5.Variables'!$B$39,+'5.Variables'!$I58,+IF(N$18='5.Variables'!$B$62,+'5.Variables'!$I72,+IF(N$18='5.Variables'!$B$76,+'5.Variables'!$I86,+IF(N$18='5.Variables'!$B$90,+'5.Variables'!$I100,+IF(N$18='5.Variables'!$B$104,+'5.Variables'!$I114,0))))))</f>
        <v>148.30000000000001</v>
      </c>
      <c r="O122" s="697">
        <f>IF(O$18='5.Variables'!$B$16,+'5.Variables'!$I34,+IF(O$18='5.Variables'!$B$39,+'5.Variables'!$I58,+IF(O$18='5.Variables'!$B$62,+'5.Variables'!$I72,+IF(O$18='5.Variables'!$B$76,+'5.Variables'!$I86,+IF(O$18='5.Variables'!$B$90,+'5.Variables'!$I100,+IF(O$18='5.Variables'!$B$104,+'5.Variables'!$I114,0))))))</f>
        <v>0</v>
      </c>
      <c r="P122" s="697">
        <f>IF(P$18='5.Variables'!$B$16,+'5.Variables'!$I34,+IF(P$18='5.Variables'!$B$39,+'5.Variables'!$I58,+IF(P$18='5.Variables'!$B$62,+'5.Variables'!$I72,+IF(P$18='5.Variables'!$B$76,+'5.Variables'!$I86,+IF(P$18='5.Variables'!$B$90,+'5.Variables'!$I100,+IF(P$18='5.Variables'!$B$104,+'5.Variables'!$I114,0))))))</f>
        <v>352</v>
      </c>
      <c r="Q122" s="242"/>
      <c r="R122" s="260">
        <f t="shared" si="9"/>
        <v>19572130.841119666</v>
      </c>
      <c r="S122" s="262"/>
      <c r="T122" s="242"/>
      <c r="U122" s="242"/>
      <c r="V122" s="242"/>
      <c r="W122" s="242"/>
      <c r="X122" s="242"/>
      <c r="Y122" s="242"/>
      <c r="Z122" s="242"/>
      <c r="AA122" s="242"/>
      <c r="AB122" s="242"/>
      <c r="AC122" s="242"/>
      <c r="AD122" s="242"/>
      <c r="AE122" s="242"/>
      <c r="AF122" s="242"/>
      <c r="AG122" s="242"/>
      <c r="AH122" s="242"/>
      <c r="AI122" s="242"/>
      <c r="AJ122" s="242"/>
      <c r="AK122" s="242"/>
      <c r="AL122" s="242"/>
      <c r="AM122" s="242"/>
    </row>
    <row r="123" spans="1:39" x14ac:dyDescent="0.2">
      <c r="A123" s="500">
        <f t="shared" si="10"/>
        <v>104</v>
      </c>
      <c r="B123" s="259" t="str">
        <f>CONCATENATE('3. Consumption by Rate Class'!B128,"-",'3. Consumption by Rate Class'!C128)</f>
        <v>2014-August</v>
      </c>
      <c r="C123" s="670">
        <v>19892388</v>
      </c>
      <c r="D123" s="826"/>
      <c r="E123" s="827">
        <v>983777.78</v>
      </c>
      <c r="F123" s="826">
        <v>137339.46</v>
      </c>
      <c r="G123" s="826">
        <f>'A - CDM Adjustment'!E65</f>
        <v>433435.89743589744</v>
      </c>
      <c r="H123" s="677"/>
      <c r="I123" s="677"/>
      <c r="J123" s="550">
        <f t="shared" si="8"/>
        <v>19479385.577435896</v>
      </c>
      <c r="K123" s="697">
        <f>IF(K$18='5.Variables'!$B$16,+'5.Variables'!$J35,+IF(K$18='5.Variables'!$B$39,+'5.Variables'!$J58,+IF(K$18='5.Variables'!$B$62,+'5.Variables'!$J72,+IF(K$18='5.Variables'!$B$76,+'5.Variables'!$J86,+IF(K$18='5.Variables'!$B$90,+'5.Variables'!$J100,+IF(K$18='5.Variables'!$B$104,+'5.Variables'!$J114,0))))))</f>
        <v>26.9</v>
      </c>
      <c r="L123" s="697">
        <f>IF(L$18='5.Variables'!$B$16,+'5.Variables'!$J34,+IF(L$18='5.Variables'!$B$39,+'5.Variables'!$J58,+IF(L$18='5.Variables'!$B$62,+'5.Variables'!$J72,+IF(L$18='5.Variables'!$B$76,+'5.Variables'!$J86,+IF(L$18='5.Variables'!$B$90,+'5.Variables'!$J100,+IF(L$18='5.Variables'!$B$104,+'5.Variables'!$J114,0))))))</f>
        <v>33.299999999999997</v>
      </c>
      <c r="M123" s="697">
        <f>IF(M$18='5.Variables'!$B$16,+'5.Variables'!$J34,+IF(M$18='5.Variables'!$B$39,+'5.Variables'!$J58,+IF(M$18='5.Variables'!$B$62,+'5.Variables'!$J72,+IF(M$18='5.Variables'!$B$76,+'5.Variables'!$J86,+IF(M$18='5.Variables'!$B$90,+'5.Variables'!$J100,+IF(M$18='5.Variables'!$B$104,+'5.Variables'!$J114,0))))))</f>
        <v>31</v>
      </c>
      <c r="N123" s="697">
        <f>IF(N$18='5.Variables'!$B$16,+'5.Variables'!$J34,+IF(N$18='5.Variables'!$B$39,+'5.Variables'!$J58,+IF(N$18='5.Variables'!$B$62,+'5.Variables'!$J72,+IF(N$18='5.Variables'!$B$76,+'5.Variables'!$J86,+IF(N$18='5.Variables'!$B$90,+'5.Variables'!$J100,+IF(N$18='5.Variables'!$B$104,+'5.Variables'!$J114,0))))))</f>
        <v>148.6</v>
      </c>
      <c r="O123" s="697">
        <f>IF(O$18='5.Variables'!$B$16,+'5.Variables'!$J34,+IF(O$18='5.Variables'!$B$39,+'5.Variables'!$J58,+IF(O$18='5.Variables'!$B$62,+'5.Variables'!$J72,+IF(O$18='5.Variables'!$B$76,+'5.Variables'!$J86,+IF(O$18='5.Variables'!$B$90,+'5.Variables'!$J100,+IF(O$18='5.Variables'!$B$104,+'5.Variables'!$J114,0))))))</f>
        <v>0</v>
      </c>
      <c r="P123" s="697">
        <f>IF(P$18='5.Variables'!$B$16,+'5.Variables'!$J34,+IF(P$18='5.Variables'!$B$39,+'5.Variables'!$J58,+IF(P$18='5.Variables'!$B$62,+'5.Variables'!$J72,+IF(P$18='5.Variables'!$B$76,+'5.Variables'!$J86,+IF(P$18='5.Variables'!$B$90,+'5.Variables'!$J100,+IF(P$18='5.Variables'!$B$104,+'5.Variables'!$J114,0))))))</f>
        <v>320</v>
      </c>
      <c r="Q123" s="242"/>
      <c r="R123" s="260">
        <f t="shared" si="9"/>
        <v>19849495.195606332</v>
      </c>
      <c r="S123" s="262"/>
      <c r="T123" s="242"/>
      <c r="U123" s="242"/>
      <c r="V123" s="242"/>
      <c r="W123" s="242"/>
      <c r="X123" s="242"/>
      <c r="Y123" s="242"/>
      <c r="Z123" s="242"/>
      <c r="AA123" s="242"/>
      <c r="AB123" s="242"/>
      <c r="AC123" s="242"/>
      <c r="AD123" s="242"/>
      <c r="AE123" s="242"/>
      <c r="AF123" s="242"/>
      <c r="AG123" s="242"/>
      <c r="AH123" s="242"/>
      <c r="AI123" s="242"/>
      <c r="AJ123" s="242"/>
      <c r="AK123" s="242"/>
      <c r="AL123" s="242"/>
      <c r="AM123" s="242"/>
    </row>
    <row r="124" spans="1:39" x14ac:dyDescent="0.2">
      <c r="A124" s="500">
        <f t="shared" si="10"/>
        <v>105</v>
      </c>
      <c r="B124" s="259" t="str">
        <f>CONCATENATE('3. Consumption by Rate Class'!B129,"-",'3. Consumption by Rate Class'!C129)</f>
        <v>2014-September</v>
      </c>
      <c r="C124" s="670">
        <v>19587581</v>
      </c>
      <c r="D124" s="826"/>
      <c r="E124" s="827">
        <v>1317549.68</v>
      </c>
      <c r="F124" s="826">
        <v>153396.97</v>
      </c>
      <c r="G124" s="826">
        <f>'A - CDM Adjustment'!E66</f>
        <v>487615.38461538457</v>
      </c>
      <c r="H124" s="677"/>
      <c r="I124" s="677"/>
      <c r="J124" s="550">
        <f t="shared" si="8"/>
        <v>18911043.674615383</v>
      </c>
      <c r="K124" s="697">
        <f>IF(K$18='5.Variables'!$B$16,+'5.Variables'!$K35,+IF(K$18='5.Variables'!$B$39,+'5.Variables'!$K58,+IF(K$18='5.Variables'!$B$62,+'5.Variables'!$K72,+IF(K$18='5.Variables'!$B$76,+'5.Variables'!$K86,+IF(K$18='5.Variables'!$B$90,+'5.Variables'!$K100,+IF(K$18='5.Variables'!$B$104,+'5.Variables'!$K114,0))))))</f>
        <v>97.3</v>
      </c>
      <c r="L124" s="697">
        <f>IF(L$18='5.Variables'!$B$16,+'5.Variables'!$K34,+IF(L$18='5.Variables'!$B$39,+'5.Variables'!$K58,+IF(L$18='5.Variables'!$B$62,+'5.Variables'!$K72,+IF(L$18='5.Variables'!$B$76,+'5.Variables'!$K86,+IF(L$18='5.Variables'!$B$90,+'5.Variables'!$K100,+IF(L$18='5.Variables'!$B$104,+'5.Variables'!$K114,0))))))</f>
        <v>10.1</v>
      </c>
      <c r="M124" s="697">
        <f>IF(M$18='5.Variables'!$B$16,+'5.Variables'!$K34,+IF(M$18='5.Variables'!$B$39,+'5.Variables'!$K58,+IF(M$18='5.Variables'!$B$62,+'5.Variables'!$K72,+IF(M$18='5.Variables'!$B$76,+'5.Variables'!$K86,+IF(M$18='5.Variables'!$B$90,+'5.Variables'!$K100,+IF(M$18='5.Variables'!$B$104,+'5.Variables'!$K114,0))))))</f>
        <v>30</v>
      </c>
      <c r="N124" s="697">
        <f>IF(N$18='5.Variables'!$B$16,+'5.Variables'!$K34,+IF(N$18='5.Variables'!$B$39,+'5.Variables'!$K58,+IF(N$18='5.Variables'!$B$62,+'5.Variables'!$K72,+IF(N$18='5.Variables'!$B$76,+'5.Variables'!$K86,+IF(N$18='5.Variables'!$B$90,+'5.Variables'!$K100,+IF(N$18='5.Variables'!$B$104,+'5.Variables'!$K114,0))))))</f>
        <v>148.80000000000001</v>
      </c>
      <c r="O124" s="697">
        <f>IF(O$18='5.Variables'!$B$16,+'5.Variables'!$K34,+IF(O$18='5.Variables'!$B$39,+'5.Variables'!$K58,+IF(O$18='5.Variables'!$B$62,+'5.Variables'!$K72,+IF(O$18='5.Variables'!$B$76,+'5.Variables'!$K86,+IF(O$18='5.Variables'!$B$90,+'5.Variables'!$K100,+IF(O$18='5.Variables'!$B$104,+'5.Variables'!$K114,0))))))</f>
        <v>0</v>
      </c>
      <c r="P124" s="697">
        <f>IF(P$18='5.Variables'!$B$16,+'5.Variables'!$K34,+IF(P$18='5.Variables'!$B$39,+'5.Variables'!$K58,+IF(P$18='5.Variables'!$B$62,+'5.Variables'!$K72,+IF(P$18='5.Variables'!$B$76,+'5.Variables'!$K86,+IF(P$18='5.Variables'!$B$90,+'5.Variables'!$K100,+IF(P$18='5.Variables'!$B$104,+'5.Variables'!$K114,0))))))</f>
        <v>336</v>
      </c>
      <c r="Q124" s="242"/>
      <c r="R124" s="260">
        <f t="shared" si="9"/>
        <v>19132610.362079971</v>
      </c>
      <c r="S124" s="262"/>
      <c r="T124" s="242"/>
      <c r="U124" s="242"/>
      <c r="V124" s="242"/>
      <c r="W124" s="242"/>
      <c r="X124" s="242"/>
      <c r="Y124" s="242"/>
      <c r="Z124" s="242"/>
      <c r="AA124" s="242"/>
      <c r="AB124" s="242"/>
      <c r="AC124" s="242"/>
      <c r="AD124" s="242"/>
      <c r="AE124" s="242"/>
      <c r="AF124" s="242"/>
      <c r="AG124" s="242"/>
      <c r="AH124" s="242"/>
      <c r="AI124" s="242"/>
      <c r="AJ124" s="242"/>
      <c r="AK124" s="242"/>
      <c r="AL124" s="242"/>
      <c r="AM124" s="242"/>
    </row>
    <row r="125" spans="1:39" x14ac:dyDescent="0.2">
      <c r="A125" s="500">
        <f t="shared" si="10"/>
        <v>106</v>
      </c>
      <c r="B125" s="259" t="str">
        <f>CONCATENATE('3. Consumption by Rate Class'!B130,"-",'3. Consumption by Rate Class'!C130)</f>
        <v>2014-October</v>
      </c>
      <c r="C125" s="670">
        <v>19752445</v>
      </c>
      <c r="D125" s="826"/>
      <c r="E125" s="827">
        <v>1252072.5900000001</v>
      </c>
      <c r="F125" s="826">
        <v>116582.48</v>
      </c>
      <c r="G125" s="826">
        <f>'A - CDM Adjustment'!E67</f>
        <v>541794.87179487175</v>
      </c>
      <c r="H125" s="677"/>
      <c r="I125" s="677"/>
      <c r="J125" s="550">
        <f t="shared" si="8"/>
        <v>19158749.761794873</v>
      </c>
      <c r="K125" s="697">
        <f>IF(K$18='5.Variables'!$B$16,+'5.Variables'!$L35,+IF(K$18='5.Variables'!$B$39,+'5.Variables'!$L58,+IF(K$18='5.Variables'!$B$62,+'5.Variables'!$L72,+IF(K$18='5.Variables'!$B$76,+'5.Variables'!$L86,+IF(K$18='5.Variables'!$B$90,+'5.Variables'!$L100,+IF(K$18='5.Variables'!$B$104,+'5.Variables'!$L114,0))))))</f>
        <v>231.4</v>
      </c>
      <c r="L125" s="697">
        <f>IF(L$18='5.Variables'!$B$16,+'5.Variables'!$L34,+IF(L$18='5.Variables'!$B$39,+'5.Variables'!$L58,+IF(L$18='5.Variables'!$B$62,+'5.Variables'!$L72,+IF(L$18='5.Variables'!$B$76,+'5.Variables'!$L86,+IF(L$18='5.Variables'!$B$90,+'5.Variables'!$L100,+IF(L$18='5.Variables'!$B$104,+'5.Variables'!$L114,0))))))</f>
        <v>0</v>
      </c>
      <c r="M125" s="697">
        <f>IF(M$18='5.Variables'!$B$16,+'5.Variables'!$L34,+IF(M$18='5.Variables'!$B$39,+'5.Variables'!$L58,+IF(M$18='5.Variables'!$B$62,+'5.Variables'!$L72,+IF(M$18='5.Variables'!$B$76,+'5.Variables'!$L86,+IF(M$18='5.Variables'!$B$90,+'5.Variables'!$L100,+IF(M$18='5.Variables'!$B$104,+'5.Variables'!$L114,0))))))</f>
        <v>31</v>
      </c>
      <c r="N125" s="697">
        <f>IF(N$18='5.Variables'!$B$16,+'5.Variables'!$L34,+IF(N$18='5.Variables'!$B$39,+'5.Variables'!$L58,+IF(N$18='5.Variables'!$B$62,+'5.Variables'!$L72,+IF(N$18='5.Variables'!$B$76,+'5.Variables'!$L86,+IF(N$18='5.Variables'!$B$90,+'5.Variables'!$L100,+IF(N$18='5.Variables'!$B$104,+'5.Variables'!$L114,0))))))</f>
        <v>149</v>
      </c>
      <c r="O125" s="697">
        <f>IF(O$18='5.Variables'!$B$16,+'5.Variables'!$L34,+IF(O$18='5.Variables'!$B$39,+'5.Variables'!$L58,+IF(O$18='5.Variables'!$B$62,+'5.Variables'!$L72,+IF(O$18='5.Variables'!$B$76,+'5.Variables'!$L86,+IF(O$18='5.Variables'!$B$90,+'5.Variables'!$L100,+IF(O$18='5.Variables'!$B$104,+'5.Variables'!$L114,0))))))</f>
        <v>0</v>
      </c>
      <c r="P125" s="697">
        <f>IF(P$18='5.Variables'!$B$16,+'5.Variables'!$L34,+IF(P$18='5.Variables'!$B$39,+'5.Variables'!$L58,+IF(P$18='5.Variables'!$B$62,+'5.Variables'!$L72,+IF(P$18='5.Variables'!$B$76,+'5.Variables'!$L86,+IF(P$18='5.Variables'!$B$90,+'5.Variables'!$L100,+IF(P$18='5.Variables'!$B$104,+'5.Variables'!$L114,0))))))</f>
        <v>352</v>
      </c>
      <c r="Q125" s="242"/>
      <c r="R125" s="260">
        <f t="shared" si="9"/>
        <v>20111580.152013723</v>
      </c>
      <c r="S125" s="262"/>
      <c r="T125" s="242"/>
      <c r="U125" s="242"/>
      <c r="V125" s="242"/>
      <c r="W125" s="242"/>
      <c r="X125" s="242"/>
      <c r="Y125" s="242"/>
      <c r="Z125" s="242"/>
      <c r="AA125" s="242"/>
      <c r="AB125" s="242"/>
      <c r="AC125" s="242"/>
      <c r="AD125" s="242"/>
      <c r="AE125" s="242"/>
      <c r="AF125" s="242"/>
      <c r="AG125" s="242"/>
      <c r="AH125" s="242"/>
      <c r="AI125" s="242"/>
      <c r="AJ125" s="242"/>
      <c r="AK125" s="242"/>
      <c r="AL125" s="242"/>
      <c r="AM125" s="242"/>
    </row>
    <row r="126" spans="1:39" x14ac:dyDescent="0.2">
      <c r="A126" s="500">
        <f t="shared" si="10"/>
        <v>107</v>
      </c>
      <c r="B126" s="259" t="str">
        <f>CONCATENATE('3. Consumption by Rate Class'!B131,"-",'3. Consumption by Rate Class'!C131)</f>
        <v>2014-November</v>
      </c>
      <c r="C126" s="670">
        <v>21153366</v>
      </c>
      <c r="D126" s="826"/>
      <c r="E126" s="827">
        <v>1298522.28</v>
      </c>
      <c r="F126" s="826">
        <v>53872.95</v>
      </c>
      <c r="G126" s="826">
        <f>'A - CDM Adjustment'!E68</f>
        <v>595974.358974359</v>
      </c>
      <c r="H126" s="677"/>
      <c r="I126" s="677"/>
      <c r="J126" s="550">
        <f t="shared" si="8"/>
        <v>20504691.028974358</v>
      </c>
      <c r="K126" s="697">
        <f>IF(K$18='5.Variables'!$B$16,+'5.Variables'!$M35,+IF(K$18='5.Variables'!$B$39,+'5.Variables'!$M58,+IF(K$18='5.Variables'!$B$62,+'5.Variables'!$M72,+IF(K$18='5.Variables'!$B$76,+'5.Variables'!$M86,+IF(K$18='5.Variables'!$B$90,+'5.Variables'!$M100,+IF(K$18='5.Variables'!$B$104,+'5.Variables'!$M114,0))))))</f>
        <v>473.2</v>
      </c>
      <c r="L126" s="697">
        <f>IF(L$18='5.Variables'!$B$16,+'5.Variables'!$M34,+IF(L$18='5.Variables'!$B$39,+'5.Variables'!$M58,+IF(L$18='5.Variables'!$B$62,+'5.Variables'!$M72,+IF(L$18='5.Variables'!$B$76,+'5.Variables'!$M86,+IF(L$18='5.Variables'!$B$90,+'5.Variables'!$M100,+IF(L$18='5.Variables'!$B$104,+'5.Variables'!$M114,0))))))</f>
        <v>0</v>
      </c>
      <c r="M126" s="697">
        <f>IF(M$18='5.Variables'!$B$16,+'5.Variables'!$M34,+IF(M$18='5.Variables'!$B$39,+'5.Variables'!$M58,+IF(M$18='5.Variables'!$B$62,+'5.Variables'!$M72,+IF(M$18='5.Variables'!$B$76,+'5.Variables'!$M86,+IF(M$18='5.Variables'!$B$90,+'5.Variables'!$M100,+IF(M$18='5.Variables'!$B$104,+'5.Variables'!$M114,0))))))</f>
        <v>30</v>
      </c>
      <c r="N126" s="697">
        <f>IF(N$18='5.Variables'!$B$16,+'5.Variables'!$M34,+IF(N$18='5.Variables'!$B$39,+'5.Variables'!$M58,+IF(N$18='5.Variables'!$B$62,+'5.Variables'!$M72,+IF(N$18='5.Variables'!$B$76,+'5.Variables'!$M86,+IF(N$18='5.Variables'!$B$90,+'5.Variables'!$M100,+IF(N$18='5.Variables'!$B$104,+'5.Variables'!$M114,0))))))</f>
        <v>149.30000000000001</v>
      </c>
      <c r="O126" s="697">
        <f>IF(O$18='5.Variables'!$B$16,+'5.Variables'!$M34,+IF(O$18='5.Variables'!$B$39,+'5.Variables'!$M58,+IF(O$18='5.Variables'!$B$62,+'5.Variables'!$M72,+IF(O$18='5.Variables'!$B$76,+'5.Variables'!$M86,+IF(O$18='5.Variables'!$B$90,+'5.Variables'!$M100,+IF(O$18='5.Variables'!$B$104,+'5.Variables'!$M114,0))))))</f>
        <v>0</v>
      </c>
      <c r="P126" s="697">
        <f>IF(P$18='5.Variables'!$B$16,+'5.Variables'!$M34,+IF(P$18='5.Variables'!$B$39,+'5.Variables'!$M58,+IF(P$18='5.Variables'!$B$62,+'5.Variables'!$M72,+IF(P$18='5.Variables'!$B$76,+'5.Variables'!$M86,+IF(P$18='5.Variables'!$B$90,+'5.Variables'!$M100,+IF(P$18='5.Variables'!$B$104,+'5.Variables'!$M114,0))))))</f>
        <v>320</v>
      </c>
      <c r="Q126" s="242"/>
      <c r="R126" s="260">
        <f t="shared" si="9"/>
        <v>21072698.062322173</v>
      </c>
      <c r="S126" s="262"/>
      <c r="T126" s="242"/>
      <c r="U126" s="242"/>
      <c r="V126" s="242"/>
      <c r="W126" s="242"/>
      <c r="X126" s="242"/>
      <c r="Y126" s="242"/>
      <c r="Z126" s="242"/>
      <c r="AA126" s="242"/>
      <c r="AB126" s="242"/>
      <c r="AC126" s="242"/>
      <c r="AD126" s="242"/>
      <c r="AE126" s="242"/>
      <c r="AF126" s="242"/>
      <c r="AG126" s="242"/>
      <c r="AH126" s="242"/>
      <c r="AI126" s="242"/>
      <c r="AJ126" s="242"/>
      <c r="AK126" s="242"/>
      <c r="AL126" s="242"/>
      <c r="AM126" s="242"/>
    </row>
    <row r="127" spans="1:39" x14ac:dyDescent="0.2">
      <c r="A127" s="500">
        <f t="shared" si="10"/>
        <v>108</v>
      </c>
      <c r="B127" s="519" t="str">
        <f>CONCATENATE('3. Consumption by Rate Class'!B132,"-",'3. Consumption by Rate Class'!C132)</f>
        <v>2014-December</v>
      </c>
      <c r="C127" s="671">
        <v>22098682</v>
      </c>
      <c r="D127" s="828"/>
      <c r="E127" s="829">
        <v>959502.64</v>
      </c>
      <c r="F127" s="828">
        <v>56090.5</v>
      </c>
      <c r="G127" s="828">
        <f>'A - CDM Adjustment'!E69</f>
        <v>650153.84615384613</v>
      </c>
      <c r="H127" s="679"/>
      <c r="I127" s="679"/>
      <c r="J127" s="550">
        <f t="shared" si="8"/>
        <v>21845423.706153847</v>
      </c>
      <c r="K127" s="697">
        <f>IF(K$18='5.Variables'!$B$16,+'5.Variables'!$N35,+IF(K$18='5.Variables'!$B$39,+'5.Variables'!$N58,+IF(K$18='5.Variables'!$B$62,+'5.Variables'!$N72,+IF(K$18='5.Variables'!$B$76,+'5.Variables'!$N86,+IF(K$18='5.Variables'!$B$90,+'5.Variables'!$N100,+IF(K$18='5.Variables'!$B$104,+'5.Variables'!$N114,0))))))</f>
        <v>519.4</v>
      </c>
      <c r="L127" s="697">
        <f>IF(L$18='5.Variables'!$B$16,+'5.Variables'!$N34,+IF(L$18='5.Variables'!$B$39,+'5.Variables'!$N58,+IF(L$18='5.Variables'!$B$62,+'5.Variables'!$N72,+IF(L$18='5.Variables'!$B$76,+'5.Variables'!$N86,+IF(L$18='5.Variables'!$B$90,+'5.Variables'!$N100,+IF(L$18='5.Variables'!$B$104,+'5.Variables'!$N114,0))))))</f>
        <v>0</v>
      </c>
      <c r="M127" s="697">
        <f>IF(M$18='5.Variables'!$B$16,+'5.Variables'!$N34,+IF(M$18='5.Variables'!$B$39,+'5.Variables'!$N58,+IF(M$18='5.Variables'!$B$62,+'5.Variables'!$N72,+IF(M$18='5.Variables'!$B$76,+'5.Variables'!$N86,+IF(M$18='5.Variables'!$B$90,+'5.Variables'!$N100,+IF(M$18='5.Variables'!$B$104,+'5.Variables'!$N114,0))))))</f>
        <v>31</v>
      </c>
      <c r="N127" s="697">
        <f>IF(N$18='5.Variables'!$B$16,+'5.Variables'!$N34,+IF(N$18='5.Variables'!$B$39,+'5.Variables'!$N58,+IF(N$18='5.Variables'!$B$62,+'5.Variables'!$N72,+IF(N$18='5.Variables'!$B$76,+'5.Variables'!$N86,+IF(N$18='5.Variables'!$B$90,+'5.Variables'!$N100,+IF(N$18='5.Variables'!$B$104,+'5.Variables'!$N114,0))))))</f>
        <v>149.5</v>
      </c>
      <c r="O127" s="697">
        <f>IF(O$18='5.Variables'!$B$16,+'5.Variables'!$N34,+IF(O$18='5.Variables'!$B$39,+'5.Variables'!$N58,+IF(O$18='5.Variables'!$B$62,+'5.Variables'!$N72,+IF(O$18='5.Variables'!$B$76,+'5.Variables'!$N86,+IF(O$18='5.Variables'!$B$90,+'5.Variables'!$N100,+IF(O$18='5.Variables'!$B$104,+'5.Variables'!$N114,0))))))</f>
        <v>0</v>
      </c>
      <c r="P127" s="697">
        <f>IF(P$18='5.Variables'!$B$16,+'5.Variables'!$N34,+IF(P$18='5.Variables'!$B$39,+'5.Variables'!$N58,+IF(P$18='5.Variables'!$B$62,+'5.Variables'!$N72,+IF(P$18='5.Variables'!$B$76,+'5.Variables'!$N86,+IF(P$18='5.Variables'!$B$90,+'5.Variables'!$N100,+IF(P$18='5.Variables'!$B$104,+'5.Variables'!$N114,0))))))</f>
        <v>336</v>
      </c>
      <c r="Q127" s="242"/>
      <c r="R127" s="260">
        <f t="shared" si="9"/>
        <v>21880977.175745647</v>
      </c>
      <c r="S127" s="262">
        <f>SUM(R116:R127)</f>
        <v>249658428.47991201</v>
      </c>
      <c r="T127" s="242"/>
      <c r="U127" s="242"/>
      <c r="V127" s="242"/>
      <c r="W127" s="242"/>
      <c r="X127" s="242"/>
      <c r="Y127" s="242"/>
      <c r="Z127" s="242"/>
      <c r="AA127" s="242"/>
      <c r="AB127" s="242"/>
      <c r="AC127" s="242"/>
      <c r="AD127" s="242"/>
      <c r="AE127" s="242"/>
      <c r="AF127" s="242"/>
      <c r="AG127" s="242"/>
      <c r="AH127" s="242"/>
      <c r="AI127" s="242"/>
      <c r="AJ127" s="242"/>
      <c r="AK127" s="242"/>
      <c r="AL127" s="242"/>
      <c r="AM127" s="242"/>
    </row>
    <row r="128" spans="1:39" x14ac:dyDescent="0.2">
      <c r="A128" s="500">
        <f t="shared" si="10"/>
        <v>109</v>
      </c>
      <c r="B128" s="259" t="str">
        <f>CONCATENATE('3. Consumption by Rate Class'!B133,"-",'3. Consumption by Rate Class'!C133)</f>
        <v>2015-January</v>
      </c>
      <c r="C128" s="670">
        <f>24460867.33+F128</f>
        <v>24545395.52</v>
      </c>
      <c r="D128" s="826"/>
      <c r="E128" s="827">
        <v>1189994</v>
      </c>
      <c r="F128" s="826">
        <v>84528.19</v>
      </c>
      <c r="G128" s="826">
        <f>'A - CDM Adjustment'!E71</f>
        <v>21671.794871794871</v>
      </c>
      <c r="H128" s="677"/>
      <c r="I128" s="677"/>
      <c r="J128" s="550">
        <f>C128-D128-E128+F128+G128</f>
        <v>23461601.504871797</v>
      </c>
      <c r="K128" s="697">
        <f>IF(K$18='5.Variables'!$B$16,+'5.Variables'!$C36,+IF(K$18='5.Variables'!$B$39,+'5.Variables'!$C59,+IF(K$18='5.Variables'!$B$62,+'5.Variables'!$C73,+IF(K$18='5.Variables'!$B$76,+'5.Variables'!$C87,+IF(K$18='5.Variables'!$B$90,+'5.Variables'!$C101,+IF(K$18='5.Variables'!$B$104,+'5.Variables'!$C115,0))))))</f>
        <v>759.2</v>
      </c>
      <c r="L128" s="697">
        <f>IF(L$18='5.Variables'!$B$16,+'5.Variables'!$C35,+IF(L$18='5.Variables'!$B$39,+'5.Variables'!$C59,+IF(L$18='5.Variables'!$B$62,+'5.Variables'!$C73,+IF(L$18='5.Variables'!$B$76,+'5.Variables'!$C87,+IF(L$18='5.Variables'!$B$90,+'5.Variables'!$C101,+IF(L$18='5.Variables'!$B$104,+'5.Variables'!$C115,0))))))</f>
        <v>0</v>
      </c>
      <c r="M128" s="697">
        <f>IF(M$18='5.Variables'!$B$16,+'5.Variables'!$C35,+IF(M$18='5.Variables'!$B$39,+'5.Variables'!$C59,+IF(M$18='5.Variables'!$B$62,+'5.Variables'!$C73,+IF(M$18='5.Variables'!$B$76,+'5.Variables'!$C87,+IF(M$18='5.Variables'!$B$90,+'5.Variables'!$C101,+IF(M$18='5.Variables'!$B$104,+'5.Variables'!$C115,0))))))</f>
        <v>31</v>
      </c>
      <c r="N128" s="697">
        <f>IF(N$18='5.Variables'!$B$16,+'5.Variables'!$C35,+IF(N$18='5.Variables'!$B$39,+'5.Variables'!$C59,+IF(N$18='5.Variables'!$B$62,+'5.Variables'!$C73,+IF(N$18='5.Variables'!$B$76,+'5.Variables'!$C87,+IF(N$18='5.Variables'!$B$90,+'5.Variables'!$C101,+IF(N$18='5.Variables'!$B$104,+'5.Variables'!$C115,0))))))</f>
        <v>140.05333333333337</v>
      </c>
      <c r="O128" s="697">
        <f>IF(O$18='5.Variables'!$B$16,+'5.Variables'!$C35,+IF(O$18='5.Variables'!$B$39,+'5.Variables'!$C59,+IF(O$18='5.Variables'!$B$62,+'5.Variables'!$C73,+IF(O$18='5.Variables'!$B$76,+'5.Variables'!$C87,+IF(O$18='5.Variables'!$B$90,+'5.Variables'!$C101,+IF(O$18='5.Variables'!$B$104,+'5.Variables'!$C115,0))))))</f>
        <v>0</v>
      </c>
      <c r="P128" s="697">
        <f>IF(P$18='5.Variables'!$B$16,+'5.Variables'!$C35,+IF(P$18='5.Variables'!$B$39,+'5.Variables'!$C59,+IF(P$18='5.Variables'!$B$62,+'5.Variables'!$C73,+IF(P$18='5.Variables'!$B$76,+'5.Variables'!$C87,+IF(P$18='5.Variables'!$B$90,+'5.Variables'!$C101,+IF(P$18='5.Variables'!$B$104,+'5.Variables'!$C115,0))))))</f>
        <v>344.88888888888891</v>
      </c>
      <c r="Q128" s="242"/>
      <c r="R128" s="260">
        <f t="shared" si="9"/>
        <v>23234336.0657763</v>
      </c>
      <c r="S128" s="262"/>
      <c r="T128" s="242"/>
      <c r="U128" s="242"/>
      <c r="V128" s="242"/>
      <c r="W128" s="242"/>
      <c r="X128" s="242"/>
      <c r="Y128" s="242"/>
      <c r="Z128" s="242"/>
      <c r="AA128" s="242"/>
      <c r="AB128" s="242"/>
      <c r="AC128" s="242"/>
      <c r="AD128" s="242"/>
      <c r="AE128" s="242"/>
      <c r="AF128" s="242"/>
      <c r="AG128" s="242"/>
      <c r="AH128" s="242"/>
      <c r="AI128" s="242"/>
      <c r="AJ128" s="242"/>
      <c r="AK128" s="242"/>
      <c r="AL128" s="242"/>
      <c r="AM128" s="242"/>
    </row>
    <row r="129" spans="1:39" x14ac:dyDescent="0.2">
      <c r="A129" s="500">
        <f t="shared" si="10"/>
        <v>110</v>
      </c>
      <c r="B129" s="259" t="str">
        <f>CONCATENATE('3. Consumption by Rate Class'!B134,"-",'3. Consumption by Rate Class'!C134)</f>
        <v>2015-February</v>
      </c>
      <c r="C129" s="670">
        <f>23190222.68+F129</f>
        <v>23214860.239999998</v>
      </c>
      <c r="D129" s="826"/>
      <c r="E129" s="827">
        <v>1496624.43</v>
      </c>
      <c r="F129" s="826">
        <v>24637.56</v>
      </c>
      <c r="G129" s="826">
        <f>'A - CDM Adjustment'!E72</f>
        <v>43343.589743589742</v>
      </c>
      <c r="H129" s="677"/>
      <c r="I129" s="677"/>
      <c r="J129" s="550">
        <f t="shared" si="8"/>
        <v>21786216.959743585</v>
      </c>
      <c r="K129" s="697">
        <f>IF(K$18='5.Variables'!$B$16,+'5.Variables'!$D36,+IF(K$18='5.Variables'!$B$39,+'5.Variables'!$D59,+IF(K$18='5.Variables'!$B$62,+'5.Variables'!$D73,+IF(K$18='5.Variables'!$B$76,+'5.Variables'!$D87,+IF(K$18='5.Variables'!$B$90,+'5.Variables'!$D101,+IF(K$18='5.Variables'!$B$104,+'5.Variables'!$D115,0))))))</f>
        <v>842.5</v>
      </c>
      <c r="L129" s="697">
        <f>IF(L$18='5.Variables'!$B$16,+'5.Variables'!$D35,+IF(L$18='5.Variables'!$B$39,+'5.Variables'!$D59,+IF(L$18='5.Variables'!$B$62,+'5.Variables'!$D73,+IF(L$18='5.Variables'!$B$76,+'5.Variables'!$D87,+IF(L$18='5.Variables'!$B$90,+'5.Variables'!$D101,+IF(L$18='5.Variables'!$B$104,+'5.Variables'!$D115,0))))))</f>
        <v>0</v>
      </c>
      <c r="M129" s="697">
        <f>IF(M$18='5.Variables'!$B$16,+'5.Variables'!$D35,+IF(M$18='5.Variables'!$B$39,+'5.Variables'!$D59,+IF(M$18='5.Variables'!$B$62,+'5.Variables'!$D73,+IF(M$18='5.Variables'!$B$76,+'5.Variables'!$D87,+IF(M$18='5.Variables'!$B$90,+'5.Variables'!$D101,+IF(M$18='5.Variables'!$B$104,+'5.Variables'!$D115,0))))))</f>
        <v>28</v>
      </c>
      <c r="N129" s="697">
        <f>IF(N$18='5.Variables'!$B$16,+'5.Variables'!$D35,+IF(N$18='5.Variables'!$B$39,+'5.Variables'!$D59,+IF(N$18='5.Variables'!$B$62,+'5.Variables'!$D73,+IF(N$18='5.Variables'!$B$76,+'5.Variables'!$D87,+IF(N$18='5.Variables'!$B$90,+'5.Variables'!$D101,+IF(N$18='5.Variables'!$B$104,+'5.Variables'!$D115,0))))))</f>
        <v>140.21</v>
      </c>
      <c r="O129" s="697">
        <f>IF(O$18='5.Variables'!$B$16,+'5.Variables'!$D35,+IF(O$18='5.Variables'!$B$39,+'5.Variables'!$D59,+IF(O$18='5.Variables'!$B$62,+'5.Variables'!$D73,+IF(O$18='5.Variables'!$B$76,+'5.Variables'!$D87,+IF(O$18='5.Variables'!$B$90,+'5.Variables'!$D101,+IF(O$18='5.Variables'!$B$104,+'5.Variables'!$D115,0))))))</f>
        <v>0</v>
      </c>
      <c r="P129" s="697">
        <f>IF(P$18='5.Variables'!$B$16,+'5.Variables'!$D35,+IF(P$18='5.Variables'!$B$39,+'5.Variables'!$D59,+IF(P$18='5.Variables'!$B$62,+'5.Variables'!$D73,+IF(P$18='5.Variables'!$B$76,+'5.Variables'!$D87,+IF(P$18='5.Variables'!$B$90,+'5.Variables'!$D101,+IF(P$18='5.Variables'!$B$104,+'5.Variables'!$D115,0))))))</f>
        <v>312.88888888888891</v>
      </c>
      <c r="Q129" s="242"/>
      <c r="R129" s="260">
        <f t="shared" si="9"/>
        <v>22399166.299287375</v>
      </c>
      <c r="S129" s="262"/>
      <c r="T129" s="242"/>
      <c r="U129" s="242"/>
      <c r="V129" s="242"/>
      <c r="W129" s="242"/>
      <c r="X129" s="242"/>
      <c r="Y129" s="242"/>
      <c r="Z129" s="242"/>
      <c r="AA129" s="242"/>
      <c r="AB129" s="242"/>
      <c r="AC129" s="242"/>
      <c r="AD129" s="242"/>
      <c r="AE129" s="242"/>
      <c r="AF129" s="242"/>
      <c r="AG129" s="242"/>
      <c r="AH129" s="242"/>
      <c r="AI129" s="242"/>
      <c r="AJ129" s="242"/>
      <c r="AK129" s="242"/>
      <c r="AL129" s="242"/>
      <c r="AM129" s="242"/>
    </row>
    <row r="130" spans="1:39" x14ac:dyDescent="0.2">
      <c r="A130" s="500">
        <f t="shared" si="10"/>
        <v>111</v>
      </c>
      <c r="B130" s="259" t="str">
        <f>CONCATENATE('3. Consumption by Rate Class'!B135,"-",'3. Consumption by Rate Class'!C135)</f>
        <v>2015-March</v>
      </c>
      <c r="C130" s="670">
        <f>22718708.77+F130</f>
        <v>22960336.199999999</v>
      </c>
      <c r="D130" s="826"/>
      <c r="E130" s="827">
        <v>1542568.65</v>
      </c>
      <c r="F130" s="826">
        <v>241627.43</v>
      </c>
      <c r="G130" s="826">
        <f>'A - CDM Adjustment'!E73</f>
        <v>65015.38461538461</v>
      </c>
      <c r="H130" s="677"/>
      <c r="I130" s="677"/>
      <c r="J130" s="550">
        <f t="shared" si="8"/>
        <v>21724410.364615384</v>
      </c>
      <c r="K130" s="697">
        <f>IF(K$18='5.Variables'!$B$16,+'5.Variables'!$E36,+IF(K$18='5.Variables'!$B$39,+'5.Variables'!$E59,+IF(K$18='5.Variables'!$B$62,+'5.Variables'!$E73,+IF(K$18='5.Variables'!$B$76,+'5.Variables'!$E87,+IF(K$18='5.Variables'!$B$90,+'5.Variables'!$E101,+IF(K$18='5.Variables'!$B$104,+'5.Variables'!$E115,0))))))</f>
        <v>639.70000000000005</v>
      </c>
      <c r="L130" s="697">
        <f>IF(L$18='5.Variables'!$B$16,+'5.Variables'!$E35,+IF(L$18='5.Variables'!$B$39,+'5.Variables'!$E59,+IF(L$18='5.Variables'!$B$62,+'5.Variables'!$E73,+IF(L$18='5.Variables'!$B$76,+'5.Variables'!$E87,+IF(L$18='5.Variables'!$B$90,+'5.Variables'!$E101,+IF(L$18='5.Variables'!$B$104,+'5.Variables'!$E115,0))))))</f>
        <v>0</v>
      </c>
      <c r="M130" s="697">
        <f>IF(M$18='5.Variables'!$B$16,+'5.Variables'!$E35,+IF(M$18='5.Variables'!$B$39,+'5.Variables'!$E59,+IF(M$18='5.Variables'!$B$62,+'5.Variables'!$E73,+IF(M$18='5.Variables'!$B$76,+'5.Variables'!$E87,+IF(M$18='5.Variables'!$B$90,+'5.Variables'!$E101,+IF(M$18='5.Variables'!$B$104,+'5.Variables'!$E115,0))))))</f>
        <v>31</v>
      </c>
      <c r="N130" s="697">
        <f>IF(N$18='5.Variables'!$B$16,+'5.Variables'!$E35,+IF(N$18='5.Variables'!$B$39,+'5.Variables'!$E59,+IF(N$18='5.Variables'!$B$62,+'5.Variables'!$E73,+IF(N$18='5.Variables'!$B$76,+'5.Variables'!$E87,+IF(N$18='5.Variables'!$B$90,+'5.Variables'!$E101,+IF(N$18='5.Variables'!$B$104,+'5.Variables'!$E115,0))))))</f>
        <v>140.36000000000001</v>
      </c>
      <c r="O130" s="697">
        <f>IF(O$18='5.Variables'!$B$16,+'5.Variables'!$E35,+IF(O$18='5.Variables'!$B$39,+'5.Variables'!$E59,+IF(O$18='5.Variables'!$B$62,+'5.Variables'!$E73,+IF(O$18='5.Variables'!$B$76,+'5.Variables'!$E87,+IF(O$18='5.Variables'!$B$90,+'5.Variables'!$E101,+IF(O$18='5.Variables'!$B$104,+'5.Variables'!$E115,0))))))</f>
        <v>0</v>
      </c>
      <c r="P130" s="697">
        <f>IF(P$18='5.Variables'!$B$16,+'5.Variables'!$E35,+IF(P$18='5.Variables'!$B$39,+'5.Variables'!$E59,+IF(P$18='5.Variables'!$B$62,+'5.Variables'!$E73,+IF(P$18='5.Variables'!$B$76,+'5.Variables'!$E87,+IF(P$18='5.Variables'!$B$90,+'5.Variables'!$E101,+IF(P$18='5.Variables'!$B$104,+'5.Variables'!$E115,0))))))</f>
        <v>339.55555555555554</v>
      </c>
      <c r="Q130" s="242"/>
      <c r="R130" s="260">
        <f t="shared" si="9"/>
        <v>22424143.040387791</v>
      </c>
      <c r="S130" s="262"/>
      <c r="T130" s="242"/>
      <c r="U130" s="242"/>
      <c r="V130" s="242"/>
      <c r="W130" s="242"/>
      <c r="X130" s="242"/>
      <c r="Y130" s="242"/>
      <c r="Z130" s="242"/>
      <c r="AA130" s="242"/>
      <c r="AB130" s="242"/>
      <c r="AC130" s="242"/>
      <c r="AD130" s="242"/>
      <c r="AE130" s="242"/>
      <c r="AF130" s="242"/>
      <c r="AG130" s="242"/>
      <c r="AH130" s="242"/>
      <c r="AI130" s="242"/>
      <c r="AJ130" s="242"/>
      <c r="AK130" s="242"/>
      <c r="AL130" s="242"/>
      <c r="AM130" s="242"/>
    </row>
    <row r="131" spans="1:39" x14ac:dyDescent="0.2">
      <c r="A131" s="500">
        <f t="shared" si="10"/>
        <v>112</v>
      </c>
      <c r="B131" s="259" t="str">
        <f>CONCATENATE('3. Consumption by Rate Class'!B136,"-",'3. Consumption by Rate Class'!C136)</f>
        <v>2015-April</v>
      </c>
      <c r="C131" s="670">
        <f>19473534.43+F131</f>
        <v>19821057.059999999</v>
      </c>
      <c r="D131" s="826"/>
      <c r="E131" s="827">
        <v>1535310.33</v>
      </c>
      <c r="F131" s="826">
        <v>347522.63</v>
      </c>
      <c r="G131" s="826">
        <f>'A - CDM Adjustment'!E74</f>
        <v>86687.17948717947</v>
      </c>
      <c r="H131" s="677"/>
      <c r="I131" s="677"/>
      <c r="J131" s="550">
        <f t="shared" si="8"/>
        <v>18719956.539487176</v>
      </c>
      <c r="K131" s="697">
        <f>IF(K$18='5.Variables'!$B$16,+'5.Variables'!$F36,+IF(K$18='5.Variables'!$B$39,+'5.Variables'!$F59,+IF(K$18='5.Variables'!$B$62,+'5.Variables'!$F73,+IF(K$18='5.Variables'!$B$76,+'5.Variables'!$F87,+IF(K$18='5.Variables'!$B$90,+'5.Variables'!$F101,+IF(K$18='5.Variables'!$B$104,+'5.Variables'!$F115,0))))))</f>
        <v>351</v>
      </c>
      <c r="L131" s="697">
        <f>IF(L$18='5.Variables'!$B$16,+'5.Variables'!$F35,+IF(L$18='5.Variables'!$B$39,+'5.Variables'!$F59,+IF(L$18='5.Variables'!$B$62,+'5.Variables'!$F73,+IF(L$18='5.Variables'!$B$76,+'5.Variables'!$F87,+IF(L$18='5.Variables'!$B$90,+'5.Variables'!$F101,+IF(L$18='5.Variables'!$B$104,+'5.Variables'!$F115,0))))))</f>
        <v>0</v>
      </c>
      <c r="M131" s="697">
        <f>IF(M$18='5.Variables'!$B$16,+'5.Variables'!$F35,+IF(M$18='5.Variables'!$B$39,+'5.Variables'!$F59,+IF(M$18='5.Variables'!$B$62,+'5.Variables'!$F73,+IF(M$18='5.Variables'!$B$76,+'5.Variables'!$F87,+IF(M$18='5.Variables'!$B$90,+'5.Variables'!$F101,+IF(M$18='5.Variables'!$B$104,+'5.Variables'!$F115,0))))))</f>
        <v>30</v>
      </c>
      <c r="N131" s="697">
        <f>IF(N$18='5.Variables'!$B$16,+'5.Variables'!$F35,+IF(N$18='5.Variables'!$B$39,+'5.Variables'!$F59,+IF(N$18='5.Variables'!$B$62,+'5.Variables'!$F73,+IF(N$18='5.Variables'!$B$76,+'5.Variables'!$F87,+IF(N$18='5.Variables'!$B$90,+'5.Variables'!$F101,+IF(N$18='5.Variables'!$B$104,+'5.Variables'!$F115,0))))))</f>
        <v>140.51222222222225</v>
      </c>
      <c r="O131" s="697">
        <f>IF(O$18='5.Variables'!$B$16,+'5.Variables'!$F35,+IF(O$18='5.Variables'!$B$39,+'5.Variables'!$F59,+IF(O$18='5.Variables'!$B$62,+'5.Variables'!$F73,+IF(O$18='5.Variables'!$B$76,+'5.Variables'!$F87,+IF(O$18='5.Variables'!$B$90,+'5.Variables'!$F101,+IF(O$18='5.Variables'!$B$104,+'5.Variables'!$F115,0))))))</f>
        <v>0</v>
      </c>
      <c r="P131" s="697">
        <f>IF(P$18='5.Variables'!$B$16,+'5.Variables'!$F35,+IF(P$18='5.Variables'!$B$39,+'5.Variables'!$F59,+IF(P$18='5.Variables'!$B$62,+'5.Variables'!$F73,+IF(P$18='5.Variables'!$B$76,+'5.Variables'!$F87,+IF(P$18='5.Variables'!$B$90,+'5.Variables'!$F101,+IF(P$18='5.Variables'!$B$104,+'5.Variables'!$F115,0))))))</f>
        <v>330.66666666666669</v>
      </c>
      <c r="Q131" s="242"/>
      <c r="R131" s="260">
        <f t="shared" si="9"/>
        <v>20100264.000045672</v>
      </c>
      <c r="S131" s="262"/>
      <c r="T131" s="242"/>
      <c r="U131" s="242"/>
      <c r="V131" s="242"/>
      <c r="W131" s="242"/>
      <c r="X131" s="242"/>
      <c r="Y131" s="242"/>
      <c r="Z131" s="242"/>
      <c r="AA131" s="242"/>
      <c r="AB131" s="242"/>
      <c r="AC131" s="242"/>
      <c r="AD131" s="242"/>
      <c r="AE131" s="242"/>
      <c r="AF131" s="242"/>
      <c r="AG131" s="242"/>
      <c r="AH131" s="242"/>
      <c r="AI131" s="242"/>
      <c r="AJ131" s="242"/>
      <c r="AK131" s="242"/>
      <c r="AL131" s="242"/>
      <c r="AM131" s="242"/>
    </row>
    <row r="132" spans="1:39" x14ac:dyDescent="0.2">
      <c r="A132" s="500">
        <f t="shared" si="10"/>
        <v>113</v>
      </c>
      <c r="B132" s="259" t="str">
        <f>CONCATENATE('3. Consumption by Rate Class'!B137,"-",'3. Consumption by Rate Class'!C137)</f>
        <v>2015-May</v>
      </c>
      <c r="C132" s="670">
        <f>18576601.11+F132</f>
        <v>18913830.300000001</v>
      </c>
      <c r="D132" s="826"/>
      <c r="E132" s="827">
        <v>1557973.59</v>
      </c>
      <c r="F132" s="826">
        <v>337229.19</v>
      </c>
      <c r="G132" s="826">
        <f>'A - CDM Adjustment'!E75</f>
        <v>108358.97435897433</v>
      </c>
      <c r="H132" s="677"/>
      <c r="I132" s="677"/>
      <c r="J132" s="550">
        <f t="shared" si="8"/>
        <v>17801444.874358978</v>
      </c>
      <c r="K132" s="697">
        <f>IF(K$18='5.Variables'!$B$16,+'5.Variables'!$G36,+IF(K$18='5.Variables'!$B$39,+'5.Variables'!$G59,+IF(K$18='5.Variables'!$B$62,+'5.Variables'!$G73,+IF(K$18='5.Variables'!$B$76,+'5.Variables'!$G87,+IF(K$18='5.Variables'!$B$90,+'5.Variables'!$G101,+IF(K$18='5.Variables'!$B$104,+'5.Variables'!$G115,0))))))</f>
        <v>183.4</v>
      </c>
      <c r="L132" s="697">
        <f>IF(L$18='5.Variables'!$B$16,+'5.Variables'!$G35,+IF(L$18='5.Variables'!$B$39,+'5.Variables'!$G59,+IF(L$18='5.Variables'!$B$62,+'5.Variables'!$G73,+IF(L$18='5.Variables'!$B$76,+'5.Variables'!$G87,+IF(L$18='5.Variables'!$B$90,+'5.Variables'!$G101,+IF(L$18='5.Variables'!$B$104,+'5.Variables'!$G115,0))))))</f>
        <v>0</v>
      </c>
      <c r="M132" s="697">
        <f>IF(M$18='5.Variables'!$B$16,+'5.Variables'!$G35,+IF(M$18='5.Variables'!$B$39,+'5.Variables'!$G59,+IF(M$18='5.Variables'!$B$62,+'5.Variables'!$G73,+IF(M$18='5.Variables'!$B$76,+'5.Variables'!$G87,+IF(M$18='5.Variables'!$B$90,+'5.Variables'!$G101,+IF(M$18='5.Variables'!$B$104,+'5.Variables'!$G115,0))))))</f>
        <v>31</v>
      </c>
      <c r="N132" s="697">
        <f>IF(N$18='5.Variables'!$B$16,+'5.Variables'!$G35,+IF(N$18='5.Variables'!$B$39,+'5.Variables'!$G59,+IF(N$18='5.Variables'!$B$62,+'5.Variables'!$G73,+IF(N$18='5.Variables'!$B$76,+'5.Variables'!$G87,+IF(N$18='5.Variables'!$B$90,+'5.Variables'!$G101,+IF(N$18='5.Variables'!$B$104,+'5.Variables'!$G115,0))))))</f>
        <v>140.66666666666666</v>
      </c>
      <c r="O132" s="697">
        <f>IF(O$18='5.Variables'!$B$16,+'5.Variables'!$G35,+IF(O$18='5.Variables'!$B$39,+'5.Variables'!$G59,+IF(O$18='5.Variables'!$B$62,+'5.Variables'!$G73,+IF(O$18='5.Variables'!$B$76,+'5.Variables'!$G87,+IF(O$18='5.Variables'!$B$90,+'5.Variables'!$G101,+IF(O$18='5.Variables'!$B$104,+'5.Variables'!$G115,0))))))</f>
        <v>0</v>
      </c>
      <c r="P132" s="697">
        <f>IF(P$18='5.Variables'!$B$16,+'5.Variables'!$G35,+IF(P$18='5.Variables'!$B$39,+'5.Variables'!$G59,+IF(P$18='5.Variables'!$B$62,+'5.Variables'!$G73,+IF(P$18='5.Variables'!$B$76,+'5.Variables'!$G87,+IF(P$18='5.Variables'!$B$90,+'5.Variables'!$G101,+IF(P$18='5.Variables'!$B$104,+'5.Variables'!$G115,0))))))</f>
        <v>339.55555555555554</v>
      </c>
      <c r="Q132" s="242"/>
      <c r="R132" s="260">
        <f t="shared" si="9"/>
        <v>19460097.596103791</v>
      </c>
      <c r="S132" s="262"/>
      <c r="T132" s="242"/>
      <c r="U132" s="242"/>
      <c r="V132" s="242"/>
      <c r="W132" s="242"/>
      <c r="X132" s="242"/>
      <c r="Y132" s="242"/>
      <c r="Z132" s="242"/>
      <c r="AA132" s="242"/>
      <c r="AB132" s="242"/>
      <c r="AC132" s="242"/>
      <c r="AD132" s="242"/>
      <c r="AE132" s="242"/>
      <c r="AF132" s="242"/>
      <c r="AG132" s="242"/>
      <c r="AH132" s="242"/>
      <c r="AI132" s="242"/>
      <c r="AJ132" s="242"/>
      <c r="AK132" s="242"/>
      <c r="AL132" s="242"/>
      <c r="AM132" s="242"/>
    </row>
    <row r="133" spans="1:39" x14ac:dyDescent="0.2">
      <c r="A133" s="500">
        <f t="shared" si="10"/>
        <v>114</v>
      </c>
      <c r="B133" s="259" t="str">
        <f>CONCATENATE('3. Consumption by Rate Class'!B138,"-",'3. Consumption by Rate Class'!C138)</f>
        <v>2015-June</v>
      </c>
      <c r="C133" s="670">
        <f>19026485.85+F133</f>
        <v>19352885.700000003</v>
      </c>
      <c r="D133" s="826"/>
      <c r="E133" s="827">
        <v>1652810.1</v>
      </c>
      <c r="F133" s="826">
        <v>326399.84999999998</v>
      </c>
      <c r="G133" s="826">
        <f>'A - CDM Adjustment'!E76</f>
        <v>130030.76923076919</v>
      </c>
      <c r="H133" s="677"/>
      <c r="I133" s="677"/>
      <c r="J133" s="550">
        <f t="shared" si="8"/>
        <v>18156506.219230771</v>
      </c>
      <c r="K133" s="697">
        <f>IF(K$18='5.Variables'!$B$16,+'5.Variables'!$H36,+IF(K$18='5.Variables'!$B$39,+'5.Variables'!$H59,+IF(K$18='5.Variables'!$B$62,+'5.Variables'!$H73,+IF(K$18='5.Variables'!$B$76,+'5.Variables'!$H87,+IF(K$18='5.Variables'!$B$90,+'5.Variables'!$H101,+IF(K$18='5.Variables'!$B$104,+'5.Variables'!$H115,0))))))</f>
        <v>88.3</v>
      </c>
      <c r="L133" s="697">
        <f>IF(L$18='5.Variables'!$B$16,+'5.Variables'!$H35,+IF(L$18='5.Variables'!$B$39,+'5.Variables'!$H59,+IF(L$18='5.Variables'!$B$62,+'5.Variables'!$H73,+IF(L$18='5.Variables'!$B$76,+'5.Variables'!$H87,+IF(L$18='5.Variables'!$B$90,+'5.Variables'!$H101,+IF(L$18='5.Variables'!$B$104,+'5.Variables'!$H115,0))))))</f>
        <v>5.6</v>
      </c>
      <c r="M133" s="697">
        <f>IF(M$18='5.Variables'!$B$16,+'5.Variables'!$H35,+IF(M$18='5.Variables'!$B$39,+'5.Variables'!$H59,+IF(M$18='5.Variables'!$B$62,+'5.Variables'!$H73,+IF(M$18='5.Variables'!$B$76,+'5.Variables'!$H87,+IF(M$18='5.Variables'!$B$90,+'5.Variables'!$H101,+IF(M$18='5.Variables'!$B$104,+'5.Variables'!$H115,0))))))</f>
        <v>30</v>
      </c>
      <c r="N133" s="697">
        <f>IF(N$18='5.Variables'!$B$16,+'5.Variables'!$H35,+IF(N$18='5.Variables'!$B$39,+'5.Variables'!$H59,+IF(N$18='5.Variables'!$B$62,+'5.Variables'!$H73,+IF(N$18='5.Variables'!$B$76,+'5.Variables'!$H87,+IF(N$18='5.Variables'!$B$90,+'5.Variables'!$H101,+IF(N$18='5.Variables'!$B$104,+'5.Variables'!$H115,0))))))</f>
        <v>140.82222222222219</v>
      </c>
      <c r="O133" s="697">
        <f>IF(O$18='5.Variables'!$B$16,+'5.Variables'!$H35,+IF(O$18='5.Variables'!$B$39,+'5.Variables'!$H59,+IF(O$18='5.Variables'!$B$62,+'5.Variables'!$H73,+IF(O$18='5.Variables'!$B$76,+'5.Variables'!$H87,+IF(O$18='5.Variables'!$B$90,+'5.Variables'!$H101,+IF(O$18='5.Variables'!$B$104,+'5.Variables'!$H115,0))))))</f>
        <v>0</v>
      </c>
      <c r="P133" s="697">
        <f>IF(P$18='5.Variables'!$B$16,+'5.Variables'!$H35,+IF(P$18='5.Variables'!$B$39,+'5.Variables'!$H59,+IF(P$18='5.Variables'!$B$62,+'5.Variables'!$H73,+IF(P$18='5.Variables'!$B$76,+'5.Variables'!$H87,+IF(P$18='5.Variables'!$B$90,+'5.Variables'!$H101,+IF(P$18='5.Variables'!$B$104,+'5.Variables'!$H115,0))))))</f>
        <v>339.55555555555554</v>
      </c>
      <c r="Q133" s="242"/>
      <c r="R133" s="260">
        <f t="shared" si="9"/>
        <v>18688241.593299769</v>
      </c>
      <c r="S133" s="262"/>
      <c r="T133" s="242"/>
      <c r="U133" s="242"/>
      <c r="V133" s="242"/>
      <c r="W133" s="242"/>
      <c r="X133" s="242"/>
      <c r="Y133" s="242"/>
      <c r="Z133" s="242"/>
      <c r="AA133" s="242"/>
      <c r="AB133" s="242"/>
      <c r="AC133" s="242"/>
      <c r="AD133" s="242"/>
      <c r="AE133" s="242"/>
      <c r="AF133" s="242"/>
      <c r="AG133" s="242"/>
      <c r="AH133" s="242"/>
      <c r="AI133" s="242"/>
      <c r="AJ133" s="242"/>
      <c r="AK133" s="242"/>
      <c r="AL133" s="242"/>
      <c r="AM133" s="242"/>
    </row>
    <row r="134" spans="1:39" x14ac:dyDescent="0.2">
      <c r="A134" s="500">
        <f t="shared" si="10"/>
        <v>115</v>
      </c>
      <c r="B134" s="259" t="str">
        <f>CONCATENATE('3. Consumption by Rate Class'!B139,"-",'3. Consumption by Rate Class'!C139)</f>
        <v>2015-July</v>
      </c>
      <c r="C134" s="672">
        <f>20495166.43+F134</f>
        <v>21020965.309999999</v>
      </c>
      <c r="D134" s="826"/>
      <c r="E134" s="827">
        <v>1374191.59</v>
      </c>
      <c r="F134" s="826">
        <v>525798.88</v>
      </c>
      <c r="G134" s="826">
        <f>'A - CDM Adjustment'!E77</f>
        <v>151702.56410256404</v>
      </c>
      <c r="H134" s="677"/>
      <c r="I134" s="677"/>
      <c r="J134" s="550">
        <f t="shared" si="8"/>
        <v>20324275.164102562</v>
      </c>
      <c r="K134" s="697">
        <f>IF(K$18='5.Variables'!$B$16,+'5.Variables'!$I35,+IF(K$18='5.Variables'!$B$39,+'5.Variables'!$I59,+IF(K$18='5.Variables'!$B$62,+'5.Variables'!$I73,+IF(K$18='5.Variables'!$B$76,+'5.Variables'!$I87,+IF(K$18='5.Variables'!$B$90,+'5.Variables'!$I101,+IF(K$18='5.Variables'!$B$104,+'5.Variables'!$I115,0))))))</f>
        <v>36.9</v>
      </c>
      <c r="L134" s="697">
        <f>IF(L$18='5.Variables'!$B$16,+'5.Variables'!$I35,+IF(L$18='5.Variables'!$B$39,+'5.Variables'!$I59,+IF(L$18='5.Variables'!$B$62,+'5.Variables'!$I73,+IF(L$18='5.Variables'!$B$76,+'5.Variables'!$I87,+IF(L$18='5.Variables'!$B$90,+'5.Variables'!$I101,+IF(L$18='5.Variables'!$B$104,+'5.Variables'!$I115,0))))))</f>
        <v>37</v>
      </c>
      <c r="M134" s="697">
        <f>IF(M$18='5.Variables'!$B$16,+'5.Variables'!$I35,+IF(M$18='5.Variables'!$B$39,+'5.Variables'!$I59,+IF(M$18='5.Variables'!$B$62,+'5.Variables'!$I73,+IF(M$18='5.Variables'!$B$76,+'5.Variables'!$I87,+IF(M$18='5.Variables'!$B$90,+'5.Variables'!$I101,+IF(M$18='5.Variables'!$B$104,+'5.Variables'!$I115,0))))))</f>
        <v>31</v>
      </c>
      <c r="N134" s="697">
        <f>IF(N$18='5.Variables'!$B$16,+'5.Variables'!$I35,+IF(N$18='5.Variables'!$B$39,+'5.Variables'!$I59,+IF(N$18='5.Variables'!$B$62,+'5.Variables'!$I73,+IF(N$18='5.Variables'!$B$76,+'5.Variables'!$I87,+IF(N$18='5.Variables'!$B$90,+'5.Variables'!$I101,+IF(N$18='5.Variables'!$B$104,+'5.Variables'!$I115,0))))))</f>
        <v>140.96444444444444</v>
      </c>
      <c r="O134" s="697">
        <f>IF(O$18='5.Variables'!$B$16,+'5.Variables'!$I35,+IF(O$18='5.Variables'!$B$39,+'5.Variables'!$I59,+IF(O$18='5.Variables'!$B$62,+'5.Variables'!$I73,+IF(O$18='5.Variables'!$B$76,+'5.Variables'!$I87,+IF(O$18='5.Variables'!$B$90,+'5.Variables'!$I101,+IF(O$18='5.Variables'!$B$104,+'5.Variables'!$I115,0))))))</f>
        <v>0</v>
      </c>
      <c r="P134" s="697">
        <f>IF(P$18='5.Variables'!$B$16,+'5.Variables'!$I35,+IF(P$18='5.Variables'!$B$39,+'5.Variables'!$I59,+IF(P$18='5.Variables'!$B$62,+'5.Variables'!$I73,+IF(P$18='5.Variables'!$B$76,+'5.Variables'!$I87,+IF(P$18='5.Variables'!$B$90,+'5.Variables'!$I101,+IF(P$18='5.Variables'!$B$104,+'5.Variables'!$I115,0))))))</f>
        <v>343.11111111111109</v>
      </c>
      <c r="Q134" s="242"/>
      <c r="R134" s="260">
        <f t="shared" si="9"/>
        <v>20014100.740671888</v>
      </c>
      <c r="S134" s="262"/>
      <c r="T134" s="242"/>
      <c r="U134" s="242"/>
      <c r="V134" s="242"/>
      <c r="W134" s="242"/>
      <c r="X134" s="242"/>
      <c r="Y134" s="242"/>
      <c r="Z134" s="242"/>
      <c r="AA134" s="242"/>
      <c r="AB134" s="242"/>
      <c r="AC134" s="242"/>
      <c r="AD134" s="242"/>
      <c r="AE134" s="242"/>
      <c r="AF134" s="242"/>
      <c r="AG134" s="242"/>
      <c r="AH134" s="242"/>
      <c r="AI134" s="242"/>
      <c r="AJ134" s="242"/>
      <c r="AK134" s="242"/>
      <c r="AL134" s="242"/>
      <c r="AM134" s="242"/>
    </row>
    <row r="135" spans="1:39" x14ac:dyDescent="0.2">
      <c r="A135" s="500">
        <f t="shared" si="10"/>
        <v>116</v>
      </c>
      <c r="B135" s="259" t="str">
        <f>CONCATENATE('3. Consumption by Rate Class'!B140,"-",'3. Consumption by Rate Class'!C140)</f>
        <v>2015-August</v>
      </c>
      <c r="C135" s="672">
        <f>20293688.65+F135</f>
        <v>20743590.419999998</v>
      </c>
      <c r="D135" s="826"/>
      <c r="E135" s="827">
        <v>1178553.8500000001</v>
      </c>
      <c r="F135" s="826">
        <v>449901.77</v>
      </c>
      <c r="G135" s="826">
        <f>'A - CDM Adjustment'!E78</f>
        <v>173374.35897435891</v>
      </c>
      <c r="H135" s="677"/>
      <c r="I135" s="677"/>
      <c r="J135" s="550">
        <f t="shared" si="8"/>
        <v>20188312.698974356</v>
      </c>
      <c r="K135" s="697">
        <f>IF(K$18='5.Variables'!$B$16,+'5.Variables'!$J36,+IF(K$18='5.Variables'!$B$39,+'5.Variables'!$J59,+IF(K$18='5.Variables'!$B$62,+'5.Variables'!$J73,+IF(K$18='5.Variables'!$B$76,+'5.Variables'!$J87,+IF(K$18='5.Variables'!$B$90,+'5.Variables'!$J101,+IF(K$18='5.Variables'!$B$104,+'5.Variables'!$J115,0))))))</f>
        <v>12.9</v>
      </c>
      <c r="L135" s="697">
        <f>IF(L$18='5.Variables'!$B$16,+'5.Variables'!$J35,+IF(L$18='5.Variables'!$B$39,+'5.Variables'!$J59,+IF(L$18='5.Variables'!$B$62,+'5.Variables'!$J73,+IF(L$18='5.Variables'!$B$76,+'5.Variables'!$J87,+IF(L$18='5.Variables'!$B$90,+'5.Variables'!$J101,+IF(L$18='5.Variables'!$B$104,+'5.Variables'!$J115,0))))))</f>
        <v>44.7</v>
      </c>
      <c r="M135" s="697">
        <f>IF(M$18='5.Variables'!$B$16,+'5.Variables'!$J35,+IF(M$18='5.Variables'!$B$39,+'5.Variables'!$J59,+IF(M$18='5.Variables'!$B$62,+'5.Variables'!$J73,+IF(M$18='5.Variables'!$B$76,+'5.Variables'!$J87,+IF(M$18='5.Variables'!$B$90,+'5.Variables'!$J101,+IF(M$18='5.Variables'!$B$104,+'5.Variables'!$J115,0))))))</f>
        <v>31</v>
      </c>
      <c r="N135" s="697">
        <f>IF(N$18='5.Variables'!$B$16,+'5.Variables'!$J35,+IF(N$18='5.Variables'!$B$39,+'5.Variables'!$J59,+IF(N$18='5.Variables'!$B$62,+'5.Variables'!$J73,+IF(N$18='5.Variables'!$B$76,+'5.Variables'!$J87,+IF(N$18='5.Variables'!$B$90,+'5.Variables'!$J101,+IF(N$18='5.Variables'!$B$104,+'5.Variables'!$J115,0))))))</f>
        <v>141.1311111111111</v>
      </c>
      <c r="O135" s="697">
        <f>IF(O$18='5.Variables'!$B$16,+'5.Variables'!$J35,+IF(O$18='5.Variables'!$B$39,+'5.Variables'!$J59,+IF(O$18='5.Variables'!$B$62,+'5.Variables'!$J73,+IF(O$18='5.Variables'!$B$76,+'5.Variables'!$J87,+IF(O$18='5.Variables'!$B$90,+'5.Variables'!$J101,+IF(O$18='5.Variables'!$B$104,+'5.Variables'!$J115,0))))))</f>
        <v>0</v>
      </c>
      <c r="P135" s="697">
        <f>IF(P$18='5.Variables'!$B$16,+'5.Variables'!$J35,+IF(P$18='5.Variables'!$B$39,+'5.Variables'!$J59,+IF(P$18='5.Variables'!$B$62,+'5.Variables'!$J73,+IF(P$18='5.Variables'!$B$76,+'5.Variables'!$J87,+IF(P$18='5.Variables'!$B$90,+'5.Variables'!$J101,+IF(P$18='5.Variables'!$B$104,+'5.Variables'!$J115,0))))))</f>
        <v>334.22222222222223</v>
      </c>
      <c r="Q135" s="242"/>
      <c r="R135" s="260">
        <f t="shared" si="9"/>
        <v>20101483.462164268</v>
      </c>
      <c r="S135" s="262"/>
      <c r="T135" s="242"/>
      <c r="U135" s="242"/>
      <c r="V135" s="242"/>
      <c r="W135" s="242"/>
      <c r="X135" s="242"/>
      <c r="Y135" s="242"/>
      <c r="Z135" s="242"/>
      <c r="AA135" s="242"/>
      <c r="AB135" s="242"/>
      <c r="AC135" s="242"/>
      <c r="AD135" s="242"/>
      <c r="AE135" s="242"/>
      <c r="AF135" s="242"/>
      <c r="AG135" s="242"/>
      <c r="AH135" s="242"/>
      <c r="AI135" s="242"/>
      <c r="AJ135" s="242"/>
      <c r="AK135" s="242"/>
      <c r="AL135" s="242"/>
      <c r="AM135" s="242"/>
    </row>
    <row r="136" spans="1:39" x14ac:dyDescent="0.2">
      <c r="A136" s="500">
        <f t="shared" si="10"/>
        <v>117</v>
      </c>
      <c r="B136" s="259" t="str">
        <f>CONCATENATE('3. Consumption by Rate Class'!B141,"-",'3. Consumption by Rate Class'!C141)</f>
        <v>2015-September</v>
      </c>
      <c r="C136" s="672">
        <f>20207479.83+F136</f>
        <v>20566313.5</v>
      </c>
      <c r="D136" s="826"/>
      <c r="E136" s="827">
        <v>1313341.02</v>
      </c>
      <c r="F136" s="826">
        <v>358833.67</v>
      </c>
      <c r="G136" s="826">
        <f>'A - CDM Adjustment'!E79</f>
        <v>195046.15384615376</v>
      </c>
      <c r="H136" s="677"/>
      <c r="I136" s="677"/>
      <c r="J136" s="550">
        <f t="shared" si="8"/>
        <v>19806852.303846154</v>
      </c>
      <c r="K136" s="697">
        <f>IF(K$18='5.Variables'!$B$16,+'5.Variables'!$K36,+IF(K$18='5.Variables'!$B$39,+'5.Variables'!$K59,+IF(K$18='5.Variables'!$B$62,+'5.Variables'!$K73,+IF(K$18='5.Variables'!$B$76,+'5.Variables'!$K87,+IF(K$18='5.Variables'!$B$90,+'5.Variables'!$K101,+IF(K$18='5.Variables'!$B$104,+'5.Variables'!$K115,0))))))</f>
        <v>43.1</v>
      </c>
      <c r="L136" s="697">
        <f>IF(L$18='5.Variables'!$B$16,+'5.Variables'!$K35,+IF(L$18='5.Variables'!$B$39,+'5.Variables'!$K59,+IF(L$18='5.Variables'!$B$62,+'5.Variables'!$K73,+IF(L$18='5.Variables'!$B$76,+'5.Variables'!$K87,+IF(L$18='5.Variables'!$B$90,+'5.Variables'!$K101,+IF(L$18='5.Variables'!$B$104,+'5.Variables'!$K115,0))))))</f>
        <v>41.7</v>
      </c>
      <c r="M136" s="697">
        <f>IF(M$18='5.Variables'!$B$16,+'5.Variables'!$K35,+IF(M$18='5.Variables'!$B$39,+'5.Variables'!$K59,+IF(M$18='5.Variables'!$B$62,+'5.Variables'!$K73,+IF(M$18='5.Variables'!$B$76,+'5.Variables'!$K87,+IF(M$18='5.Variables'!$B$90,+'5.Variables'!$K101,+IF(M$18='5.Variables'!$B$104,+'5.Variables'!$K115,0))))))</f>
        <v>30</v>
      </c>
      <c r="N136" s="697">
        <f>IF(N$18='5.Variables'!$B$16,+'5.Variables'!$K35,+IF(N$18='5.Variables'!$B$39,+'5.Variables'!$K59,+IF(N$18='5.Variables'!$B$62,+'5.Variables'!$K73,+IF(N$18='5.Variables'!$B$76,+'5.Variables'!$K87,+IF(N$18='5.Variables'!$B$90,+'5.Variables'!$K101,+IF(N$18='5.Variables'!$B$104,+'5.Variables'!$K115,0))))))</f>
        <v>141.27555555555554</v>
      </c>
      <c r="O136" s="697">
        <f>IF(O$18='5.Variables'!$B$16,+'5.Variables'!$K35,+IF(O$18='5.Variables'!$B$39,+'5.Variables'!$K59,+IF(O$18='5.Variables'!$B$62,+'5.Variables'!$K73,+IF(O$18='5.Variables'!$B$76,+'5.Variables'!$K87,+IF(O$18='5.Variables'!$B$90,+'5.Variables'!$K101,+IF(O$18='5.Variables'!$B$104,+'5.Variables'!$K115,0))))))</f>
        <v>0</v>
      </c>
      <c r="P136" s="697">
        <f>IF(P$18='5.Variables'!$B$16,+'5.Variables'!$K35,+IF(P$18='5.Variables'!$B$39,+'5.Variables'!$K59,+IF(P$18='5.Variables'!$B$62,+'5.Variables'!$K73,+IF(P$18='5.Variables'!$B$76,+'5.Variables'!$K87,+IF(P$18='5.Variables'!$B$90,+'5.Variables'!$K101,+IF(P$18='5.Variables'!$B$104,+'5.Variables'!$K115,0))))))</f>
        <v>325.33333333333331</v>
      </c>
      <c r="Q136" s="242"/>
      <c r="R136" s="260">
        <f t="shared" si="9"/>
        <v>19735760.13137801</v>
      </c>
      <c r="S136" s="262"/>
      <c r="T136" s="242"/>
      <c r="U136" s="242"/>
      <c r="V136" s="242"/>
      <c r="W136" s="242"/>
      <c r="X136" s="242"/>
      <c r="Y136" s="242"/>
      <c r="Z136" s="242"/>
      <c r="AA136" s="242"/>
      <c r="AB136" s="242"/>
      <c r="AC136" s="242"/>
      <c r="AD136" s="242"/>
      <c r="AE136" s="242"/>
      <c r="AF136" s="242"/>
      <c r="AG136" s="242"/>
      <c r="AH136" s="242"/>
      <c r="AI136" s="242"/>
      <c r="AJ136" s="242"/>
      <c r="AK136" s="242"/>
      <c r="AL136" s="242"/>
      <c r="AM136" s="242"/>
    </row>
    <row r="137" spans="1:39" x14ac:dyDescent="0.2">
      <c r="A137" s="500">
        <f t="shared" si="10"/>
        <v>118</v>
      </c>
      <c r="B137" s="259" t="str">
        <f>CONCATENATE('3. Consumption by Rate Class'!B142,"-",'3. Consumption by Rate Class'!C142)</f>
        <v>2015-October</v>
      </c>
      <c r="C137" s="672">
        <f>19050393.31+F137</f>
        <v>19315191.379999999</v>
      </c>
      <c r="D137" s="826"/>
      <c r="E137" s="827">
        <v>1040675.25</v>
      </c>
      <c r="F137" s="826">
        <v>264798.07</v>
      </c>
      <c r="G137" s="826">
        <f>'A - CDM Adjustment'!E80</f>
        <v>216717.94871794863</v>
      </c>
      <c r="H137" s="677"/>
      <c r="I137" s="677"/>
      <c r="J137" s="550">
        <f t="shared" si="8"/>
        <v>18756032.148717947</v>
      </c>
      <c r="K137" s="697">
        <f>IF(K$18='5.Variables'!$B$16,+'5.Variables'!$L36,+IF(K$18='5.Variables'!$B$39,+'5.Variables'!$L59,+IF(K$18='5.Variables'!$B$62,+'5.Variables'!$L73,+IF(K$18='5.Variables'!$B$76,+'5.Variables'!$L87,+IF(K$18='5.Variables'!$B$90,+'5.Variables'!$L101,+IF(K$18='5.Variables'!$B$104,+'5.Variables'!$L115,0))))))</f>
        <v>271.10000000000002</v>
      </c>
      <c r="L137" s="697">
        <f>IF(L$18='5.Variables'!$B$16,+'5.Variables'!$L35,+IF(L$18='5.Variables'!$B$39,+'5.Variables'!$L59,+IF(L$18='5.Variables'!$B$62,+'5.Variables'!$L73,+IF(L$18='5.Variables'!$B$76,+'5.Variables'!$L87,+IF(L$18='5.Variables'!$B$90,+'5.Variables'!$L101,+IF(L$18='5.Variables'!$B$104,+'5.Variables'!$L115,0))))))</f>
        <v>0</v>
      </c>
      <c r="M137" s="697">
        <f>IF(M$18='5.Variables'!$B$16,+'5.Variables'!$L35,+IF(M$18='5.Variables'!$B$39,+'5.Variables'!$L59,+IF(M$18='5.Variables'!$B$62,+'5.Variables'!$L73,+IF(M$18='5.Variables'!$B$76,+'5.Variables'!$L87,+IF(M$18='5.Variables'!$B$90,+'5.Variables'!$L101,+IF(M$18='5.Variables'!$B$104,+'5.Variables'!$L115,0))))))</f>
        <v>31</v>
      </c>
      <c r="N137" s="697">
        <f>IF(N$18='5.Variables'!$B$16,+'5.Variables'!$L35,+IF(N$18='5.Variables'!$B$39,+'5.Variables'!$L59,+IF(N$18='5.Variables'!$B$62,+'5.Variables'!$L73,+IF(N$18='5.Variables'!$B$76,+'5.Variables'!$L87,+IF(N$18='5.Variables'!$B$90,+'5.Variables'!$L101,+IF(N$18='5.Variables'!$B$104,+'5.Variables'!$L115,0))))))</f>
        <v>141.44222222222223</v>
      </c>
      <c r="O137" s="697">
        <f>IF(O$18='5.Variables'!$B$16,+'5.Variables'!$L35,+IF(O$18='5.Variables'!$B$39,+'5.Variables'!$L59,+IF(O$18='5.Variables'!$B$62,+'5.Variables'!$L73,+IF(O$18='5.Variables'!$B$76,+'5.Variables'!$L87,+IF(O$18='5.Variables'!$B$90,+'5.Variables'!$L101,+IF(O$18='5.Variables'!$B$104,+'5.Variables'!$L115,0))))))</f>
        <v>0</v>
      </c>
      <c r="P137" s="697">
        <f>IF(P$18='5.Variables'!$B$16,+'5.Variables'!$L35,+IF(P$18='5.Variables'!$B$39,+'5.Variables'!$L59,+IF(P$18='5.Variables'!$B$62,+'5.Variables'!$L73,+IF(P$18='5.Variables'!$B$76,+'5.Variables'!$L87,+IF(P$18='5.Variables'!$B$90,+'5.Variables'!$L101,+IF(P$18='5.Variables'!$B$104,+'5.Variables'!$L115,0))))))</f>
        <v>344.88888888888891</v>
      </c>
      <c r="Q137" s="242"/>
      <c r="R137" s="260">
        <f t="shared" si="9"/>
        <v>20094794.148942653</v>
      </c>
      <c r="S137" s="262"/>
      <c r="T137" s="242"/>
      <c r="U137" s="242"/>
      <c r="V137" s="242"/>
      <c r="W137" s="242"/>
      <c r="X137" s="242"/>
      <c r="Y137" s="242"/>
      <c r="Z137" s="242"/>
      <c r="AA137" s="242"/>
      <c r="AB137" s="242"/>
      <c r="AC137" s="242"/>
      <c r="AD137" s="242"/>
      <c r="AE137" s="242"/>
      <c r="AF137" s="242"/>
      <c r="AG137" s="242"/>
      <c r="AH137" s="242"/>
      <c r="AI137" s="242"/>
      <c r="AJ137" s="242"/>
      <c r="AK137" s="242"/>
      <c r="AL137" s="242"/>
      <c r="AM137" s="242"/>
    </row>
    <row r="138" spans="1:39" x14ac:dyDescent="0.2">
      <c r="A138" s="500">
        <f t="shared" si="10"/>
        <v>119</v>
      </c>
      <c r="B138" s="259" t="str">
        <f>CONCATENATE('3. Consumption by Rate Class'!B143,"-",'3. Consumption by Rate Class'!C143)</f>
        <v>2015-November</v>
      </c>
      <c r="C138" s="672">
        <f>19373156.13+F138</f>
        <v>19532582.219999999</v>
      </c>
      <c r="D138" s="826"/>
      <c r="E138" s="827">
        <v>946641.6</v>
      </c>
      <c r="F138" s="826">
        <v>159426.09</v>
      </c>
      <c r="G138" s="826">
        <f>'A - CDM Adjustment'!E81</f>
        <v>238389.74358974351</v>
      </c>
      <c r="H138" s="677"/>
      <c r="I138" s="677"/>
      <c r="J138" s="550">
        <f t="shared" si="8"/>
        <v>18983756.453589741</v>
      </c>
      <c r="K138" s="697">
        <f>IF(K$18='5.Variables'!$B$16,+'5.Variables'!$M36,+IF(K$18='5.Variables'!$B$39,+'5.Variables'!$M59,+IF(K$18='5.Variables'!$B$62,+'5.Variables'!$M73,+IF(K$18='5.Variables'!$B$76,+'5.Variables'!$M87,+IF(K$18='5.Variables'!$B$90,+'5.Variables'!$M101,+IF(K$18='5.Variables'!$B$104,+'5.Variables'!$M115,0))))))</f>
        <v>349.8</v>
      </c>
      <c r="L138" s="697">
        <f>IF(L$18='5.Variables'!$B$16,+'5.Variables'!$M35,+IF(L$18='5.Variables'!$B$39,+'5.Variables'!$M59,+IF(L$18='5.Variables'!$B$62,+'5.Variables'!$M73,+IF(L$18='5.Variables'!$B$76,+'5.Variables'!$M87,+IF(L$18='5.Variables'!$B$90,+'5.Variables'!$M101,+IF(L$18='5.Variables'!$B$104,+'5.Variables'!$M115,0))))))</f>
        <v>0</v>
      </c>
      <c r="M138" s="697">
        <f>IF(M$18='5.Variables'!$B$16,+'5.Variables'!$M35,+IF(M$18='5.Variables'!$B$39,+'5.Variables'!$M59,+IF(M$18='5.Variables'!$B$62,+'5.Variables'!$M73,+IF(M$18='5.Variables'!$B$76,+'5.Variables'!$M87,+IF(M$18='5.Variables'!$B$90,+'5.Variables'!$M101,+IF(M$18='5.Variables'!$B$104,+'5.Variables'!$M115,0))))))</f>
        <v>30</v>
      </c>
      <c r="N138" s="697">
        <f>IF(N$18='5.Variables'!$B$16,+'5.Variables'!$M35,+IF(N$18='5.Variables'!$B$39,+'5.Variables'!$M59,+IF(N$18='5.Variables'!$B$62,+'5.Variables'!$M73,+IF(N$18='5.Variables'!$B$76,+'5.Variables'!$M87,+IF(N$18='5.Variables'!$B$90,+'5.Variables'!$M101,+IF(N$18='5.Variables'!$B$104,+'5.Variables'!$M115,0))))))</f>
        <v>141.60999999999999</v>
      </c>
      <c r="O138" s="697">
        <f>IF(O$18='5.Variables'!$B$16,+'5.Variables'!$M35,+IF(O$18='5.Variables'!$B$39,+'5.Variables'!$M59,+IF(O$18='5.Variables'!$B$62,+'5.Variables'!$M73,+IF(O$18='5.Variables'!$B$76,+'5.Variables'!$M87,+IF(O$18='5.Variables'!$B$90,+'5.Variables'!$M101,+IF(O$18='5.Variables'!$B$104,+'5.Variables'!$M115,0))))))</f>
        <v>0</v>
      </c>
      <c r="P138" s="697">
        <f>IF(P$18='5.Variables'!$B$16,+'5.Variables'!$M35,+IF(P$18='5.Variables'!$B$39,+'5.Variables'!$M59,+IF(P$18='5.Variables'!$B$62,+'5.Variables'!$M73,+IF(P$18='5.Variables'!$B$76,+'5.Variables'!$M87,+IF(P$18='5.Variables'!$B$90,+'5.Variables'!$M101,+IF(P$18='5.Variables'!$B$104,+'5.Variables'!$M115,0))))))</f>
        <v>330.66666666666669</v>
      </c>
      <c r="Q138" s="242"/>
      <c r="R138" s="260">
        <f t="shared" si="9"/>
        <v>20124597.737740327</v>
      </c>
      <c r="S138" s="262"/>
      <c r="T138" s="242"/>
      <c r="U138" s="242"/>
      <c r="V138" s="242"/>
      <c r="W138" s="242"/>
      <c r="X138" s="242"/>
      <c r="Y138" s="242"/>
      <c r="Z138" s="242"/>
      <c r="AA138" s="242"/>
      <c r="AB138" s="242"/>
      <c r="AC138" s="242"/>
      <c r="AD138" s="242"/>
      <c r="AE138" s="242"/>
      <c r="AF138" s="242"/>
      <c r="AG138" s="242"/>
      <c r="AH138" s="242"/>
      <c r="AI138" s="242"/>
      <c r="AJ138" s="242"/>
      <c r="AK138" s="242"/>
      <c r="AL138" s="242"/>
      <c r="AM138" s="242"/>
    </row>
    <row r="139" spans="1:39" x14ac:dyDescent="0.2">
      <c r="A139" s="500">
        <f t="shared" si="10"/>
        <v>120</v>
      </c>
      <c r="B139" s="519" t="str">
        <f>CONCATENATE('3. Consumption by Rate Class'!B144,"-",'3. Consumption by Rate Class'!C144)</f>
        <v>2015-December</v>
      </c>
      <c r="C139" s="673">
        <f>20176285.65+F139</f>
        <v>20256239.539999999</v>
      </c>
      <c r="D139" s="828"/>
      <c r="E139" s="829">
        <v>904337.68</v>
      </c>
      <c r="F139" s="828">
        <v>79953.89</v>
      </c>
      <c r="G139" s="828">
        <f>'A - CDM Adjustment'!E82</f>
        <v>260061.53846153838</v>
      </c>
      <c r="H139" s="679"/>
      <c r="I139" s="679"/>
      <c r="J139" s="550">
        <f t="shared" si="8"/>
        <v>19691917.28846154</v>
      </c>
      <c r="K139" s="697">
        <f>IF(K$18='5.Variables'!$B$16,+'5.Variables'!$N36,+IF(K$18='5.Variables'!$B$39,+'5.Variables'!$N59,+IF(K$18='5.Variables'!$B$62,+'5.Variables'!$N73,+IF(K$18='5.Variables'!$B$76,+'5.Variables'!$N87,+IF(K$18='5.Variables'!$B$90,+'5.Variables'!$N101,+IF(K$18='5.Variables'!$B$104,+'5.Variables'!$N115,0))))))</f>
        <v>430.8</v>
      </c>
      <c r="L139" s="697">
        <f>IF(L$18='5.Variables'!$B$16,+'5.Variables'!$N35,+IF(L$18='5.Variables'!$B$39,+'5.Variables'!$N59,+IF(L$18='5.Variables'!$B$62,+'5.Variables'!$N73,+IF(L$18='5.Variables'!$B$76,+'5.Variables'!$N87,+IF(L$18='5.Variables'!$B$90,+'5.Variables'!$N101,+IF(L$18='5.Variables'!$B$104,+'5.Variables'!$N115,0))))))</f>
        <v>0</v>
      </c>
      <c r="M139" s="697">
        <f>IF(M$18='5.Variables'!$B$16,+'5.Variables'!$N35,+IF(M$18='5.Variables'!$B$39,+'5.Variables'!$N59,+IF(M$18='5.Variables'!$B$62,+'5.Variables'!$N73,+IF(M$18='5.Variables'!$B$76,+'5.Variables'!$N87,+IF(M$18='5.Variables'!$B$90,+'5.Variables'!$N101,+IF(M$18='5.Variables'!$B$104,+'5.Variables'!$N115,0))))))</f>
        <v>31</v>
      </c>
      <c r="N139" s="697">
        <f>IF(N$18='5.Variables'!$B$16,+'5.Variables'!$N35,+IF(N$18='5.Variables'!$B$39,+'5.Variables'!$N59,+IF(N$18='5.Variables'!$B$62,+'5.Variables'!$N73,+IF(N$18='5.Variables'!$B$76,+'5.Variables'!$N87,+IF(N$18='5.Variables'!$B$90,+'5.Variables'!$N101,+IF(N$18='5.Variables'!$B$104,+'5.Variables'!$N115,0))))))</f>
        <v>141.75444444444443</v>
      </c>
      <c r="O139" s="697">
        <f>IF(O$18='5.Variables'!$B$16,+'5.Variables'!$N35,+IF(O$18='5.Variables'!$B$39,+'5.Variables'!$N59,+IF(O$18='5.Variables'!$B$62,+'5.Variables'!$N73,+IF(O$18='5.Variables'!$B$76,+'5.Variables'!$N87,+IF(O$18='5.Variables'!$B$90,+'5.Variables'!$N101,+IF(O$18='5.Variables'!$B$104,+'5.Variables'!$N115,0))))))</f>
        <v>0</v>
      </c>
      <c r="P139" s="697">
        <f>IF(P$18='5.Variables'!$B$16,+'5.Variables'!$N35,+IF(P$18='5.Variables'!$B$39,+'5.Variables'!$N59,+IF(P$18='5.Variables'!$B$62,+'5.Variables'!$N73,+IF(P$18='5.Variables'!$B$76,+'5.Variables'!$N87,+IF(P$18='5.Variables'!$B$90,+'5.Variables'!$N101,+IF(P$18='5.Variables'!$B$104,+'5.Variables'!$N115,0))))))</f>
        <v>328.88888888888891</v>
      </c>
      <c r="Q139" s="242"/>
      <c r="R139" s="260">
        <f t="shared" si="9"/>
        <v>21022751.478240397</v>
      </c>
      <c r="S139" s="262">
        <f>SUM(R128:R139)</f>
        <v>247399736.29403827</v>
      </c>
      <c r="T139" s="242"/>
      <c r="U139" s="242"/>
      <c r="V139" s="242"/>
      <c r="W139" s="242"/>
      <c r="X139" s="242"/>
      <c r="Y139" s="242"/>
      <c r="Z139" s="242"/>
      <c r="AA139" s="242"/>
      <c r="AB139" s="242"/>
      <c r="AC139" s="242"/>
      <c r="AD139" s="242"/>
      <c r="AE139" s="242"/>
      <c r="AF139" s="242"/>
      <c r="AG139" s="242"/>
      <c r="AH139" s="242"/>
      <c r="AI139" s="242"/>
      <c r="AJ139" s="242"/>
      <c r="AK139" s="242"/>
      <c r="AL139" s="242"/>
      <c r="AM139" s="242"/>
    </row>
    <row r="140" spans="1:39" x14ac:dyDescent="0.2">
      <c r="A140" s="500">
        <f t="shared" si="10"/>
        <v>121</v>
      </c>
      <c r="B140" s="259" t="str">
        <f>CONCATENATE('3. Consumption by Rate Class'!B145,"-",'3. Consumption by Rate Class'!C145)</f>
        <v>2016-January</v>
      </c>
      <c r="C140" s="687"/>
      <c r="D140" s="272"/>
      <c r="E140" s="758"/>
      <c r="F140" s="272"/>
      <c r="G140" s="272"/>
      <c r="H140" s="272"/>
      <c r="I140" s="272"/>
      <c r="J140" s="243"/>
      <c r="K140" s="716">
        <f>IF(K$19=$B$169,+AVERAGE(K20,K32,K44,K56,K68,K80,K92,K104,K116,K128),+IF(K$19=$B$170,+(EXP((LN(+'4. Customer Growth'!$W$42)/12))*$K139),IF($K$19=$B$171,+$A140*$C$176+$D$176,0)))</f>
        <v>705.71</v>
      </c>
      <c r="L140" s="716">
        <f>IF(L$19=$B$169,+AVERAGE(L20,L32,L44,L56,L68,L80,L92,L104,L116,L128),+IF(L$19=$B$170,+(EXP((LN(+'4. Customer Growth'!$W$42)/12))*$K139),IF($L$19=$B$171,+$A140*$C$177+$D$177,0)))</f>
        <v>0</v>
      </c>
      <c r="M140" s="716">
        <f>IF(M$19=$B$169,+AVERAGE(M20,M32,M44,M56,M68,M80,M92,M104,M116,M128),+IF(M$19=$B$170,+(EXP((LN(+'4. Customer Growth'!$W$42)/12))*$K139),IF($M$19=$B$171,+$A140*$C$178+$D$178,0)))</f>
        <v>31</v>
      </c>
      <c r="N140" s="716">
        <f>IF(N$19=$B$169,+AVERAGE(N20,N32,N44,N56,N68,N80,N92,N104,N116,N128),+IF(N$19=$B$170,+(EXP((LN(+'4. Customer Growth'!$W$42)/12))*$K139),IF($N$19=$B$171,+$A140*$C$179+$D$179,0)))</f>
        <v>145.95331123560536</v>
      </c>
      <c r="O140" s="716">
        <f>IF(O$19=$B$169,+AVERAGE(O20,O32,O44,O56,O68,O80,O92,O104,O116,O128),+IF(O$19=$B$170,+(EXP((LN(+'4. Customer Growth'!$W$42)/12))*$O139),IF($O$19=$B$171,+$A140*$C$180+$D$180,0)))</f>
        <v>0</v>
      </c>
      <c r="P140" s="716">
        <f>IF(P$19=$B$169,+AVERAGE(P20,P32,P44,P56,P68,P80,P92,P104,P116,P128),+IF(P$19=$B$170,+(EXP((LN(+'4. Customer Growth'!$W$42)/12))*$P139),IF($P$19=$B$171,+$A140*$C$181+$D$181,0)))</f>
        <v>344.88888888888886</v>
      </c>
      <c r="Q140" s="242"/>
      <c r="R140" s="260">
        <f t="shared" si="9"/>
        <v>23058623.390469827</v>
      </c>
      <c r="S140" s="262"/>
      <c r="T140" s="242"/>
      <c r="U140" s="242"/>
      <c r="V140" s="242"/>
      <c r="W140" s="242"/>
      <c r="X140" s="242"/>
      <c r="Y140" s="242"/>
      <c r="Z140" s="242"/>
      <c r="AA140" s="242"/>
      <c r="AB140" s="242"/>
      <c r="AC140" s="242"/>
      <c r="AD140" s="242"/>
      <c r="AE140" s="242"/>
      <c r="AF140" s="242"/>
      <c r="AG140" s="242"/>
      <c r="AH140" s="242"/>
      <c r="AI140" s="242"/>
      <c r="AJ140" s="242"/>
      <c r="AK140" s="242"/>
      <c r="AL140" s="242"/>
      <c r="AM140" s="242"/>
    </row>
    <row r="141" spans="1:39" x14ac:dyDescent="0.2">
      <c r="A141" s="500">
        <f t="shared" si="10"/>
        <v>122</v>
      </c>
      <c r="B141" s="259" t="str">
        <f>CONCATENATE('3. Consumption by Rate Class'!B146,"-",'3. Consumption by Rate Class'!C146)</f>
        <v>2016-February</v>
      </c>
      <c r="C141" s="687"/>
      <c r="D141" s="272"/>
      <c r="E141" s="758"/>
      <c r="F141" s="272"/>
      <c r="G141" s="272"/>
      <c r="H141" s="272"/>
      <c r="I141" s="272"/>
      <c r="J141" s="243"/>
      <c r="K141" s="716">
        <f>IF(K$19=$B$169,+AVERAGE(K21,K33,K45,K57,K69,K81,K93,K105,K117,K129),+IF(K$19=$B$170,+(EXP((LN(+'4. Customer Growth'!$W$42)/12))*$K140),IF($K$19=$B$171,+$A141*$C$176+$D$176,0)))</f>
        <v>660.06999999999994</v>
      </c>
      <c r="L141" s="716">
        <f>IF(L$19=$B$169,+AVERAGE(L21,L33,L45,L57,L69,L81,L93,L105,L117,L129),+IF(L$19=$B$170,+(EXP((LN(+'4. Customer Growth'!$W$42)/12))*$K140),IF($L$19=$B$171,+$A141*$C$177+$D$177,0)))</f>
        <v>0</v>
      </c>
      <c r="M141" s="716">
        <f>IF(M$19=$B$169,+AVERAGE(M21,M33,M45,M57,M69,M81,M93,M105,M117,M129),+IF(M$19=$B$170,+(EXP((LN(+'4. Customer Growth'!$W$42)/12))*$K140),IF($M$19=$B$171,+$A141*$C$178+$D$178,0)))</f>
        <v>28.2</v>
      </c>
      <c r="N141" s="716">
        <f>IF(N$19=$B$169,+AVERAGE(N21,N33,N45,N57,N69,N81,N93,N105,N117,N129),+IF(N$19=$B$170,+(EXP((LN(+'4. Customer Growth'!$W$42)/12))*$K140),IF($N$19=$B$171,+$A141*$C$179+$D$179,0)))</f>
        <v>146.0368339802404</v>
      </c>
      <c r="O141" s="716">
        <f>IF(O$19=$B$169,+AVERAGE(O21,O33,O45,O57,O69,O81,O93,O105,O117,O129),+IF(O$19=$B$170,+(EXP((LN(+'4. Customer Growth'!$W$42)/12))*$O140),IF($O$19=$B$171,+$A141*$C$180+$D$180,0)))</f>
        <v>0</v>
      </c>
      <c r="P141" s="716">
        <f>IF(P$19=$B$169,+AVERAGE(P21,P33,P45,P57,P69,P81,P93,P105,P117,P129),+IF(P$19=$B$170,+(EXP((LN(+'4. Customer Growth'!$W$42)/12))*$P140),IF($P$19=$B$171,+$A141*$C$181+$D$181,0)))</f>
        <v>312.88888888888886</v>
      </c>
      <c r="Q141" s="242"/>
      <c r="R141" s="260">
        <f t="shared" si="9"/>
        <v>21457139.594747286</v>
      </c>
      <c r="S141" s="262"/>
      <c r="T141" s="242"/>
      <c r="U141" s="242"/>
      <c r="V141" s="242"/>
      <c r="W141" s="242"/>
      <c r="X141" s="242"/>
      <c r="Y141" s="242"/>
      <c r="Z141" s="242"/>
      <c r="AA141" s="242"/>
      <c r="AB141" s="242"/>
      <c r="AC141" s="242"/>
      <c r="AD141" s="242"/>
      <c r="AE141" s="242"/>
      <c r="AF141" s="242"/>
      <c r="AG141" s="242"/>
      <c r="AH141" s="242"/>
      <c r="AI141" s="242"/>
      <c r="AJ141" s="242"/>
      <c r="AK141" s="242"/>
      <c r="AL141" s="242"/>
      <c r="AM141" s="242"/>
    </row>
    <row r="142" spans="1:39" x14ac:dyDescent="0.2">
      <c r="A142" s="500">
        <f t="shared" si="10"/>
        <v>123</v>
      </c>
      <c r="B142" s="259" t="str">
        <f>CONCATENATE('3. Consumption by Rate Class'!B147,"-",'3. Consumption by Rate Class'!C147)</f>
        <v>2016-March</v>
      </c>
      <c r="C142" s="687"/>
      <c r="D142" s="272"/>
      <c r="E142" s="758"/>
      <c r="F142" s="272"/>
      <c r="G142" s="272"/>
      <c r="H142" s="272"/>
      <c r="I142" s="272"/>
      <c r="J142" s="243"/>
      <c r="K142" s="716">
        <f>IF(K$19=$B$169,+AVERAGE(K22,K34,K46,K58,K70,K82,K94,K106,K118,K130),+IF(K$19=$B$170,+(EXP((LN(+'4. Customer Growth'!$W$42)/12))*$K141),IF($K$19=$B$171,+$A142*$C$176+$D$176,0)))</f>
        <v>568.18999999999994</v>
      </c>
      <c r="L142" s="716">
        <f>IF(L$19=$B$169,+AVERAGE(L22,L34,L46,L58,L70,L82,L94,L106,L118,L130),+IF(L$19=$B$170,+(EXP((LN(+'4. Customer Growth'!$W$42)/12))*$K141),IF($L$19=$B$171,+$A142*$C$177+$D$177,0)))</f>
        <v>0</v>
      </c>
      <c r="M142" s="716">
        <f>IF(M$19=$B$169,+AVERAGE(M22,M34,M46,M58,M70,M82,M94,M106,M118,M130),+IF(M$19=$B$170,+(EXP((LN(+'4. Customer Growth'!$W$42)/12))*$K141),IF($M$19=$B$171,+$A142*$C$178+$D$178,0)))</f>
        <v>31</v>
      </c>
      <c r="N142" s="716">
        <f>IF(N$19=$B$169,+AVERAGE(N22,N34,N46,N58,N70,N82,N94,N106,N118,N130),+IF(N$19=$B$170,+(EXP((LN(+'4. Customer Growth'!$W$42)/12))*$K141),IF($N$19=$B$171,+$A142*$C$179+$D$179,0)))</f>
        <v>146.12035672487542</v>
      </c>
      <c r="O142" s="716">
        <f>IF(O$19=$B$169,+AVERAGE(O22,O34,O46,O58,O70,O82,O94,O106,O118,O130),+IF(O$19=$B$170,+(EXP((LN(+'4. Customer Growth'!$W$42)/12))*$O141),IF($O$19=$B$171,+$A142*$C$180+$D$180,0)))</f>
        <v>0</v>
      </c>
      <c r="P142" s="716">
        <f>IF(P$19=$B$169,+AVERAGE(P22,P34,P46,P58,P70,P82,P94,P106,P118,P130),+IF(P$19=$B$170,+(EXP((LN(+'4. Customer Growth'!$W$42)/12))*$P141),IF($P$19=$B$171,+$A142*$C$181+$D$181,0)))</f>
        <v>339.55555555555554</v>
      </c>
      <c r="Q142" s="242"/>
      <c r="R142" s="260">
        <f t="shared" si="9"/>
        <v>22126931.566722881</v>
      </c>
      <c r="S142" s="262"/>
      <c r="T142" s="242"/>
      <c r="U142" s="242"/>
      <c r="V142" s="242"/>
      <c r="W142" s="242"/>
      <c r="X142" s="242"/>
      <c r="Y142" s="242"/>
      <c r="Z142" s="242"/>
      <c r="AA142" s="242"/>
      <c r="AB142" s="242"/>
      <c r="AC142" s="242"/>
      <c r="AD142" s="242"/>
      <c r="AE142" s="242"/>
      <c r="AF142" s="242"/>
      <c r="AG142" s="242"/>
      <c r="AH142" s="242"/>
      <c r="AI142" s="242"/>
      <c r="AJ142" s="242"/>
      <c r="AK142" s="242"/>
      <c r="AL142" s="242"/>
      <c r="AM142" s="242"/>
    </row>
    <row r="143" spans="1:39" x14ac:dyDescent="0.2">
      <c r="A143" s="500">
        <f t="shared" si="10"/>
        <v>124</v>
      </c>
      <c r="B143" s="259" t="str">
        <f>CONCATENATE('3. Consumption by Rate Class'!B148,"-",'3. Consumption by Rate Class'!C148)</f>
        <v>2016-April</v>
      </c>
      <c r="C143" s="687"/>
      <c r="D143" s="272"/>
      <c r="E143" s="758"/>
      <c r="F143" s="272"/>
      <c r="G143" s="272"/>
      <c r="H143" s="272"/>
      <c r="I143" s="272"/>
      <c r="J143" s="243"/>
      <c r="K143" s="716">
        <f>IF(K$19=$B$169,+AVERAGE(K23,K35,K47,K59,K71,K83,K95,K107,K119,K131),+IF(K$19=$B$170,+(EXP((LN(+'4. Customer Growth'!$W$42)/12))*$K142),IF($K$19=$B$171,+$A143*$C$176+$D$176,0)))</f>
        <v>353.47999999999996</v>
      </c>
      <c r="L143" s="716">
        <f>IF(L$19=$B$169,+AVERAGE(L23,L35,L47,L59,L71,L83,L95,L107,L119,L131),+IF(L$19=$B$170,+(EXP((LN(+'4. Customer Growth'!$W$42)/12))*$K142),IF($L$19=$B$171,+$A143*$C$177+$D$177,0)))</f>
        <v>0</v>
      </c>
      <c r="M143" s="716">
        <f>IF(M$19=$B$169,+AVERAGE(M23,M35,M47,M59,M71,M83,M95,M107,M119,M131),+IF(M$19=$B$170,+(EXP((LN(+'4. Customer Growth'!$W$42)/12))*$K142),IF($M$19=$B$171,+$A143*$C$178+$D$178,0)))</f>
        <v>30</v>
      </c>
      <c r="N143" s="716">
        <f>IF(N$19=$B$169,+AVERAGE(N23,N35,N47,N59,N71,N83,N95,N107,N119,N131),+IF(N$19=$B$170,+(EXP((LN(+'4. Customer Growth'!$W$42)/12))*$K142),IF($N$19=$B$171,+$A143*$C$179+$D$179,0)))</f>
        <v>146.20387946951047</v>
      </c>
      <c r="O143" s="716">
        <f>IF(O$19=$B$169,+AVERAGE(O23,O35,O47,O59,O71,O83,O95,O107,O119,O131),+IF(O$19=$B$170,+(EXP((LN(+'4. Customer Growth'!$W$42)/12))*$O142),IF($O$19=$B$171,+$A143*$C$180+$D$180,0)))</f>
        <v>0</v>
      </c>
      <c r="P143" s="716">
        <f>IF(P$19=$B$169,+AVERAGE(P23,P35,P47,P59,P71,P83,P95,P107,P119,P131),+IF(P$19=$B$170,+(EXP((LN(+'4. Customer Growth'!$W$42)/12))*$P142),IF($P$19=$B$171,+$A143*$C$181+$D$181,0)))</f>
        <v>330.66666666666663</v>
      </c>
      <c r="Q143" s="242"/>
      <c r="R143" s="260">
        <f t="shared" si="9"/>
        <v>20283123.011309046</v>
      </c>
      <c r="S143" s="262"/>
      <c r="T143" s="242"/>
      <c r="U143" s="242"/>
      <c r="V143" s="242"/>
      <c r="W143" s="242"/>
      <c r="X143" s="242"/>
      <c r="Y143" s="242"/>
      <c r="Z143" s="242"/>
      <c r="AA143" s="242"/>
      <c r="AB143" s="242"/>
      <c r="AC143" s="242"/>
      <c r="AD143" s="242"/>
      <c r="AE143" s="242"/>
      <c r="AF143" s="242"/>
      <c r="AG143" s="242"/>
      <c r="AH143" s="242"/>
      <c r="AI143" s="242"/>
      <c r="AJ143" s="242"/>
      <c r="AK143" s="242"/>
      <c r="AL143" s="242"/>
      <c r="AM143" s="242"/>
    </row>
    <row r="144" spans="1:39" x14ac:dyDescent="0.2">
      <c r="A144" s="500">
        <f t="shared" si="10"/>
        <v>125</v>
      </c>
      <c r="B144" s="259" t="str">
        <f>CONCATENATE('3. Consumption by Rate Class'!B149,"-",'3. Consumption by Rate Class'!C149)</f>
        <v>2016-May</v>
      </c>
      <c r="C144" s="687"/>
      <c r="D144" s="272"/>
      <c r="E144" s="758"/>
      <c r="F144" s="272"/>
      <c r="G144" s="272"/>
      <c r="H144" s="273"/>
      <c r="I144" s="272"/>
      <c r="J144" s="243"/>
      <c r="K144" s="716">
        <f>IF(K$19=$B$169,+AVERAGE(K24,K36,K48,K60,K72,K84,K96,K108,K120,K132),+IF(K$19=$B$170,+(EXP((LN(+'4. Customer Growth'!$W$42)/12))*$K143),IF($K$19=$B$171,+$A144*$C$176+$D$176,0)))</f>
        <v>193.28</v>
      </c>
      <c r="L144" s="716">
        <f>IF(L$19=$B$169,+AVERAGE(L24,L36,L48,L60,L72,L84,L96,L108,L120,L132),+IF(L$19=$B$170,+(EXP((LN(+'4. Customer Growth'!$W$42)/12))*$K143),IF($L$19=$B$171,+$A144*$C$177+$D$177,0)))</f>
        <v>2.12</v>
      </c>
      <c r="M144" s="716">
        <f>IF(M$19=$B$169,+AVERAGE(M24,M36,M48,M60,M72,M84,M96,M108,M120,M132),+IF(M$19=$B$170,+(EXP((LN(+'4. Customer Growth'!$W$42)/12))*$K143),IF($M$19=$B$171,+$A144*$C$178+$D$178,0)))</f>
        <v>31</v>
      </c>
      <c r="N144" s="716">
        <f>IF(N$19=$B$169,+AVERAGE(N24,N36,N48,N60,N72,N84,N96,N108,N120,N132),+IF(N$19=$B$170,+(EXP((LN(+'4. Customer Growth'!$W$42)/12))*$K143),IF($N$19=$B$171,+$A144*$C$179+$D$179,0)))</f>
        <v>146.28740221414552</v>
      </c>
      <c r="O144" s="716">
        <f>IF(O$19=$B$169,+AVERAGE(O24,O36,O48,O60,O72,O84,O96,O108,O120,O132),+IF(O$19=$B$170,+(EXP((LN(+'4. Customer Growth'!$W$42)/12))*$O143),IF($O$19=$B$171,+$A144*$C$180+$D$180,0)))</f>
        <v>0</v>
      </c>
      <c r="P144" s="716">
        <f>IF(P$19=$B$169,+AVERAGE(P24,P36,P48,P60,P72,P84,P96,P108,P120,P132),+IF(P$19=$B$170,+(EXP((LN(+'4. Customer Growth'!$W$42)/12))*$P143),IF($P$19=$B$171,+$A144*$C$181+$D$181,0)))</f>
        <v>339.55555555555554</v>
      </c>
      <c r="Q144" s="242"/>
      <c r="R144" s="260">
        <f t="shared" si="9"/>
        <v>19773479.141945761</v>
      </c>
      <c r="S144" s="262"/>
      <c r="T144" s="242"/>
      <c r="U144" s="242"/>
      <c r="V144" s="242"/>
      <c r="W144" s="242"/>
      <c r="X144" s="242"/>
      <c r="Y144" s="242"/>
      <c r="Z144" s="242"/>
      <c r="AA144" s="242"/>
      <c r="AB144" s="242"/>
      <c r="AC144" s="242"/>
      <c r="AD144" s="242"/>
      <c r="AE144" s="242"/>
      <c r="AF144" s="242"/>
      <c r="AG144" s="242"/>
      <c r="AH144" s="242"/>
      <c r="AI144" s="242"/>
      <c r="AJ144" s="242"/>
      <c r="AK144" s="242"/>
      <c r="AL144" s="242"/>
      <c r="AM144" s="242"/>
    </row>
    <row r="145" spans="1:39" x14ac:dyDescent="0.2">
      <c r="A145" s="500">
        <f t="shared" si="10"/>
        <v>126</v>
      </c>
      <c r="B145" s="259" t="str">
        <f>CONCATENATE('3. Consumption by Rate Class'!B150,"-",'3. Consumption by Rate Class'!C150)</f>
        <v>2016-June</v>
      </c>
      <c r="C145" s="687"/>
      <c r="D145" s="272"/>
      <c r="E145" s="758"/>
      <c r="F145" s="272"/>
      <c r="G145" s="272"/>
      <c r="H145" s="272"/>
      <c r="I145" s="272"/>
      <c r="J145" s="243"/>
      <c r="K145" s="716">
        <f>IF(K$19=$B$169,+AVERAGE(K25,K37,K49,K61,K73,K85,K97,K109,K121,K133),+IF(K$19=$B$170,+(EXP((LN(+'4. Customer Growth'!$W$42)/12))*$K144),IF($K$19=$B$171,+$A145*$C$176+$D$176,0)))</f>
        <v>59.839999999999996</v>
      </c>
      <c r="L145" s="716">
        <f>IF(L$19=$B$169,+AVERAGE(L25,L37,L49,L61,L73,L85,L97,L109,L121,L133),+IF(L$19=$B$170,+(EXP((LN(+'4. Customer Growth'!$W$42)/12))*$K144),IF($L$19=$B$171,+$A145*$C$177+$D$177,0)))</f>
        <v>15.87</v>
      </c>
      <c r="M145" s="716">
        <f>IF(M$19=$B$169,+AVERAGE(M25,M37,M49,M61,M73,M85,M97,M109,M121,M133),+IF(M$19=$B$170,+(EXP((LN(+'4. Customer Growth'!$W$42)/12))*$K144),IF($M$19=$B$171,+$A145*$C$178+$D$178,0)))</f>
        <v>30</v>
      </c>
      <c r="N145" s="716">
        <f>IF(N$19=$B$169,+AVERAGE(N25,N37,N49,N61,N73,N85,N97,N109,N121,N133),+IF(N$19=$B$170,+(EXP((LN(+'4. Customer Growth'!$W$42)/12))*$K144),IF($N$19=$B$171,+$A145*$C$179+$D$179,0)))</f>
        <v>146.37092495878056</v>
      </c>
      <c r="O145" s="716">
        <f>IF(O$19=$B$169,+AVERAGE(O25,O37,O49,O61,O73,O85,O97,O109,O121,O133),+IF(O$19=$B$170,+(EXP((LN(+'4. Customer Growth'!$W$42)/12))*$O144),IF($O$19=$B$171,+$A145*$C$180+$D$180,0)))</f>
        <v>0</v>
      </c>
      <c r="P145" s="716">
        <f>IF(P$19=$B$169,+AVERAGE(P25,P37,P49,P61,P73,P85,P97,P109,P121,P133),+IF(P$19=$B$170,+(EXP((LN(+'4. Customer Growth'!$W$42)/12))*$P144),IF($P$19=$B$171,+$A145*$C$181+$D$181,0)))</f>
        <v>339.55555555555554</v>
      </c>
      <c r="Q145" s="242"/>
      <c r="R145" s="260">
        <f t="shared" si="9"/>
        <v>19074113.169172235</v>
      </c>
      <c r="S145" s="262"/>
      <c r="T145" s="242"/>
      <c r="U145" s="242"/>
      <c r="V145" s="242"/>
      <c r="W145" s="242"/>
      <c r="X145" s="274"/>
      <c r="Y145" s="242"/>
      <c r="Z145" s="242"/>
      <c r="AA145" s="242"/>
      <c r="AB145" s="242"/>
      <c r="AC145" s="242"/>
      <c r="AD145" s="242"/>
      <c r="AE145" s="242"/>
      <c r="AF145" s="242"/>
      <c r="AG145" s="242"/>
      <c r="AH145" s="242"/>
      <c r="AI145" s="242"/>
      <c r="AJ145" s="242"/>
      <c r="AK145" s="242"/>
      <c r="AL145" s="242"/>
      <c r="AM145" s="242"/>
    </row>
    <row r="146" spans="1:39" x14ac:dyDescent="0.2">
      <c r="A146" s="500">
        <f t="shared" si="10"/>
        <v>127</v>
      </c>
      <c r="B146" s="259" t="str">
        <f>CONCATENATE('3. Consumption by Rate Class'!B151,"-",'3. Consumption by Rate Class'!C151)</f>
        <v>2016-July</v>
      </c>
      <c r="C146" s="687"/>
      <c r="D146" s="272"/>
      <c r="E146" s="758"/>
      <c r="F146" s="272"/>
      <c r="G146" s="272"/>
      <c r="H146" s="272"/>
      <c r="I146" s="272"/>
      <c r="J146" s="243"/>
      <c r="K146" s="716">
        <f>IF(K$19=$B$169,+AVERAGE(K26,K38,K50,K62,K74,K86,K98,K110,K122,K134),+IF(K$19=$B$170,+(EXP((LN(+'4. Customer Growth'!$W$42)/12))*$K145),IF($K$19=$B$171,+$A146*$C$176+$D$176,0)))</f>
        <v>17.579999999999998</v>
      </c>
      <c r="L146" s="716">
        <f>IF(L$19=$B$169,+AVERAGE(L26,L38,L50,L62,L74,L86,L98,L110,L122,L134),+IF(L$19=$B$170,+(EXP((LN(+'4. Customer Growth'!$W$42)/12))*$K145),IF($L$19=$B$171,+$A146*$C$177+$D$177,0)))</f>
        <v>63.089999999999996</v>
      </c>
      <c r="M146" s="716">
        <f>IF(M$19=$B$169,+AVERAGE(M26,M38,M50,M62,M74,M86,M98,M110,M122,M134),+IF(M$19=$B$170,+(EXP((LN(+'4. Customer Growth'!$W$42)/12))*$K145),IF($M$19=$B$171,+$A146*$C$178+$D$178,0)))</f>
        <v>31</v>
      </c>
      <c r="N146" s="716">
        <f>IF(N$19=$B$169,+AVERAGE(N26,N38,N50,N62,N74,N86,N98,N110,N122,N134),+IF(N$19=$B$170,+(EXP((LN(+'4. Customer Growth'!$W$42)/12))*$K145),IF($N$19=$B$171,+$A146*$C$179+$D$179,0)))</f>
        <v>146.45444770341561</v>
      </c>
      <c r="O146" s="716">
        <f>IF(O$19=$B$169,+AVERAGE(O26,O38,O50,O62,O74,O86,O98,O110,O122,O134),+IF(O$19=$B$170,+(EXP((LN(+'4. Customer Growth'!$W$42)/12))*$O145),IF($O$19=$B$171,+$A146*$C$180+$D$180,0)))</f>
        <v>0</v>
      </c>
      <c r="P146" s="716">
        <f>IF(P$19=$B$169,+AVERAGE(P26,P38,P50,P62,P74,P86,P98,P110,P122,P134),+IF(P$19=$B$170,+(EXP((LN(+'4. Customer Growth'!$W$42)/12))*$P145),IF($P$19=$B$171,+$A146*$C$181+$D$181,0)))</f>
        <v>343.11111111111114</v>
      </c>
      <c r="Q146" s="242"/>
      <c r="R146" s="260">
        <f t="shared" si="9"/>
        <v>21087507.681773629</v>
      </c>
      <c r="S146" s="262"/>
      <c r="T146" s="242"/>
      <c r="U146" s="242"/>
      <c r="V146" s="242"/>
      <c r="W146" s="242"/>
      <c r="X146" s="242"/>
      <c r="Y146" s="242"/>
      <c r="Z146" s="242"/>
      <c r="AA146" s="242"/>
      <c r="AB146" s="242"/>
      <c r="AC146" s="242"/>
      <c r="AD146" s="242"/>
      <c r="AE146" s="242"/>
      <c r="AF146" s="242"/>
      <c r="AG146" s="242"/>
      <c r="AH146" s="242"/>
      <c r="AI146" s="242"/>
      <c r="AJ146" s="242"/>
      <c r="AK146" s="242"/>
      <c r="AL146" s="242"/>
      <c r="AM146" s="242"/>
    </row>
    <row r="147" spans="1:39" x14ac:dyDescent="0.2">
      <c r="A147" s="500">
        <f t="shared" si="10"/>
        <v>128</v>
      </c>
      <c r="B147" s="259" t="str">
        <f>CONCATENATE('3. Consumption by Rate Class'!B152,"-",'3. Consumption by Rate Class'!C152)</f>
        <v>2016-August</v>
      </c>
      <c r="C147" s="687"/>
      <c r="D147" s="272"/>
      <c r="E147" s="758"/>
      <c r="F147" s="272"/>
      <c r="G147" s="272"/>
      <c r="H147" s="272"/>
      <c r="I147" s="272"/>
      <c r="J147" s="243"/>
      <c r="K147" s="716">
        <f>IF(K$19=$B$169,+AVERAGE(K27,K39,K51,K63,K75,K87,K99,K111,K123,K135),+IF(K$19=$B$170,+(EXP((LN(+'4. Customer Growth'!$W$42)/12))*$K146),IF($K$19=$B$171,+$A147*$C$176+$D$176,0)))</f>
        <v>13.040000000000001</v>
      </c>
      <c r="L147" s="716">
        <f>IF(L$19=$B$169,+AVERAGE(L27,L39,L51,L63,L75,L87,L99,L111,L123,L135),+IF(L$19=$B$170,+(EXP((LN(+'4. Customer Growth'!$W$42)/12))*$K146),IF($L$19=$B$171,+$A147*$C$177+$D$177,0)))</f>
        <v>57.790000000000006</v>
      </c>
      <c r="M147" s="716">
        <f>IF(M$19=$B$169,+AVERAGE(M27,M39,M51,M63,M75,M87,M99,M111,M123,M135),+IF(M$19=$B$170,+(EXP((LN(+'4. Customer Growth'!$W$42)/12))*$K146),IF($M$19=$B$171,+$A147*$C$178+$D$178,0)))</f>
        <v>31</v>
      </c>
      <c r="N147" s="716">
        <f>IF(N$19=$B$169,+AVERAGE(N27,N39,N51,N63,N75,N87,N99,N111,N123,N135),+IF(N$19=$B$170,+(EXP((LN(+'4. Customer Growth'!$W$42)/12))*$K146),IF($N$19=$B$171,+$A147*$C$179+$D$179,0)))</f>
        <v>146.53797044805066</v>
      </c>
      <c r="O147" s="716">
        <f>IF(O$19=$B$169,+AVERAGE(O27,O39,O51,O63,O75,O87,O99,O111,O123,O135),+IF(O$19=$B$170,+(EXP((LN(+'4. Customer Growth'!$W$42)/12))*$O146),IF($O$19=$B$171,+$A147*$C$180+$D$180,0)))</f>
        <v>0</v>
      </c>
      <c r="P147" s="716">
        <f>IF(P$19=$B$169,+AVERAGE(P27,P39,P51,P63,P75,P87,P99,P111,P123,P135),+IF(P$19=$B$170,+(EXP((LN(+'4. Customer Growth'!$W$42)/12))*$P146),IF($P$19=$B$171,+$A147*$C$181+$D$181,0)))</f>
        <v>334.22222222222223</v>
      </c>
      <c r="Q147" s="242"/>
      <c r="R147" s="260">
        <f t="shared" si="9"/>
        <v>20781792.148702551</v>
      </c>
      <c r="S147" s="262"/>
      <c r="T147" s="242"/>
      <c r="U147" s="242"/>
      <c r="V147" s="242"/>
      <c r="W147" s="242"/>
      <c r="X147" s="242"/>
      <c r="Y147" s="242"/>
      <c r="Z147" s="242"/>
      <c r="AA147" s="242"/>
      <c r="AB147" s="242"/>
      <c r="AC147" s="242"/>
      <c r="AD147" s="242"/>
      <c r="AE147" s="242"/>
      <c r="AF147" s="242"/>
      <c r="AG147" s="242"/>
      <c r="AH147" s="242"/>
      <c r="AI147" s="242"/>
      <c r="AJ147" s="242"/>
      <c r="AK147" s="242"/>
      <c r="AL147" s="242"/>
      <c r="AM147" s="242"/>
    </row>
    <row r="148" spans="1:39" x14ac:dyDescent="0.2">
      <c r="A148" s="500">
        <f t="shared" si="10"/>
        <v>129</v>
      </c>
      <c r="B148" s="259" t="str">
        <f>CONCATENATE('3. Consumption by Rate Class'!B153,"-",'3. Consumption by Rate Class'!C153)</f>
        <v>2016-September</v>
      </c>
      <c r="C148" s="687"/>
      <c r="D148" s="272"/>
      <c r="E148" s="758"/>
      <c r="F148" s="272"/>
      <c r="G148" s="272"/>
      <c r="H148" s="272"/>
      <c r="I148" s="272"/>
      <c r="J148" s="243"/>
      <c r="K148" s="716">
        <f>IF(K$19=$B$169,+AVERAGE(K28,K40,K52,K64,K76,K88,K100,K112,K124,K136),+IF(K$19=$B$170,+(EXP((LN(+'4. Customer Growth'!$W$42)/12))*$K147),IF($K$19=$B$171,+$A148*$C$176+$D$176,0)))</f>
        <v>80.66</v>
      </c>
      <c r="L148" s="716">
        <f>IF(L$19=$B$169,+AVERAGE(L28,L40,L52,L64,L76,L88,L100,L112,L124,L136),+IF(L$19=$B$170,+(EXP((LN(+'4. Customer Growth'!$W$42)/12))*$K147),IF($L$19=$B$171,+$A148*$C$177+$D$177,0)))</f>
        <v>16.73</v>
      </c>
      <c r="M148" s="716">
        <f>IF(M$19=$B$169,+AVERAGE(M28,M40,M52,M64,M76,M88,M100,M112,M124,M136),+IF(M$19=$B$170,+(EXP((LN(+'4. Customer Growth'!$W$42)/12))*$K147),IF($M$19=$B$171,+$A148*$C$178+$D$178,0)))</f>
        <v>30</v>
      </c>
      <c r="N148" s="716">
        <f>IF(N$19=$B$169,+AVERAGE(N28,N40,N52,N64,N76,N88,N100,N112,N124,N136),+IF(N$19=$B$170,+(EXP((LN(+'4. Customer Growth'!$W$42)/12))*$K147),IF($N$19=$B$171,+$A148*$C$179+$D$179,0)))</f>
        <v>146.6214931926857</v>
      </c>
      <c r="O148" s="716">
        <f>IF(O$19=$B$169,+AVERAGE(O28,O40,O52,O64,O76,O88,O100,O112,O124,O136),+IF(O$19=$B$170,+(EXP((LN(+'4. Customer Growth'!$W$42)/12))*$O147),IF($O$19=$B$171,+$A148*$C$180+$D$180,0)))</f>
        <v>0</v>
      </c>
      <c r="P148" s="716">
        <f>IF(P$19=$B$169,+AVERAGE(P28,P40,P52,P64,P76,P88,P100,P112,P124,P136),+IF(P$19=$B$170,+(EXP((LN(+'4. Customer Growth'!$W$42)/12))*$P147),IF($P$19=$B$171,+$A148*$C$181+$D$181,0)))</f>
        <v>325.33333333333337</v>
      </c>
      <c r="Q148" s="242"/>
      <c r="R148" s="260">
        <f t="shared" si="9"/>
        <v>19143146.124275945</v>
      </c>
      <c r="S148" s="262"/>
      <c r="T148" s="242"/>
      <c r="U148" s="242"/>
      <c r="V148" s="242"/>
      <c r="W148" s="242"/>
      <c r="X148" s="242"/>
      <c r="Y148" s="242"/>
      <c r="Z148" s="242"/>
      <c r="AA148" s="242"/>
      <c r="AB148" s="242"/>
      <c r="AC148" s="242"/>
      <c r="AD148" s="242"/>
      <c r="AE148" s="242"/>
      <c r="AF148" s="242"/>
      <c r="AG148" s="242"/>
      <c r="AH148" s="242"/>
      <c r="AI148" s="242"/>
      <c r="AJ148" s="242"/>
      <c r="AK148" s="242"/>
      <c r="AL148" s="242"/>
      <c r="AM148" s="242"/>
    </row>
    <row r="149" spans="1:39" x14ac:dyDescent="0.2">
      <c r="A149" s="500">
        <f t="shared" si="10"/>
        <v>130</v>
      </c>
      <c r="B149" s="259" t="str">
        <f>CONCATENATE('3. Consumption by Rate Class'!B154,"-",'3. Consumption by Rate Class'!C154)</f>
        <v>2016-October</v>
      </c>
      <c r="C149" s="687"/>
      <c r="D149" s="272"/>
      <c r="E149" s="758"/>
      <c r="F149" s="272"/>
      <c r="G149" s="272"/>
      <c r="H149" s="272"/>
      <c r="I149" s="272"/>
      <c r="J149" s="243"/>
      <c r="K149" s="716">
        <f>IF(K$19=$B$169,+AVERAGE(K29,K41,K53,K65,K77,K89,K101,K113,K125,K137),+IF(K$19=$B$170,+(EXP((LN(+'4. Customer Growth'!$W$42)/12))*$K148),IF($K$19=$B$171,+$A149*$C$176+$D$176,0)))</f>
        <v>252.32</v>
      </c>
      <c r="L149" s="716">
        <f>IF(L$19=$B$169,+AVERAGE(L29,L41,L53,L65,L77,L89,L101,L113,L125,L137),+IF(L$19=$B$170,+(EXP((LN(+'4. Customer Growth'!$W$42)/12))*$K148),IF($L$19=$B$171,+$A149*$C$177+$D$177,0)))</f>
        <v>0.41</v>
      </c>
      <c r="M149" s="716">
        <f>IF(M$19=$B$169,+AVERAGE(M29,M41,M53,M65,M77,M89,M101,M113,M125,M137),+IF(M$19=$B$170,+(EXP((LN(+'4. Customer Growth'!$W$42)/12))*$K148),IF($M$19=$B$171,+$A149*$C$178+$D$178,0)))</f>
        <v>31</v>
      </c>
      <c r="N149" s="716">
        <f>IF(N$19=$B$169,+AVERAGE(N29,N41,N53,N65,N77,N89,N101,N113,N125,N137),+IF(N$19=$B$170,+(EXP((LN(+'4. Customer Growth'!$W$42)/12))*$K148),IF($N$19=$B$171,+$A149*$C$179+$D$179,0)))</f>
        <v>146.70501593732075</v>
      </c>
      <c r="O149" s="716">
        <f>IF(O$19=$B$169,+AVERAGE(O29,O41,O53,O65,O77,O89,O101,O113,O125,O137),+IF(O$19=$B$170,+(EXP((LN(+'4. Customer Growth'!$W$42)/12))*$O148),IF($O$19=$B$171,+$A149*$C$180+$D$180,0)))</f>
        <v>0</v>
      </c>
      <c r="P149" s="716">
        <f>IF(P$19=$B$169,+AVERAGE(P29,P41,P53,P65,P77,P89,P101,P113,P125,P137),+IF(P$19=$B$170,+(EXP((LN(+'4. Customer Growth'!$W$42)/12))*$P148),IF($P$19=$B$171,+$A149*$C$181+$D$181,0)))</f>
        <v>344.88888888888886</v>
      </c>
      <c r="Q149" s="242"/>
      <c r="R149" s="260">
        <f t="shared" ref="R149:R163" si="11">$V$34+(K149*$V$35)+(L149*$V$36)+(M149*$V$37)+(N149*$V$38)+(O149*$V$39)+(P149*$V$40)</f>
        <v>20142892.343716849</v>
      </c>
      <c r="S149" s="262"/>
      <c r="T149" s="242"/>
      <c r="U149" s="242"/>
      <c r="V149" s="242"/>
      <c r="W149" s="242"/>
      <c r="X149" s="242"/>
      <c r="Y149" s="242"/>
      <c r="Z149" s="242"/>
      <c r="AA149" s="242"/>
      <c r="AB149" s="242"/>
      <c r="AC149" s="242"/>
      <c r="AD149" s="242"/>
      <c r="AE149" s="242"/>
      <c r="AF149" s="242"/>
      <c r="AG149" s="242"/>
      <c r="AH149" s="242"/>
      <c r="AI149" s="242"/>
      <c r="AJ149" s="242"/>
      <c r="AK149" s="242"/>
      <c r="AL149" s="242"/>
      <c r="AM149" s="242"/>
    </row>
    <row r="150" spans="1:39" x14ac:dyDescent="0.2">
      <c r="A150" s="500">
        <f t="shared" ref="A150:A163" si="12">+A149+1</f>
        <v>131</v>
      </c>
      <c r="B150" s="259" t="str">
        <f>CONCATENATE('3. Consumption by Rate Class'!B155,"-",'3. Consumption by Rate Class'!C155)</f>
        <v>2016-November</v>
      </c>
      <c r="C150" s="687"/>
      <c r="D150" s="272"/>
      <c r="E150" s="758"/>
      <c r="F150" s="272"/>
      <c r="G150" s="272"/>
      <c r="H150" s="272"/>
      <c r="I150" s="272"/>
      <c r="J150" s="243"/>
      <c r="K150" s="716">
        <f>IF(K$19=$B$169,+AVERAGE(K30,K42,K54,K66,K78,K90,K102,K114,K126,K138),+IF(K$19=$B$170,+(EXP((LN(+'4. Customer Growth'!$W$42)/12))*$K149),IF($K$19=$B$171,+$A150*$C$176+$D$176,0)))</f>
        <v>417.91</v>
      </c>
      <c r="L150" s="716">
        <f>IF(L$19=$B$169,+AVERAGE(L30,L42,L54,L66,L78,L90,L102,L114,L126,L138),+IF(L$19=$B$170,+(EXP((LN(+'4. Customer Growth'!$W$42)/12))*$K149),IF($L$19=$B$171,+$A150*$C$177+$D$177,0)))</f>
        <v>0</v>
      </c>
      <c r="M150" s="716">
        <f>IF(M$19=$B$169,+AVERAGE(M30,M42,M54,M66,M78,M90,M102,M114,M126,M138),+IF(M$19=$B$170,+(EXP((LN(+'4. Customer Growth'!$W$42)/12))*$K149),IF($M$19=$B$171,+$A150*$C$178+$D$178,0)))</f>
        <v>30</v>
      </c>
      <c r="N150" s="716">
        <f>IF(N$19=$B$169,+AVERAGE(N30,N42,N54,N66,N78,N90,N102,N114,N126,N138),+IF(N$19=$B$170,+(EXP((LN(+'4. Customer Growth'!$W$42)/12))*$K149),IF($N$19=$B$171,+$A150*$C$179+$D$179,0)))</f>
        <v>146.7885386819558</v>
      </c>
      <c r="O150" s="716">
        <f>IF(O$19=$B$169,+AVERAGE(O30,O42,O54,O66,O78,O90,O102,O114,O126,O138),+IF(O$19=$B$170,+(EXP((LN(+'4. Customer Growth'!$W$42)/12))*$O149),IF($O$19=$B$171,+$A150*$C$180+$D$180,0)))</f>
        <v>0</v>
      </c>
      <c r="P150" s="716">
        <f>IF(P$19=$B$169,+AVERAGE(P30,P42,P54,P66,P78,P90,P102,P114,P126,P138),+IF(P$19=$B$170,+(EXP((LN(+'4. Customer Growth'!$W$42)/12))*$P149),IF($P$19=$B$171,+$A150*$C$181+$D$181,0)))</f>
        <v>330.66666666666663</v>
      </c>
      <c r="Q150" s="242"/>
      <c r="R150" s="260">
        <f t="shared" si="11"/>
        <v>20720041.166170008</v>
      </c>
      <c r="S150" s="262"/>
      <c r="T150" s="242"/>
      <c r="U150" s="242"/>
      <c r="V150" s="242"/>
      <c r="W150" s="242"/>
      <c r="X150" s="242"/>
      <c r="Y150" s="242"/>
      <c r="Z150" s="242"/>
      <c r="AA150" s="242"/>
      <c r="AB150" s="242"/>
      <c r="AC150" s="242"/>
      <c r="AD150" s="242"/>
      <c r="AE150" s="242"/>
      <c r="AF150" s="242"/>
      <c r="AG150" s="242"/>
      <c r="AH150" s="242"/>
      <c r="AI150" s="242"/>
      <c r="AJ150" s="242"/>
      <c r="AK150" s="242"/>
      <c r="AL150" s="242"/>
      <c r="AM150" s="242"/>
    </row>
    <row r="151" spans="1:39" x14ac:dyDescent="0.2">
      <c r="A151" s="500">
        <f t="shared" si="12"/>
        <v>132</v>
      </c>
      <c r="B151" s="259" t="str">
        <f>CONCATENATE('3. Consumption by Rate Class'!B156,"-",'3. Consumption by Rate Class'!C156)</f>
        <v>2016-December</v>
      </c>
      <c r="C151" s="687"/>
      <c r="D151" s="272"/>
      <c r="E151" s="758"/>
      <c r="F151" s="272"/>
      <c r="G151" s="272"/>
      <c r="H151" s="272"/>
      <c r="I151" s="272"/>
      <c r="J151" s="243"/>
      <c r="K151" s="716">
        <f>IF(K$19=$B$169,+AVERAGE(K31,K43,K55,K67,K79,K91,K103,K115,K127,K139),+IF(K$19=$B$170,+(EXP((LN(+'4. Customer Growth'!$W$42)/12))*$K150),IF($K$19=$B$171,+$A151*$C$176+$D$176,0)))</f>
        <v>583.75</v>
      </c>
      <c r="L151" s="716">
        <f>IF(L$19=$B$169,+AVERAGE(L31,L43,L55,L67,L79,L91,L103,L115,L127,L139),+IF(L$19=$B$170,+(EXP((LN(+'4. Customer Growth'!$W$42)/12))*$K150),IF($L$19=$B$171,+$A151*$C$177+$D$177,0)))</f>
        <v>0</v>
      </c>
      <c r="M151" s="716">
        <f>IF(M$19=$B$169,+AVERAGE(M31,M43,M55,M67,M79,M91,M103,M115,M127,M139),+IF(M$19=$B$170,+(EXP((LN(+'4. Customer Growth'!$W$42)/12))*$K150),IF($M$19=$B$171,+$A151*$C$178+$D$178,0)))</f>
        <v>31</v>
      </c>
      <c r="N151" s="716">
        <f>IF(N$19=$B$169,+AVERAGE(N31,N43,N55,N67,N79,N91,N103,N115,N127,N139),+IF(N$19=$B$170,+(EXP((LN(+'4. Customer Growth'!$W$42)/12))*$K150),IF($N$19=$B$171,+$A151*$C$179+$D$179,0)))</f>
        <v>146.87206142659082</v>
      </c>
      <c r="O151" s="716">
        <f>IF(O$19=$B$169,+AVERAGE(O31,O43,O55,O67,O79,O91,O103,O115,O127,O139),+IF(O$19=$B$170,+(EXP((LN(+'4. Customer Growth'!$W$42)/12))*$O150),IF($O$19=$B$171,+$A151*$C$180+$D$180,0)))</f>
        <v>0</v>
      </c>
      <c r="P151" s="716">
        <f>IF(P$19=$B$169,+AVERAGE(P31,P43,P55,P67,P79,P91,P103,P115,P127,P139),+IF(P$19=$B$170,+(EXP((LN(+'4. Customer Growth'!$W$42)/12))*$P150),IF($P$19=$B$171,+$A151*$C$181+$D$181,0)))</f>
        <v>328.88888888888886</v>
      </c>
      <c r="Q151" s="242"/>
      <c r="R151" s="260">
        <f t="shared" si="11"/>
        <v>22169186.476617709</v>
      </c>
      <c r="S151" s="262">
        <f>SUM(R140:R151)</f>
        <v>249817975.81562376</v>
      </c>
      <c r="T151" s="242"/>
      <c r="U151" s="242"/>
      <c r="V151" s="242"/>
      <c r="W151" s="242"/>
      <c r="X151" s="242"/>
      <c r="Y151" s="242"/>
      <c r="Z151" s="242"/>
      <c r="AA151" s="242"/>
      <c r="AB151" s="242"/>
      <c r="AC151" s="242"/>
      <c r="AD151" s="242"/>
      <c r="AE151" s="242"/>
      <c r="AF151" s="242"/>
      <c r="AG151" s="242"/>
      <c r="AH151" s="242"/>
      <c r="AI151" s="242"/>
      <c r="AJ151" s="242"/>
      <c r="AK151" s="242"/>
      <c r="AL151" s="242"/>
      <c r="AM151" s="242"/>
    </row>
    <row r="152" spans="1:39" x14ac:dyDescent="0.2">
      <c r="A152" s="500">
        <f t="shared" si="12"/>
        <v>133</v>
      </c>
      <c r="B152" s="259" t="str">
        <f>CONCATENATE('3. Consumption by Rate Class'!B157,"-",'3. Consumption by Rate Class'!C157)</f>
        <v>2017-January</v>
      </c>
      <c r="C152" s="687"/>
      <c r="D152" s="272"/>
      <c r="E152" s="758"/>
      <c r="F152" s="272"/>
      <c r="G152" s="272"/>
      <c r="H152" s="272"/>
      <c r="I152" s="272"/>
      <c r="J152" s="243"/>
      <c r="K152" s="716">
        <f>IF(K$19=$B$169,+AVERAGE(K32,K44,K56,K68,K80,K92,K104,K116,K128,K140),+IF(K$19=$B$170,+(EXP((LN(+'4. Customer Growth'!$W$43)/12))*$K151),IF($K$19=$B$171,+$A152*$C$176+$D$176,0)))</f>
        <v>717.38100000000009</v>
      </c>
      <c r="L152" s="716">
        <f>IF(L$19=$B$169,+AVERAGE(L32,L44,L56,L68,L80,L92,L104,L116,L128,L140),+IF(L$19=$B$170,+(EXP((LN(+'4. Customer Growth'!$W$43)/12))*$K151),IF($L$19=$B$171,+$A152*$C$177+$D$177,0)))</f>
        <v>0</v>
      </c>
      <c r="M152" s="716">
        <f>IF(M$19=$B$169,+AVERAGE(M32,M44,M56,M68,M80,M92,M104,M116,M128,M140),+IF(M$19=$B$170,+(EXP((LN(+'4. Customer Growth'!$W$43)/12))*$K151),IF($M$19=$B$171,+$A152*$C$178+$D$178,0)))</f>
        <v>31</v>
      </c>
      <c r="N152" s="716">
        <f>IF(N$19=$B$169,+AVERAGE(N32,N44,N56,N68,N80,N92,N104,N116,N128,N140),+IF(N$19=$B$170,+(EXP((LN(+'4. Customer Growth'!$W$43)/12))*$K151),IF($N$19=$B$171,+$A152*$C$179+$D$179,0)))</f>
        <v>146.95558417122587</v>
      </c>
      <c r="O152" s="716">
        <f>IF(O$19=$B$169,+AVERAGE(O32,O44,O56,O68,O80,O92,O104,O116,O128,O140),+IF(O$19=$B$170,+(EXP((LN(+'4. Customer Growth'!$W$43)/12))*$O151),IF($O$19=$B$171,+$A152*$C$180+$D$180,0)))</f>
        <v>0</v>
      </c>
      <c r="P152" s="716">
        <f>IF(P$19=$B$169,+AVERAGE(P32,P44,P56,P68,P80,P92,P104,P116,P128,P140),+IF(P$19=$B$170,+(EXP((LN(+'4. Customer Growth'!$W$43)/12))*$P151),IF($P$19=$B$171,+$A152*$C$181+$D$181,0)))</f>
        <v>345.77777777777771</v>
      </c>
      <c r="Q152" s="242"/>
      <c r="R152" s="260">
        <f t="shared" si="11"/>
        <v>23170782.957239013</v>
      </c>
      <c r="S152" s="262"/>
      <c r="T152" s="242"/>
      <c r="U152" s="242"/>
      <c r="V152" s="242"/>
      <c r="W152" s="242"/>
      <c r="X152" s="242"/>
      <c r="Y152" s="242"/>
      <c r="Z152" s="242"/>
      <c r="AA152" s="242"/>
      <c r="AB152" s="242"/>
      <c r="AC152" s="242"/>
      <c r="AD152" s="242"/>
      <c r="AE152" s="242"/>
      <c r="AF152" s="242"/>
      <c r="AG152" s="242"/>
      <c r="AH152" s="242"/>
      <c r="AI152" s="242"/>
      <c r="AJ152" s="242"/>
      <c r="AK152" s="242"/>
      <c r="AL152" s="242"/>
      <c r="AM152" s="242"/>
    </row>
    <row r="153" spans="1:39" x14ac:dyDescent="0.2">
      <c r="A153" s="500">
        <f t="shared" si="12"/>
        <v>134</v>
      </c>
      <c r="B153" s="259" t="str">
        <f>CONCATENATE('3. Consumption by Rate Class'!B158,"-",'3. Consumption by Rate Class'!C158)</f>
        <v>2017-February</v>
      </c>
      <c r="C153" s="687"/>
      <c r="D153" s="272"/>
      <c r="E153" s="758"/>
      <c r="F153" s="272"/>
      <c r="G153" s="272"/>
      <c r="H153" s="272"/>
      <c r="I153" s="272"/>
      <c r="J153" s="243"/>
      <c r="K153" s="716">
        <f>IF(K$19=$B$169,+AVERAGE(K33,K45,K57,K69,K81,K93,K105,K117,K129,K141),+IF(K$19=$B$170,+(EXP((LN(+'4. Customer Growth'!$W$43)/12))*$K152),IF($K$19=$B$171,+$A153*$C$176+$D$176,0)))</f>
        <v>663.35699999999997</v>
      </c>
      <c r="L153" s="716">
        <f>IF(L$19=$B$169,+AVERAGE(L33,L45,L57,L69,L81,L93,L105,L117,L129,L141),+IF(L$19=$B$170,+(EXP((LN(+'4. Customer Growth'!$W$43)/12))*$K152),IF($L$19=$B$171,+$A153*$C$177+$D$177,0)))</f>
        <v>0</v>
      </c>
      <c r="M153" s="716">
        <f>IF(M$19=$B$169,+AVERAGE(M33,M45,M57,M69,M81,M93,M105,M117,M129,M141),+IF(M$19=$B$170,+(EXP((LN(+'4. Customer Growth'!$W$43)/12))*$K152),IF($M$19=$B$171,+$A153*$C$178+$D$178,0)))</f>
        <v>28.22</v>
      </c>
      <c r="N153" s="716">
        <f>IF(N$19=$B$169,+AVERAGE(N33,N45,N57,N69,N81,N93,N105,N117,N129,N141),+IF(N$19=$B$170,+(EXP((LN(+'4. Customer Growth'!$W$43)/12))*$K152),IF($N$19=$B$171,+$A153*$C$179+$D$179,0)))</f>
        <v>147.03910691586091</v>
      </c>
      <c r="O153" s="716">
        <f>IF(O$19=$B$169,+AVERAGE(O33,O45,O57,O69,O81,O93,O105,O117,O129,O141),+IF(O$19=$B$170,+(EXP((LN(+'4. Customer Growth'!$W$43)/12))*$O152),IF($O$19=$B$171,+$A153*$C$180+$D$180,0)))</f>
        <v>0</v>
      </c>
      <c r="P153" s="716">
        <f>IF(P$19=$B$169,+AVERAGE(P33,P45,P57,P69,P81,P93,P105,P117,P129,P141),+IF(P$19=$B$170,+(EXP((LN(+'4. Customer Growth'!$W$43)/12))*$P152),IF($P$19=$B$171,+$A153*$C$181+$D$181,0)))</f>
        <v>312.17777777777775</v>
      </c>
      <c r="Q153" s="242"/>
      <c r="R153" s="260">
        <f t="shared" si="11"/>
        <v>21510095.519030835</v>
      </c>
      <c r="S153" s="262"/>
      <c r="T153" s="242"/>
      <c r="U153" s="242"/>
      <c r="V153" s="242"/>
      <c r="W153" s="242"/>
      <c r="X153" s="242"/>
      <c r="Y153" s="242"/>
      <c r="Z153" s="242"/>
      <c r="AA153" s="242"/>
      <c r="AB153" s="242"/>
      <c r="AC153" s="242"/>
      <c r="AD153" s="242"/>
      <c r="AE153" s="242"/>
      <c r="AF153" s="242"/>
      <c r="AG153" s="242"/>
      <c r="AH153" s="242"/>
      <c r="AI153" s="242"/>
      <c r="AJ153" s="242"/>
      <c r="AK153" s="242"/>
      <c r="AL153" s="242"/>
      <c r="AM153" s="242"/>
    </row>
    <row r="154" spans="1:39" x14ac:dyDescent="0.2">
      <c r="A154" s="500">
        <f t="shared" si="12"/>
        <v>135</v>
      </c>
      <c r="B154" s="259" t="str">
        <f>CONCATENATE('3. Consumption by Rate Class'!B159,"-",'3. Consumption by Rate Class'!C159)</f>
        <v>2017-March</v>
      </c>
      <c r="C154" s="687"/>
      <c r="D154" s="272"/>
      <c r="E154" s="758"/>
      <c r="F154" s="272"/>
      <c r="G154" s="272"/>
      <c r="H154" s="272"/>
      <c r="I154" s="272"/>
      <c r="J154" s="243"/>
      <c r="K154" s="716">
        <f>IF(K$19=$B$169,+AVERAGE(K34,K46,K58,K70,K82,K94,K106,K118,K130,K142),+IF(K$19=$B$170,+(EXP((LN(+'4. Customer Growth'!$W$43)/12))*$K153),IF($K$19=$B$171,+$A154*$C$176+$D$176,0)))</f>
        <v>568.56899999999985</v>
      </c>
      <c r="L154" s="716">
        <f>IF(L$19=$B$169,+AVERAGE(L34,L46,L58,L70,L82,L94,L106,L118,L130,L142),+IF(L$19=$B$170,+(EXP((LN(+'4. Customer Growth'!$W$43)/12))*$K153),IF($L$19=$B$171,+$A154*$C$177+$D$177,0)))</f>
        <v>0</v>
      </c>
      <c r="M154" s="716">
        <f>IF(M$19=$B$169,+AVERAGE(M34,M46,M58,M70,M82,M94,M106,M118,M130,M142),+IF(M$19=$B$170,+(EXP((LN(+'4. Customer Growth'!$W$43)/12))*$K153),IF($M$19=$B$171,+$A154*$C$178+$D$178,0)))</f>
        <v>31</v>
      </c>
      <c r="N154" s="716">
        <f>IF(N$19=$B$169,+AVERAGE(N34,N46,N58,N70,N82,N94,N106,N118,N130,N142),+IF(N$19=$B$170,+(EXP((LN(+'4. Customer Growth'!$W$43)/12))*$K153),IF($N$19=$B$171,+$A154*$C$179+$D$179,0)))</f>
        <v>147.12262966049596</v>
      </c>
      <c r="O154" s="716">
        <f>IF(O$19=$B$169,+AVERAGE(O34,O46,O58,O70,O82,O94,O106,O118,O130,O142),+IF(O$19=$B$170,+(EXP((LN(+'4. Customer Growth'!$W$43)/12))*$O153),IF($O$19=$B$171,+$A154*$C$180+$D$180,0)))</f>
        <v>0</v>
      </c>
      <c r="P154" s="716">
        <f>IF(P$19=$B$169,+AVERAGE(P34,P46,P58,P70,P82,P94,P106,P118,P130,P142),+IF(P$19=$B$170,+(EXP((LN(+'4. Customer Growth'!$W$43)/12))*$P153),IF($P$19=$B$171,+$A154*$C$181+$D$181,0)))</f>
        <v>336.71111111111111</v>
      </c>
      <c r="Q154" s="242"/>
      <c r="R154" s="260">
        <f t="shared" si="11"/>
        <v>22137118.016732965</v>
      </c>
      <c r="S154" s="262"/>
      <c r="T154" s="242"/>
      <c r="U154" s="242"/>
      <c r="V154" s="242"/>
      <c r="W154" s="242"/>
      <c r="X154" s="242"/>
      <c r="Y154" s="242"/>
      <c r="Z154" s="242"/>
      <c r="AA154" s="242"/>
      <c r="AB154" s="242"/>
      <c r="AC154" s="242"/>
      <c r="AD154" s="242"/>
      <c r="AE154" s="242"/>
      <c r="AF154" s="242"/>
      <c r="AG154" s="242"/>
      <c r="AH154" s="242"/>
      <c r="AI154" s="242"/>
      <c r="AJ154" s="242"/>
      <c r="AK154" s="242"/>
      <c r="AL154" s="242"/>
      <c r="AM154" s="242"/>
    </row>
    <row r="155" spans="1:39" x14ac:dyDescent="0.2">
      <c r="A155" s="500">
        <f t="shared" si="12"/>
        <v>136</v>
      </c>
      <c r="B155" s="259" t="str">
        <f>CONCATENATE('3. Consumption by Rate Class'!B160,"-",'3. Consumption by Rate Class'!C160)</f>
        <v>2017-April</v>
      </c>
      <c r="C155" s="687"/>
      <c r="D155" s="272"/>
      <c r="E155" s="758"/>
      <c r="F155" s="272"/>
      <c r="G155" s="272"/>
      <c r="H155" s="272"/>
      <c r="I155" s="272"/>
      <c r="J155" s="243"/>
      <c r="K155" s="716">
        <f>IF(K$19=$B$169,+AVERAGE(K35,K47,K59,K71,K83,K95,K107,K119,K131,K143),+IF(K$19=$B$170,+(EXP((LN(+'4. Customer Growth'!$W$43)/12))*$K154),IF($K$19=$B$171,+$A155*$C$176+$D$176,0)))</f>
        <v>354.56799999999993</v>
      </c>
      <c r="L155" s="716">
        <f>IF(L$19=$B$169,+AVERAGE(L35,L47,L59,L71,L83,L95,L107,L119,L131,L143),+IF(L$19=$B$170,+(EXP((LN(+'4. Customer Growth'!$W$43)/12))*$K154),IF($L$19=$B$171,+$A155*$C$177+$D$177,0)))</f>
        <v>0</v>
      </c>
      <c r="M155" s="716">
        <f>IF(M$19=$B$169,+AVERAGE(M35,M47,M59,M71,M83,M95,M107,M119,M131,M143),+IF(M$19=$B$170,+(EXP((LN(+'4. Customer Growth'!$W$43)/12))*$K154),IF($M$19=$B$171,+$A155*$C$178+$D$178,0)))</f>
        <v>30</v>
      </c>
      <c r="N155" s="716">
        <f>IF(N$19=$B$169,+AVERAGE(N35,N47,N59,N71,N83,N95,N107,N119,N131,N143),+IF(N$19=$B$170,+(EXP((LN(+'4. Customer Growth'!$W$43)/12))*$K154),IF($N$19=$B$171,+$A155*$C$179+$D$179,0)))</f>
        <v>147.20615240513101</v>
      </c>
      <c r="O155" s="716">
        <f>IF(O$19=$B$169,+AVERAGE(O35,O47,O59,O71,O83,O95,O107,O119,O131,O143),+IF(O$19=$B$170,+(EXP((LN(+'4. Customer Growth'!$W$43)/12))*$O154),IF($O$19=$B$171,+$A155*$C$180+$D$180,0)))</f>
        <v>0</v>
      </c>
      <c r="P155" s="716">
        <f>IF(P$19=$B$169,+AVERAGE(P35,P47,P59,P71,P83,P95,P107,P119,P131,P143),+IF(P$19=$B$170,+(EXP((LN(+'4. Customer Growth'!$W$43)/12))*$P154),IF($P$19=$B$171,+$A155*$C$181+$D$181,0)))</f>
        <v>333.33333333333331</v>
      </c>
      <c r="Q155" s="242"/>
      <c r="R155" s="260">
        <f t="shared" si="11"/>
        <v>20339852.732557252</v>
      </c>
      <c r="S155" s="262"/>
      <c r="T155" s="242"/>
      <c r="U155" s="242"/>
      <c r="V155" s="242"/>
      <c r="W155" s="242"/>
      <c r="X155" s="242"/>
      <c r="Y155" s="242"/>
      <c r="Z155" s="242"/>
      <c r="AA155" s="242"/>
      <c r="AB155" s="242"/>
      <c r="AC155" s="242"/>
      <c r="AD155" s="242"/>
      <c r="AE155" s="242"/>
      <c r="AF155" s="242"/>
      <c r="AG155" s="242"/>
      <c r="AH155" s="242"/>
      <c r="AI155" s="242"/>
      <c r="AJ155" s="242"/>
      <c r="AK155" s="242"/>
      <c r="AL155" s="242"/>
      <c r="AM155" s="242"/>
    </row>
    <row r="156" spans="1:39" x14ac:dyDescent="0.2">
      <c r="A156" s="500">
        <f t="shared" si="12"/>
        <v>137</v>
      </c>
      <c r="B156" s="259" t="str">
        <f>CONCATENATE('3. Consumption by Rate Class'!B161,"-",'3. Consumption by Rate Class'!C161)</f>
        <v>2017-May</v>
      </c>
      <c r="C156" s="687"/>
      <c r="D156" s="272"/>
      <c r="E156" s="758"/>
      <c r="F156" s="272"/>
      <c r="G156" s="272"/>
      <c r="H156" s="272"/>
      <c r="I156" s="272"/>
      <c r="J156" s="243"/>
      <c r="K156" s="716">
        <f>IF(K$19=$B$169,+AVERAGE(K36,K48,K60,K72,K84,K96,K108,K120,K132,K144),+IF(K$19=$B$170,+(EXP((LN(+'4. Customer Growth'!$W$43)/12))*$K155),IF($K$19=$B$171,+$A156*$C$176+$D$176,0)))</f>
        <v>193.398</v>
      </c>
      <c r="L156" s="716">
        <f>IF(L$19=$B$169,+AVERAGE(L36,L48,L60,L72,L84,L96,L108,L120,L132,L144),+IF(L$19=$B$170,+(EXP((LN(+'4. Customer Growth'!$W$43)/12))*$K155),IF($L$19=$B$171,+$A156*$C$177+$D$177,0)))</f>
        <v>1.702</v>
      </c>
      <c r="M156" s="716">
        <f>IF(M$19=$B$169,+AVERAGE(M36,M48,M60,M72,M84,M96,M108,M120,M132,M144),+IF(M$19=$B$170,+(EXP((LN(+'4. Customer Growth'!$W$43)/12))*$K155),IF($M$19=$B$171,+$A156*$C$178+$D$178,0)))</f>
        <v>31</v>
      </c>
      <c r="N156" s="716">
        <f>IF(N$19=$B$169,+AVERAGE(N36,N48,N60,N72,N84,N96,N108,N120,N132,N144),+IF(N$19=$B$170,+(EXP((LN(+'4. Customer Growth'!$W$43)/12))*$K155),IF($N$19=$B$171,+$A156*$C$179+$D$179,0)))</f>
        <v>147.28967514976605</v>
      </c>
      <c r="O156" s="716">
        <f>IF(O$19=$B$169,+AVERAGE(O36,O48,O60,O72,O84,O96,O108,O120,O132,O144),+IF(O$19=$B$170,+(EXP((LN(+'4. Customer Growth'!$W$43)/12))*$O155),IF($O$19=$B$171,+$A156*$C$180+$D$180,0)))</f>
        <v>0</v>
      </c>
      <c r="P156" s="716">
        <f>IF(P$19=$B$169,+AVERAGE(P36,P48,P60,P72,P84,P96,P108,P120,P132,P144),+IF(P$19=$B$170,+(EXP((LN(+'4. Customer Growth'!$W$43)/12))*$P155),IF($P$19=$B$171,+$A156*$C$181+$D$181,0)))</f>
        <v>338.31111111111113</v>
      </c>
      <c r="Q156" s="242"/>
      <c r="R156" s="260">
        <f t="shared" si="11"/>
        <v>19777498.296514198</v>
      </c>
      <c r="S156" s="262"/>
      <c r="T156" s="242"/>
      <c r="U156" s="242"/>
      <c r="V156" s="242"/>
      <c r="W156" s="242"/>
      <c r="X156" s="242"/>
      <c r="Y156" s="242"/>
      <c r="Z156" s="242"/>
      <c r="AA156" s="242"/>
      <c r="AB156" s="242"/>
      <c r="AC156" s="242"/>
      <c r="AD156" s="242"/>
      <c r="AE156" s="242"/>
      <c r="AF156" s="242"/>
      <c r="AG156" s="242"/>
      <c r="AH156" s="242"/>
      <c r="AI156" s="242"/>
      <c r="AJ156" s="242"/>
      <c r="AK156" s="242"/>
      <c r="AL156" s="242"/>
      <c r="AM156" s="242"/>
    </row>
    <row r="157" spans="1:39" x14ac:dyDescent="0.2">
      <c r="A157" s="500">
        <f t="shared" si="12"/>
        <v>138</v>
      </c>
      <c r="B157" s="259" t="str">
        <f>CONCATENATE('3. Consumption by Rate Class'!B162,"-",'3. Consumption by Rate Class'!C162)</f>
        <v>2017-June</v>
      </c>
      <c r="C157" s="687"/>
      <c r="D157" s="272"/>
      <c r="E157" s="758"/>
      <c r="F157" s="272"/>
      <c r="G157" s="272"/>
      <c r="H157" s="272"/>
      <c r="I157" s="272"/>
      <c r="J157" s="243"/>
      <c r="K157" s="716">
        <f>IF(K$19=$B$169,+AVERAGE(K37,K49,K61,K73,K85,K97,K109,K121,K133,K145),+IF(K$19=$B$170,+(EXP((LN(+'4. Customer Growth'!$W$43)/12))*$K156),IF($K$19=$B$171,+$A157*$C$176+$D$176,0)))</f>
        <v>61.814</v>
      </c>
      <c r="L157" s="716">
        <f>IF(L$19=$B$169,+AVERAGE(L37,L49,L61,L73,L85,L97,L109,L121,L133,L145),+IF(L$19=$B$170,+(EXP((LN(+'4. Customer Growth'!$W$43)/12))*$K156),IF($L$19=$B$171,+$A157*$C$177+$D$177,0)))</f>
        <v>15.657</v>
      </c>
      <c r="M157" s="716">
        <f>IF(M$19=$B$169,+AVERAGE(M37,M49,M61,M73,M85,M97,M109,M121,M133,M145),+IF(M$19=$B$170,+(EXP((LN(+'4. Customer Growth'!$W$43)/12))*$K156),IF($M$19=$B$171,+$A157*$C$178+$D$178,0)))</f>
        <v>30</v>
      </c>
      <c r="N157" s="716">
        <f>IF(N$19=$B$169,+AVERAGE(N37,N49,N61,N73,N85,N97,N109,N121,N133,N145),+IF(N$19=$B$170,+(EXP((LN(+'4. Customer Growth'!$W$43)/12))*$K156),IF($N$19=$B$171,+$A157*$C$179+$D$179,0)))</f>
        <v>147.3731978944011</v>
      </c>
      <c r="O157" s="716">
        <f>IF(O$19=$B$169,+AVERAGE(O37,O49,O61,O73,O85,O97,O109,O121,O133,O145),+IF(O$19=$B$170,+(EXP((LN(+'4. Customer Growth'!$W$43)/12))*$O156),IF($O$19=$B$171,+$A157*$C$180+$D$180,0)))</f>
        <v>0</v>
      </c>
      <c r="P157" s="716">
        <f>IF(P$19=$B$169,+AVERAGE(P37,P49,P61,P73,P85,P97,P109,P121,P133,P145),+IF(P$19=$B$170,+(EXP((LN(+'4. Customer Growth'!$W$43)/12))*$P156),IF($P$19=$B$171,+$A157*$C$181+$D$181,0)))</f>
        <v>338.31111111111113</v>
      </c>
      <c r="Q157" s="242"/>
      <c r="R157" s="260">
        <f t="shared" si="11"/>
        <v>19098384.976512618</v>
      </c>
      <c r="S157" s="262"/>
      <c r="T157" s="242"/>
      <c r="U157" s="242"/>
      <c r="V157" s="242"/>
      <c r="W157" s="242"/>
      <c r="X157" s="242"/>
      <c r="Y157" s="242"/>
      <c r="Z157" s="242"/>
      <c r="AA157" s="242"/>
      <c r="AB157" s="242"/>
      <c r="AC157" s="242"/>
      <c r="AD157" s="242"/>
      <c r="AE157" s="242"/>
      <c r="AF157" s="242"/>
      <c r="AG157" s="242"/>
      <c r="AH157" s="242"/>
      <c r="AI157" s="242"/>
      <c r="AJ157" s="242"/>
      <c r="AK157" s="242"/>
      <c r="AL157" s="242"/>
      <c r="AM157" s="242"/>
    </row>
    <row r="158" spans="1:39" x14ac:dyDescent="0.2">
      <c r="A158" s="500">
        <f t="shared" si="12"/>
        <v>139</v>
      </c>
      <c r="B158" s="259" t="str">
        <f>CONCATENATE('3. Consumption by Rate Class'!B163,"-",'3. Consumption by Rate Class'!C163)</f>
        <v>2017-July</v>
      </c>
      <c r="C158" s="687"/>
      <c r="D158" s="272"/>
      <c r="E158" s="758"/>
      <c r="F158" s="272"/>
      <c r="G158" s="272"/>
      <c r="H158" s="272"/>
      <c r="I158" s="272"/>
      <c r="J158" s="243"/>
      <c r="K158" s="716">
        <f>IF(K$19=$B$169,+AVERAGE(K38,K50,K62,K74,K86,K98,K110,K122,K134,K146),+IF(K$19=$B$170,+(EXP((LN(+'4. Customer Growth'!$W$43)/12))*$K157),IF($K$19=$B$171,+$A158*$C$176+$D$176,0)))</f>
        <v>18.748000000000001</v>
      </c>
      <c r="L158" s="716">
        <f>IF(L$19=$B$169,+AVERAGE(L38,L50,L62,L74,L86,L98,L110,L122,L134,L146),+IF(L$19=$B$170,+(EXP((LN(+'4. Customer Growth'!$W$43)/12))*$K157),IF($L$19=$B$171,+$A158*$C$177+$D$177,0)))</f>
        <v>60.709000000000003</v>
      </c>
      <c r="M158" s="716">
        <f>IF(M$19=$B$169,+AVERAGE(M38,M50,M62,M74,M86,M98,M110,M122,M134,M146),+IF(M$19=$B$170,+(EXP((LN(+'4. Customer Growth'!$W$43)/12))*$K157),IF($M$19=$B$171,+$A158*$C$178+$D$178,0)))</f>
        <v>31</v>
      </c>
      <c r="N158" s="716">
        <f>IF(N$19=$B$169,+AVERAGE(N38,N50,N62,N74,N86,N98,N110,N122,N134,N146),+IF(N$19=$B$170,+(EXP((LN(+'4. Customer Growth'!$W$43)/12))*$K157),IF($N$19=$B$171,+$A158*$C$179+$D$179,0)))</f>
        <v>147.45672063903615</v>
      </c>
      <c r="O158" s="716">
        <f>IF(O$19=$B$169,+AVERAGE(O38,O50,O62,O74,O86,O98,O110,O122,O134,O146),+IF(O$19=$B$170,+(EXP((LN(+'4. Customer Growth'!$W$43)/12))*$O157),IF($O$19=$B$171,+$A158*$C$180+$D$180,0)))</f>
        <v>0</v>
      </c>
      <c r="P158" s="716">
        <f>IF(P$19=$B$169,+AVERAGE(P38,P50,P62,P74,P86,P98,P110,P122,P134,P146),+IF(P$19=$B$170,+(EXP((LN(+'4. Customer Growth'!$W$43)/12))*$P157),IF($P$19=$B$171,+$A158*$C$181+$D$181,0)))</f>
        <v>345.42222222222227</v>
      </c>
      <c r="Q158" s="242"/>
      <c r="R158" s="260">
        <f t="shared" si="11"/>
        <v>21047280.02636943</v>
      </c>
      <c r="S158" s="262"/>
      <c r="T158" s="242"/>
      <c r="U158" s="242"/>
      <c r="V158" s="242"/>
      <c r="W158" s="242"/>
      <c r="X158" s="242"/>
      <c r="Y158" s="242"/>
      <c r="Z158" s="242"/>
      <c r="AA158" s="242"/>
      <c r="AB158" s="242"/>
      <c r="AC158" s="242"/>
      <c r="AD158" s="242"/>
      <c r="AE158" s="242"/>
      <c r="AF158" s="242"/>
      <c r="AG158" s="242"/>
      <c r="AH158" s="242"/>
      <c r="AI158" s="242"/>
      <c r="AJ158" s="242"/>
      <c r="AK158" s="242"/>
      <c r="AL158" s="242"/>
      <c r="AM158" s="242"/>
    </row>
    <row r="159" spans="1:39" x14ac:dyDescent="0.2">
      <c r="A159" s="500">
        <f t="shared" si="12"/>
        <v>140</v>
      </c>
      <c r="B159" s="259" t="str">
        <f>CONCATENATE('3. Consumption by Rate Class'!B164,"-",'3. Consumption by Rate Class'!C164)</f>
        <v>2017-August</v>
      </c>
      <c r="C159" s="687"/>
      <c r="D159" s="272"/>
      <c r="E159" s="758"/>
      <c r="F159" s="272"/>
      <c r="G159" s="272"/>
      <c r="H159" s="272"/>
      <c r="I159" s="272"/>
      <c r="J159" s="243"/>
      <c r="K159" s="716">
        <f>IF(K$19=$B$169,+AVERAGE(K39,K51,K63,K75,K87,K99,K111,K123,K135,K147),+IF(K$19=$B$170,+(EXP((LN(+'4. Customer Growth'!$W$43)/12))*$K158),IF($K$19=$B$171,+$A159*$C$176+$D$176,0)))</f>
        <v>13.674000000000001</v>
      </c>
      <c r="L159" s="716">
        <f>IF(L$19=$B$169,+AVERAGE(L39,L51,L63,L75,L87,L99,L111,L123,L135,L147),+IF(L$19=$B$170,+(EXP((LN(+'4. Customer Growth'!$W$43)/12))*$K158),IF($L$19=$B$171,+$A159*$C$177+$D$177,0)))</f>
        <v>57.928999999999995</v>
      </c>
      <c r="M159" s="716">
        <f>IF(M$19=$B$169,+AVERAGE(M39,M51,M63,M75,M87,M99,M111,M123,M135,M147),+IF(M$19=$B$170,+(EXP((LN(+'4. Customer Growth'!$W$43)/12))*$K158),IF($M$19=$B$171,+$A159*$C$178+$D$178,0)))</f>
        <v>31</v>
      </c>
      <c r="N159" s="716">
        <f>IF(N$19=$B$169,+AVERAGE(N39,N51,N63,N75,N87,N99,N111,N123,N135,N147),+IF(N$19=$B$170,+(EXP((LN(+'4. Customer Growth'!$W$43)/12))*$K158),IF($N$19=$B$171,+$A159*$C$179+$D$179,0)))</f>
        <v>147.5402433836712</v>
      </c>
      <c r="O159" s="716">
        <f>IF(O$19=$B$169,+AVERAGE(O39,O51,O63,O75,O87,O99,O111,O123,O135,O147),+IF(O$19=$B$170,+(EXP((LN(+'4. Customer Growth'!$W$43)/12))*$O158),IF($O$19=$B$171,+$A159*$C$180+$D$180,0)))</f>
        <v>0</v>
      </c>
      <c r="P159" s="716">
        <f>IF(P$19=$B$169,+AVERAGE(P39,P51,P63,P75,P87,P99,P111,P123,P135,P147),+IF(P$19=$B$170,+(EXP((LN(+'4. Customer Growth'!$W$43)/12))*$P158),IF($P$19=$B$171,+$A159*$C$181+$D$181,0)))</f>
        <v>332.44444444444446</v>
      </c>
      <c r="Q159" s="242"/>
      <c r="R159" s="260">
        <f t="shared" si="11"/>
        <v>20807287.119906224</v>
      </c>
      <c r="S159" s="262"/>
      <c r="T159" s="242"/>
      <c r="U159" s="242"/>
      <c r="V159" s="242"/>
      <c r="W159" s="242"/>
      <c r="X159" s="242"/>
      <c r="Y159" s="242"/>
      <c r="Z159" s="242"/>
      <c r="AA159" s="242"/>
      <c r="AB159" s="242"/>
      <c r="AC159" s="242"/>
      <c r="AD159" s="242"/>
      <c r="AE159" s="242"/>
      <c r="AF159" s="242"/>
      <c r="AG159" s="242"/>
      <c r="AH159" s="242"/>
      <c r="AI159" s="242"/>
      <c r="AJ159" s="242"/>
      <c r="AK159" s="242"/>
      <c r="AL159" s="242"/>
      <c r="AM159" s="242"/>
    </row>
    <row r="160" spans="1:39" x14ac:dyDescent="0.2">
      <c r="A160" s="500">
        <f t="shared" si="12"/>
        <v>141</v>
      </c>
      <c r="B160" s="259" t="str">
        <f>CONCATENATE('3. Consumption by Rate Class'!B165,"-",'3. Consumption by Rate Class'!C165)</f>
        <v>2017-September</v>
      </c>
      <c r="C160" s="687"/>
      <c r="D160" s="272"/>
      <c r="E160" s="758"/>
      <c r="F160" s="272"/>
      <c r="G160" s="272"/>
      <c r="H160" s="272"/>
      <c r="I160" s="272"/>
      <c r="J160" s="243"/>
      <c r="K160" s="716">
        <f>IF(K$19=$B$169,+AVERAGE(K40,K52,K64,K76,K88,K100,K112,K124,K136,K148),+IF(K$19=$B$170,+(EXP((LN(+'4. Customer Growth'!$W$43)/12))*$K159),IF($K$19=$B$171,+$A160*$C$176+$D$176,0)))</f>
        <v>78.395999999999987</v>
      </c>
      <c r="L160" s="716">
        <f>IF(L$19=$B$169,+AVERAGE(L40,L52,L64,L76,L88,L100,L112,L124,L136,L148),+IF(L$19=$B$170,+(EXP((LN(+'4. Customer Growth'!$W$43)/12))*$K159),IF($L$19=$B$171,+$A160*$C$177+$D$177,0)))</f>
        <v>18.273</v>
      </c>
      <c r="M160" s="716">
        <f>IF(M$19=$B$169,+AVERAGE(M40,M52,M64,M76,M88,M100,M112,M124,M136,M148),+IF(M$19=$B$170,+(EXP((LN(+'4. Customer Growth'!$W$43)/12))*$K159),IF($M$19=$B$171,+$A160*$C$178+$D$178,0)))</f>
        <v>30</v>
      </c>
      <c r="N160" s="716">
        <f>IF(N$19=$B$169,+AVERAGE(N40,N52,N64,N76,N88,N100,N112,N124,N136,N148),+IF(N$19=$B$170,+(EXP((LN(+'4. Customer Growth'!$W$43)/12))*$K159),IF($N$19=$B$171,+$A160*$C$179+$D$179,0)))</f>
        <v>147.62376612830622</v>
      </c>
      <c r="O160" s="716">
        <f>IF(O$19=$B$169,+AVERAGE(O40,O52,O64,O76,O88,O100,O112,O124,O136,O148),+IF(O$19=$B$170,+(EXP((LN(+'4. Customer Growth'!$W$43)/12))*$O159),IF($O$19=$B$171,+$A160*$C$180+$D$180,0)))</f>
        <v>0</v>
      </c>
      <c r="P160" s="716">
        <f>IF(P$19=$B$169,+AVERAGE(P40,P52,P64,P76,P88,P100,P112,P124,P136,P148),+IF(P$19=$B$170,+(EXP((LN(+'4. Customer Growth'!$W$43)/12))*$P159),IF($P$19=$B$171,+$A160*$C$181+$D$181,0)))</f>
        <v>325.86666666666667</v>
      </c>
      <c r="Q160" s="242"/>
      <c r="R160" s="260">
        <f t="shared" si="11"/>
        <v>19223225.215596002</v>
      </c>
      <c r="S160" s="262"/>
      <c r="T160" s="242"/>
      <c r="U160" s="242"/>
      <c r="V160" s="242"/>
      <c r="W160" s="242"/>
      <c r="X160" s="242"/>
      <c r="Y160" s="242"/>
      <c r="Z160" s="242"/>
      <c r="AA160" s="242"/>
      <c r="AB160" s="242"/>
      <c r="AC160" s="242"/>
      <c r="AD160" s="242"/>
      <c r="AE160" s="242"/>
      <c r="AF160" s="242"/>
      <c r="AG160" s="242"/>
      <c r="AH160" s="242"/>
      <c r="AI160" s="242"/>
      <c r="AJ160" s="242"/>
      <c r="AK160" s="242"/>
      <c r="AL160" s="242"/>
      <c r="AM160" s="242"/>
    </row>
    <row r="161" spans="1:39" x14ac:dyDescent="0.2">
      <c r="A161" s="500">
        <f t="shared" si="12"/>
        <v>142</v>
      </c>
      <c r="B161" s="259" t="str">
        <f>CONCATENATE('3. Consumption by Rate Class'!B166,"-",'3. Consumption by Rate Class'!C166)</f>
        <v>2017-October</v>
      </c>
      <c r="C161" s="687"/>
      <c r="D161" s="272"/>
      <c r="E161" s="758"/>
      <c r="F161" s="272"/>
      <c r="G161" s="272"/>
      <c r="H161" s="272"/>
      <c r="I161" s="272"/>
      <c r="J161" s="243"/>
      <c r="K161" s="716">
        <f>IF(K$19=$B$169,+AVERAGE(K41,K53,K65,K77,K89,K101,K113,K125,K137,K149),+IF(K$19=$B$170,+(EXP((LN(+'4. Customer Growth'!$W$43)/12))*$K160),IF($K$19=$B$171,+$A161*$C$176+$D$176,0)))</f>
        <v>247.91200000000003</v>
      </c>
      <c r="L161" s="716">
        <f>IF(L$19=$B$169,+AVERAGE(L41,L53,L65,L77,L89,L101,L113,L125,L137,L149),+IF(L$19=$B$170,+(EXP((LN(+'4. Customer Growth'!$W$43)/12))*$K160),IF($L$19=$B$171,+$A161*$C$177+$D$177,0)))</f>
        <v>0.45099999999999996</v>
      </c>
      <c r="M161" s="716">
        <f>IF(M$19=$B$169,+AVERAGE(M41,M53,M65,M77,M89,M101,M113,M125,M137,M149),+IF(M$19=$B$170,+(EXP((LN(+'4. Customer Growth'!$W$43)/12))*$K160),IF($M$19=$B$171,+$A161*$C$178+$D$178,0)))</f>
        <v>31</v>
      </c>
      <c r="N161" s="716">
        <f>IF(N$19=$B$169,+AVERAGE(N41,N53,N65,N77,N89,N101,N113,N125,N137,N149),+IF(N$19=$B$170,+(EXP((LN(+'4. Customer Growth'!$W$43)/12))*$K160),IF($N$19=$B$171,+$A161*$C$179+$D$179,0)))</f>
        <v>147.70728887294126</v>
      </c>
      <c r="O161" s="716">
        <f>IF(O$19=$B$169,+AVERAGE(O41,O53,O65,O77,O89,O101,O113,O125,O137,O149),+IF(O$19=$B$170,+(EXP((LN(+'4. Customer Growth'!$W$43)/12))*$O160),IF($O$19=$B$171,+$A161*$C$180+$D$180,0)))</f>
        <v>0</v>
      </c>
      <c r="P161" s="716">
        <f>IF(P$19=$B$169,+AVERAGE(P41,P53,P65,P77,P89,P101,P113,P125,P137,P149),+IF(P$19=$B$170,+(EXP((LN(+'4. Customer Growth'!$W$43)/12))*$P160),IF($P$19=$B$171,+$A161*$C$181+$D$181,0)))</f>
        <v>345.77777777777771</v>
      </c>
      <c r="Q161" s="242"/>
      <c r="R161" s="260">
        <f t="shared" si="11"/>
        <v>20151920.996210061</v>
      </c>
      <c r="S161" s="262"/>
      <c r="T161" s="242"/>
      <c r="U161" s="242"/>
      <c r="V161" s="242"/>
      <c r="W161" s="242"/>
      <c r="X161" s="242"/>
      <c r="Y161" s="242"/>
      <c r="Z161" s="242"/>
      <c r="AA161" s="242"/>
      <c r="AB161" s="242"/>
      <c r="AC161" s="242"/>
      <c r="AD161" s="242"/>
      <c r="AE161" s="242"/>
      <c r="AF161" s="242"/>
      <c r="AG161" s="242"/>
      <c r="AH161" s="242"/>
      <c r="AI161" s="242"/>
      <c r="AJ161" s="242"/>
      <c r="AK161" s="242"/>
      <c r="AL161" s="242"/>
      <c r="AM161" s="242"/>
    </row>
    <row r="162" spans="1:39" x14ac:dyDescent="0.2">
      <c r="A162" s="500">
        <f t="shared" si="12"/>
        <v>143</v>
      </c>
      <c r="B162" s="175" t="str">
        <f>CONCATENATE('3. Consumption by Rate Class'!B167,"-",'3. Consumption by Rate Class'!C167)</f>
        <v>2017-November</v>
      </c>
      <c r="C162" s="688"/>
      <c r="D162" s="54"/>
      <c r="E162" s="759"/>
      <c r="F162" s="54"/>
      <c r="G162" s="54"/>
      <c r="H162" s="54"/>
      <c r="I162" s="54"/>
      <c r="K162" s="716">
        <f>IF(K$19=$B$169,+AVERAGE(K42,K54,K66,K78,K90,K102,K114,K126,K138,K150),+IF(K$19=$B$170,+(EXP((LN(+'4. Customer Growth'!$W$43)/12))*$K161),IF($K$19=$B$171,+$A162*$C$176+$D$176,0)))</f>
        <v>420.61099999999999</v>
      </c>
      <c r="L162" s="716">
        <f>IF(L$19=$B$169,+AVERAGE(L42,L54,L66,L78,L90,L102,L114,L126,L138,L150),+IF(L$19=$B$170,+(EXP((LN(+'4. Customer Growth'!$W$43)/12))*$K161),IF($L$19=$B$171,+$A162*$C$177+$D$177,0)))</f>
        <v>0</v>
      </c>
      <c r="M162" s="716">
        <f>IF(M$19=$B$169,+AVERAGE(M42,M54,M66,M78,M90,M102,M114,M126,M138,M150),+IF(M$19=$B$170,+(EXP((LN(+'4. Customer Growth'!$W$43)/12))*$K161),IF($M$19=$B$171,+$A162*$C$178+$D$178,0)))</f>
        <v>30</v>
      </c>
      <c r="N162" s="716">
        <f>IF(N$19=$B$169,+AVERAGE(N42,N54,N66,N78,N90,N102,N114,N126,N138,N150),+IF(N$19=$B$170,+(EXP((LN(+'4. Customer Growth'!$W$43)/12))*$K161),IF($N$19=$B$171,+$A162*$C$179+$D$179,0)))</f>
        <v>147.79081161757631</v>
      </c>
      <c r="O162" s="716">
        <f>IF(O$19=$B$169,+AVERAGE(O42,O54,O66,O78,O90,O102,O114,O126,O138,O150),+IF(O$19=$B$170,+(EXP((LN(+'4. Customer Growth'!$W$43)/12))*$O161),IF($O$19=$B$171,+$A162*$C$180+$D$180,0)))</f>
        <v>0</v>
      </c>
      <c r="P162" s="716">
        <f>IF(P$19=$B$169,+AVERAGE(P42,P54,P66,P78,P90,P102,P114,P126,P138,P150),+IF(P$19=$B$170,+(EXP((LN(+'4. Customer Growth'!$W$43)/12))*$P161),IF($P$19=$B$171,+$A162*$C$181+$D$181,0)))</f>
        <v>328.5333333333333</v>
      </c>
      <c r="R162" s="260">
        <f t="shared" si="11"/>
        <v>20750766.150011677</v>
      </c>
      <c r="S162" s="218"/>
      <c r="U162" s="242"/>
      <c r="V162" s="242"/>
      <c r="W162" s="242"/>
      <c r="X162" s="242"/>
      <c r="Y162" s="242"/>
      <c r="Z162" s="242"/>
    </row>
    <row r="163" spans="1:39" x14ac:dyDescent="0.2">
      <c r="A163" s="500">
        <f t="shared" si="12"/>
        <v>144</v>
      </c>
      <c r="B163" s="175" t="str">
        <f>CONCATENATE('3. Consumption by Rate Class'!B168,"-",'3. Consumption by Rate Class'!C168)</f>
        <v>2017-December</v>
      </c>
      <c r="C163" s="688"/>
      <c r="D163" s="54"/>
      <c r="E163" s="759"/>
      <c r="F163" s="54"/>
      <c r="G163" s="54"/>
      <c r="H163" s="54"/>
      <c r="I163" s="54"/>
      <c r="K163" s="716">
        <f>IF(K$19=$B$169,+AVERAGE(K43,K55,K67,K79,K91,K103,K115,K127,K139,K151),+IF(K$19=$B$170,+(EXP((LN(+'4. Customer Growth'!$W$43)/12))*$K162),IF($K$19=$B$171,+$A163*$C$176+$D$176,0)))</f>
        <v>591.57500000000005</v>
      </c>
      <c r="L163" s="716">
        <f>IF(L$19=$B$169,+AVERAGE(L43,L55,L67,L79,L91,L103,L115,L127,L139,L151),+IF(L$19=$B$170,+(EXP((LN(+'4. Customer Growth'!$W$43)/12))*$K162),IF($L$19=$B$171,+$A163*$C$177+$D$177,0)))</f>
        <v>0</v>
      </c>
      <c r="M163" s="716">
        <f>IF(M$19=$B$169,+AVERAGE(M43,M55,M67,M79,M91,M103,M115,M127,M139,M151),+IF(M$19=$B$170,+(EXP((LN(+'4. Customer Growth'!$W$43)/12))*$K162),IF($M$19=$B$171,+$A163*$C$178+$D$178,0)))</f>
        <v>31</v>
      </c>
      <c r="N163" s="716">
        <f>IF(N$19=$B$169,+AVERAGE(N43,N55,N67,N79,N91,N103,N115,N127,N139,N151),+IF(N$19=$B$170,+(EXP((LN(+'4. Customer Growth'!$W$43)/12))*$K162),IF($N$19=$B$171,+$A163*$C$179+$D$179,0)))</f>
        <v>147.87433436221136</v>
      </c>
      <c r="O163" s="716">
        <f>IF(O$19=$B$169,+AVERAGE(O43,O55,O67,O79,O91,O103,O115,O127,O139,O151),+IF(O$19=$B$170,+(EXP((LN(+'4. Customer Growth'!$W$43)/12))*$O162),IF($O$19=$B$171,+$A163*$C$180+$D$180,0)))</f>
        <v>0</v>
      </c>
      <c r="P163" s="716">
        <f>IF(P$19=$B$169,+AVERAGE(P43,P55,P67,P79,P91,P103,P115,P127,P139,P151),+IF(P$19=$B$170,+(EXP((LN(+'4. Customer Growth'!$W$43)/12))*$P162),IF($P$19=$B$171,+$A163*$C$181+$D$181,0)))</f>
        <v>331.37777777777774</v>
      </c>
      <c r="R163" s="260">
        <f t="shared" si="11"/>
        <v>22268458.809824258</v>
      </c>
      <c r="S163" s="218">
        <f>SUM(R152:R163)</f>
        <v>250282670.81650454</v>
      </c>
    </row>
    <row r="164" spans="1:39" x14ac:dyDescent="0.2">
      <c r="B164" s="176"/>
      <c r="C164" s="688"/>
      <c r="D164" s="54"/>
      <c r="E164" s="759"/>
      <c r="F164" s="54"/>
      <c r="G164" s="54"/>
      <c r="H164" s="54"/>
      <c r="I164" s="54"/>
    </row>
    <row r="167" spans="1:39" x14ac:dyDescent="0.2">
      <c r="B167" s="299"/>
      <c r="C167" s="689"/>
      <c r="D167" s="699"/>
    </row>
    <row r="168" spans="1:39" hidden="1" x14ac:dyDescent="0.2">
      <c r="A168" s="300"/>
      <c r="B168" s="301" t="s">
        <v>169</v>
      </c>
      <c r="C168" s="690"/>
      <c r="D168" s="699"/>
      <c r="L168" s="698"/>
    </row>
    <row r="169" spans="1:39" hidden="1" x14ac:dyDescent="0.2">
      <c r="A169" s="300"/>
      <c r="B169" s="302" t="s">
        <v>167</v>
      </c>
      <c r="C169" s="691"/>
      <c r="D169" s="699"/>
    </row>
    <row r="170" spans="1:39" hidden="1" x14ac:dyDescent="0.2">
      <c r="A170" s="300"/>
      <c r="B170" s="303" t="s">
        <v>168</v>
      </c>
      <c r="C170" s="692"/>
      <c r="D170" s="699"/>
    </row>
    <row r="171" spans="1:39" hidden="1" x14ac:dyDescent="0.2">
      <c r="B171" s="497" t="s">
        <v>233</v>
      </c>
      <c r="C171" s="691"/>
      <c r="D171" s="699"/>
    </row>
    <row r="172" spans="1:39" hidden="1" x14ac:dyDescent="0.2">
      <c r="B172" s="700"/>
      <c r="C172" s="701"/>
      <c r="D172" s="702"/>
    </row>
    <row r="173" spans="1:39" hidden="1" x14ac:dyDescent="0.2">
      <c r="B173" s="700"/>
      <c r="C173" s="701"/>
      <c r="D173" s="702"/>
    </row>
    <row r="174" spans="1:39" hidden="1" x14ac:dyDescent="0.2">
      <c r="B174" s="913" t="s">
        <v>234</v>
      </c>
      <c r="C174" s="913"/>
      <c r="D174" s="913"/>
    </row>
    <row r="175" spans="1:39" hidden="1" x14ac:dyDescent="0.2">
      <c r="B175" s="501" t="s">
        <v>147</v>
      </c>
      <c r="C175" s="693" t="s">
        <v>235</v>
      </c>
      <c r="D175" s="499" t="s">
        <v>236</v>
      </c>
    </row>
    <row r="176" spans="1:39" ht="14.25" hidden="1" x14ac:dyDescent="0.2">
      <c r="B176" s="501" t="s">
        <v>1</v>
      </c>
      <c r="C176" s="694">
        <f>INDEX(LINEST($K$20:$K139,$A$20:$A$139,TRUE,FALSE),1)</f>
        <v>-0.15356101118133153</v>
      </c>
      <c r="D176" s="498">
        <f>INDEX(LINEST($K$20:$K139,$A$20:$A$139,TRUE,FALSE),2)</f>
        <v>334.7762745098039</v>
      </c>
    </row>
    <row r="177" spans="2:4" ht="14.25" hidden="1" x14ac:dyDescent="0.2">
      <c r="B177" s="501" t="s">
        <v>2</v>
      </c>
      <c r="C177" s="694">
        <f>INDEX(LINEST($L$20:$L139,$A$20:$A$139,TRUE,FALSE),1)</f>
        <v>-8.4703798874921857E-3</v>
      </c>
      <c r="D177" s="498">
        <f>INDEX(LINEST($L$20:$L139,$A$20:$A$139,TRUE,FALSE),2)</f>
        <v>13.51329131652661</v>
      </c>
    </row>
    <row r="178" spans="2:4" ht="14.25" hidden="1" x14ac:dyDescent="0.2">
      <c r="B178" s="501" t="s">
        <v>132</v>
      </c>
      <c r="C178" s="694">
        <f>INDEX(LINEST($M$20:$M139,$A$20:$A$139,TRUE,FALSE),1)</f>
        <v>5.1392457809569915E-4</v>
      </c>
      <c r="D178" s="498">
        <f>INDEX(LINEST($M$20:$M139,$A$20:$A$139,TRUE,FALSE),2)</f>
        <v>30.402240896358546</v>
      </c>
    </row>
    <row r="179" spans="2:4" ht="14.25" hidden="1" x14ac:dyDescent="0.2">
      <c r="B179" s="501" t="s">
        <v>155</v>
      </c>
      <c r="C179" s="694">
        <f>INDEX(LINEST($N$20:$N139,$A$20:$A$139,TRUE,FALSE),1)</f>
        <v>8.3522744635044138E-2</v>
      </c>
      <c r="D179" s="498">
        <f>INDEX(LINEST($N$20:$N139,$A$20:$A$139,TRUE,FALSE),2)</f>
        <v>135.847059134765</v>
      </c>
    </row>
    <row r="180" spans="2:4" ht="14.25" hidden="1" x14ac:dyDescent="0.2">
      <c r="B180" s="501" t="s">
        <v>131</v>
      </c>
      <c r="C180" s="694">
        <f>INDEX(LINEST($O$20:$O139,$A$20:$A$139,TRUE,FALSE),1)</f>
        <v>0</v>
      </c>
      <c r="D180" s="498">
        <f>INDEX(LINEST($O$20:$O139,$A$20:$A$139,TRUE,FALSE),2)</f>
        <v>0</v>
      </c>
    </row>
    <row r="181" spans="2:4" ht="14.25" hidden="1" x14ac:dyDescent="0.2">
      <c r="B181" s="501" t="s">
        <v>163</v>
      </c>
      <c r="C181" s="694">
        <f>INDEX(LINEST($P$20:$P139,$A$20:$A$139,TRUE,FALSE),1)</f>
        <v>-1.9507527528917895E-3</v>
      </c>
      <c r="D181" s="498">
        <f>INDEX(LINEST($P$20:$P139,$A$20:$A$139,TRUE,FALSE),2)</f>
        <v>334.63653906006846</v>
      </c>
    </row>
    <row r="182" spans="2:4" x14ac:dyDescent="0.2">
      <c r="B182" s="700"/>
      <c r="C182" s="701"/>
      <c r="D182" s="702"/>
    </row>
  </sheetData>
  <mergeCells count="4">
    <mergeCell ref="K17:P17"/>
    <mergeCell ref="D17:I17"/>
    <mergeCell ref="Q19:S19"/>
    <mergeCell ref="B174:D174"/>
  </mergeCells>
  <phoneticPr fontId="0" type="noConversion"/>
  <dataValidations count="2">
    <dataValidation type="list" allowBlank="1" showInputMessage="1" showErrorMessage="1" sqref="K18:P18">
      <formula1>AllVariables</formula1>
    </dataValidation>
    <dataValidation type="list" allowBlank="1" showInputMessage="1" showErrorMessage="1" sqref="K19:P19">
      <formula1>$B$169:$B$171</formula1>
    </dataValidation>
  </dataValidations>
  <pageMargins left="0.7" right="0.7" top="0.75" bottom="0.75" header="0.3" footer="0.3"/>
  <pageSetup orientation="portrait" horizontalDpi="4294967294" verticalDpi="4294967294" r:id="rId1"/>
  <ignoredErrors>
    <ignoredError sqref="U46:U55 V46:V55 X46 W47:W55 Y47:Y55 Z46:Z55" unlockedFormula="1"/>
    <ignoredError sqref="X47:X55" formula="1" unlockedFormula="1"/>
  </ignoredError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M205"/>
  <sheetViews>
    <sheetView showGridLines="0" topLeftCell="A145" zoomScaleNormal="100" workbookViewId="0">
      <selection activeCell="A182" sqref="A182:I202"/>
    </sheetView>
  </sheetViews>
  <sheetFormatPr defaultRowHeight="12.75" x14ac:dyDescent="0.2"/>
  <cols>
    <col min="1" max="1" width="27.6640625" style="1" customWidth="1"/>
    <col min="2" max="2" width="9.33203125" style="1"/>
    <col min="3" max="3" width="16" style="1" bestFit="1" customWidth="1"/>
    <col min="4" max="4" width="16.33203125" style="1" bestFit="1" customWidth="1"/>
    <col min="5" max="5" width="16.1640625" style="1" bestFit="1" customWidth="1"/>
    <col min="6" max="6" width="14.6640625" style="1" bestFit="1" customWidth="1"/>
    <col min="7" max="7" width="13" style="1" bestFit="1" customWidth="1"/>
    <col min="8" max="8" width="14" style="1" customWidth="1"/>
    <col min="9" max="9" width="13" style="1" bestFit="1" customWidth="1"/>
    <col min="10" max="11" width="14.1640625" style="1" bestFit="1" customWidth="1"/>
    <col min="12" max="16384" width="9.33203125" style="1"/>
  </cols>
  <sheetData>
    <row r="1" spans="1:39" s="532" customFormat="1" x14ac:dyDescent="0.2">
      <c r="A1" s="726" t="s">
        <v>266</v>
      </c>
    </row>
    <row r="2" spans="1:39" s="532" customFormat="1" x14ac:dyDescent="0.2"/>
    <row r="3" spans="1:39" s="532" customFormat="1" x14ac:dyDescent="0.2"/>
    <row r="4" spans="1:39" s="532" customFormat="1" x14ac:dyDescent="0.2"/>
    <row r="5" spans="1:39" s="532" customFormat="1" x14ac:dyDescent="0.2"/>
    <row r="6" spans="1:39" s="532" customFormat="1" x14ac:dyDescent="0.2"/>
    <row r="7" spans="1:39" s="532" customFormat="1" x14ac:dyDescent="0.2"/>
    <row r="8" spans="1:39" s="532" customFormat="1" x14ac:dyDescent="0.2"/>
    <row r="9" spans="1:39" s="532" customFormat="1" x14ac:dyDescent="0.2"/>
    <row r="10" spans="1:39" s="532" customFormat="1" x14ac:dyDescent="0.2"/>
    <row r="11" spans="1:39" s="532" customFormat="1" ht="23.25" x14ac:dyDescent="0.2">
      <c r="A11" s="256"/>
      <c r="B11" s="257" t="s">
        <v>251</v>
      </c>
      <c r="C11" s="243"/>
      <c r="D11" s="243"/>
      <c r="E11" s="243"/>
      <c r="F11" s="243"/>
      <c r="G11" s="243"/>
      <c r="H11" s="243"/>
      <c r="I11" s="243"/>
      <c r="J11" s="243"/>
      <c r="K11" s="243"/>
      <c r="L11" s="243"/>
      <c r="M11" s="243"/>
      <c r="N11" s="243"/>
      <c r="O11" s="243"/>
      <c r="P11" s="243"/>
      <c r="Q11" s="242"/>
      <c r="R11" s="243"/>
      <c r="S11" s="242"/>
      <c r="T11" s="242"/>
      <c r="U11" s="242"/>
      <c r="V11" s="242"/>
      <c r="W11" s="242"/>
      <c r="X11" s="242"/>
      <c r="Y11" s="242"/>
      <c r="Z11" s="242"/>
      <c r="AA11" s="242"/>
      <c r="AB11" s="242"/>
      <c r="AC11" s="242"/>
      <c r="AD11" s="242"/>
      <c r="AE11" s="242"/>
      <c r="AF11" s="242"/>
      <c r="AG11" s="242"/>
      <c r="AH11" s="242"/>
      <c r="AI11" s="242"/>
      <c r="AJ11" s="242"/>
      <c r="AK11" s="242"/>
      <c r="AL11" s="242"/>
      <c r="AM11" s="242"/>
    </row>
    <row r="12" spans="1:39" s="532" customFormat="1" ht="15" x14ac:dyDescent="0.2">
      <c r="A12" s="256"/>
      <c r="B12" s="57" t="s">
        <v>63</v>
      </c>
      <c r="C12" s="243"/>
      <c r="D12" s="243"/>
      <c r="E12" s="243"/>
      <c r="F12" s="243"/>
      <c r="G12" s="243"/>
      <c r="H12" s="243"/>
      <c r="I12" s="243"/>
      <c r="J12" s="243"/>
      <c r="K12" s="243"/>
      <c r="L12" s="243"/>
      <c r="M12" s="243"/>
      <c r="N12" s="243"/>
      <c r="O12" s="242"/>
      <c r="P12" s="243"/>
      <c r="Q12" s="242"/>
      <c r="R12" s="242"/>
      <c r="S12" s="242"/>
      <c r="T12" s="242"/>
      <c r="U12" s="242"/>
      <c r="V12" s="242"/>
      <c r="W12" s="242"/>
      <c r="X12" s="242"/>
      <c r="Y12" s="242"/>
      <c r="Z12" s="242"/>
      <c r="AA12" s="242"/>
      <c r="AB12" s="242"/>
      <c r="AC12" s="242"/>
      <c r="AD12" s="242"/>
      <c r="AE12" s="242"/>
      <c r="AF12" s="242"/>
      <c r="AG12" s="242"/>
      <c r="AH12" s="242"/>
      <c r="AI12" s="242"/>
      <c r="AJ12" s="242"/>
      <c r="AK12" s="242"/>
    </row>
    <row r="13" spans="1:39" s="532" customFormat="1" ht="14.25" x14ac:dyDescent="0.2">
      <c r="A13" s="256"/>
      <c r="B13" s="99" t="s">
        <v>249</v>
      </c>
      <c r="C13" s="243"/>
      <c r="D13" s="243"/>
      <c r="E13" s="243"/>
      <c r="F13" s="243"/>
      <c r="G13" s="243"/>
      <c r="H13" s="243"/>
      <c r="I13" s="243"/>
      <c r="J13" s="243"/>
      <c r="K13" s="243"/>
      <c r="L13" s="243"/>
      <c r="M13" s="243"/>
      <c r="N13" s="243"/>
      <c r="O13" s="243"/>
      <c r="P13" s="243"/>
      <c r="Q13" s="242"/>
      <c r="R13" s="243"/>
      <c r="S13" s="242"/>
      <c r="T13" s="242"/>
      <c r="U13" s="242"/>
      <c r="V13" s="242"/>
      <c r="W13" s="242"/>
      <c r="X13" s="242"/>
      <c r="Y13" s="242"/>
      <c r="Z13" s="242"/>
      <c r="AA13" s="242"/>
      <c r="AB13" s="242"/>
      <c r="AC13" s="242"/>
      <c r="AD13" s="242"/>
      <c r="AE13" s="242"/>
      <c r="AF13" s="242"/>
      <c r="AG13" s="242"/>
      <c r="AH13" s="242"/>
      <c r="AI13" s="242"/>
      <c r="AJ13" s="242"/>
      <c r="AK13" s="242"/>
      <c r="AL13" s="242"/>
      <c r="AM13" s="242"/>
    </row>
    <row r="14" spans="1:39" s="532" customFormat="1" ht="14.25" x14ac:dyDescent="0.2">
      <c r="A14" s="256"/>
      <c r="B14" s="99" t="s">
        <v>250</v>
      </c>
      <c r="C14" s="243"/>
      <c r="D14" s="243"/>
      <c r="E14" s="243"/>
      <c r="F14" s="243"/>
      <c r="G14" s="243"/>
      <c r="H14" s="243"/>
      <c r="I14" s="243"/>
      <c r="J14" s="243"/>
      <c r="K14" s="243"/>
      <c r="L14" s="243"/>
      <c r="M14" s="243"/>
      <c r="N14" s="243"/>
      <c r="O14" s="243"/>
      <c r="P14" s="243"/>
      <c r="Q14" s="242"/>
      <c r="R14" s="243"/>
      <c r="S14" s="242"/>
      <c r="T14" s="242"/>
      <c r="U14" s="242"/>
      <c r="V14" s="242"/>
      <c r="W14" s="242"/>
      <c r="X14" s="242"/>
      <c r="Y14" s="242"/>
      <c r="Z14" s="242"/>
      <c r="AA14" s="242"/>
      <c r="AB14" s="242"/>
      <c r="AC14" s="242"/>
      <c r="AD14" s="242"/>
      <c r="AE14" s="242"/>
      <c r="AF14" s="242"/>
      <c r="AG14" s="242"/>
      <c r="AH14" s="242"/>
      <c r="AI14" s="242"/>
      <c r="AJ14" s="242"/>
      <c r="AK14" s="242"/>
      <c r="AL14" s="242"/>
      <c r="AM14" s="242"/>
    </row>
    <row r="16" spans="1:39" x14ac:dyDescent="0.2">
      <c r="A16" s="748" t="s">
        <v>275</v>
      </c>
      <c r="B16" s="749"/>
      <c r="C16" s="749"/>
      <c r="D16" s="532"/>
      <c r="E16" s="532"/>
      <c r="F16" s="532"/>
      <c r="G16" s="532"/>
      <c r="H16" s="532"/>
      <c r="I16" s="532"/>
    </row>
    <row r="17" spans="1:9" x14ac:dyDescent="0.2">
      <c r="A17" s="532"/>
      <c r="B17" s="532"/>
      <c r="C17" s="532"/>
      <c r="D17" s="532"/>
      <c r="E17" s="532"/>
      <c r="F17" s="532"/>
      <c r="G17" s="532"/>
      <c r="H17" s="532"/>
      <c r="I17" s="532"/>
    </row>
    <row r="18" spans="1:9" x14ac:dyDescent="0.2">
      <c r="A18" t="s">
        <v>156</v>
      </c>
      <c r="B18"/>
      <c r="C18"/>
      <c r="D18"/>
      <c r="E18"/>
      <c r="F18"/>
      <c r="G18"/>
      <c r="H18"/>
      <c r="I18"/>
    </row>
    <row r="19" spans="1:9" ht="13.5" thickBot="1" x14ac:dyDescent="0.25">
      <c r="A19"/>
      <c r="B19"/>
      <c r="C19"/>
      <c r="D19"/>
      <c r="E19"/>
      <c r="F19"/>
      <c r="G19"/>
      <c r="H19"/>
      <c r="I19"/>
    </row>
    <row r="20" spans="1:9" x14ac:dyDescent="0.2">
      <c r="A20" s="545" t="s">
        <v>7</v>
      </c>
      <c r="B20" s="545"/>
      <c r="C20"/>
      <c r="D20"/>
      <c r="E20"/>
      <c r="F20"/>
      <c r="G20"/>
      <c r="H20"/>
      <c r="I20"/>
    </row>
    <row r="21" spans="1:9" x14ac:dyDescent="0.2">
      <c r="A21" s="542" t="s">
        <v>8</v>
      </c>
      <c r="B21" s="542">
        <v>0.89067806436506536</v>
      </c>
      <c r="C21"/>
      <c r="D21"/>
      <c r="E21"/>
      <c r="F21"/>
      <c r="G21"/>
      <c r="H21"/>
      <c r="I21"/>
    </row>
    <row r="22" spans="1:9" x14ac:dyDescent="0.2">
      <c r="A22" s="542" t="s">
        <v>9</v>
      </c>
      <c r="B22" s="542">
        <v>0.79330741434109953</v>
      </c>
      <c r="C22"/>
      <c r="D22"/>
      <c r="E22"/>
      <c r="F22"/>
      <c r="G22"/>
      <c r="H22"/>
      <c r="I22"/>
    </row>
    <row r="23" spans="1:9" x14ac:dyDescent="0.2">
      <c r="A23" s="542" t="s">
        <v>10</v>
      </c>
      <c r="B23" s="542">
        <v>0.78102864687621432</v>
      </c>
      <c r="C23"/>
      <c r="D23"/>
      <c r="E23"/>
      <c r="F23"/>
      <c r="G23"/>
      <c r="H23"/>
      <c r="I23"/>
    </row>
    <row r="24" spans="1:9" x14ac:dyDescent="0.2">
      <c r="A24" s="542" t="s">
        <v>11</v>
      </c>
      <c r="B24" s="542">
        <v>800436.68317000335</v>
      </c>
      <c r="C24"/>
      <c r="D24"/>
      <c r="E24"/>
      <c r="F24"/>
      <c r="G24"/>
      <c r="H24"/>
      <c r="I24"/>
    </row>
    <row r="25" spans="1:9" ht="13.5" thickBot="1" x14ac:dyDescent="0.25">
      <c r="A25" s="543" t="s">
        <v>12</v>
      </c>
      <c r="B25" s="543">
        <v>108</v>
      </c>
      <c r="C25"/>
      <c r="D25"/>
      <c r="E25"/>
      <c r="F25"/>
      <c r="G25"/>
      <c r="H25"/>
      <c r="I25"/>
    </row>
    <row r="26" spans="1:9" x14ac:dyDescent="0.2">
      <c r="A26"/>
      <c r="B26"/>
      <c r="C26"/>
      <c r="D26"/>
      <c r="E26"/>
      <c r="F26"/>
      <c r="G26"/>
      <c r="H26"/>
      <c r="I26"/>
    </row>
    <row r="27" spans="1:9" ht="13.5" thickBot="1" x14ac:dyDescent="0.25">
      <c r="A27" t="s">
        <v>13</v>
      </c>
      <c r="B27"/>
      <c r="C27"/>
      <c r="D27"/>
      <c r="E27"/>
      <c r="F27"/>
      <c r="G27"/>
      <c r="H27"/>
      <c r="I27"/>
    </row>
    <row r="28" spans="1:9" x14ac:dyDescent="0.2">
      <c r="A28" s="544"/>
      <c r="B28" s="544" t="s">
        <v>18</v>
      </c>
      <c r="C28" s="544" t="s">
        <v>19</v>
      </c>
      <c r="D28" s="544" t="s">
        <v>20</v>
      </c>
      <c r="E28" s="544" t="s">
        <v>21</v>
      </c>
      <c r="F28" s="544" t="s">
        <v>22</v>
      </c>
      <c r="G28"/>
      <c r="H28"/>
      <c r="I28"/>
    </row>
    <row r="29" spans="1:9" x14ac:dyDescent="0.2">
      <c r="A29" s="542" t="s">
        <v>14</v>
      </c>
      <c r="B29" s="542">
        <v>6</v>
      </c>
      <c r="C29" s="542">
        <v>248365893223610.81</v>
      </c>
      <c r="D29" s="542">
        <v>41394315537268.469</v>
      </c>
      <c r="E29" s="542">
        <v>64.608065639307853</v>
      </c>
      <c r="F29" s="542">
        <v>2.2809761036236228E-32</v>
      </c>
      <c r="G29"/>
      <c r="H29"/>
      <c r="I29"/>
    </row>
    <row r="30" spans="1:9" x14ac:dyDescent="0.2">
      <c r="A30" s="542" t="s">
        <v>15</v>
      </c>
      <c r="B30" s="542">
        <v>101</v>
      </c>
      <c r="C30" s="542">
        <v>64710587260183.828</v>
      </c>
      <c r="D30" s="542">
        <v>640698883764.19629</v>
      </c>
      <c r="E30" s="542"/>
      <c r="F30" s="542"/>
      <c r="G30"/>
      <c r="H30"/>
      <c r="I30"/>
    </row>
    <row r="31" spans="1:9" ht="13.5" thickBot="1" x14ac:dyDescent="0.25">
      <c r="A31" s="543" t="s">
        <v>16</v>
      </c>
      <c r="B31" s="543">
        <v>107</v>
      </c>
      <c r="C31" s="543">
        <v>313076480483794.62</v>
      </c>
      <c r="D31" s="543"/>
      <c r="E31" s="543"/>
      <c r="F31" s="543"/>
      <c r="G31"/>
      <c r="H31"/>
      <c r="I31"/>
    </row>
    <row r="32" spans="1:9" ht="13.5" thickBot="1" x14ac:dyDescent="0.25">
      <c r="A32"/>
      <c r="B32"/>
      <c r="C32"/>
      <c r="D32"/>
      <c r="E32"/>
      <c r="F32"/>
      <c r="G32"/>
      <c r="H32"/>
      <c r="I32"/>
    </row>
    <row r="33" spans="1:9" x14ac:dyDescent="0.2">
      <c r="A33" s="544"/>
      <c r="B33" s="544" t="s">
        <v>23</v>
      </c>
      <c r="C33" s="544" t="s">
        <v>11</v>
      </c>
      <c r="D33" s="544" t="s">
        <v>24</v>
      </c>
      <c r="E33" s="544" t="s">
        <v>25</v>
      </c>
      <c r="F33" s="544" t="s">
        <v>26</v>
      </c>
      <c r="G33" s="544" t="s">
        <v>27</v>
      </c>
      <c r="H33" s="544" t="s">
        <v>28</v>
      </c>
      <c r="I33" s="544" t="s">
        <v>29</v>
      </c>
    </row>
    <row r="34" spans="1:9" x14ac:dyDescent="0.2">
      <c r="A34" s="542" t="s">
        <v>17</v>
      </c>
      <c r="B34" s="542">
        <v>-7856768.0409564655</v>
      </c>
      <c r="C34" s="542">
        <v>3896382.517613607</v>
      </c>
      <c r="D34" s="542">
        <v>-2.0164262634481922</v>
      </c>
      <c r="E34" s="542">
        <v>4.6410160651583855E-2</v>
      </c>
      <c r="F34" s="542">
        <v>-15586142.84052079</v>
      </c>
      <c r="G34" s="542">
        <v>-127393.24139214121</v>
      </c>
      <c r="H34" s="542">
        <v>-15586142.84052079</v>
      </c>
      <c r="I34" s="542">
        <v>-127393.24139214121</v>
      </c>
    </row>
    <row r="35" spans="1:9" x14ac:dyDescent="0.2">
      <c r="A35" s="542" t="s">
        <v>1</v>
      </c>
      <c r="B35" s="542">
        <v>6924.0674858718085</v>
      </c>
      <c r="C35" s="542">
        <v>446.5204968008278</v>
      </c>
      <c r="D35" s="542">
        <v>15.506718136077671</v>
      </c>
      <c r="E35" s="542">
        <v>1.8104060904074093E-28</v>
      </c>
      <c r="F35" s="542">
        <v>6038.2909329128679</v>
      </c>
      <c r="G35" s="542">
        <v>7809.844038830749</v>
      </c>
      <c r="H35" s="542">
        <v>6038.2909329128679</v>
      </c>
      <c r="I35" s="542">
        <v>7809.844038830749</v>
      </c>
    </row>
    <row r="36" spans="1:9" x14ac:dyDescent="0.2">
      <c r="A36" s="542" t="s">
        <v>2</v>
      </c>
      <c r="B36" s="542">
        <v>40368.824967700653</v>
      </c>
      <c r="C36" s="542">
        <v>4769.5907088930444</v>
      </c>
      <c r="D36" s="542">
        <v>8.4637922688904457</v>
      </c>
      <c r="E36" s="542">
        <v>2.1235888619163751E-13</v>
      </c>
      <c r="F36" s="542">
        <v>30907.240007060522</v>
      </c>
      <c r="G36" s="542">
        <v>49830.409928340785</v>
      </c>
      <c r="H36" s="542">
        <v>30907.240007060522</v>
      </c>
      <c r="I36" s="542">
        <v>49830.409928340785</v>
      </c>
    </row>
    <row r="37" spans="1:9" x14ac:dyDescent="0.2">
      <c r="A37" s="542" t="s">
        <v>240</v>
      </c>
      <c r="B37" s="542">
        <v>257150.70268886714</v>
      </c>
      <c r="C37" s="542">
        <v>108591.66603179116</v>
      </c>
      <c r="D37" s="542">
        <v>2.3680519149009465</v>
      </c>
      <c r="E37" s="542">
        <v>1.97857404276644E-2</v>
      </c>
      <c r="F37" s="542">
        <v>41734.048119002022</v>
      </c>
      <c r="G37" s="542">
        <v>472567.35725873226</v>
      </c>
      <c r="H37" s="542">
        <v>41734.048119002022</v>
      </c>
      <c r="I37" s="542">
        <v>472567.35725873226</v>
      </c>
    </row>
    <row r="38" spans="1:9" x14ac:dyDescent="0.2">
      <c r="A38" s="542" t="s">
        <v>262</v>
      </c>
      <c r="B38" s="542">
        <v>103148.19572950907</v>
      </c>
      <c r="C38" s="542">
        <v>18493.950499520146</v>
      </c>
      <c r="D38" s="542">
        <v>5.5774019581260053</v>
      </c>
      <c r="E38" s="542">
        <v>2.0482171908998091E-7</v>
      </c>
      <c r="F38" s="542">
        <v>66461.172756484666</v>
      </c>
      <c r="G38" s="542">
        <v>139835.21870253346</v>
      </c>
      <c r="H38" s="542">
        <v>66461.172756484666</v>
      </c>
      <c r="I38" s="542">
        <v>139835.21870253346</v>
      </c>
    </row>
    <row r="39" spans="1:9" x14ac:dyDescent="0.2">
      <c r="A39" s="542" t="s">
        <v>265</v>
      </c>
      <c r="B39" s="542">
        <v>-573917.67906933452</v>
      </c>
      <c r="C39" s="542">
        <v>189733.6088941129</v>
      </c>
      <c r="D39" s="542">
        <v>-3.024860394605303</v>
      </c>
      <c r="E39" s="542">
        <v>3.1545742887550878E-3</v>
      </c>
      <c r="F39" s="542">
        <v>-950298.1213352395</v>
      </c>
      <c r="G39" s="542">
        <v>-197537.23680342955</v>
      </c>
      <c r="H39" s="542">
        <v>-950298.1213352395</v>
      </c>
      <c r="I39" s="542">
        <v>-197537.23680342955</v>
      </c>
    </row>
    <row r="40" spans="1:9" ht="13.5" thickBot="1" x14ac:dyDescent="0.25">
      <c r="A40" s="543" t="s">
        <v>276</v>
      </c>
      <c r="B40" s="543">
        <v>11352.326816465909</v>
      </c>
      <c r="C40" s="543">
        <v>4888.7416774836374</v>
      </c>
      <c r="D40" s="543">
        <v>2.3221367716670289</v>
      </c>
      <c r="E40" s="543">
        <v>2.2232839242209066E-2</v>
      </c>
      <c r="F40" s="543">
        <v>1654.3783854004287</v>
      </c>
      <c r="G40" s="543">
        <v>21050.27524753139</v>
      </c>
      <c r="H40" s="543">
        <v>1654.3783854004287</v>
      </c>
      <c r="I40" s="543">
        <v>21050.27524753139</v>
      </c>
    </row>
    <row r="41" spans="1:9" x14ac:dyDescent="0.2">
      <c r="A41" s="532"/>
      <c r="B41" s="532"/>
      <c r="C41" s="532"/>
      <c r="D41" s="532"/>
      <c r="E41" s="532"/>
      <c r="F41" s="532"/>
      <c r="G41" s="532"/>
      <c r="H41" s="532"/>
      <c r="I41" s="532"/>
    </row>
    <row r="42" spans="1:9" x14ac:dyDescent="0.2">
      <c r="A42" s="532"/>
      <c r="B42" s="532"/>
      <c r="C42" s="532"/>
      <c r="D42" s="532"/>
      <c r="E42" s="532"/>
      <c r="F42" s="532"/>
      <c r="G42" s="532"/>
      <c r="H42" s="532"/>
      <c r="I42" s="532"/>
    </row>
    <row r="43" spans="1:9" x14ac:dyDescent="0.2">
      <c r="A43" s="748" t="s">
        <v>277</v>
      </c>
      <c r="B43" s="749"/>
      <c r="C43" s="749"/>
      <c r="D43" s="532"/>
      <c r="E43" s="532"/>
      <c r="F43" s="532"/>
      <c r="G43" s="532"/>
      <c r="H43" s="532"/>
      <c r="I43" s="532"/>
    </row>
    <row r="44" spans="1:9" x14ac:dyDescent="0.2">
      <c r="A44" s="532"/>
      <c r="B44" s="532"/>
      <c r="C44" s="532"/>
      <c r="D44" s="532"/>
      <c r="E44" s="532"/>
      <c r="F44" s="532"/>
      <c r="G44" s="532"/>
      <c r="H44" s="532"/>
      <c r="I44" s="532"/>
    </row>
    <row r="45" spans="1:9" x14ac:dyDescent="0.2">
      <c r="A45" t="s">
        <v>156</v>
      </c>
      <c r="B45"/>
      <c r="C45"/>
      <c r="D45"/>
      <c r="E45"/>
      <c r="F45"/>
      <c r="G45"/>
      <c r="H45"/>
      <c r="I45"/>
    </row>
    <row r="46" spans="1:9" ht="13.5" thickBot="1" x14ac:dyDescent="0.25">
      <c r="A46"/>
      <c r="B46"/>
      <c r="C46"/>
      <c r="D46"/>
      <c r="E46"/>
      <c r="F46"/>
      <c r="G46"/>
      <c r="H46"/>
      <c r="I46"/>
    </row>
    <row r="47" spans="1:9" x14ac:dyDescent="0.2">
      <c r="A47" s="545" t="s">
        <v>7</v>
      </c>
      <c r="B47" s="545"/>
      <c r="C47"/>
      <c r="D47"/>
      <c r="E47"/>
      <c r="F47"/>
      <c r="G47"/>
      <c r="H47"/>
      <c r="I47"/>
    </row>
    <row r="48" spans="1:9" x14ac:dyDescent="0.2">
      <c r="A48" s="542" t="s">
        <v>8</v>
      </c>
      <c r="B48" s="542">
        <v>0.88446155490795952</v>
      </c>
      <c r="C48"/>
      <c r="D48"/>
      <c r="E48"/>
      <c r="F48"/>
      <c r="G48"/>
      <c r="H48"/>
      <c r="I48"/>
    </row>
    <row r="49" spans="1:9" x14ac:dyDescent="0.2">
      <c r="A49" s="542" t="s">
        <v>9</v>
      </c>
      <c r="B49" s="542">
        <v>0.78227224211020552</v>
      </c>
      <c r="C49"/>
      <c r="D49"/>
      <c r="E49"/>
      <c r="F49"/>
      <c r="G49"/>
      <c r="H49"/>
      <c r="I49"/>
    </row>
    <row r="50" spans="1:9" x14ac:dyDescent="0.2">
      <c r="A50" s="542" t="s">
        <v>10</v>
      </c>
      <c r="B50" s="542">
        <v>0.77159931280188232</v>
      </c>
      <c r="C50"/>
      <c r="D50"/>
      <c r="E50"/>
      <c r="F50"/>
      <c r="G50"/>
      <c r="H50"/>
      <c r="I50"/>
    </row>
    <row r="51" spans="1:9" x14ac:dyDescent="0.2">
      <c r="A51" s="542" t="s">
        <v>11</v>
      </c>
      <c r="B51" s="542">
        <v>817489.222473567</v>
      </c>
      <c r="C51"/>
      <c r="D51"/>
      <c r="E51"/>
      <c r="F51"/>
      <c r="G51"/>
      <c r="H51"/>
      <c r="I51"/>
    </row>
    <row r="52" spans="1:9" ht="13.5" thickBot="1" x14ac:dyDescent="0.25">
      <c r="A52" s="543" t="s">
        <v>12</v>
      </c>
      <c r="B52" s="543">
        <v>108</v>
      </c>
      <c r="C52"/>
      <c r="D52"/>
      <c r="E52"/>
      <c r="F52"/>
      <c r="G52"/>
      <c r="H52"/>
      <c r="I52"/>
    </row>
    <row r="53" spans="1:9" x14ac:dyDescent="0.2">
      <c r="A53"/>
      <c r="B53"/>
      <c r="C53"/>
      <c r="D53"/>
      <c r="E53"/>
      <c r="F53"/>
      <c r="G53"/>
      <c r="H53"/>
      <c r="I53"/>
    </row>
    <row r="54" spans="1:9" ht="13.5" thickBot="1" x14ac:dyDescent="0.25">
      <c r="A54" t="s">
        <v>13</v>
      </c>
      <c r="B54"/>
      <c r="C54"/>
      <c r="D54"/>
      <c r="E54"/>
      <c r="F54"/>
      <c r="G54"/>
      <c r="H54"/>
      <c r="I54"/>
    </row>
    <row r="55" spans="1:9" x14ac:dyDescent="0.2">
      <c r="A55" s="544"/>
      <c r="B55" s="544" t="s">
        <v>18</v>
      </c>
      <c r="C55" s="544" t="s">
        <v>19</v>
      </c>
      <c r="D55" s="544" t="s">
        <v>20</v>
      </c>
      <c r="E55" s="544" t="s">
        <v>21</v>
      </c>
      <c r="F55" s="544" t="s">
        <v>22</v>
      </c>
      <c r="G55"/>
      <c r="H55"/>
      <c r="I55"/>
    </row>
    <row r="56" spans="1:9" x14ac:dyDescent="0.2">
      <c r="A56" s="542" t="s">
        <v>14</v>
      </c>
      <c r="B56" s="542">
        <v>5</v>
      </c>
      <c r="C56" s="542">
        <v>244911040340030.03</v>
      </c>
      <c r="D56" s="542">
        <v>48982208068006.008</v>
      </c>
      <c r="E56" s="542">
        <v>73.294989548947214</v>
      </c>
      <c r="F56" s="542">
        <v>3.3931531079445652E-32</v>
      </c>
      <c r="G56"/>
      <c r="H56"/>
      <c r="I56"/>
    </row>
    <row r="57" spans="1:9" x14ac:dyDescent="0.2">
      <c r="A57" s="542" t="s">
        <v>15</v>
      </c>
      <c r="B57" s="542">
        <v>102</v>
      </c>
      <c r="C57" s="542">
        <v>68165440143764.594</v>
      </c>
      <c r="D57" s="542">
        <v>668288628860.43713</v>
      </c>
      <c r="E57" s="542"/>
      <c r="F57" s="542"/>
      <c r="G57"/>
      <c r="H57"/>
      <c r="I57"/>
    </row>
    <row r="58" spans="1:9" ht="13.5" thickBot="1" x14ac:dyDescent="0.25">
      <c r="A58" s="543" t="s">
        <v>16</v>
      </c>
      <c r="B58" s="543">
        <v>107</v>
      </c>
      <c r="C58" s="543">
        <v>313076480483794.62</v>
      </c>
      <c r="D58" s="543"/>
      <c r="E58" s="543"/>
      <c r="F58" s="543"/>
      <c r="G58"/>
      <c r="H58"/>
      <c r="I58"/>
    </row>
    <row r="59" spans="1:9" ht="13.5" thickBot="1" x14ac:dyDescent="0.25">
      <c r="A59"/>
      <c r="B59"/>
      <c r="C59"/>
      <c r="D59"/>
      <c r="E59"/>
      <c r="F59"/>
      <c r="G59"/>
      <c r="H59"/>
      <c r="I59"/>
    </row>
    <row r="60" spans="1:9" x14ac:dyDescent="0.2">
      <c r="A60" s="544"/>
      <c r="B60" s="544" t="s">
        <v>23</v>
      </c>
      <c r="C60" s="544" t="s">
        <v>11</v>
      </c>
      <c r="D60" s="544" t="s">
        <v>24</v>
      </c>
      <c r="E60" s="544" t="s">
        <v>25</v>
      </c>
      <c r="F60" s="544" t="s">
        <v>26</v>
      </c>
      <c r="G60" s="544" t="s">
        <v>27</v>
      </c>
      <c r="H60" s="544" t="s">
        <v>28</v>
      </c>
      <c r="I60" s="544" t="s">
        <v>29</v>
      </c>
    </row>
    <row r="61" spans="1:9" x14ac:dyDescent="0.2">
      <c r="A61" s="542" t="s">
        <v>17</v>
      </c>
      <c r="B61" s="542">
        <v>-6993310.1286625648</v>
      </c>
      <c r="C61" s="542">
        <v>3961229.279388092</v>
      </c>
      <c r="D61" s="542">
        <v>-1.7654393713213317</v>
      </c>
      <c r="E61" s="542">
        <v>8.0482518862735178E-2</v>
      </c>
      <c r="F61" s="542">
        <v>-14850389.622409303</v>
      </c>
      <c r="G61" s="542">
        <v>863769.36508417409</v>
      </c>
      <c r="H61" s="542">
        <v>-14850389.622409303</v>
      </c>
      <c r="I61" s="542">
        <v>863769.36508417409</v>
      </c>
    </row>
    <row r="62" spans="1:9" x14ac:dyDescent="0.2">
      <c r="A62" s="542" t="s">
        <v>1</v>
      </c>
      <c r="B62" s="542">
        <v>6844.0558401303242</v>
      </c>
      <c r="C62" s="542">
        <v>454.67342914424449</v>
      </c>
      <c r="D62" s="542">
        <v>15.052684853416093</v>
      </c>
      <c r="E62" s="542">
        <v>1.1617467298721609E-27</v>
      </c>
      <c r="F62" s="542">
        <v>5942.2132492281889</v>
      </c>
      <c r="G62" s="542">
        <v>7745.8984310324595</v>
      </c>
      <c r="H62" s="542">
        <v>5942.2132492281889</v>
      </c>
      <c r="I62" s="542">
        <v>7745.8984310324595</v>
      </c>
    </row>
    <row r="63" spans="1:9" x14ac:dyDescent="0.2">
      <c r="A63" s="542" t="s">
        <v>2</v>
      </c>
      <c r="B63" s="542">
        <v>39649.318696684408</v>
      </c>
      <c r="C63" s="542">
        <v>4860.9127335558251</v>
      </c>
      <c r="D63" s="542">
        <v>8.1567641449264165</v>
      </c>
      <c r="E63" s="542">
        <v>9.3307410027670517E-13</v>
      </c>
      <c r="F63" s="542">
        <v>30007.721337388495</v>
      </c>
      <c r="G63" s="542">
        <v>49290.91605598032</v>
      </c>
      <c r="H63" s="542">
        <v>30007.721337388495</v>
      </c>
      <c r="I63" s="542">
        <v>49290.91605598032</v>
      </c>
    </row>
    <row r="64" spans="1:9" x14ac:dyDescent="0.2">
      <c r="A64" s="542" t="s">
        <v>240</v>
      </c>
      <c r="B64" s="542">
        <v>362266.73658879427</v>
      </c>
      <c r="C64" s="542">
        <v>100809.76482777497</v>
      </c>
      <c r="D64" s="542">
        <v>3.5935679168352057</v>
      </c>
      <c r="E64" s="542">
        <v>5.0409970217120262E-4</v>
      </c>
      <c r="F64" s="542">
        <v>162311.04603606352</v>
      </c>
      <c r="G64" s="542">
        <v>562222.42714152508</v>
      </c>
      <c r="H64" s="542">
        <v>162311.04603606352</v>
      </c>
      <c r="I64" s="542">
        <v>562222.42714152508</v>
      </c>
    </row>
    <row r="65" spans="1:9" x14ac:dyDescent="0.2">
      <c r="A65" s="542" t="s">
        <v>262</v>
      </c>
      <c r="B65" s="542">
        <v>101571.71362341999</v>
      </c>
      <c r="C65" s="542">
        <v>18875.215993065714</v>
      </c>
      <c r="D65" s="542">
        <v>5.381221261824761</v>
      </c>
      <c r="E65" s="542">
        <v>4.7376202667247568E-7</v>
      </c>
      <c r="F65" s="542">
        <v>64132.812196823877</v>
      </c>
      <c r="G65" s="542">
        <v>139010.61505001609</v>
      </c>
      <c r="H65" s="542">
        <v>64132.812196823877</v>
      </c>
      <c r="I65" s="542">
        <v>139010.61505001609</v>
      </c>
    </row>
    <row r="66" spans="1:9" ht="13.5" thickBot="1" x14ac:dyDescent="0.25">
      <c r="A66" s="543" t="s">
        <v>265</v>
      </c>
      <c r="B66" s="543">
        <v>-590829.8948009772</v>
      </c>
      <c r="C66" s="543">
        <v>193632.88975950991</v>
      </c>
      <c r="D66" s="543">
        <v>-3.0512889392643054</v>
      </c>
      <c r="E66" s="543">
        <v>2.9046647684989684E-3</v>
      </c>
      <c r="F66" s="543">
        <v>-974899.81354079419</v>
      </c>
      <c r="G66" s="543">
        <v>-206759.97606116021</v>
      </c>
      <c r="H66" s="543">
        <v>-974899.81354079419</v>
      </c>
      <c r="I66" s="543">
        <v>-206759.97606116021</v>
      </c>
    </row>
    <row r="67" spans="1:9" x14ac:dyDescent="0.2">
      <c r="A67" s="532"/>
      <c r="B67" s="532"/>
      <c r="C67" s="532"/>
      <c r="D67" s="532"/>
      <c r="E67" s="532"/>
      <c r="F67" s="532"/>
      <c r="G67" s="532"/>
      <c r="H67" s="532"/>
      <c r="I67" s="532"/>
    </row>
    <row r="68" spans="1:9" x14ac:dyDescent="0.2">
      <c r="A68" s="532"/>
      <c r="B68" s="532"/>
      <c r="C68" s="532"/>
      <c r="D68" s="532"/>
      <c r="E68" s="532"/>
      <c r="F68" s="532"/>
      <c r="G68" s="532"/>
      <c r="H68" s="532"/>
      <c r="I68" s="532"/>
    </row>
    <row r="69" spans="1:9" x14ac:dyDescent="0.2">
      <c r="A69" s="748" t="s">
        <v>278</v>
      </c>
      <c r="B69" s="749"/>
      <c r="C69" s="749"/>
      <c r="D69" s="532"/>
      <c r="E69" s="532"/>
      <c r="F69" s="532"/>
      <c r="G69" s="532"/>
      <c r="H69" s="532"/>
      <c r="I69" s="532"/>
    </row>
    <row r="70" spans="1:9" x14ac:dyDescent="0.2">
      <c r="A70" s="532"/>
      <c r="B70" s="532"/>
      <c r="C70" s="532"/>
      <c r="D70" s="532"/>
      <c r="E70" s="532"/>
      <c r="F70" s="532"/>
      <c r="G70" s="532"/>
      <c r="H70" s="532"/>
      <c r="I70" s="532"/>
    </row>
    <row r="71" spans="1:9" x14ac:dyDescent="0.2">
      <c r="A71" t="s">
        <v>156</v>
      </c>
      <c r="B71"/>
      <c r="C71"/>
      <c r="D71"/>
      <c r="E71"/>
      <c r="F71"/>
      <c r="G71"/>
      <c r="H71"/>
      <c r="I71"/>
    </row>
    <row r="72" spans="1:9" ht="13.5" thickBot="1" x14ac:dyDescent="0.25">
      <c r="A72"/>
      <c r="B72"/>
      <c r="C72"/>
      <c r="D72"/>
      <c r="E72"/>
      <c r="F72"/>
      <c r="G72"/>
      <c r="H72"/>
      <c r="I72"/>
    </row>
    <row r="73" spans="1:9" x14ac:dyDescent="0.2">
      <c r="A73" s="545" t="s">
        <v>7</v>
      </c>
      <c r="B73" s="545"/>
      <c r="C73"/>
      <c r="D73"/>
      <c r="E73"/>
      <c r="F73"/>
      <c r="G73"/>
      <c r="H73"/>
      <c r="I73"/>
    </row>
    <row r="74" spans="1:9" x14ac:dyDescent="0.2">
      <c r="A74" s="542" t="s">
        <v>8</v>
      </c>
      <c r="B74" s="542">
        <v>0.88421238131953406</v>
      </c>
      <c r="C74"/>
      <c r="D74"/>
      <c r="E74"/>
      <c r="F74"/>
      <c r="G74"/>
      <c r="H74"/>
      <c r="I74"/>
    </row>
    <row r="75" spans="1:9" x14ac:dyDescent="0.2">
      <c r="A75" s="542" t="s">
        <v>9</v>
      </c>
      <c r="B75" s="542">
        <v>0.78183153527876104</v>
      </c>
      <c r="C75"/>
      <c r="D75"/>
      <c r="E75"/>
      <c r="F75"/>
      <c r="G75"/>
      <c r="H75"/>
      <c r="I75"/>
    </row>
    <row r="76" spans="1:9" x14ac:dyDescent="0.2">
      <c r="A76" s="542" t="s">
        <v>10</v>
      </c>
      <c r="B76" s="542">
        <v>0.77113700269438656</v>
      </c>
      <c r="C76"/>
      <c r="D76"/>
      <c r="E76"/>
      <c r="F76"/>
      <c r="G76"/>
      <c r="H76"/>
      <c r="I76"/>
    </row>
    <row r="77" spans="1:9" x14ac:dyDescent="0.2">
      <c r="A77" s="542" t="s">
        <v>11</v>
      </c>
      <c r="B77" s="542">
        <v>818316.15185516363</v>
      </c>
      <c r="C77"/>
      <c r="D77"/>
      <c r="E77"/>
      <c r="F77"/>
      <c r="G77"/>
      <c r="H77"/>
      <c r="I77"/>
    </row>
    <row r="78" spans="1:9" ht="13.5" thickBot="1" x14ac:dyDescent="0.25">
      <c r="A78" s="543" t="s">
        <v>12</v>
      </c>
      <c r="B78" s="543">
        <v>108</v>
      </c>
      <c r="C78"/>
      <c r="D78"/>
      <c r="E78"/>
      <c r="F78"/>
      <c r="G78"/>
      <c r="H78"/>
      <c r="I78"/>
    </row>
    <row r="79" spans="1:9" x14ac:dyDescent="0.2">
      <c r="A79"/>
      <c r="B79"/>
      <c r="C79"/>
      <c r="D79"/>
      <c r="E79"/>
      <c r="F79"/>
      <c r="G79"/>
      <c r="H79"/>
      <c r="I79"/>
    </row>
    <row r="80" spans="1:9" ht="13.5" thickBot="1" x14ac:dyDescent="0.25">
      <c r="A80" t="s">
        <v>13</v>
      </c>
      <c r="B80"/>
      <c r="C80"/>
      <c r="D80"/>
      <c r="E80"/>
      <c r="F80"/>
      <c r="G80"/>
      <c r="H80"/>
      <c r="I80"/>
    </row>
    <row r="81" spans="1:9" x14ac:dyDescent="0.2">
      <c r="A81" s="544"/>
      <c r="B81" s="544" t="s">
        <v>18</v>
      </c>
      <c r="C81" s="544" t="s">
        <v>19</v>
      </c>
      <c r="D81" s="544" t="s">
        <v>20</v>
      </c>
      <c r="E81" s="544" t="s">
        <v>21</v>
      </c>
      <c r="F81" s="544" t="s">
        <v>22</v>
      </c>
      <c r="G81"/>
      <c r="H81"/>
      <c r="I81"/>
    </row>
    <row r="82" spans="1:9" x14ac:dyDescent="0.2">
      <c r="A82" s="542" t="s">
        <v>14</v>
      </c>
      <c r="B82" s="542">
        <v>5</v>
      </c>
      <c r="C82" s="542">
        <v>244773065396316.22</v>
      </c>
      <c r="D82" s="542">
        <v>48954613079263.242</v>
      </c>
      <c r="E82" s="542">
        <v>73.105722864510923</v>
      </c>
      <c r="F82" s="542">
        <v>3.7586534499982228E-32</v>
      </c>
      <c r="G82"/>
      <c r="H82"/>
      <c r="I82"/>
    </row>
    <row r="83" spans="1:9" x14ac:dyDescent="0.2">
      <c r="A83" s="542" t="s">
        <v>15</v>
      </c>
      <c r="B83" s="542">
        <v>102</v>
      </c>
      <c r="C83" s="542">
        <v>68303415087478.406</v>
      </c>
      <c r="D83" s="542">
        <v>669641324387.04321</v>
      </c>
      <c r="E83" s="542"/>
      <c r="F83" s="542"/>
      <c r="G83"/>
      <c r="H83"/>
      <c r="I83"/>
    </row>
    <row r="84" spans="1:9" ht="13.5" thickBot="1" x14ac:dyDescent="0.25">
      <c r="A84" s="543" t="s">
        <v>16</v>
      </c>
      <c r="B84" s="543">
        <v>107</v>
      </c>
      <c r="C84" s="543">
        <v>313076480483794.62</v>
      </c>
      <c r="D84" s="543"/>
      <c r="E84" s="543"/>
      <c r="F84" s="543"/>
      <c r="G84"/>
      <c r="H84"/>
      <c r="I84"/>
    </row>
    <row r="85" spans="1:9" ht="13.5" thickBot="1" x14ac:dyDescent="0.25">
      <c r="A85"/>
      <c r="B85"/>
      <c r="C85"/>
      <c r="D85"/>
      <c r="E85"/>
      <c r="F85"/>
      <c r="G85"/>
      <c r="H85"/>
      <c r="I85"/>
    </row>
    <row r="86" spans="1:9" x14ac:dyDescent="0.2">
      <c r="A86" s="544"/>
      <c r="B86" s="544" t="s">
        <v>23</v>
      </c>
      <c r="C86" s="544" t="s">
        <v>11</v>
      </c>
      <c r="D86" s="544" t="s">
        <v>24</v>
      </c>
      <c r="E86" s="544" t="s">
        <v>25</v>
      </c>
      <c r="F86" s="544" t="s">
        <v>26</v>
      </c>
      <c r="G86" s="544" t="s">
        <v>27</v>
      </c>
      <c r="H86" s="544" t="s">
        <v>28</v>
      </c>
      <c r="I86" s="544" t="s">
        <v>29</v>
      </c>
    </row>
    <row r="87" spans="1:9" x14ac:dyDescent="0.2">
      <c r="A87" s="542" t="s">
        <v>17</v>
      </c>
      <c r="B87" s="542">
        <v>-2062172.1397623532</v>
      </c>
      <c r="C87" s="542">
        <v>3099898.1425584839</v>
      </c>
      <c r="D87" s="542">
        <v>-0.6652386771845189</v>
      </c>
      <c r="E87" s="542">
        <v>0.50739928055774886</v>
      </c>
      <c r="F87" s="542">
        <v>-8210805.4075549878</v>
      </c>
      <c r="G87" s="542">
        <v>4086461.1280302815</v>
      </c>
      <c r="H87" s="542">
        <v>-8210805.4075549878</v>
      </c>
      <c r="I87" s="542">
        <v>4086461.1280302815</v>
      </c>
    </row>
    <row r="88" spans="1:9" x14ac:dyDescent="0.2">
      <c r="A88" s="542" t="s">
        <v>1</v>
      </c>
      <c r="B88" s="542">
        <v>6967.7408837887087</v>
      </c>
      <c r="C88" s="542">
        <v>456.10494223328038</v>
      </c>
      <c r="D88" s="542">
        <v>15.276617810084973</v>
      </c>
      <c r="E88" s="542">
        <v>4.0742466731296317E-28</v>
      </c>
      <c r="F88" s="542">
        <v>6063.0588934619</v>
      </c>
      <c r="G88" s="542">
        <v>7872.4228741155175</v>
      </c>
      <c r="H88" s="542">
        <v>6063.0588934619</v>
      </c>
      <c r="I88" s="542">
        <v>7872.4228741155175</v>
      </c>
    </row>
    <row r="89" spans="1:9" x14ac:dyDescent="0.2">
      <c r="A89" s="542" t="s">
        <v>2</v>
      </c>
      <c r="B89" s="542">
        <v>42936.611929746228</v>
      </c>
      <c r="C89" s="542">
        <v>4748.4440233021332</v>
      </c>
      <c r="D89" s="542">
        <v>9.0422487280133339</v>
      </c>
      <c r="E89" s="542">
        <v>1.0688048388049915E-14</v>
      </c>
      <c r="F89" s="542">
        <v>33518.095723975195</v>
      </c>
      <c r="G89" s="542">
        <v>52355.128135517261</v>
      </c>
      <c r="H89" s="542">
        <v>33518.095723975195</v>
      </c>
      <c r="I89" s="542">
        <v>52355.128135517261</v>
      </c>
    </row>
    <row r="90" spans="1:9" x14ac:dyDescent="0.2">
      <c r="A90" s="542" t="s">
        <v>262</v>
      </c>
      <c r="B90" s="542">
        <v>105481.90667251049</v>
      </c>
      <c r="C90" s="542">
        <v>18880.189501156172</v>
      </c>
      <c r="D90" s="542">
        <v>5.5869093192126629</v>
      </c>
      <c r="E90" s="542">
        <v>1.9301430294492835E-7</v>
      </c>
      <c r="F90" s="542">
        <v>68033.140316198536</v>
      </c>
      <c r="G90" s="542">
        <v>142930.67302882246</v>
      </c>
      <c r="H90" s="542">
        <v>68033.140316198536</v>
      </c>
      <c r="I90" s="542">
        <v>142930.67302882246</v>
      </c>
    </row>
    <row r="91" spans="1:9" x14ac:dyDescent="0.2">
      <c r="A91" s="542" t="s">
        <v>265</v>
      </c>
      <c r="B91" s="542">
        <v>-491905.75495259132</v>
      </c>
      <c r="C91" s="542">
        <v>190712.9360909354</v>
      </c>
      <c r="D91" s="542">
        <v>-2.5792993649787959</v>
      </c>
      <c r="E91" s="542">
        <v>1.1325763419842406E-2</v>
      </c>
      <c r="F91" s="542">
        <v>-870183.95943556749</v>
      </c>
      <c r="G91" s="542">
        <v>-113627.55046961521</v>
      </c>
      <c r="H91" s="542">
        <v>-870183.95943556749</v>
      </c>
      <c r="I91" s="542">
        <v>-113627.55046961521</v>
      </c>
    </row>
    <row r="92" spans="1:9" ht="13.5" thickBot="1" x14ac:dyDescent="0.25">
      <c r="A92" s="543" t="s">
        <v>276</v>
      </c>
      <c r="B92" s="543">
        <v>16178.16753206017</v>
      </c>
      <c r="C92" s="543">
        <v>4542.9952485960148</v>
      </c>
      <c r="D92" s="543">
        <v>3.5611235862639159</v>
      </c>
      <c r="E92" s="543">
        <v>5.6279523364296722E-4</v>
      </c>
      <c r="F92" s="543">
        <v>7167.1579967962771</v>
      </c>
      <c r="G92" s="543">
        <v>25189.177067324061</v>
      </c>
      <c r="H92" s="543">
        <v>7167.1579967962771</v>
      </c>
      <c r="I92" s="543">
        <v>25189.177067324061</v>
      </c>
    </row>
    <row r="93" spans="1:9" x14ac:dyDescent="0.2">
      <c r="A93" s="532"/>
      <c r="B93" s="532"/>
      <c r="C93" s="532"/>
      <c r="D93" s="532"/>
      <c r="E93" s="532"/>
      <c r="F93" s="532"/>
      <c r="G93" s="532"/>
      <c r="H93" s="532"/>
      <c r="I93" s="532"/>
    </row>
    <row r="94" spans="1:9" x14ac:dyDescent="0.2">
      <c r="A94" s="532"/>
      <c r="B94" s="532"/>
      <c r="C94" s="532"/>
      <c r="D94" s="532"/>
      <c r="E94" s="532"/>
      <c r="F94" s="532"/>
      <c r="G94" s="532"/>
      <c r="H94" s="532"/>
      <c r="I94" s="532"/>
    </row>
    <row r="95" spans="1:9" x14ac:dyDescent="0.2">
      <c r="A95" s="748" t="s">
        <v>279</v>
      </c>
      <c r="B95" s="749"/>
      <c r="C95" s="749"/>
      <c r="D95" s="532"/>
      <c r="E95" s="532"/>
      <c r="F95" s="532"/>
      <c r="G95" s="532"/>
      <c r="H95" s="532"/>
      <c r="I95" s="532"/>
    </row>
    <row r="96" spans="1:9" x14ac:dyDescent="0.2">
      <c r="A96" s="532"/>
      <c r="B96" s="532"/>
      <c r="C96" s="532"/>
      <c r="D96" s="532"/>
      <c r="E96" s="532"/>
      <c r="F96" s="532"/>
      <c r="G96" s="532"/>
      <c r="H96" s="532"/>
      <c r="I96" s="532"/>
    </row>
    <row r="97" spans="1:9" x14ac:dyDescent="0.2">
      <c r="A97" t="s">
        <v>156</v>
      </c>
      <c r="B97"/>
      <c r="C97"/>
      <c r="D97"/>
      <c r="E97"/>
      <c r="F97"/>
      <c r="G97"/>
      <c r="H97"/>
      <c r="I97"/>
    </row>
    <row r="98" spans="1:9" ht="13.5" thickBot="1" x14ac:dyDescent="0.25">
      <c r="A98"/>
      <c r="B98"/>
      <c r="C98"/>
      <c r="D98"/>
      <c r="E98"/>
      <c r="F98"/>
      <c r="G98"/>
      <c r="H98"/>
      <c r="I98"/>
    </row>
    <row r="99" spans="1:9" x14ac:dyDescent="0.2">
      <c r="A99" s="545" t="s">
        <v>7</v>
      </c>
      <c r="B99" s="545"/>
      <c r="C99"/>
      <c r="D99"/>
      <c r="E99"/>
      <c r="F99"/>
      <c r="G99"/>
      <c r="H99"/>
      <c r="I99"/>
    </row>
    <row r="100" spans="1:9" x14ac:dyDescent="0.2">
      <c r="A100" s="542" t="s">
        <v>8</v>
      </c>
      <c r="B100" s="542">
        <v>0.88010382532177234</v>
      </c>
      <c r="C100"/>
      <c r="D100"/>
      <c r="E100"/>
      <c r="F100"/>
      <c r="G100"/>
      <c r="H100"/>
      <c r="I100"/>
    </row>
    <row r="101" spans="1:9" x14ac:dyDescent="0.2">
      <c r="A101" s="542" t="s">
        <v>9</v>
      </c>
      <c r="B101" s="542">
        <v>0.77458274334601673</v>
      </c>
      <c r="C101"/>
      <c r="D101"/>
      <c r="E101"/>
      <c r="F101"/>
      <c r="G101"/>
      <c r="H101"/>
      <c r="I101"/>
    </row>
    <row r="102" spans="1:9" x14ac:dyDescent="0.2">
      <c r="A102" s="542" t="s">
        <v>10</v>
      </c>
      <c r="B102" s="542">
        <v>0.76353287782376267</v>
      </c>
      <c r="C102"/>
      <c r="D102"/>
      <c r="E102"/>
      <c r="F102"/>
      <c r="G102"/>
      <c r="H102"/>
      <c r="I102"/>
    </row>
    <row r="103" spans="1:9" x14ac:dyDescent="0.2">
      <c r="A103" s="542" t="s">
        <v>11</v>
      </c>
      <c r="B103" s="542">
        <v>831799.61619689805</v>
      </c>
      <c r="C103"/>
      <c r="D103"/>
      <c r="E103"/>
      <c r="F103"/>
      <c r="G103"/>
      <c r="H103"/>
      <c r="I103"/>
    </row>
    <row r="104" spans="1:9" ht="13.5" thickBot="1" x14ac:dyDescent="0.25">
      <c r="A104" s="543" t="s">
        <v>12</v>
      </c>
      <c r="B104" s="543">
        <v>108</v>
      </c>
      <c r="C104"/>
      <c r="D104"/>
      <c r="E104"/>
      <c r="F104"/>
      <c r="G104"/>
      <c r="H104"/>
      <c r="I104"/>
    </row>
    <row r="105" spans="1:9" x14ac:dyDescent="0.2">
      <c r="A105"/>
      <c r="B105"/>
      <c r="C105"/>
      <c r="D105"/>
      <c r="E105"/>
      <c r="F105"/>
      <c r="G105"/>
      <c r="H105"/>
      <c r="I105"/>
    </row>
    <row r="106" spans="1:9" ht="13.5" thickBot="1" x14ac:dyDescent="0.25">
      <c r="A106" t="s">
        <v>13</v>
      </c>
      <c r="B106"/>
      <c r="C106"/>
      <c r="D106"/>
      <c r="E106"/>
      <c r="F106"/>
      <c r="G106"/>
      <c r="H106"/>
      <c r="I106"/>
    </row>
    <row r="107" spans="1:9" x14ac:dyDescent="0.2">
      <c r="A107" s="544"/>
      <c r="B107" s="544" t="s">
        <v>18</v>
      </c>
      <c r="C107" s="544" t="s">
        <v>19</v>
      </c>
      <c r="D107" s="544" t="s">
        <v>20</v>
      </c>
      <c r="E107" s="544" t="s">
        <v>21</v>
      </c>
      <c r="F107" s="544" t="s">
        <v>22</v>
      </c>
      <c r="G107"/>
      <c r="H107"/>
      <c r="I107"/>
    </row>
    <row r="108" spans="1:9" x14ac:dyDescent="0.2">
      <c r="A108" s="542" t="s">
        <v>14</v>
      </c>
      <c r="B108" s="542">
        <v>5</v>
      </c>
      <c r="C108" s="542">
        <v>242503639130253.31</v>
      </c>
      <c r="D108" s="542">
        <v>48500727826050.664</v>
      </c>
      <c r="E108" s="542">
        <v>70.098838921254895</v>
      </c>
      <c r="F108" s="542">
        <v>1.9636685092204484E-31</v>
      </c>
      <c r="G108"/>
      <c r="H108"/>
      <c r="I108"/>
    </row>
    <row r="109" spans="1:9" x14ac:dyDescent="0.2">
      <c r="A109" s="542" t="s">
        <v>15</v>
      </c>
      <c r="B109" s="542">
        <v>102</v>
      </c>
      <c r="C109" s="542">
        <v>70572841353541.297</v>
      </c>
      <c r="D109" s="542">
        <v>691890601505.30688</v>
      </c>
      <c r="E109" s="542"/>
      <c r="F109" s="542"/>
      <c r="G109"/>
      <c r="H109"/>
      <c r="I109"/>
    </row>
    <row r="110" spans="1:9" ht="13.5" thickBot="1" x14ac:dyDescent="0.25">
      <c r="A110" s="543" t="s">
        <v>16</v>
      </c>
      <c r="B110" s="543">
        <v>107</v>
      </c>
      <c r="C110" s="543">
        <v>313076480483794.62</v>
      </c>
      <c r="D110" s="543"/>
      <c r="E110" s="543"/>
      <c r="F110" s="543"/>
      <c r="G110"/>
      <c r="H110"/>
      <c r="I110"/>
    </row>
    <row r="111" spans="1:9" ht="13.5" thickBot="1" x14ac:dyDescent="0.25">
      <c r="A111"/>
      <c r="B111"/>
      <c r="C111"/>
      <c r="D111"/>
      <c r="E111"/>
      <c r="F111"/>
      <c r="G111"/>
      <c r="H111"/>
      <c r="I111"/>
    </row>
    <row r="112" spans="1:9" x14ac:dyDescent="0.2">
      <c r="A112" s="544"/>
      <c r="B112" s="544" t="s">
        <v>23</v>
      </c>
      <c r="C112" s="544" t="s">
        <v>11</v>
      </c>
      <c r="D112" s="544" t="s">
        <v>24</v>
      </c>
      <c r="E112" s="544" t="s">
        <v>25</v>
      </c>
      <c r="F112" s="544" t="s">
        <v>26</v>
      </c>
      <c r="G112" s="544" t="s">
        <v>27</v>
      </c>
      <c r="H112" s="544" t="s">
        <v>28</v>
      </c>
      <c r="I112" s="544" t="s">
        <v>29</v>
      </c>
    </row>
    <row r="113" spans="1:9" x14ac:dyDescent="0.2">
      <c r="A113" s="542" t="s">
        <v>17</v>
      </c>
      <c r="B113" s="542">
        <v>-6817478.8963431548</v>
      </c>
      <c r="C113" s="542">
        <v>4033278.8562450972</v>
      </c>
      <c r="D113" s="542">
        <v>-1.6903068543815225</v>
      </c>
      <c r="E113" s="542">
        <v>9.4023234966771327E-2</v>
      </c>
      <c r="F113" s="542">
        <v>-14817468.384167224</v>
      </c>
      <c r="G113" s="542">
        <v>1182510.5914809154</v>
      </c>
      <c r="H113" s="542">
        <v>-14817468.384167224</v>
      </c>
      <c r="I113" s="542">
        <v>1182510.5914809154</v>
      </c>
    </row>
    <row r="114" spans="1:9" x14ac:dyDescent="0.2">
      <c r="A114" s="542" t="s">
        <v>1</v>
      </c>
      <c r="B114" s="542">
        <v>7489.910820285063</v>
      </c>
      <c r="C114" s="542">
        <v>421.33364365245529</v>
      </c>
      <c r="D114" s="542">
        <v>17.77667398064051</v>
      </c>
      <c r="E114" s="542">
        <v>5.1768055849334994E-33</v>
      </c>
      <c r="F114" s="542">
        <v>6654.1975358273958</v>
      </c>
      <c r="G114" s="542">
        <v>8325.6241047427302</v>
      </c>
      <c r="H114" s="542">
        <v>6654.1975358273958</v>
      </c>
      <c r="I114" s="542">
        <v>8325.6241047427302</v>
      </c>
    </row>
    <row r="115" spans="1:9" x14ac:dyDescent="0.2">
      <c r="A115" s="542" t="s">
        <v>2</v>
      </c>
      <c r="B115" s="542">
        <v>48728.176606467154</v>
      </c>
      <c r="C115" s="542">
        <v>4039.7052336927609</v>
      </c>
      <c r="D115" s="542">
        <v>12.062309942828161</v>
      </c>
      <c r="E115" s="542">
        <v>2.3734795866422737E-21</v>
      </c>
      <c r="F115" s="542">
        <v>40715.440429445909</v>
      </c>
      <c r="G115" s="542">
        <v>56740.912783488398</v>
      </c>
      <c r="H115" s="542">
        <v>40715.440429445909</v>
      </c>
      <c r="I115" s="542">
        <v>56740.912783488398</v>
      </c>
    </row>
    <row r="116" spans="1:9" x14ac:dyDescent="0.2">
      <c r="A116" s="542" t="s">
        <v>240</v>
      </c>
      <c r="B116" s="542">
        <v>197193.22613044962</v>
      </c>
      <c r="C116" s="542">
        <v>110950.68129749697</v>
      </c>
      <c r="D116" s="542">
        <v>1.7773052298949541</v>
      </c>
      <c r="E116" s="542">
        <v>7.8498641012656939E-2</v>
      </c>
      <c r="F116" s="542">
        <v>-22876.924157456931</v>
      </c>
      <c r="G116" s="542">
        <v>417263.3764183562</v>
      </c>
      <c r="H116" s="542">
        <v>-22876.924157456931</v>
      </c>
      <c r="I116" s="542">
        <v>417263.3764183562</v>
      </c>
    </row>
    <row r="117" spans="1:9" x14ac:dyDescent="0.2">
      <c r="A117" s="542" t="s">
        <v>262</v>
      </c>
      <c r="B117" s="542">
        <v>103297.86806095006</v>
      </c>
      <c r="C117" s="542">
        <v>19218.516831403522</v>
      </c>
      <c r="D117" s="542">
        <v>5.3749136297635021</v>
      </c>
      <c r="E117" s="542">
        <v>4.8686102087342872E-7</v>
      </c>
      <c r="F117" s="542">
        <v>65178.031049250247</v>
      </c>
      <c r="G117" s="542">
        <v>141417.70507264987</v>
      </c>
      <c r="H117" s="542">
        <v>65178.031049250247</v>
      </c>
      <c r="I117" s="542">
        <v>141417.70507264987</v>
      </c>
    </row>
    <row r="118" spans="1:9" ht="13.5" thickBot="1" x14ac:dyDescent="0.25">
      <c r="A118" s="543" t="s">
        <v>276</v>
      </c>
      <c r="B118" s="543">
        <v>11919.964046274319</v>
      </c>
      <c r="C118" s="543">
        <v>5076.5495433588576</v>
      </c>
      <c r="D118" s="543">
        <v>2.3480444629695412</v>
      </c>
      <c r="E118" s="543">
        <v>2.0801703160432023E-2</v>
      </c>
      <c r="F118" s="543">
        <v>1850.652097162465</v>
      </c>
      <c r="G118" s="543">
        <v>21989.275995386175</v>
      </c>
      <c r="H118" s="543">
        <v>1850.652097162465</v>
      </c>
      <c r="I118" s="543">
        <v>21989.275995386175</v>
      </c>
    </row>
    <row r="119" spans="1:9" x14ac:dyDescent="0.2">
      <c r="A119" s="532"/>
      <c r="B119" s="532"/>
      <c r="C119" s="532"/>
      <c r="D119" s="532"/>
      <c r="E119" s="532"/>
      <c r="F119" s="532"/>
      <c r="G119" s="532"/>
      <c r="H119" s="532"/>
      <c r="I119" s="532"/>
    </row>
    <row r="120" spans="1:9" x14ac:dyDescent="0.2">
      <c r="A120" s="532"/>
      <c r="B120" s="532"/>
      <c r="C120" s="532"/>
      <c r="D120" s="532"/>
      <c r="E120" s="532"/>
      <c r="F120" s="532"/>
      <c r="G120" s="532"/>
      <c r="H120" s="532"/>
      <c r="I120" s="532"/>
    </row>
    <row r="121" spans="1:9" x14ac:dyDescent="0.2">
      <c r="A121" s="748" t="s">
        <v>280</v>
      </c>
      <c r="B121" s="749"/>
      <c r="C121" s="749"/>
      <c r="D121" s="532"/>
      <c r="E121" s="532"/>
      <c r="F121" s="532"/>
      <c r="G121" s="532"/>
      <c r="H121" s="532"/>
      <c r="I121" s="532"/>
    </row>
    <row r="122" spans="1:9" x14ac:dyDescent="0.2">
      <c r="A122" s="532"/>
      <c r="B122" s="532"/>
      <c r="C122" s="532"/>
      <c r="D122" s="532"/>
      <c r="E122" s="532"/>
      <c r="F122" s="532"/>
      <c r="G122" s="532"/>
      <c r="H122" s="532"/>
      <c r="I122" s="532"/>
    </row>
    <row r="123" spans="1:9" x14ac:dyDescent="0.2">
      <c r="A123" t="s">
        <v>156</v>
      </c>
      <c r="B123"/>
      <c r="C123"/>
      <c r="D123"/>
      <c r="E123"/>
      <c r="F123"/>
      <c r="G123"/>
      <c r="H123"/>
      <c r="I123"/>
    </row>
    <row r="124" spans="1:9" ht="13.5" thickBot="1" x14ac:dyDescent="0.25">
      <c r="A124"/>
      <c r="B124"/>
      <c r="C124"/>
      <c r="D124"/>
      <c r="E124"/>
      <c r="F124"/>
      <c r="G124"/>
      <c r="H124"/>
      <c r="I124"/>
    </row>
    <row r="125" spans="1:9" x14ac:dyDescent="0.2">
      <c r="A125" s="545" t="s">
        <v>7</v>
      </c>
      <c r="B125" s="545"/>
      <c r="C125"/>
      <c r="D125"/>
      <c r="E125"/>
      <c r="F125"/>
      <c r="G125"/>
      <c r="H125"/>
      <c r="I125"/>
    </row>
    <row r="126" spans="1:9" x14ac:dyDescent="0.2">
      <c r="A126" s="542" t="s">
        <v>8</v>
      </c>
      <c r="B126" s="542">
        <v>0.88782695820536717</v>
      </c>
      <c r="C126"/>
      <c r="D126"/>
      <c r="E126"/>
      <c r="F126"/>
      <c r="G126"/>
      <c r="H126"/>
      <c r="I126"/>
    </row>
    <row r="127" spans="1:9" x14ac:dyDescent="0.2">
      <c r="A127" s="542" t="s">
        <v>9</v>
      </c>
      <c r="B127" s="542">
        <v>0.78823670771619481</v>
      </c>
      <c r="C127"/>
      <c r="D127"/>
      <c r="E127"/>
      <c r="F127"/>
      <c r="G127"/>
      <c r="H127"/>
      <c r="I127"/>
    </row>
    <row r="128" spans="1:9" x14ac:dyDescent="0.2">
      <c r="A128" s="542" t="s">
        <v>10</v>
      </c>
      <c r="B128" s="542">
        <v>0.77565671015478066</v>
      </c>
      <c r="C128"/>
      <c r="D128"/>
      <c r="E128"/>
      <c r="F128"/>
      <c r="G128"/>
      <c r="H128"/>
      <c r="I128"/>
    </row>
    <row r="129" spans="1:9" x14ac:dyDescent="0.2">
      <c r="A129" s="542" t="s">
        <v>11</v>
      </c>
      <c r="B129" s="542">
        <v>810195.58965950401</v>
      </c>
      <c r="C129"/>
      <c r="D129"/>
      <c r="E129"/>
      <c r="F129"/>
      <c r="G129"/>
      <c r="H129"/>
      <c r="I129"/>
    </row>
    <row r="130" spans="1:9" ht="13.5" thickBot="1" x14ac:dyDescent="0.25">
      <c r="A130" s="543" t="s">
        <v>12</v>
      </c>
      <c r="B130" s="543">
        <v>108</v>
      </c>
      <c r="C130"/>
      <c r="D130"/>
      <c r="E130"/>
      <c r="F130"/>
      <c r="G130"/>
      <c r="H130"/>
      <c r="I130"/>
    </row>
    <row r="131" spans="1:9" x14ac:dyDescent="0.2">
      <c r="A131"/>
      <c r="B131"/>
      <c r="C131"/>
      <c r="D131"/>
      <c r="E131"/>
      <c r="F131"/>
      <c r="G131"/>
      <c r="H131"/>
      <c r="I131"/>
    </row>
    <row r="132" spans="1:9" ht="13.5" thickBot="1" x14ac:dyDescent="0.25">
      <c r="A132" t="s">
        <v>13</v>
      </c>
      <c r="B132"/>
      <c r="C132"/>
      <c r="D132"/>
      <c r="E132"/>
      <c r="F132"/>
      <c r="G132"/>
      <c r="H132"/>
      <c r="I132"/>
    </row>
    <row r="133" spans="1:9" x14ac:dyDescent="0.2">
      <c r="A133" s="544"/>
      <c r="B133" s="544" t="s">
        <v>18</v>
      </c>
      <c r="C133" s="544" t="s">
        <v>19</v>
      </c>
      <c r="D133" s="544" t="s">
        <v>20</v>
      </c>
      <c r="E133" s="544" t="s">
        <v>21</v>
      </c>
      <c r="F133" s="544" t="s">
        <v>22</v>
      </c>
      <c r="G133"/>
      <c r="H133"/>
      <c r="I133"/>
    </row>
    <row r="134" spans="1:9" x14ac:dyDescent="0.2">
      <c r="A134" s="542" t="s">
        <v>14</v>
      </c>
      <c r="B134" s="542">
        <v>6</v>
      </c>
      <c r="C134" s="542">
        <v>246778374239919.78</v>
      </c>
      <c r="D134" s="542">
        <v>41129729039986.633</v>
      </c>
      <c r="E134" s="542">
        <v>62.657938037595741</v>
      </c>
      <c r="F134" s="542">
        <v>7.6601936905267909E-32</v>
      </c>
      <c r="G134"/>
      <c r="H134"/>
      <c r="I134"/>
    </row>
    <row r="135" spans="1:9" x14ac:dyDescent="0.2">
      <c r="A135" s="542" t="s">
        <v>15</v>
      </c>
      <c r="B135" s="542">
        <v>101</v>
      </c>
      <c r="C135" s="542">
        <v>66298106243874.852</v>
      </c>
      <c r="D135" s="542">
        <v>656416893503.71143</v>
      </c>
      <c r="E135" s="542"/>
      <c r="F135" s="542"/>
      <c r="G135"/>
      <c r="H135"/>
      <c r="I135"/>
    </row>
    <row r="136" spans="1:9" ht="13.5" thickBot="1" x14ac:dyDescent="0.25">
      <c r="A136" s="543" t="s">
        <v>16</v>
      </c>
      <c r="B136" s="543">
        <v>107</v>
      </c>
      <c r="C136" s="543">
        <v>313076480483794.62</v>
      </c>
      <c r="D136" s="543"/>
      <c r="E136" s="543"/>
      <c r="F136" s="543"/>
      <c r="G136"/>
      <c r="H136"/>
      <c r="I136"/>
    </row>
    <row r="137" spans="1:9" ht="13.5" thickBot="1" x14ac:dyDescent="0.25">
      <c r="A137"/>
      <c r="B137"/>
      <c r="C137"/>
      <c r="D137"/>
      <c r="E137"/>
      <c r="F137"/>
      <c r="G137"/>
      <c r="H137"/>
      <c r="I137"/>
    </row>
    <row r="138" spans="1:9" x14ac:dyDescent="0.2">
      <c r="A138" s="544"/>
      <c r="B138" s="544" t="s">
        <v>23</v>
      </c>
      <c r="C138" s="544" t="s">
        <v>11</v>
      </c>
      <c r="D138" s="544" t="s">
        <v>24</v>
      </c>
      <c r="E138" s="544" t="s">
        <v>25</v>
      </c>
      <c r="F138" s="544" t="s">
        <v>26</v>
      </c>
      <c r="G138" s="544" t="s">
        <v>27</v>
      </c>
      <c r="H138" s="544" t="s">
        <v>28</v>
      </c>
      <c r="I138" s="544" t="s">
        <v>29</v>
      </c>
    </row>
    <row r="139" spans="1:9" x14ac:dyDescent="0.2">
      <c r="A139" s="542" t="s">
        <v>17</v>
      </c>
      <c r="B139" s="542">
        <v>-9683854.0954533964</v>
      </c>
      <c r="C139" s="542">
        <v>3953861.8705666508</v>
      </c>
      <c r="D139" s="542">
        <v>-2.4492140627223145</v>
      </c>
      <c r="E139" s="542">
        <v>1.6038685684420986E-2</v>
      </c>
      <c r="F139" s="542">
        <v>-17527252.469500501</v>
      </c>
      <c r="G139" s="542">
        <v>-1840455.7214062912</v>
      </c>
      <c r="H139" s="542">
        <v>-17527252.469500501</v>
      </c>
      <c r="I139" s="542">
        <v>-1840455.7214062912</v>
      </c>
    </row>
    <row r="140" spans="1:9" x14ac:dyDescent="0.2">
      <c r="A140" s="542" t="s">
        <v>1</v>
      </c>
      <c r="B140" s="542">
        <v>6839.6753373526035</v>
      </c>
      <c r="C140" s="542">
        <v>448.77399048016628</v>
      </c>
      <c r="D140" s="542">
        <v>15.240801567030399</v>
      </c>
      <c r="E140" s="542">
        <v>6.1875123821680016E-28</v>
      </c>
      <c r="F140" s="542">
        <v>5949.4284591169944</v>
      </c>
      <c r="G140" s="542">
        <v>7729.9222155882126</v>
      </c>
      <c r="H140" s="542">
        <v>5949.4284591169944</v>
      </c>
      <c r="I140" s="542">
        <v>7729.9222155882126</v>
      </c>
    </row>
    <row r="141" spans="1:9" x14ac:dyDescent="0.2">
      <c r="A141" s="542" t="s">
        <v>2</v>
      </c>
      <c r="B141" s="542">
        <v>41352.641477476209</v>
      </c>
      <c r="C141" s="542">
        <v>4884.3433534522801</v>
      </c>
      <c r="D141" s="542">
        <v>8.466366609597161</v>
      </c>
      <c r="E141" s="542">
        <v>2.0963331620697622E-13</v>
      </c>
      <c r="F141" s="542">
        <v>31663.418138152774</v>
      </c>
      <c r="G141" s="542">
        <v>51041.864816799643</v>
      </c>
      <c r="H141" s="542">
        <v>31663.418138152774</v>
      </c>
      <c r="I141" s="542">
        <v>51041.864816799643</v>
      </c>
    </row>
    <row r="142" spans="1:9" x14ac:dyDescent="0.2">
      <c r="A142" s="542" t="s">
        <v>240</v>
      </c>
      <c r="B142" s="542">
        <v>263206.72986409708</v>
      </c>
      <c r="C142" s="542">
        <v>109900.8093229159</v>
      </c>
      <c r="D142" s="542">
        <v>2.3949480580323144</v>
      </c>
      <c r="E142" s="542">
        <v>1.8465890393175741E-2</v>
      </c>
      <c r="F142" s="542">
        <v>45193.087160316471</v>
      </c>
      <c r="G142" s="542">
        <v>481220.3725678777</v>
      </c>
      <c r="H142" s="542">
        <v>45193.087160316471</v>
      </c>
      <c r="I142" s="542">
        <v>481220.3725678777</v>
      </c>
    </row>
    <row r="143" spans="1:9" x14ac:dyDescent="0.2">
      <c r="A143" s="542" t="s">
        <v>262</v>
      </c>
      <c r="B143" s="542">
        <v>112203.00496410816</v>
      </c>
      <c r="C143" s="542">
        <v>18740.020274443628</v>
      </c>
      <c r="D143" s="542">
        <v>5.9873470423680928</v>
      </c>
      <c r="E143" s="542">
        <v>3.2851266416073409E-8</v>
      </c>
      <c r="F143" s="542">
        <v>75027.845749677741</v>
      </c>
      <c r="G143" s="542">
        <v>149378.16417853857</v>
      </c>
      <c r="H143" s="542">
        <v>75027.845749677741</v>
      </c>
      <c r="I143" s="542">
        <v>149378.16417853857</v>
      </c>
    </row>
    <row r="144" spans="1:9" x14ac:dyDescent="0.2">
      <c r="A144" s="542" t="s">
        <v>265</v>
      </c>
      <c r="B144" s="542">
        <v>-554204.1802676369</v>
      </c>
      <c r="C144" s="542">
        <v>192769.99639512342</v>
      </c>
      <c r="D144" s="542">
        <v>-2.8749504104968526</v>
      </c>
      <c r="E144" s="542">
        <v>4.928317119051312E-3</v>
      </c>
      <c r="F144" s="542">
        <v>-936607.9985562833</v>
      </c>
      <c r="G144" s="542">
        <v>-171800.36197899043</v>
      </c>
      <c r="H144" s="542">
        <v>-936607.9985562833</v>
      </c>
      <c r="I144" s="542">
        <v>-171800.36197899043</v>
      </c>
    </row>
    <row r="145" spans="1:9" ht="13.5" thickBot="1" x14ac:dyDescent="0.25">
      <c r="A145" s="543" t="s">
        <v>276</v>
      </c>
      <c r="B145" s="543">
        <v>12247.095845211057</v>
      </c>
      <c r="C145" s="543">
        <v>4953.3980157439946</v>
      </c>
      <c r="D145" s="543">
        <v>2.4724635101569881</v>
      </c>
      <c r="E145" s="543">
        <v>1.508893847411142E-2</v>
      </c>
      <c r="F145" s="543">
        <v>2420.886631400921</v>
      </c>
      <c r="G145" s="543">
        <v>22073.305059021193</v>
      </c>
      <c r="H145" s="543">
        <v>2420.886631400921</v>
      </c>
      <c r="I145" s="543">
        <v>22073.305059021193</v>
      </c>
    </row>
    <row r="146" spans="1:9" x14ac:dyDescent="0.2">
      <c r="A146" s="532"/>
      <c r="B146" s="532"/>
      <c r="C146" s="532"/>
      <c r="D146" s="532"/>
      <c r="E146" s="532"/>
      <c r="F146" s="532"/>
      <c r="G146" s="532"/>
      <c r="H146" s="532"/>
      <c r="I146" s="532"/>
    </row>
    <row r="147" spans="1:9" x14ac:dyDescent="0.2">
      <c r="A147" s="532"/>
      <c r="B147" s="532"/>
      <c r="C147" s="532"/>
      <c r="D147" s="532"/>
      <c r="E147" s="532"/>
      <c r="F147" s="532"/>
      <c r="G147" s="532"/>
      <c r="H147" s="532"/>
      <c r="I147" s="532"/>
    </row>
    <row r="148" spans="1:9" x14ac:dyDescent="0.2">
      <c r="A148" s="532"/>
      <c r="B148" s="532"/>
      <c r="C148" s="532"/>
      <c r="D148" s="532"/>
      <c r="E148" s="532"/>
      <c r="F148" s="532"/>
      <c r="G148" s="532"/>
      <c r="H148" s="532"/>
      <c r="I148" s="532"/>
    </row>
    <row r="149" spans="1:9" x14ac:dyDescent="0.2">
      <c r="A149" s="750" t="s">
        <v>281</v>
      </c>
      <c r="B149" s="751"/>
      <c r="C149" s="751"/>
      <c r="D149" s="751"/>
      <c r="E149" s="751"/>
      <c r="F149" s="532"/>
      <c r="G149" s="532"/>
      <c r="H149" s="532"/>
      <c r="I149" s="532"/>
    </row>
    <row r="150" spans="1:9" x14ac:dyDescent="0.2">
      <c r="A150" s="532"/>
      <c r="B150" s="532"/>
      <c r="C150" s="532"/>
      <c r="D150" s="532"/>
      <c r="E150" s="532"/>
      <c r="F150" s="532"/>
      <c r="G150" s="532"/>
      <c r="H150" s="532"/>
      <c r="I150" s="532"/>
    </row>
    <row r="151" spans="1:9" x14ac:dyDescent="0.2">
      <c r="A151" s="532"/>
      <c r="B151" s="532"/>
      <c r="C151" s="532"/>
      <c r="D151" s="532"/>
      <c r="E151" s="532"/>
      <c r="F151" s="532"/>
      <c r="G151" s="532"/>
      <c r="H151" s="532"/>
      <c r="I151" s="532"/>
    </row>
    <row r="152" spans="1:9" x14ac:dyDescent="0.2">
      <c r="A152" s="532"/>
      <c r="B152" s="532"/>
      <c r="C152" s="532"/>
      <c r="D152" s="532"/>
      <c r="E152" s="532"/>
      <c r="F152" s="532"/>
      <c r="G152" s="532"/>
      <c r="H152" s="532"/>
      <c r="I152" s="532"/>
    </row>
    <row r="153" spans="1:9" x14ac:dyDescent="0.2">
      <c r="A153" t="s">
        <v>156</v>
      </c>
      <c r="B153"/>
      <c r="C153"/>
      <c r="D153"/>
      <c r="E153"/>
      <c r="F153"/>
      <c r="G153"/>
      <c r="H153"/>
      <c r="I153"/>
    </row>
    <row r="154" spans="1:9" ht="13.5" thickBot="1" x14ac:dyDescent="0.25">
      <c r="A154"/>
      <c r="B154"/>
      <c r="C154"/>
      <c r="D154"/>
      <c r="E154"/>
      <c r="F154"/>
      <c r="G154"/>
      <c r="H154"/>
      <c r="I154"/>
    </row>
    <row r="155" spans="1:9" x14ac:dyDescent="0.2">
      <c r="A155" s="776" t="s">
        <v>7</v>
      </c>
      <c r="B155" s="776"/>
      <c r="C155"/>
      <c r="D155"/>
      <c r="E155"/>
      <c r="F155"/>
      <c r="G155"/>
      <c r="H155"/>
      <c r="I155"/>
    </row>
    <row r="156" spans="1:9" x14ac:dyDescent="0.2">
      <c r="A156" s="542" t="s">
        <v>8</v>
      </c>
      <c r="B156" s="542">
        <v>0.93837330873939917</v>
      </c>
      <c r="C156"/>
      <c r="D156"/>
      <c r="E156"/>
      <c r="F156"/>
      <c r="G156"/>
      <c r="H156"/>
      <c r="I156"/>
    </row>
    <row r="157" spans="1:9" x14ac:dyDescent="0.2">
      <c r="A157" s="542" t="s">
        <v>9</v>
      </c>
      <c r="B157" s="542">
        <v>0.88054446655452767</v>
      </c>
      <c r="C157"/>
      <c r="D157"/>
      <c r="E157"/>
      <c r="F157"/>
      <c r="G157"/>
      <c r="H157"/>
      <c r="I157"/>
    </row>
    <row r="158" spans="1:9" x14ac:dyDescent="0.2">
      <c r="A158" s="542" t="s">
        <v>10</v>
      </c>
      <c r="B158" s="542">
        <v>0.8734480982310342</v>
      </c>
      <c r="C158"/>
      <c r="D158"/>
      <c r="E158"/>
      <c r="F158"/>
      <c r="G158"/>
      <c r="H158"/>
      <c r="I158"/>
    </row>
    <row r="159" spans="1:9" x14ac:dyDescent="0.2">
      <c r="A159" s="542" t="s">
        <v>11</v>
      </c>
      <c r="B159" s="542">
        <v>555179.07254033338</v>
      </c>
      <c r="C159"/>
      <c r="D159"/>
      <c r="E159"/>
      <c r="F159"/>
      <c r="G159"/>
      <c r="H159"/>
      <c r="I159"/>
    </row>
    <row r="160" spans="1:9" ht="13.5" thickBot="1" x14ac:dyDescent="0.25">
      <c r="A160" s="543" t="s">
        <v>12</v>
      </c>
      <c r="B160" s="543">
        <v>108</v>
      </c>
      <c r="C160"/>
      <c r="D160"/>
      <c r="E160"/>
      <c r="F160"/>
      <c r="G160"/>
      <c r="H160"/>
      <c r="I160"/>
    </row>
    <row r="161" spans="1:9" x14ac:dyDescent="0.2">
      <c r="A161"/>
      <c r="B161"/>
      <c r="C161"/>
      <c r="D161"/>
      <c r="E161"/>
      <c r="F161"/>
      <c r="G161"/>
      <c r="H161"/>
      <c r="I161"/>
    </row>
    <row r="162" spans="1:9" ht="13.5" thickBot="1" x14ac:dyDescent="0.25">
      <c r="A162" t="s">
        <v>13</v>
      </c>
      <c r="B162"/>
      <c r="C162"/>
      <c r="D162"/>
      <c r="E162"/>
      <c r="F162"/>
      <c r="G162"/>
      <c r="H162"/>
      <c r="I162"/>
    </row>
    <row r="163" spans="1:9" x14ac:dyDescent="0.2">
      <c r="A163" s="777"/>
      <c r="B163" s="777" t="s">
        <v>18</v>
      </c>
      <c r="C163" s="777" t="s">
        <v>19</v>
      </c>
      <c r="D163" s="777" t="s">
        <v>20</v>
      </c>
      <c r="E163" s="777" t="s">
        <v>21</v>
      </c>
      <c r="F163" s="777" t="s">
        <v>22</v>
      </c>
      <c r="G163"/>
      <c r="H163"/>
      <c r="I163"/>
    </row>
    <row r="164" spans="1:9" x14ac:dyDescent="0.2">
      <c r="A164" s="542" t="s">
        <v>14</v>
      </c>
      <c r="B164" s="542">
        <v>6</v>
      </c>
      <c r="C164" s="542">
        <v>229473515005951.06</v>
      </c>
      <c r="D164" s="542">
        <v>38245585834325.18</v>
      </c>
      <c r="E164" s="542">
        <v>124.08381673755247</v>
      </c>
      <c r="F164" s="542">
        <v>2.6402421874744596E-44</v>
      </c>
      <c r="G164"/>
      <c r="H164"/>
      <c r="I164"/>
    </row>
    <row r="165" spans="1:9" x14ac:dyDescent="0.2">
      <c r="A165" s="542" t="s">
        <v>15</v>
      </c>
      <c r="B165" s="542">
        <v>101</v>
      </c>
      <c r="C165" s="542">
        <v>31130604061261.215</v>
      </c>
      <c r="D165" s="542">
        <v>308223802586.74469</v>
      </c>
      <c r="E165" s="542"/>
      <c r="F165" s="542"/>
      <c r="G165"/>
      <c r="H165"/>
      <c r="I165"/>
    </row>
    <row r="166" spans="1:9" ht="13.5" thickBot="1" x14ac:dyDescent="0.25">
      <c r="A166" s="543" t="s">
        <v>16</v>
      </c>
      <c r="B166" s="543">
        <v>107</v>
      </c>
      <c r="C166" s="543">
        <v>260604119067212.28</v>
      </c>
      <c r="D166" s="543"/>
      <c r="E166" s="543"/>
      <c r="F166" s="543"/>
      <c r="G166"/>
      <c r="H166"/>
      <c r="I166"/>
    </row>
    <row r="167" spans="1:9" ht="13.5" thickBot="1" x14ac:dyDescent="0.25">
      <c r="A167"/>
      <c r="B167"/>
      <c r="C167"/>
      <c r="D167"/>
      <c r="E167"/>
      <c r="F167"/>
      <c r="G167"/>
      <c r="H167"/>
      <c r="I167"/>
    </row>
    <row r="168" spans="1:9" x14ac:dyDescent="0.2">
      <c r="A168" s="777"/>
      <c r="B168" s="777" t="s">
        <v>23</v>
      </c>
      <c r="C168" s="777" t="s">
        <v>11</v>
      </c>
      <c r="D168" s="777" t="s">
        <v>24</v>
      </c>
      <c r="E168" s="777" t="s">
        <v>25</v>
      </c>
      <c r="F168" s="777" t="s">
        <v>26</v>
      </c>
      <c r="G168" s="777" t="s">
        <v>27</v>
      </c>
      <c r="H168" s="777" t="s">
        <v>28</v>
      </c>
      <c r="I168" s="777" t="s">
        <v>29</v>
      </c>
    </row>
    <row r="169" spans="1:9" x14ac:dyDescent="0.2">
      <c r="A169" s="542" t="s">
        <v>17</v>
      </c>
      <c r="B169" s="542">
        <v>2748169.9148839433</v>
      </c>
      <c r="C169" s="542">
        <v>2709347.464081239</v>
      </c>
      <c r="D169" s="542">
        <v>1.0143290778747971</v>
      </c>
      <c r="E169" s="542">
        <v>0.31284950152103819</v>
      </c>
      <c r="F169" s="542">
        <v>-2626446.6473931568</v>
      </c>
      <c r="G169" s="542">
        <v>8122786.4771610433</v>
      </c>
      <c r="H169" s="542">
        <v>-2626446.6473931568</v>
      </c>
      <c r="I169" s="542">
        <v>8122786.4771610433</v>
      </c>
    </row>
    <row r="170" spans="1:9" x14ac:dyDescent="0.2">
      <c r="A170" s="542" t="s">
        <v>1</v>
      </c>
      <c r="B170" s="542">
        <v>6601.0454019233221</v>
      </c>
      <c r="C170" s="542">
        <v>307.51824743912988</v>
      </c>
      <c r="D170" s="542">
        <v>21.465540522859321</v>
      </c>
      <c r="E170" s="542">
        <v>2.0247311041532783E-39</v>
      </c>
      <c r="F170" s="542">
        <v>5991.0119205037472</v>
      </c>
      <c r="G170" s="542">
        <v>7211.0788833428969</v>
      </c>
      <c r="H170" s="542">
        <v>5991.0119205037472</v>
      </c>
      <c r="I170" s="542">
        <v>7211.0788833428969</v>
      </c>
    </row>
    <row r="171" spans="1:9" x14ac:dyDescent="0.2">
      <c r="A171" s="542" t="s">
        <v>2</v>
      </c>
      <c r="B171" s="542">
        <v>37782.791117058805</v>
      </c>
      <c r="C171" s="542">
        <v>3346.9513381056563</v>
      </c>
      <c r="D171" s="542">
        <v>11.288718388849812</v>
      </c>
      <c r="E171" s="542">
        <v>1.32696731501961E-19</v>
      </c>
      <c r="F171" s="542">
        <v>31143.339982274869</v>
      </c>
      <c r="G171" s="542">
        <v>44422.242251842741</v>
      </c>
      <c r="H171" s="542">
        <v>31143.339982274869</v>
      </c>
      <c r="I171" s="542">
        <v>44422.242251842741</v>
      </c>
    </row>
    <row r="172" spans="1:9" x14ac:dyDescent="0.2">
      <c r="A172" s="542" t="s">
        <v>240</v>
      </c>
      <c r="B172" s="542">
        <v>387333.98593829427</v>
      </c>
      <c r="C172" s="542">
        <v>75308.518301081742</v>
      </c>
      <c r="D172" s="542">
        <v>5.1432958007451672</v>
      </c>
      <c r="E172" s="542">
        <v>1.3281834356437105E-6</v>
      </c>
      <c r="F172" s="542">
        <v>237942.1433977889</v>
      </c>
      <c r="G172" s="542">
        <v>536725.82847879967</v>
      </c>
      <c r="H172" s="542">
        <v>237942.1433977889</v>
      </c>
      <c r="I172" s="542">
        <v>536725.82847879967</v>
      </c>
    </row>
    <row r="173" spans="1:9" x14ac:dyDescent="0.2">
      <c r="A173" s="542" t="s">
        <v>262</v>
      </c>
      <c r="B173" s="542">
        <v>5735.070043849686</v>
      </c>
      <c r="C173" s="542">
        <v>12841.426450772349</v>
      </c>
      <c r="D173" s="542">
        <v>0.44660692998827628</v>
      </c>
      <c r="E173" s="542">
        <v>0.65611501943334649</v>
      </c>
      <c r="F173" s="542">
        <v>-19738.865728721576</v>
      </c>
      <c r="G173" s="542">
        <v>31209.005816420948</v>
      </c>
      <c r="H173" s="542">
        <v>-19738.865728721576</v>
      </c>
      <c r="I173" s="542">
        <v>31209.005816420948</v>
      </c>
    </row>
    <row r="174" spans="1:9" x14ac:dyDescent="0.2">
      <c r="A174" s="542" t="s">
        <v>265</v>
      </c>
      <c r="B174" s="542">
        <v>-718068.21434530569</v>
      </c>
      <c r="C174" s="542">
        <v>132093.86619498319</v>
      </c>
      <c r="D174" s="542">
        <v>-5.436045102089512</v>
      </c>
      <c r="E174" s="542">
        <v>3.7959038277161799E-7</v>
      </c>
      <c r="F174" s="542">
        <v>-980106.91201656312</v>
      </c>
      <c r="G174" s="542">
        <v>-456029.51667404827</v>
      </c>
      <c r="H174" s="542">
        <v>-980106.91201656312</v>
      </c>
      <c r="I174" s="542">
        <v>-456029.51667404827</v>
      </c>
    </row>
    <row r="175" spans="1:9" ht="13.5" thickBot="1" x14ac:dyDescent="0.25">
      <c r="A175" s="543" t="s">
        <v>276</v>
      </c>
      <c r="B175" s="543">
        <v>7693.7935715923859</v>
      </c>
      <c r="C175" s="543">
        <v>3394.2704100124934</v>
      </c>
      <c r="D175" s="543">
        <v>2.2667002454775154</v>
      </c>
      <c r="E175" s="543">
        <v>2.554037345101583E-2</v>
      </c>
      <c r="F175" s="543">
        <v>960.47412683577113</v>
      </c>
      <c r="G175" s="543">
        <v>14427.113016349002</v>
      </c>
      <c r="H175" s="543">
        <v>960.47412683577113</v>
      </c>
      <c r="I175" s="543">
        <v>14427.113016349002</v>
      </c>
    </row>
    <row r="178" spans="1:9" x14ac:dyDescent="0.2">
      <c r="A178" s="750" t="s">
        <v>358</v>
      </c>
      <c r="B178" s="751"/>
      <c r="C178" s="751"/>
      <c r="D178" s="751"/>
      <c r="E178" s="751"/>
      <c r="F178" s="751"/>
    </row>
    <row r="180" spans="1:9" x14ac:dyDescent="0.2">
      <c r="A180" t="s">
        <v>156</v>
      </c>
      <c r="B180"/>
      <c r="C180"/>
      <c r="D180"/>
      <c r="E180"/>
      <c r="F180"/>
      <c r="G180"/>
      <c r="H180"/>
      <c r="I180"/>
    </row>
    <row r="181" spans="1:9" ht="13.5" thickBot="1" x14ac:dyDescent="0.25">
      <c r="A181"/>
      <c r="B181"/>
      <c r="C181"/>
      <c r="D181"/>
      <c r="E181"/>
      <c r="F181"/>
      <c r="G181"/>
      <c r="H181"/>
      <c r="I181"/>
    </row>
    <row r="182" spans="1:9" x14ac:dyDescent="0.2">
      <c r="A182" s="776" t="s">
        <v>7</v>
      </c>
      <c r="B182" s="776"/>
      <c r="C182"/>
      <c r="D182"/>
      <c r="E182"/>
      <c r="F182"/>
      <c r="G182"/>
      <c r="H182"/>
      <c r="I182"/>
    </row>
    <row r="183" spans="1:9" x14ac:dyDescent="0.2">
      <c r="A183" s="542" t="s">
        <v>8</v>
      </c>
      <c r="B183" s="542">
        <v>0.93612971280501212</v>
      </c>
      <c r="C183"/>
      <c r="D183"/>
      <c r="E183"/>
      <c r="F183"/>
      <c r="G183"/>
      <c r="H183"/>
      <c r="I183"/>
    </row>
    <row r="184" spans="1:9" x14ac:dyDescent="0.2">
      <c r="A184" s="542" t="s">
        <v>9</v>
      </c>
      <c r="B184" s="542">
        <v>0.87633883919639455</v>
      </c>
      <c r="C184"/>
      <c r="D184"/>
      <c r="E184"/>
      <c r="F184"/>
      <c r="G184"/>
      <c r="H184"/>
      <c r="I184"/>
    </row>
    <row r="185" spans="1:9" x14ac:dyDescent="0.2">
      <c r="A185" s="542" t="s">
        <v>10</v>
      </c>
      <c r="B185" s="542">
        <v>0.86977275986168989</v>
      </c>
      <c r="C185"/>
      <c r="D185"/>
      <c r="E185"/>
      <c r="F185"/>
      <c r="G185"/>
      <c r="H185"/>
      <c r="I185"/>
    </row>
    <row r="186" spans="1:9" x14ac:dyDescent="0.2">
      <c r="A186" s="542" t="s">
        <v>11</v>
      </c>
      <c r="B186" s="542">
        <v>562293.8466490329</v>
      </c>
      <c r="C186"/>
      <c r="D186"/>
      <c r="E186"/>
      <c r="F186"/>
      <c r="G186"/>
      <c r="H186"/>
      <c r="I186"/>
    </row>
    <row r="187" spans="1:9" ht="13.5" thickBot="1" x14ac:dyDescent="0.25">
      <c r="A187" s="543" t="s">
        <v>12</v>
      </c>
      <c r="B187" s="543">
        <v>120</v>
      </c>
      <c r="C187"/>
      <c r="D187"/>
      <c r="E187"/>
      <c r="F187"/>
      <c r="G187"/>
      <c r="H187"/>
      <c r="I187"/>
    </row>
    <row r="188" spans="1:9" x14ac:dyDescent="0.2">
      <c r="A188"/>
      <c r="B188"/>
      <c r="C188"/>
      <c r="D188"/>
      <c r="E188"/>
      <c r="F188"/>
      <c r="G188"/>
      <c r="H188"/>
      <c r="I188"/>
    </row>
    <row r="189" spans="1:9" ht="13.5" thickBot="1" x14ac:dyDescent="0.25">
      <c r="A189" t="s">
        <v>13</v>
      </c>
      <c r="B189"/>
      <c r="C189"/>
      <c r="D189"/>
      <c r="E189"/>
      <c r="F189"/>
      <c r="G189"/>
      <c r="H189"/>
      <c r="I189"/>
    </row>
    <row r="190" spans="1:9" x14ac:dyDescent="0.2">
      <c r="A190" s="777"/>
      <c r="B190" s="777" t="s">
        <v>18</v>
      </c>
      <c r="C190" s="777" t="s">
        <v>19</v>
      </c>
      <c r="D190" s="777" t="s">
        <v>20</v>
      </c>
      <c r="E190" s="777" t="s">
        <v>21</v>
      </c>
      <c r="F190" s="777" t="s">
        <v>22</v>
      </c>
      <c r="G190"/>
      <c r="H190"/>
      <c r="I190"/>
    </row>
    <row r="191" spans="1:9" x14ac:dyDescent="0.2">
      <c r="A191" s="542" t="s">
        <v>14</v>
      </c>
      <c r="B191" s="542">
        <v>6</v>
      </c>
      <c r="C191" s="542">
        <v>253188424550611.62</v>
      </c>
      <c r="D191" s="542">
        <v>42198070758435.273</v>
      </c>
      <c r="E191" s="542">
        <v>133.46455236453593</v>
      </c>
      <c r="F191" s="542">
        <v>6.6750091410471063E-49</v>
      </c>
      <c r="G191"/>
      <c r="H191"/>
      <c r="I191"/>
    </row>
    <row r="192" spans="1:9" x14ac:dyDescent="0.2">
      <c r="A192" s="542" t="s">
        <v>15</v>
      </c>
      <c r="B192" s="542">
        <v>113</v>
      </c>
      <c r="C192" s="542">
        <v>35727703807668.375</v>
      </c>
      <c r="D192" s="542">
        <v>316174369979.36615</v>
      </c>
      <c r="E192" s="542"/>
      <c r="F192" s="542"/>
      <c r="G192"/>
      <c r="H192"/>
      <c r="I192"/>
    </row>
    <row r="193" spans="1:9" ht="13.5" thickBot="1" x14ac:dyDescent="0.25">
      <c r="A193" s="543" t="s">
        <v>16</v>
      </c>
      <c r="B193" s="543">
        <v>119</v>
      </c>
      <c r="C193" s="543">
        <v>288916128358280</v>
      </c>
      <c r="D193" s="543"/>
      <c r="E193" s="543"/>
      <c r="F193" s="543"/>
      <c r="G193"/>
      <c r="H193"/>
      <c r="I193"/>
    </row>
    <row r="194" spans="1:9" ht="13.5" thickBot="1" x14ac:dyDescent="0.25">
      <c r="A194"/>
      <c r="B194"/>
      <c r="C194"/>
      <c r="D194"/>
      <c r="E194"/>
      <c r="F194"/>
      <c r="G194"/>
      <c r="H194"/>
      <c r="I194"/>
    </row>
    <row r="195" spans="1:9" x14ac:dyDescent="0.2">
      <c r="A195" s="777"/>
      <c r="B195" s="777" t="s">
        <v>23</v>
      </c>
      <c r="C195" s="777" t="s">
        <v>11</v>
      </c>
      <c r="D195" s="777" t="s">
        <v>24</v>
      </c>
      <c r="E195" s="777" t="s">
        <v>25</v>
      </c>
      <c r="F195" s="777" t="s">
        <v>26</v>
      </c>
      <c r="G195" s="777" t="s">
        <v>27</v>
      </c>
      <c r="H195" s="777" t="s">
        <v>28</v>
      </c>
      <c r="I195" s="777" t="s">
        <v>29</v>
      </c>
    </row>
    <row r="196" spans="1:9" x14ac:dyDescent="0.2">
      <c r="A196" s="542" t="s">
        <v>17</v>
      </c>
      <c r="B196" s="542">
        <v>-208229.04637622135</v>
      </c>
      <c r="C196" s="542">
        <v>2656633.6329958383</v>
      </c>
      <c r="D196" s="542">
        <v>-7.8380791310469544E-2</v>
      </c>
      <c r="E196" s="542">
        <v>0.93766378027039332</v>
      </c>
      <c r="F196" s="542">
        <v>-5471499.4222279955</v>
      </c>
      <c r="G196" s="542">
        <v>5055041.3294755537</v>
      </c>
      <c r="H196" s="542">
        <v>-5471499.4222279955</v>
      </c>
      <c r="I196" s="542">
        <v>5055041.3294755537</v>
      </c>
    </row>
    <row r="197" spans="1:9" x14ac:dyDescent="0.2">
      <c r="A197" s="542" t="s">
        <v>1</v>
      </c>
      <c r="B197" s="542">
        <v>6515.5101354611243</v>
      </c>
      <c r="C197" s="542">
        <v>286.55695155010562</v>
      </c>
      <c r="D197" s="542">
        <v>22.737225882031556</v>
      </c>
      <c r="E197" s="542">
        <v>5.6683761577781432E-44</v>
      </c>
      <c r="F197" s="542">
        <v>5947.7891311963158</v>
      </c>
      <c r="G197" s="542">
        <v>7083.2311397259327</v>
      </c>
      <c r="H197" s="542">
        <v>5947.7891311963158</v>
      </c>
      <c r="I197" s="542">
        <v>7083.2311397259327</v>
      </c>
    </row>
    <row r="198" spans="1:9" x14ac:dyDescent="0.2">
      <c r="A198" s="542" t="s">
        <v>2</v>
      </c>
      <c r="B198" s="542">
        <v>39804.224197698772</v>
      </c>
      <c r="C198" s="542">
        <v>3223.7489369966256</v>
      </c>
      <c r="D198" s="542">
        <v>12.347184900441407</v>
      </c>
      <c r="E198" s="542">
        <v>1.0857814462385689E-22</v>
      </c>
      <c r="F198" s="542">
        <v>33417.396120037163</v>
      </c>
      <c r="G198" s="542">
        <v>46191.05227536038</v>
      </c>
      <c r="H198" s="542">
        <v>33417.396120037163</v>
      </c>
      <c r="I198" s="542">
        <v>46191.05227536038</v>
      </c>
    </row>
    <row r="199" spans="1:9" x14ac:dyDescent="0.2">
      <c r="A199" s="542" t="s">
        <v>240</v>
      </c>
      <c r="B199" s="542">
        <v>379690.6454206928</v>
      </c>
      <c r="C199" s="542">
        <v>72377.53761177967</v>
      </c>
      <c r="D199" s="542">
        <v>5.245973515392115</v>
      </c>
      <c r="E199" s="542">
        <v>7.3422846936786369E-7</v>
      </c>
      <c r="F199" s="542">
        <v>236297.68944143894</v>
      </c>
      <c r="G199" s="542">
        <v>523083.60139994667</v>
      </c>
      <c r="H199" s="542">
        <v>236297.68944143894</v>
      </c>
      <c r="I199" s="542">
        <v>523083.60139994667</v>
      </c>
    </row>
    <row r="200" spans="1:9" x14ac:dyDescent="0.2">
      <c r="A200" s="542" t="s">
        <v>262</v>
      </c>
      <c r="B200" s="542">
        <v>29288.577805147012</v>
      </c>
      <c r="C200" s="542">
        <v>12989.58022095814</v>
      </c>
      <c r="D200" s="542">
        <v>2.2547747738522856</v>
      </c>
      <c r="E200" s="542">
        <v>2.6074294680364513E-2</v>
      </c>
      <c r="F200" s="542">
        <v>3553.8765943435756</v>
      </c>
      <c r="G200" s="542">
        <v>55023.279015950451</v>
      </c>
      <c r="H200" s="542">
        <v>3553.8765943435756</v>
      </c>
      <c r="I200" s="542">
        <v>55023.279015950451</v>
      </c>
    </row>
    <row r="201" spans="1:9" x14ac:dyDescent="0.2">
      <c r="A201" s="876" t="s">
        <v>361</v>
      </c>
      <c r="B201" s="542">
        <v>-666791.39084453194</v>
      </c>
      <c r="C201" s="542">
        <v>124829.37490071786</v>
      </c>
      <c r="D201" s="542">
        <v>-5.3416224456371717</v>
      </c>
      <c r="E201" s="542">
        <v>4.8285338329649991E-7</v>
      </c>
      <c r="F201" s="542">
        <v>-914100.89667584375</v>
      </c>
      <c r="G201" s="542">
        <v>-419481.88501322013</v>
      </c>
      <c r="H201" s="542">
        <v>-914100.89667584375</v>
      </c>
      <c r="I201" s="542">
        <v>-419481.88501322013</v>
      </c>
    </row>
    <row r="202" spans="1:9" ht="13.5" thickBot="1" x14ac:dyDescent="0.25">
      <c r="A202" s="543" t="s">
        <v>263</v>
      </c>
      <c r="B202" s="543">
        <v>7607.1365114655027</v>
      </c>
      <c r="C202" s="543">
        <v>3416.9211046044488</v>
      </c>
      <c r="D202" s="543">
        <v>2.226313186223281</v>
      </c>
      <c r="E202" s="543">
        <v>2.797663288489936E-2</v>
      </c>
      <c r="F202" s="543">
        <v>837.59952935371621</v>
      </c>
      <c r="G202" s="543">
        <v>14376.673493577289</v>
      </c>
      <c r="H202" s="543">
        <v>837.59952935371621</v>
      </c>
      <c r="I202" s="543">
        <v>14376.673493577289</v>
      </c>
    </row>
    <row r="203" spans="1:9" x14ac:dyDescent="0.2">
      <c r="A203"/>
      <c r="B203"/>
      <c r="C203"/>
      <c r="D203"/>
      <c r="E203"/>
      <c r="F203"/>
      <c r="G203"/>
      <c r="H203"/>
      <c r="I203"/>
    </row>
    <row r="204" spans="1:9" x14ac:dyDescent="0.2">
      <c r="A204"/>
      <c r="B204"/>
      <c r="C204"/>
      <c r="D204"/>
      <c r="E204"/>
      <c r="F204"/>
      <c r="G204"/>
      <c r="H204"/>
      <c r="I204"/>
    </row>
    <row r="205" spans="1:9" x14ac:dyDescent="0.2">
      <c r="A205"/>
      <c r="B205"/>
      <c r="C205"/>
      <c r="D205"/>
      <c r="E205"/>
      <c r="F205"/>
      <c r="G205"/>
      <c r="H205"/>
      <c r="I205"/>
    </row>
  </sheetData>
  <phoneticPr fontId="0" type="noConversion"/>
  <pageMargins left="0.75" right="0.75" top="1" bottom="1" header="0.5" footer="0.5"/>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6"/>
  <sheetViews>
    <sheetView showGridLines="0" topLeftCell="J9" zoomScaleNormal="100" workbookViewId="0">
      <selection activeCell="X31" sqref="X31"/>
    </sheetView>
  </sheetViews>
  <sheetFormatPr defaultColWidth="11.1640625" defaultRowHeight="12.75" x14ac:dyDescent="0.2"/>
  <cols>
    <col min="1" max="1" width="13.6640625" style="1" customWidth="1"/>
    <col min="2" max="2" width="15" style="52" customWidth="1"/>
    <col min="3" max="3" width="16" style="52" customWidth="1"/>
    <col min="4" max="7" width="15" style="52" customWidth="1"/>
    <col min="8" max="8" width="15" style="1" customWidth="1"/>
    <col min="9" max="9" width="3.33203125" style="58" customWidth="1"/>
    <col min="10" max="16" width="15" style="1" customWidth="1"/>
    <col min="17" max="17" width="3.1640625" style="58" customWidth="1"/>
    <col min="18" max="24" width="15" style="1" customWidth="1"/>
    <col min="25" max="25" width="3" style="1" customWidth="1"/>
    <col min="26" max="32" width="15" style="1" customWidth="1"/>
    <col min="33" max="33" width="2.83203125" style="1" customWidth="1"/>
    <col min="34" max="40" width="15" style="1" customWidth="1"/>
    <col min="41" max="41" width="3.83203125" style="1" customWidth="1"/>
    <col min="42" max="16384" width="11.1640625" style="1"/>
  </cols>
  <sheetData>
    <row r="1" spans="1:17" s="532" customFormat="1" x14ac:dyDescent="0.2">
      <c r="A1" s="726" t="s">
        <v>266</v>
      </c>
      <c r="B1" s="52"/>
      <c r="C1" s="52"/>
      <c r="D1" s="52"/>
      <c r="E1" s="52"/>
      <c r="F1" s="52"/>
      <c r="G1" s="52"/>
      <c r="I1" s="58"/>
      <c r="Q1" s="58"/>
    </row>
    <row r="2" spans="1:17" s="532" customFormat="1" x14ac:dyDescent="0.2">
      <c r="B2" s="52"/>
      <c r="C2" s="52"/>
      <c r="D2" s="52"/>
      <c r="E2" s="52"/>
      <c r="F2" s="52"/>
      <c r="G2" s="52"/>
      <c r="I2" s="58"/>
      <c r="Q2" s="58"/>
    </row>
    <row r="3" spans="1:17" s="532" customFormat="1" x14ac:dyDescent="0.2">
      <c r="B3" s="52"/>
      <c r="C3" s="52"/>
      <c r="D3" s="52"/>
      <c r="E3" s="52"/>
      <c r="F3" s="52"/>
      <c r="G3" s="52"/>
      <c r="I3" s="58"/>
      <c r="Q3" s="58"/>
    </row>
    <row r="4" spans="1:17" s="532" customFormat="1" x14ac:dyDescent="0.2">
      <c r="B4" s="52"/>
      <c r="C4" s="52"/>
      <c r="D4" s="52"/>
      <c r="E4" s="52"/>
      <c r="F4" s="52"/>
      <c r="G4" s="52"/>
      <c r="I4" s="58"/>
      <c r="Q4" s="58"/>
    </row>
    <row r="5" spans="1:17" s="532" customFormat="1" x14ac:dyDescent="0.2">
      <c r="B5" s="52"/>
      <c r="C5" s="52"/>
      <c r="D5" s="52"/>
      <c r="E5" s="52"/>
      <c r="F5" s="52"/>
      <c r="G5" s="52"/>
      <c r="I5" s="58"/>
      <c r="Q5" s="58"/>
    </row>
    <row r="6" spans="1:17" s="532" customFormat="1" x14ac:dyDescent="0.2">
      <c r="B6" s="52"/>
      <c r="C6" s="52"/>
      <c r="D6" s="52"/>
      <c r="E6" s="52"/>
      <c r="F6" s="52"/>
      <c r="G6" s="52"/>
      <c r="I6" s="58"/>
      <c r="Q6" s="58"/>
    </row>
    <row r="7" spans="1:17" s="532" customFormat="1" x14ac:dyDescent="0.2">
      <c r="B7" s="52"/>
      <c r="C7" s="52"/>
      <c r="D7" s="52"/>
      <c r="E7" s="52"/>
      <c r="F7" s="52"/>
      <c r="G7" s="52"/>
      <c r="I7" s="58"/>
      <c r="Q7" s="58"/>
    </row>
    <row r="8" spans="1:17" s="532" customFormat="1" x14ac:dyDescent="0.2">
      <c r="B8" s="52"/>
      <c r="C8" s="52"/>
      <c r="D8" s="52"/>
      <c r="E8" s="52"/>
      <c r="F8" s="52"/>
      <c r="G8" s="52"/>
      <c r="I8" s="58"/>
      <c r="Q8" s="58"/>
    </row>
    <row r="9" spans="1:17" s="532" customFormat="1" x14ac:dyDescent="0.2">
      <c r="B9" s="52"/>
      <c r="C9" s="52"/>
      <c r="D9" s="52"/>
      <c r="E9" s="52"/>
      <c r="F9" s="52"/>
      <c r="G9" s="52"/>
      <c r="I9" s="58"/>
      <c r="Q9" s="58"/>
    </row>
    <row r="10" spans="1:17" s="532" customFormat="1" x14ac:dyDescent="0.2">
      <c r="B10" s="52"/>
      <c r="C10" s="52"/>
      <c r="D10" s="52"/>
      <c r="E10" s="52"/>
      <c r="F10" s="52"/>
      <c r="G10" s="52"/>
      <c r="I10" s="58"/>
      <c r="Q10" s="58"/>
    </row>
    <row r="11" spans="1:17" s="58" customFormat="1" ht="15.75" customHeight="1" x14ac:dyDescent="0.2">
      <c r="B11" s="132" t="s">
        <v>44</v>
      </c>
      <c r="D11" s="3"/>
      <c r="E11" s="3"/>
      <c r="F11" s="3"/>
      <c r="G11" s="3"/>
      <c r="H11" s="3"/>
      <c r="I11" s="3"/>
    </row>
    <row r="12" spans="1:17" s="58" customFormat="1" ht="15.75" customHeight="1" x14ac:dyDescent="0.2">
      <c r="B12" s="57" t="s">
        <v>63</v>
      </c>
      <c r="D12" s="3"/>
      <c r="E12" s="3"/>
      <c r="F12" s="3"/>
      <c r="G12" s="3"/>
      <c r="H12" s="3"/>
      <c r="I12" s="3"/>
    </row>
    <row r="13" spans="1:17" s="58" customFormat="1" ht="15.75" customHeight="1" x14ac:dyDescent="0.2">
      <c r="B13" s="99" t="s">
        <v>252</v>
      </c>
      <c r="D13" s="3"/>
      <c r="E13" s="3"/>
      <c r="F13" s="3"/>
      <c r="G13" s="3"/>
      <c r="H13" s="3"/>
      <c r="I13" s="3"/>
    </row>
    <row r="14" spans="1:17" s="58" customFormat="1" ht="15.75" customHeight="1" x14ac:dyDescent="0.2">
      <c r="B14" s="99" t="s">
        <v>253</v>
      </c>
      <c r="D14" s="3"/>
      <c r="E14" s="3"/>
      <c r="F14" s="3"/>
      <c r="G14" s="3"/>
      <c r="H14" s="3"/>
      <c r="I14" s="3"/>
    </row>
    <row r="15" spans="1:17" ht="12.75" customHeight="1" thickBot="1" x14ac:dyDescent="0.25"/>
    <row r="16" spans="1:17" ht="15.75" thickBot="1" x14ac:dyDescent="0.3">
      <c r="B16" s="315" t="s">
        <v>178</v>
      </c>
      <c r="G16" s="556" t="s">
        <v>177</v>
      </c>
    </row>
    <row r="17" spans="2:40" ht="12.75" customHeight="1" x14ac:dyDescent="0.2"/>
    <row r="18" spans="2:40" ht="12.75" customHeight="1" thickBot="1" x14ac:dyDescent="0.25"/>
    <row r="19" spans="2:40" ht="14.25" customHeight="1" thickBot="1" x14ac:dyDescent="0.25">
      <c r="B19" s="926" t="s">
        <v>6</v>
      </c>
      <c r="C19" s="927"/>
      <c r="D19" s="927"/>
      <c r="E19" s="927"/>
      <c r="F19" s="927"/>
      <c r="G19" s="927"/>
      <c r="H19" s="928"/>
      <c r="I19" s="145"/>
      <c r="J19" s="926" t="s">
        <v>96</v>
      </c>
      <c r="K19" s="927"/>
      <c r="L19" s="927"/>
      <c r="M19" s="927"/>
      <c r="N19" s="927"/>
      <c r="O19" s="927"/>
      <c r="P19" s="928"/>
      <c r="Q19" s="145"/>
      <c r="R19" s="926" t="s">
        <v>103</v>
      </c>
      <c r="S19" s="927"/>
      <c r="T19" s="927"/>
      <c r="U19" s="927"/>
      <c r="V19" s="927"/>
      <c r="W19" s="927"/>
      <c r="X19" s="928"/>
      <c r="Z19" s="926"/>
      <c r="AA19" s="927"/>
      <c r="AB19" s="927"/>
      <c r="AC19" s="927"/>
      <c r="AD19" s="927"/>
      <c r="AE19" s="927"/>
      <c r="AF19" s="928"/>
      <c r="AH19" s="926"/>
      <c r="AI19" s="927"/>
      <c r="AJ19" s="927"/>
      <c r="AK19" s="927"/>
      <c r="AL19" s="927"/>
      <c r="AM19" s="927"/>
      <c r="AN19" s="928"/>
    </row>
    <row r="20" spans="2:40" ht="59.25" customHeight="1" thickBot="1" x14ac:dyDescent="0.25">
      <c r="B20" s="59" t="s">
        <v>33</v>
      </c>
      <c r="C20" s="216" t="s">
        <v>151</v>
      </c>
      <c r="D20" s="216" t="s">
        <v>149</v>
      </c>
      <c r="E20" s="216" t="s">
        <v>146</v>
      </c>
      <c r="F20" s="61" t="s">
        <v>150</v>
      </c>
      <c r="G20" s="60" t="s">
        <v>34</v>
      </c>
      <c r="H20" s="62" t="s">
        <v>38</v>
      </c>
      <c r="I20" s="146"/>
      <c r="J20" s="59" t="s">
        <v>33</v>
      </c>
      <c r="K20" s="216" t="s">
        <v>152</v>
      </c>
      <c r="L20" s="216" t="s">
        <v>149</v>
      </c>
      <c r="M20" s="216" t="s">
        <v>146</v>
      </c>
      <c r="N20" s="61" t="s">
        <v>150</v>
      </c>
      <c r="O20" s="60" t="s">
        <v>34</v>
      </c>
      <c r="P20" s="62" t="s">
        <v>38</v>
      </c>
      <c r="Q20" s="146"/>
      <c r="R20" s="59" t="s">
        <v>33</v>
      </c>
      <c r="S20" s="216" t="s">
        <v>153</v>
      </c>
      <c r="T20" s="216" t="s">
        <v>149</v>
      </c>
      <c r="U20" s="216" t="s">
        <v>146</v>
      </c>
      <c r="V20" s="61" t="s">
        <v>150</v>
      </c>
      <c r="W20" s="60" t="s">
        <v>34</v>
      </c>
      <c r="X20" s="62" t="s">
        <v>38</v>
      </c>
      <c r="Z20" s="59" t="s">
        <v>33</v>
      </c>
      <c r="AA20" s="216" t="s">
        <v>153</v>
      </c>
      <c r="AB20" s="216" t="s">
        <v>149</v>
      </c>
      <c r="AC20" s="216" t="s">
        <v>146</v>
      </c>
      <c r="AD20" s="61" t="s">
        <v>150</v>
      </c>
      <c r="AE20" s="60" t="s">
        <v>34</v>
      </c>
      <c r="AF20" s="62" t="s">
        <v>38</v>
      </c>
      <c r="AH20" s="59" t="s">
        <v>33</v>
      </c>
      <c r="AI20" s="216" t="s">
        <v>153</v>
      </c>
      <c r="AJ20" s="216" t="s">
        <v>149</v>
      </c>
      <c r="AK20" s="216" t="s">
        <v>146</v>
      </c>
      <c r="AL20" s="61" t="s">
        <v>150</v>
      </c>
      <c r="AM20" s="60" t="s">
        <v>34</v>
      </c>
      <c r="AN20" s="62" t="s">
        <v>38</v>
      </c>
    </row>
    <row r="21" spans="2:40" x14ac:dyDescent="0.2">
      <c r="B21" s="178">
        <f>'4. Customer Growth'!B17</f>
        <v>2006</v>
      </c>
      <c r="C21" s="64">
        <f>IF($B$19='2. Customer Classes'!$B$14,+SUM('3. Consumption by Rate Class'!$D$25:$D$36),+IF($B$19='2. Customer Classes'!$B$15,+SUM('3. Consumption by Rate Class'!$F$25:$F$36),+IF($B$19='2. Customer Classes'!$B$16,+SUM('3. Consumption by Rate Class'!$H$25:$H$36),+IF($B$19='2. Customer Classes'!$B$17,+SUM('3. Consumption by Rate Class'!$J$25:$J$36),+IF($B$19='2. Customer Classes'!$B$18,+SUM('3. Consumption by Rate Class'!$L$25:$L$36),+IF($B$19='2. Customer Classes'!$B$19,+SUM('3. Consumption by Rate Class'!$O$25:$O$36),IF($B$19='2. Customer Classes'!$B$20,+SUM('3. Consumption by Rate Class'!$R$25:$R$36),0)))))))</f>
        <v>70342664</v>
      </c>
      <c r="D21" s="64">
        <f>SUM('6. WS Regression Analysis'!J20:J31)</f>
        <v>240687668</v>
      </c>
      <c r="E21" s="64">
        <f>SUM('6. WS Regression Analysis'!R20:R31)</f>
        <v>244958698.73945877</v>
      </c>
      <c r="F21" s="65">
        <f>C21/D21</f>
        <v>0.29225703412440723</v>
      </c>
      <c r="G21" s="64">
        <f>E21*F21</f>
        <v>71590902.776568398</v>
      </c>
      <c r="H21" s="64">
        <f>IF($B$19='2. Customer Classes'!$B$14,+G21/'4. Customer Growth'!$C17,+IF($B$19='2. Customer Classes'!$B$15,+G21/'4. Customer Growth'!$E17,+IF($B$19='2. Customer Classes'!$B$16,+G21/'4. Customer Growth'!$G17,+IF($B$19='2. Customer Classes'!$B$17,+G21/'4. Customer Growth'!$I17,+IF($B$19='2. Customer Classes'!$B$18,+G21/'4. Customer Growth'!$K17,+IF($B$19='2. Customer Classes'!$B$19,+G21/'4. Customer Growth'!$M17,IF($B$19='2. Customer Classes'!$B$20,+G21/'4. Customer Growth'!$O17)))))))</f>
        <v>9292.6924684019214</v>
      </c>
      <c r="I21" s="76"/>
      <c r="J21" s="178">
        <f>B21</f>
        <v>2006</v>
      </c>
      <c r="K21" s="64">
        <f>IF($J$19='2. Customer Classes'!$B$14,+SUM('3. Consumption by Rate Class'!$D$25:$D$36),+IF($J$19='2. Customer Classes'!$B$15,+SUM('3. Consumption by Rate Class'!$F$25:$F$36),+IF($J$19='2. Customer Classes'!$B$16,+SUM('3. Consumption by Rate Class'!$H$25:$H$36),+IF($J$19='2. Customer Classes'!$B$17,+SUM('3. Consumption by Rate Class'!$J$25:$J$36),+IF($J$19='2. Customer Classes'!$B$18,+SUM('3. Consumption by Rate Class'!$L$25:$L$36),+IF($J$19='2. Customer Classes'!$B$19,+SUM('3. Consumption by Rate Class'!$O$25:$O$36),IF($J$19='2. Customer Classes'!$B$20,+SUM('3. Consumption by Rate Class'!$R$25:$R$36),0)))))))</f>
        <v>32373170</v>
      </c>
      <c r="L21" s="64">
        <f>D21</f>
        <v>240687668</v>
      </c>
      <c r="M21" s="64">
        <f t="shared" ref="M21:M30" si="0">E21</f>
        <v>244958698.73945877</v>
      </c>
      <c r="N21" s="65">
        <f t="shared" ref="N21:N29" si="1">K21/L21</f>
        <v>0.13450281964591554</v>
      </c>
      <c r="O21" s="64">
        <f>M21*N21</f>
        <v>32947635.677251581</v>
      </c>
      <c r="P21" s="64">
        <f>IF($J$19='2. Customer Classes'!$B$14,+O21/'4. Customer Growth'!$C17,+IF($J$19='2. Customer Classes'!$B$15,+O21/'4. Customer Growth'!$E17,+IF($J$19='2. Customer Classes'!$B$16,+O21/'4. Customer Growth'!$G17,+IF($J$19='2. Customer Classes'!$B$17,+O21/'4. Customer Growth'!$I17,+IF($J$19='2. Customer Classes'!$B$18,+O21/'4. Customer Growth'!$K17,+IF($J$19='2. Customer Classes'!$B$19,+O21/'4. Customer Growth'!$M17,IF($J$19='2. Customer Classes'!$B$20,+O21/'4. Customer Growth'!$O17)))))))</f>
        <v>31787.395732997185</v>
      </c>
      <c r="Q21" s="76"/>
      <c r="R21" s="178">
        <f>B21</f>
        <v>2006</v>
      </c>
      <c r="S21" s="64">
        <f>IF($R$19='2. Customer Classes'!$B$14,+SUM('3. Consumption by Rate Class'!$D$25:$D$36),+IF($R$19='2. Customer Classes'!$B$15,+SUM('3. Consumption by Rate Class'!$F$25:$F$36),+IF($R$19='2. Customer Classes'!$B$16,+SUM('3. Consumption by Rate Class'!$H$25:$H$36),+IF($R$19='2. Customer Classes'!$B$17,+SUM('3. Consumption by Rate Class'!$J$25:$J$36),+IF($R$19='2. Customer Classes'!$B$18,+SUM('3. Consumption by Rate Class'!$L$25:$L$36),+IF($R$19='2. Customer Classes'!$B$19,+SUM('3. Consumption by Rate Class'!$O$25:$O$36),IF($R$19='2. Customer Classes'!$B$20,+SUM('3. Consumption by Rate Class'!$R$25:$R$36),0)))))))</f>
        <v>595250.77752402704</v>
      </c>
      <c r="T21" s="64">
        <f t="shared" ref="T21:T30" si="2">L21</f>
        <v>240687668</v>
      </c>
      <c r="U21" s="64">
        <f t="shared" ref="U21:U30" si="3">M21</f>
        <v>244958698.73945877</v>
      </c>
      <c r="V21" s="65">
        <f>S21/T21</f>
        <v>2.4731253681182664E-3</v>
      </c>
      <c r="W21" s="64">
        <f>U21*V21</f>
        <v>605813.57199379546</v>
      </c>
      <c r="X21" s="64">
        <f>IF($R$19='2. Customer Classes'!$B$14,+W21/'4. Customer Growth'!$C17,+IF($R$19='2. Customer Classes'!$B$15,+W21/'4. Customer Growth'!$E17,+IF($R$19='2. Customer Classes'!$B$16,+W21/'4. Customer Growth'!$G17,+IF($R$19='2. Customer Classes'!$B$17,+W21/'4. Customer Growth'!$I17,+IF($R$19='2. Customer Classes'!$B$18,+W21/'4. Customer Growth'!$K17,+IF($R$19='2. Customer Classes'!$B$19,+W21/'4. Customer Growth'!$M17,IF($R$19='2. Customer Classes'!$B$20,+W21/'4. Customer Growth'!$O17)))))))</f>
        <v>8843.9937517342405</v>
      </c>
      <c r="Z21" s="178">
        <f>J21</f>
        <v>2006</v>
      </c>
      <c r="AA21" s="64">
        <f>IF($Z$19='2. Customer Classes'!$B$14,+SUM('3. Consumption by Rate Class'!$D$25:$D$36),+IF($Z$19='2. Customer Classes'!$B$15,+SUM('3. Consumption by Rate Class'!$F$25:$F$36),+IF($Z$19='2. Customer Classes'!$B$16,+SUM('3. Consumption by Rate Class'!$H$25:$H$36),+IF($Z$19='2. Customer Classes'!$B$17,+SUM('3. Consumption by Rate Class'!$J$25:$J$36),+IF($Z$19='2. Customer Classes'!$B$18,+SUM('3. Consumption by Rate Class'!$L$25:$L$36),+IF($Z$19='2. Customer Classes'!$B$19,+SUM('3. Consumption by Rate Class'!$O$25:$O$36),IF($Z$19='2. Customer Classes'!$B$20,+SUM('3. Consumption by Rate Class'!$R$25:$R$36),0)))))))</f>
        <v>0</v>
      </c>
      <c r="AB21" s="64">
        <f t="shared" ref="AB21:AB30" si="4">T21</f>
        <v>240687668</v>
      </c>
      <c r="AC21" s="64">
        <f t="shared" ref="AC21:AC30" si="5">U21</f>
        <v>244958698.73945877</v>
      </c>
      <c r="AD21" s="65">
        <f t="shared" ref="AD21:AD30" si="6">AA21/AB21</f>
        <v>0</v>
      </c>
      <c r="AE21" s="64">
        <f>AC21*AD21</f>
        <v>0</v>
      </c>
      <c r="AF21" s="64" t="e">
        <f>IF($Z$19='2. Customer Classes'!$B$14,+AE21/'4. Customer Growth'!$C17,+IF($Z$19='2. Customer Classes'!$B$15,+AE21/'4. Customer Growth'!$E17,+IF($Z$19='2. Customer Classes'!$B$16,+AE21/'4. Customer Growth'!$G17,+IF($Z$19='2. Customer Classes'!$B$17,+AE21/'4. Customer Growth'!$I17,+IF($Z$19='2. Customer Classes'!$B$18,+AE21/'4. Customer Growth'!$K17,+IF($Z$19='2. Customer Classes'!$B$19,+AE21/'4. Customer Growth'!$M17,IF($Z$19='2. Customer Classes'!$B$20,+AE21/'4. Customer Growth'!$O17)))))))</f>
        <v>#DIV/0!</v>
      </c>
      <c r="AH21" s="178">
        <f>R21</f>
        <v>2006</v>
      </c>
      <c r="AI21" s="64">
        <f>IF($AH$19='2. Customer Classes'!$B$14,+SUM('3. Consumption by Rate Class'!$D$25:$D$36),+IF($AH$19='2. Customer Classes'!$B$15,+SUM('3. Consumption by Rate Class'!$F$25:$F$36),+IF($AH$19='2. Customer Classes'!$B$16,+SUM('3. Consumption by Rate Class'!$H$25:$H$36),+IF($AH$19='2. Customer Classes'!$B$17,+SUM('3. Consumption by Rate Class'!$J$25:$J$36),+IF($AH$19='2. Customer Classes'!$B$18,+SUM('3. Consumption by Rate Class'!$L$25:$L$36),+IF($AH$19='2. Customer Classes'!$B$19,+SUM('3. Consumption by Rate Class'!$O$25:$O$36),IF($AH$19='2. Customer Classes'!$B$20,+SUM('3. Consumption by Rate Class'!$R$25:$R$36),0)))))))</f>
        <v>0</v>
      </c>
      <c r="AJ21" s="64">
        <f t="shared" ref="AJ21:AJ30" si="7">AB21</f>
        <v>240687668</v>
      </c>
      <c r="AK21" s="64">
        <f t="shared" ref="AK21:AK30" si="8">AC21</f>
        <v>244958698.73945877</v>
      </c>
      <c r="AL21" s="65">
        <f t="shared" ref="AL21:AL30" si="9">AI21/AJ21</f>
        <v>0</v>
      </c>
      <c r="AM21" s="64">
        <f>AK21*AL21</f>
        <v>0</v>
      </c>
      <c r="AN21" s="64" t="e">
        <f>IF($AH$19='2. Customer Classes'!$B$14,+AM21/'4. Customer Growth'!$C17,+IF($AH$19='2. Customer Classes'!$B$15,+AM21/'4. Customer Growth'!$E17,+IF($AH$19='2. Customer Classes'!$B$16,+AM21/'4. Customer Growth'!$G17,+IF($AH$19='2. Customer Classes'!$B$17,+AM21/'4. Customer Growth'!$I17,+IF($AH$19='2. Customer Classes'!$B$18,+AM21/'4. Customer Growth'!$K17,+IF($AH$19='2. Customer Classes'!$B$19,+AM21/'4. Customer Growth'!$M17,IF($AH$19='2. Customer Classes'!$B$20,+AM21/'4. Customer Growth'!$O17)))))))</f>
        <v>#DIV/0!</v>
      </c>
    </row>
    <row r="22" spans="2:40" x14ac:dyDescent="0.2">
      <c r="B22" s="178">
        <f>'4. Customer Growth'!B18</f>
        <v>2007</v>
      </c>
      <c r="C22" s="64">
        <f>IF($B$19='2. Customer Classes'!$B$14,+SUM('3. Consumption by Rate Class'!$D$37:$D$48),+IF($B$19='2. Customer Classes'!$B$15,+SUM('3. Consumption by Rate Class'!$F$37:$F$48),+IF($B$19='2. Customer Classes'!$B$16,+SUM('3. Consumption by Rate Class'!$H$37:$H$48),+IF($B$19='2. Customer Classes'!$B$17,+SUM('3. Consumption by Rate Class'!$J$37:$J$48),+IF($B$19='2. Customer Classes'!$B$18,+SUM('3. Consumption by Rate Class'!$L$37:$L$48),+IF($B$19='2. Customer Classes'!$B$19,+SUM('3. Consumption by Rate Class'!$O$37:$O$48),IF($B$19='2. Customer Classes'!$B$20,+SUM('3. Consumption by Rate Class'!$R$37:$R$48),0)))))))</f>
        <v>72101355</v>
      </c>
      <c r="D22" s="66">
        <f>SUM('6. WS Regression Analysis'!J32:J43)</f>
        <v>248683053.34999996</v>
      </c>
      <c r="E22" s="66">
        <f>SUM('6. WS Regression Analysis'!R32:R43)</f>
        <v>248683575.31460232</v>
      </c>
      <c r="F22" s="67">
        <f t="shared" ref="F22:F29" si="10">C22/D22</f>
        <v>0.28993272371689743</v>
      </c>
      <c r="G22" s="66">
        <f t="shared" ref="G22:G32" si="11">E22*F22</f>
        <v>72101506.334618852</v>
      </c>
      <c r="H22" s="64">
        <f>IF($B$19='2. Customer Classes'!$B$14,+G22/'4. Customer Growth'!$C18,+IF($B$19='2. Customer Classes'!$B$15,+G22/'4. Customer Growth'!$E18,+IF($B$19='2. Customer Classes'!$B$16,+G22/'4. Customer Growth'!$G18,+IF($B$19='2. Customer Classes'!$B$17,+G22/'4. Customer Growth'!$I18,+IF($B$19='2. Customer Classes'!$B$18,+G22/'4. Customer Growth'!$K18,+IF($B$19='2. Customer Classes'!$B$19,+G22/'4. Customer Growth'!$M18,IF($B$19='2. Customer Classes'!$B$20,+G22/'4. Customer Growth'!$O18)))))))</f>
        <v>9194.2752275719013</v>
      </c>
      <c r="I22" s="76"/>
      <c r="J22" s="178">
        <f t="shared" ref="J22:J32" si="12">B22</f>
        <v>2007</v>
      </c>
      <c r="K22" s="64">
        <f>IF($J$19='2. Customer Classes'!$B$14,+SUM('3. Consumption by Rate Class'!$D$37:$D$48),+IF($J$19='2. Customer Classes'!$B$15,+SUM('3. Consumption by Rate Class'!$F$37:$F$48),+IF($J$19='2. Customer Classes'!$B$16,+SUM('3. Consumption by Rate Class'!$H$37:$H$48),+IF($J$19='2. Customer Classes'!$B$17,+SUM('3. Consumption by Rate Class'!$J$37:$J$48),+IF($J$19='2. Customer Classes'!$B$18,+SUM('3. Consumption by Rate Class'!$L$37:$L$48),+IF($J$19='2. Customer Classes'!$B$19,+SUM('3. Consumption by Rate Class'!$O$37:$O$48),IF($J$19='2. Customer Classes'!$B$20,+SUM('3. Consumption by Rate Class'!$R$37:$R$48),0)))))))</f>
        <v>34122931</v>
      </c>
      <c r="L22" s="66">
        <f t="shared" ref="L22:L30" si="13">D22</f>
        <v>248683053.34999996</v>
      </c>
      <c r="M22" s="66">
        <f t="shared" si="0"/>
        <v>248683575.31460232</v>
      </c>
      <c r="N22" s="67">
        <f t="shared" si="1"/>
        <v>0.13721454091998345</v>
      </c>
      <c r="O22" s="66">
        <f t="shared" ref="O22:O30" si="14">M22*N22</f>
        <v>34123002.621133283</v>
      </c>
      <c r="P22" s="64">
        <f>IF($J$19='2. Customer Classes'!$B$14,+O22/'4. Customer Growth'!$C18,+IF($J$19='2. Customer Classes'!$B$15,+O22/'4. Customer Growth'!$E18,+IF($J$19='2. Customer Classes'!$B$16,+O22/'4. Customer Growth'!$G18,+IF($J$19='2. Customer Classes'!$B$17,+O22/'4. Customer Growth'!$I18,+IF($J$19='2. Customer Classes'!$B$18,+O22/'4. Customer Growth'!$K18,+IF($J$19='2. Customer Classes'!$B$19,+O22/'4. Customer Growth'!$M18,IF($J$19='2. Customer Classes'!$B$20,+O22/'4. Customer Growth'!$O18)))))))</f>
        <v>32716.20577289864</v>
      </c>
      <c r="Q22" s="76"/>
      <c r="R22" s="178">
        <f t="shared" ref="R22:R32" si="15">B22</f>
        <v>2007</v>
      </c>
      <c r="S22" s="64">
        <f>IF($R$19='2. Customer Classes'!$B$14,+SUM('3. Consumption by Rate Class'!$D$37:$D$48),+IF($R$19='2. Customer Classes'!$B$15,+SUM('3. Consumption by Rate Class'!$F$37:$F$48),+IF($R$19='2. Customer Classes'!$B$16,+SUM('3. Consumption by Rate Class'!$H$37:$H$48),+IF($R$19='2. Customer Classes'!$B$17,+SUM('3. Consumption by Rate Class'!$J$37:$J$48),+IF($R$19='2. Customer Classes'!$B$18,+SUM('3. Consumption by Rate Class'!$L$37:$L$48),+IF($R$19='2. Customer Classes'!$B$19,+SUM('3. Consumption by Rate Class'!$O$37:$O$48),IF($R$19='2. Customer Classes'!$B$20,+SUM('3. Consumption by Rate Class'!$R$37:$R$48),0)))))))</f>
        <v>605328</v>
      </c>
      <c r="T22" s="66">
        <f t="shared" si="2"/>
        <v>248683053.34999996</v>
      </c>
      <c r="U22" s="66">
        <f t="shared" si="3"/>
        <v>248683575.31460232</v>
      </c>
      <c r="V22" s="67">
        <f t="shared" ref="V22:V29" si="16">S22/T22</f>
        <v>2.4341345011075323E-3</v>
      </c>
      <c r="W22" s="66">
        <f t="shared" ref="W22:W30" si="17">U22*V22</f>
        <v>605329.27053204691</v>
      </c>
      <c r="X22" s="64">
        <f>IF($R$19='2. Customer Classes'!$B$14,+W22/'4. Customer Growth'!$C18,+IF($R$19='2. Customer Classes'!$B$15,+W22/'4. Customer Growth'!$E18,+IF($R$19='2. Customer Classes'!$B$16,+W22/'4. Customer Growth'!$G18,+IF($R$19='2. Customer Classes'!$B$17,+W22/'4. Customer Growth'!$I18,+IF($R$19='2. Customer Classes'!$B$18,+W22/'4. Customer Growth'!$K18,+IF($R$19='2. Customer Classes'!$B$19,+W22/'4. Customer Growth'!$M18,IF($R$19='2. Customer Classes'!$B$20,+W22/'4. Customer Growth'!$O18)))))))</f>
        <v>7519.6182674788433</v>
      </c>
      <c r="Z22" s="178">
        <f t="shared" ref="Z22:Z32" si="18">J22</f>
        <v>2007</v>
      </c>
      <c r="AA22" s="64">
        <f>IF($Z$19='2. Customer Classes'!$B$14,+SUM('3. Consumption by Rate Class'!$D$37:$D$48),+IF($Z$19='2. Customer Classes'!$B$15,+SUM('3. Consumption by Rate Class'!$F$37:$F$48),+IF($Z$19='2. Customer Classes'!$B$16,+SUM('3. Consumption by Rate Class'!$H$37:$H$48),+IF($Z$19='2. Customer Classes'!$B$17,+SUM('3. Consumption by Rate Class'!$J$37:$J$48),+IF($Z$19='2. Customer Classes'!$B$18,+SUM('3. Consumption by Rate Class'!$L$37:$L$48),+IF($Z$19='2. Customer Classes'!$B$19,+SUM('3. Consumption by Rate Class'!$O$37:$O$48),IF($Z$19='2. Customer Classes'!$B$20,+SUM('3. Consumption by Rate Class'!$R$37:$R$48),0)))))))</f>
        <v>0</v>
      </c>
      <c r="AB22" s="222">
        <f t="shared" si="4"/>
        <v>248683053.34999996</v>
      </c>
      <c r="AC22" s="222">
        <f t="shared" si="5"/>
        <v>248683575.31460232</v>
      </c>
      <c r="AD22" s="67">
        <f t="shared" si="6"/>
        <v>0</v>
      </c>
      <c r="AE22" s="222">
        <f t="shared" ref="AE22:AE30" si="19">AC22*AD22</f>
        <v>0</v>
      </c>
      <c r="AF22" s="64" t="e">
        <f>IF($Z$19='2. Customer Classes'!$B$14,+AE22/'4. Customer Growth'!$C18,+IF($Z$19='2. Customer Classes'!$B$15,+AE22/'4. Customer Growth'!$E18,+IF($Z$19='2. Customer Classes'!$B$16,+AE22/'4. Customer Growth'!$G18,+IF($Z$19='2. Customer Classes'!$B$17,+AE22/'4. Customer Growth'!$I18,+IF($Z$19='2. Customer Classes'!$B$18,+AE22/'4. Customer Growth'!$K18,+IF($Z$19='2. Customer Classes'!$B$19,+AE22/'4. Customer Growth'!$M18,IF($Z$19='2. Customer Classes'!$B$20,+AE22/'4. Customer Growth'!$O18)))))))</f>
        <v>#DIV/0!</v>
      </c>
      <c r="AH22" s="178">
        <f t="shared" ref="AH22:AH32" si="20">R22</f>
        <v>2007</v>
      </c>
      <c r="AI22" s="64">
        <f>IF($AH$19='2. Customer Classes'!$B$14,+SUM('3. Consumption by Rate Class'!$D$37:$D$48),+IF($AH$19='2. Customer Classes'!$B$15,+SUM('3. Consumption by Rate Class'!$F$37:$F$48),+IF($AH$19='2. Customer Classes'!$B$16,+SUM('3. Consumption by Rate Class'!$H$37:$H$48),+IF($AH$19='2. Customer Classes'!$B$17,+SUM('3. Consumption by Rate Class'!$J$37:$J$48),+IF($AH$19='2. Customer Classes'!$B$18,+SUM('3. Consumption by Rate Class'!$L$37:$L$48),+IF($AH$19='2. Customer Classes'!$B$19,+SUM('3. Consumption by Rate Class'!$O$37:$O$48),IF($AH$19='2. Customer Classes'!$B$20,+SUM('3. Consumption by Rate Class'!$R$37:$R$48),0)))))))</f>
        <v>0</v>
      </c>
      <c r="AJ22" s="222">
        <f t="shared" si="7"/>
        <v>248683053.34999996</v>
      </c>
      <c r="AK22" s="222">
        <f t="shared" si="8"/>
        <v>248683575.31460232</v>
      </c>
      <c r="AL22" s="67">
        <f t="shared" si="9"/>
        <v>0</v>
      </c>
      <c r="AM22" s="222">
        <f t="shared" ref="AM22:AM30" si="21">AK22*AL22</f>
        <v>0</v>
      </c>
      <c r="AN22" s="64" t="e">
        <f>IF($AH$19='2. Customer Classes'!$B$14,+AM22/'4. Customer Growth'!$C18,+IF($AH$19='2. Customer Classes'!$B$15,+AM22/'4. Customer Growth'!$E18,+IF($AH$19='2. Customer Classes'!$B$16,+AM22/'4. Customer Growth'!$G18,+IF($AH$19='2. Customer Classes'!$B$17,+AM22/'4. Customer Growth'!$I18,+IF($AH$19='2. Customer Classes'!$B$18,+AM22/'4. Customer Growth'!$K18,+IF($AH$19='2. Customer Classes'!$B$19,+AM22/'4. Customer Growth'!$M18,IF($AH$19='2. Customer Classes'!$B$20,+AM22/'4. Customer Growth'!$O18)))))))</f>
        <v>#DIV/0!</v>
      </c>
    </row>
    <row r="23" spans="2:40" x14ac:dyDescent="0.2">
      <c r="B23" s="178">
        <f>'4. Customer Growth'!B19</f>
        <v>2008</v>
      </c>
      <c r="C23" s="64">
        <f>IF($B$19='2. Customer Classes'!$B$14,+SUM('3. Consumption by Rate Class'!$D$49:$D$60),+IF($B$19='2. Customer Classes'!$B$15,+SUM('3. Consumption by Rate Class'!$F$49:$F$60),+IF($B$19='2. Customer Classes'!$B$16,+SUM('3. Consumption by Rate Class'!$H$49:$H$60),+IF($B$19='2. Customer Classes'!$B$17,+SUM('3. Consumption by Rate Class'!$J$49:$J$60),+IF($B$19='2. Customer Classes'!$B$18,+SUM('3. Consumption by Rate Class'!$L$49:$L$60),+IF($B$19='2. Customer Classes'!$B$19,+SUM('3. Consumption by Rate Class'!$O$49:$O$60),IF($B$19='2. Customer Classes'!$B$20,+SUM('3. Consumption by Rate Class'!$R$49:$R$60),0)))))))</f>
        <v>72186004</v>
      </c>
      <c r="D23" s="66">
        <f>SUM('6. WS Regression Analysis'!J44:J55)</f>
        <v>241507708</v>
      </c>
      <c r="E23" s="66">
        <f>SUM('6. WS Regression Analysis'!R44:R55)</f>
        <v>247069840.93236792</v>
      </c>
      <c r="F23" s="67">
        <f t="shared" si="10"/>
        <v>0.29889730890079913</v>
      </c>
      <c r="G23" s="66">
        <f t="shared" si="11"/>
        <v>73848510.565233275</v>
      </c>
      <c r="H23" s="64">
        <f>IF($B$19='2. Customer Classes'!$B$14,+G23/'4. Customer Growth'!$C19,+IF($B$19='2. Customer Classes'!$B$15,+G23/'4. Customer Growth'!$E19,+IF($B$19='2. Customer Classes'!$B$16,+G23/'4. Customer Growth'!$G19,+IF($B$19='2. Customer Classes'!$B$17,+G23/'4. Customer Growth'!$I19,+IF($B$19='2. Customer Classes'!$B$18,+G23/'4. Customer Growth'!$K19,+IF($B$19='2. Customer Classes'!$B$19,+G23/'4. Customer Growth'!$M19,IF($B$19='2. Customer Classes'!$B$20,+G23/'4. Customer Growth'!$O19)))))))</f>
        <v>9282.1154556602905</v>
      </c>
      <c r="I23" s="76"/>
      <c r="J23" s="178">
        <f t="shared" si="12"/>
        <v>2008</v>
      </c>
      <c r="K23" s="64">
        <f>IF($J$19='2. Customer Classes'!$B$14,+SUM('3. Consumption by Rate Class'!$D$49:$D$60),+IF($J$19='2. Customer Classes'!$B$15,+SUM('3. Consumption by Rate Class'!$F$49:$F$60),+IF($J$19='2. Customer Classes'!$B$16,+SUM('3. Consumption by Rate Class'!$H$49:$H$60),+IF($J$19='2. Customer Classes'!$B$17,+SUM('3. Consumption by Rate Class'!$J$49:$J$60),+IF($J$19='2. Customer Classes'!$B$18,+SUM('3. Consumption by Rate Class'!$L$49:$L$60),+IF($J$19='2. Customer Classes'!$B$19,+SUM('3. Consumption by Rate Class'!$O$49:$O$60),IF($J$19='2. Customer Classes'!$B$20,+SUM('3. Consumption by Rate Class'!$R$49:$R$60),0)))))))</f>
        <v>34456796</v>
      </c>
      <c r="L23" s="66">
        <f t="shared" si="13"/>
        <v>241507708</v>
      </c>
      <c r="M23" s="66">
        <f t="shared" si="0"/>
        <v>247069840.93236792</v>
      </c>
      <c r="N23" s="67">
        <f t="shared" si="1"/>
        <v>0.14267369056394671</v>
      </c>
      <c r="O23" s="66">
        <f t="shared" si="14"/>
        <v>35250366.032868199</v>
      </c>
      <c r="P23" s="64">
        <f>IF($J$19='2. Customer Classes'!$B$14,+O23/'4. Customer Growth'!$C19,+IF($J$19='2. Customer Classes'!$B$15,+O23/'4. Customer Growth'!$E19,+IF($J$19='2. Customer Classes'!$B$16,+O23/'4. Customer Growth'!$G19,+IF($J$19='2. Customer Classes'!$B$17,+O23/'4. Customer Growth'!$I19,+IF($J$19='2. Customer Classes'!$B$18,+O23/'4. Customer Growth'!$K19,+IF($J$19='2. Customer Classes'!$B$19,+O23/'4. Customer Growth'!$M19,IF($J$19='2. Customer Classes'!$B$20,+O23/'4. Customer Growth'!$O19)))))))</f>
        <v>33651.900747368207</v>
      </c>
      <c r="Q23" s="76"/>
      <c r="R23" s="178">
        <f t="shared" si="15"/>
        <v>2008</v>
      </c>
      <c r="S23" s="64">
        <f>IF($R$19='2. Customer Classes'!$B$14,+SUM('3. Consumption by Rate Class'!$D$49:$D$60),+IF($R$19='2. Customer Classes'!$B$15,+SUM('3. Consumption by Rate Class'!$F$49:$F$60),+IF($R$19='2. Customer Classes'!$B$16,+SUM('3. Consumption by Rate Class'!$H$49:$H$60),+IF($R$19='2. Customer Classes'!$B$17,+SUM('3. Consumption by Rate Class'!$J$49:$J$60),+IF($R$19='2. Customer Classes'!$B$18,+SUM('3. Consumption by Rate Class'!$L$49:$L$60),+IF($R$19='2. Customer Classes'!$B$19,+SUM('3. Consumption by Rate Class'!$O$49:$O$60),IF($R$19='2. Customer Classes'!$B$20,+SUM('3. Consumption by Rate Class'!$R$49:$R$60),0)))))))</f>
        <v>720399.74271798297</v>
      </c>
      <c r="T23" s="66">
        <f t="shared" si="2"/>
        <v>241507708</v>
      </c>
      <c r="U23" s="66">
        <f t="shared" si="3"/>
        <v>247069840.93236792</v>
      </c>
      <c r="V23" s="67">
        <f t="shared" si="16"/>
        <v>2.9829265023623304E-3</v>
      </c>
      <c r="W23" s="66">
        <f t="shared" si="17"/>
        <v>736991.17645160563</v>
      </c>
      <c r="X23" s="64">
        <f>IF($R$19='2. Customer Classes'!$B$14,+W23/'4. Customer Growth'!$C19,+IF($R$19='2. Customer Classes'!$B$15,+W23/'4. Customer Growth'!$E19,+IF($R$19='2. Customer Classes'!$B$16,+W23/'4. Customer Growth'!$G19,+IF($R$19='2. Customer Classes'!$B$17,+W23/'4. Customer Growth'!$I19,+IF($R$19='2. Customer Classes'!$B$18,+W23/'4. Customer Growth'!$K19,+IF($R$19='2. Customer Classes'!$B$19,+W23/'4. Customer Growth'!$M19,IF($R$19='2. Customer Classes'!$B$20,+W23/'4. Customer Growth'!$O19)))))))</f>
        <v>8188.7908494622843</v>
      </c>
      <c r="Z23" s="178">
        <f t="shared" si="18"/>
        <v>2008</v>
      </c>
      <c r="AA23" s="64">
        <f>IF($Z$19='2. Customer Classes'!$B$14,+SUM('3. Consumption by Rate Class'!$D$49:$D$60),+IF($Z$19='2. Customer Classes'!$B$15,+SUM('3. Consumption by Rate Class'!$F$49:$F$60),+IF($Z$19='2. Customer Classes'!$B$16,+SUM('3. Consumption by Rate Class'!$H$49:$H$60),+IF($Z$19='2. Customer Classes'!$B$17,+SUM('3. Consumption by Rate Class'!$J$49:$J$60),+IF($Z$19='2. Customer Classes'!$B$18,+SUM('3. Consumption by Rate Class'!$L$49:$L$60),+IF($Z$19='2. Customer Classes'!$B$19,+SUM('3. Consumption by Rate Class'!$O$49:$O$60),IF($Z$19='2. Customer Classes'!$B$20,+SUM('3. Consumption by Rate Class'!$R$49:$R$60),0)))))))</f>
        <v>0</v>
      </c>
      <c r="AB23" s="222">
        <f t="shared" si="4"/>
        <v>241507708</v>
      </c>
      <c r="AC23" s="222">
        <f t="shared" si="5"/>
        <v>247069840.93236792</v>
      </c>
      <c r="AD23" s="67">
        <f t="shared" si="6"/>
        <v>0</v>
      </c>
      <c r="AE23" s="222">
        <f t="shared" si="19"/>
        <v>0</v>
      </c>
      <c r="AF23" s="64" t="e">
        <f>IF($Z$19='2. Customer Classes'!$B$14,+AE23/'4. Customer Growth'!$C19,+IF($Z$19='2. Customer Classes'!$B$15,+AE23/'4. Customer Growth'!$E19,+IF($Z$19='2. Customer Classes'!$B$16,+AE23/'4. Customer Growth'!$G19,+IF($Z$19='2. Customer Classes'!$B$17,+AE23/'4. Customer Growth'!$I19,+IF($Z$19='2. Customer Classes'!$B$18,+AE23/'4. Customer Growth'!$K19,+IF($Z$19='2. Customer Classes'!$B$19,+AE23/'4. Customer Growth'!$M19,IF($Z$19='2. Customer Classes'!$B$20,+AE23/'4. Customer Growth'!$O19)))))))</f>
        <v>#DIV/0!</v>
      </c>
      <c r="AH23" s="178">
        <f t="shared" si="20"/>
        <v>2008</v>
      </c>
      <c r="AI23" s="64">
        <f>IF($AH$19='2. Customer Classes'!$B$14,+SUM('3. Consumption by Rate Class'!$D$49:$D$60),+IF($AH$19='2. Customer Classes'!$B$15,+SUM('3. Consumption by Rate Class'!$F$49:$F$60),+IF($AH$19='2. Customer Classes'!$B$16,+SUM('3. Consumption by Rate Class'!$H$49:$H$60),+IF($AH$19='2. Customer Classes'!$B$17,+SUM('3. Consumption by Rate Class'!$J$49:$J$60),+IF($AH$19='2. Customer Classes'!$B$18,+SUM('3. Consumption by Rate Class'!$L$49:$L$60),+IF($AH$19='2. Customer Classes'!$B$19,+SUM('3. Consumption by Rate Class'!$O$49:$O$60),IF($AH$19='2. Customer Classes'!$B$20,+SUM('3. Consumption by Rate Class'!$R$49:$R$60),0)))))))</f>
        <v>0</v>
      </c>
      <c r="AJ23" s="222">
        <f t="shared" si="7"/>
        <v>241507708</v>
      </c>
      <c r="AK23" s="222">
        <f t="shared" si="8"/>
        <v>247069840.93236792</v>
      </c>
      <c r="AL23" s="67">
        <f t="shared" si="9"/>
        <v>0</v>
      </c>
      <c r="AM23" s="222">
        <f t="shared" si="21"/>
        <v>0</v>
      </c>
      <c r="AN23" s="64" t="e">
        <f>IF($AH$19='2. Customer Classes'!$B$14,+AM23/'4. Customer Growth'!$C19,+IF($AH$19='2. Customer Classes'!$B$15,+AM23/'4. Customer Growth'!$E19,+IF($AH$19='2. Customer Classes'!$B$16,+AM23/'4. Customer Growth'!$G19,+IF($AH$19='2. Customer Classes'!$B$17,+AM23/'4. Customer Growth'!$I19,+IF($AH$19='2. Customer Classes'!$B$18,+AM23/'4. Customer Growth'!$K19,+IF($AH$19='2. Customer Classes'!$B$19,+AM23/'4. Customer Growth'!$M19,IF($AH$19='2. Customer Classes'!$B$20,+AM23/'4. Customer Growth'!$O19)))))))</f>
        <v>#DIV/0!</v>
      </c>
    </row>
    <row r="24" spans="2:40" x14ac:dyDescent="0.2">
      <c r="B24" s="178">
        <f>'4. Customer Growth'!B20</f>
        <v>2009</v>
      </c>
      <c r="C24" s="64">
        <f>IF($B$19='2. Customer Classes'!$B$14,+SUM('3. Consumption by Rate Class'!$D$61:$D$72),+IF($B$19='2. Customer Classes'!$B$15,+SUM('3. Consumption by Rate Class'!$F$61:$F$72),+IF($B$19='2. Customer Classes'!$B$16,+SUM('3. Consumption by Rate Class'!$H$61:$H$72),+IF($B$19='2. Customer Classes'!$B$17,+SUM('3. Consumption by Rate Class'!$J$61:$J$72),+IF($B$19='2. Customer Classes'!$B$18,+SUM('3. Consumption by Rate Class'!$L$61:$L$72),+IF($B$19='2. Customer Classes'!$B$19,+SUM('3. Consumption by Rate Class'!$O$61:$O$72),IF($B$19='2. Customer Classes'!$B$20,+SUM('3. Consumption by Rate Class'!$R$61:$R$72),0)))))))</f>
        <v>71936998</v>
      </c>
      <c r="D24" s="66">
        <f>SUM('6. WS Regression Analysis'!J56:J67)</f>
        <v>236526800</v>
      </c>
      <c r="E24" s="66">
        <f>SUM('6. WS Regression Analysis'!R56:R67)</f>
        <v>245470671.7507762</v>
      </c>
      <c r="F24" s="67">
        <f t="shared" si="10"/>
        <v>0.30413888827819935</v>
      </c>
      <c r="G24" s="66">
        <f t="shared" si="11"/>
        <v>74657177.211183861</v>
      </c>
      <c r="H24" s="64">
        <f>IF($B$19='2. Customer Classes'!$B$14,+G24/'4. Customer Growth'!$C20,+IF($B$19='2. Customer Classes'!$B$15,+G24/'4. Customer Growth'!$E20,+IF($B$19='2. Customer Classes'!$B$16,+G24/'4. Customer Growth'!$G20,+IF($B$19='2. Customer Classes'!$B$17,+G24/'4. Customer Growth'!$I20,+IF($B$19='2. Customer Classes'!$B$18,+G24/'4. Customer Growth'!$K20,+IF($B$19='2. Customer Classes'!$B$19,+G24/'4. Customer Growth'!$M20,IF($B$19='2. Customer Classes'!$B$20,+G24/'4. Customer Growth'!$O20)))))))</f>
        <v>9118.4338578545176</v>
      </c>
      <c r="I24" s="76"/>
      <c r="J24" s="178">
        <f t="shared" si="12"/>
        <v>2009</v>
      </c>
      <c r="K24" s="64">
        <f>IF($J$19='2. Customer Classes'!$B$14,+SUM('3. Consumption by Rate Class'!$D$61:$D$72),+IF($J$19='2. Customer Classes'!$B$15,+SUM('3. Consumption by Rate Class'!$F$61:$F$72),+IF($J$19='2. Customer Classes'!$B$16,+SUM('3. Consumption by Rate Class'!$H$61:$H$72),+IF($J$19='2. Customer Classes'!$B$17,+SUM('3. Consumption by Rate Class'!$J$61:$J$72),+IF($J$19='2. Customer Classes'!$B$18,+SUM('3. Consumption by Rate Class'!$L$61:$L$72),+IF($J$19='2. Customer Classes'!$B$19,+SUM('3. Consumption by Rate Class'!$O$61:$O$72),IF($J$19='2. Customer Classes'!$B$20,+SUM('3. Consumption by Rate Class'!$R$61:$R$72),0)))))))</f>
        <v>34498946.159999996</v>
      </c>
      <c r="L24" s="66">
        <f t="shared" si="13"/>
        <v>236526800</v>
      </c>
      <c r="M24" s="66">
        <f t="shared" si="0"/>
        <v>245470671.7507762</v>
      </c>
      <c r="N24" s="67">
        <f t="shared" si="1"/>
        <v>0.14585639411686116</v>
      </c>
      <c r="O24" s="66">
        <f t="shared" si="14"/>
        <v>35803467.043011874</v>
      </c>
      <c r="P24" s="64">
        <f>IF($J$19='2. Customer Classes'!$B$14,+O24/'4. Customer Growth'!$C20,+IF($J$19='2. Customer Classes'!$B$15,+O24/'4. Customer Growth'!$E20,+IF($J$19='2. Customer Classes'!$B$16,+O24/'4. Customer Growth'!$G20,+IF($J$19='2. Customer Classes'!$B$17,+O24/'4. Customer Growth'!$I20,+IF($J$19='2. Customer Classes'!$B$18,+O24/'4. Customer Growth'!$K20,+IF($J$19='2. Customer Classes'!$B$19,+O24/'4. Customer Growth'!$M20,IF($J$19='2. Customer Classes'!$B$20,+O24/'4. Customer Growth'!$O20)))))))</f>
        <v>33697.380746364113</v>
      </c>
      <c r="Q24" s="76"/>
      <c r="R24" s="178">
        <f t="shared" si="15"/>
        <v>2009</v>
      </c>
      <c r="S24" s="64">
        <f>IF($R$19='2. Customer Classes'!$B$14,+SUM('3. Consumption by Rate Class'!$D$61:$D$72),+IF($R$19='2. Customer Classes'!$B$15,+SUM('3. Consumption by Rate Class'!$F$61:$F$72),+IF($R$19='2. Customer Classes'!$B$16,+SUM('3. Consumption by Rate Class'!$H$61:$H$72),+IF($R$19='2. Customer Classes'!$B$17,+SUM('3. Consumption by Rate Class'!$J$61:$J$72),+IF($R$19='2. Customer Classes'!$B$18,+SUM('3. Consumption by Rate Class'!$L$61:$L$72),+IF($R$19='2. Customer Classes'!$B$19,+SUM('3. Consumption by Rate Class'!$O$61:$O$72),IF($R$19='2. Customer Classes'!$B$20,+SUM('3. Consumption by Rate Class'!$R$61:$R$72),0)))))))</f>
        <v>747874.03424722515</v>
      </c>
      <c r="T24" s="66">
        <f t="shared" si="2"/>
        <v>236526800</v>
      </c>
      <c r="U24" s="66">
        <f t="shared" si="3"/>
        <v>245470671.7507762</v>
      </c>
      <c r="V24" s="67">
        <f t="shared" si="16"/>
        <v>3.16189976885167E-3</v>
      </c>
      <c r="W24" s="66">
        <f t="shared" si="17"/>
        <v>776153.66026864341</v>
      </c>
      <c r="X24" s="64">
        <f>IF($R$19='2. Customer Classes'!$B$14,+W24/'4. Customer Growth'!$C20,+IF($R$19='2. Customer Classes'!$B$15,+W24/'4. Customer Growth'!$E20,+IF($R$19='2. Customer Classes'!$B$16,+W24/'4. Customer Growth'!$G20,+IF($R$19='2. Customer Classes'!$B$17,+W24/'4. Customer Growth'!$I20,+IF($R$19='2. Customer Classes'!$B$18,+W24/'4. Customer Growth'!$K20,+IF($R$19='2. Customer Classes'!$B$19,+W24/'4. Customer Growth'!$M20,IF($R$19='2. Customer Classes'!$B$20,+W24/'4. Customer Growth'!$O20)))))))</f>
        <v>8127.2634583104018</v>
      </c>
      <c r="Z24" s="178">
        <f t="shared" si="18"/>
        <v>2009</v>
      </c>
      <c r="AA24" s="64">
        <f>IF($Z$19='2. Customer Classes'!$B$14,+SUM('3. Consumption by Rate Class'!$D$61:$D$72),+IF($Z$19='2. Customer Classes'!$B$15,+SUM('3. Consumption by Rate Class'!$F$61:$F$72),+IF($Z$19='2. Customer Classes'!$B$16,+SUM('3. Consumption by Rate Class'!$H$61:$H$72),+IF($Z$19='2. Customer Classes'!$B$17,+SUM('3. Consumption by Rate Class'!$J$61:$J$72),+IF($Z$19='2. Customer Classes'!$B$18,+SUM('3. Consumption by Rate Class'!$L$61:$L$72),+IF($Z$19='2. Customer Classes'!$B$19,+SUM('3. Consumption by Rate Class'!$O$61:$O$72),IF($Z$19='2. Customer Classes'!$B$20,+SUM('3. Consumption by Rate Class'!$R$61:$R$72),0)))))))</f>
        <v>0</v>
      </c>
      <c r="AB24" s="222">
        <f t="shared" si="4"/>
        <v>236526800</v>
      </c>
      <c r="AC24" s="222">
        <f t="shared" si="5"/>
        <v>245470671.7507762</v>
      </c>
      <c r="AD24" s="67">
        <f t="shared" si="6"/>
        <v>0</v>
      </c>
      <c r="AE24" s="222">
        <f t="shared" si="19"/>
        <v>0</v>
      </c>
      <c r="AF24" s="64" t="e">
        <f>IF($Z$19='2. Customer Classes'!$B$14,+AE24/'4. Customer Growth'!$C20,+IF($Z$19='2. Customer Classes'!$B$15,+AE24/'4. Customer Growth'!$E20,+IF($Z$19='2. Customer Classes'!$B$16,+AE24/'4. Customer Growth'!$G20,+IF($Z$19='2. Customer Classes'!$B$17,+AE24/'4. Customer Growth'!$I20,+IF($Z$19='2. Customer Classes'!$B$18,+AE24/'4. Customer Growth'!$K20,+IF($Z$19='2. Customer Classes'!$B$19,+AE24/'4. Customer Growth'!$M20,IF($Z$19='2. Customer Classes'!$B$20,+AE24/'4. Customer Growth'!$O20)))))))</f>
        <v>#DIV/0!</v>
      </c>
      <c r="AH24" s="178">
        <f t="shared" si="20"/>
        <v>2009</v>
      </c>
      <c r="AI24" s="64">
        <f>IF($AH$19='2. Customer Classes'!$B$14,+SUM('3. Consumption by Rate Class'!$D$61:$D$72),+IF($AH$19='2. Customer Classes'!$B$15,+SUM('3. Consumption by Rate Class'!$F$61:$F$72),+IF($AH$19='2. Customer Classes'!$B$16,+SUM('3. Consumption by Rate Class'!$H$61:$H$72),+IF($AH$19='2. Customer Classes'!$B$17,+SUM('3. Consumption by Rate Class'!$J$61:$J$72),+IF($AH$19='2. Customer Classes'!$B$18,+SUM('3. Consumption by Rate Class'!$L$61:$L$72),+IF($AH$19='2. Customer Classes'!$B$19,+SUM('3. Consumption by Rate Class'!$O$61:$O$72),IF($AH$19='2. Customer Classes'!$B$20,+SUM('3. Consumption by Rate Class'!$R$61:$R$72),0)))))))</f>
        <v>0</v>
      </c>
      <c r="AJ24" s="222">
        <f t="shared" si="7"/>
        <v>236526800</v>
      </c>
      <c r="AK24" s="222">
        <f t="shared" si="8"/>
        <v>245470671.7507762</v>
      </c>
      <c r="AL24" s="67">
        <f t="shared" si="9"/>
        <v>0</v>
      </c>
      <c r="AM24" s="222">
        <f t="shared" si="21"/>
        <v>0</v>
      </c>
      <c r="AN24" s="64" t="e">
        <f>IF($AH$19='2. Customer Classes'!$B$14,+AM24/'4. Customer Growth'!$C20,+IF($AH$19='2. Customer Classes'!$B$15,+AM24/'4. Customer Growth'!$E20,+IF($AH$19='2. Customer Classes'!$B$16,+AM24/'4. Customer Growth'!$G20,+IF($AH$19='2. Customer Classes'!$B$17,+AM24/'4. Customer Growth'!$I20,+IF($AH$19='2. Customer Classes'!$B$18,+AM24/'4. Customer Growth'!$K20,+IF($AH$19='2. Customer Classes'!$B$19,+AM24/'4. Customer Growth'!$M20,IF($AH$19='2. Customer Classes'!$B$20,+AM24/'4. Customer Growth'!$O20)))))))</f>
        <v>#DIV/0!</v>
      </c>
    </row>
    <row r="25" spans="2:40" x14ac:dyDescent="0.2">
      <c r="B25" s="178">
        <f>'4. Customer Growth'!B21</f>
        <v>2010</v>
      </c>
      <c r="C25" s="64">
        <f>IF($B$19='2. Customer Classes'!$B$14,+SUM('3. Consumption by Rate Class'!$D$73:$D$84),+IF($B$19='2. Customer Classes'!$B$15,+SUM('3. Consumption by Rate Class'!$F$73:$F$84),+IF($B$19='2. Customer Classes'!$B$16,+SUM('3. Consumption by Rate Class'!$H$73:$H$84),+IF($B$19='2. Customer Classes'!$B$17,+SUM('3. Consumption by Rate Class'!$J$73:$J$84),+IF($B$19='2. Customer Classes'!$B$18,+SUM('3. Consumption by Rate Class'!$L$73:$L$84),+IF($B$19='2. Customer Classes'!$B$19,+SUM('3. Consumption by Rate Class'!$O$73:$O$84),IF($B$19='2. Customer Classes'!$B$20,+SUM('3. Consumption by Rate Class'!$R$73:$R$84),0)))))))</f>
        <v>72645801</v>
      </c>
      <c r="D25" s="66">
        <f>SUM('6. WS Regression Analysis'!J68:J79)</f>
        <v>244543390.56</v>
      </c>
      <c r="E25" s="66">
        <f>SUM('6. WS Regression Analysis'!R68:R79)</f>
        <v>247205392.77313605</v>
      </c>
      <c r="F25" s="67">
        <f>C25/D25</f>
        <v>0.29706712102765243</v>
      </c>
      <c r="G25" s="66">
        <f t="shared" si="11"/>
        <v>73436594.333625555</v>
      </c>
      <c r="H25" s="64">
        <f>IF($B$19='2. Customer Classes'!$B$14,+G25/'4. Customer Growth'!$C21,+IF($B$19='2. Customer Classes'!$B$15,+G25/'4. Customer Growth'!$E21,+IF($B$19='2. Customer Classes'!$B$16,+G25/'4. Customer Growth'!$G21,+IF($B$19='2. Customer Classes'!$B$17,+G25/'4. Customer Growth'!$I21,+IF($B$19='2. Customer Classes'!$B$18,+G25/'4. Customer Growth'!$K21,+IF($B$19='2. Customer Classes'!$B$19,+G25/'4. Customer Growth'!$M21,IF($B$19='2. Customer Classes'!$B$20,+G25/'4. Customer Growth'!$O21)))))))</f>
        <v>8851.5150164075876</v>
      </c>
      <c r="I25" s="76"/>
      <c r="J25" s="178">
        <f t="shared" si="12"/>
        <v>2010</v>
      </c>
      <c r="K25" s="64">
        <f>IF($J$19='2. Customer Classes'!$B$14,+SUM('3. Consumption by Rate Class'!$D$73:$D$84),+IF($J$19='2. Customer Classes'!$B$15,+SUM('3. Consumption by Rate Class'!$F$73:$F$84),+IF($J$19='2. Customer Classes'!$B$16,+SUM('3. Consumption by Rate Class'!$H$73:$H$84),+IF($J$19='2. Customer Classes'!$B$17,+SUM('3. Consumption by Rate Class'!$J$73:$J$84),+IF($J$19='2. Customer Classes'!$B$18,+SUM('3. Consumption by Rate Class'!$L$73:$L$84),+IF($J$19='2. Customer Classes'!$B$19,+SUM('3. Consumption by Rate Class'!$O$73:$O$84),IF($J$19='2. Customer Classes'!$B$20,+SUM('3. Consumption by Rate Class'!$R$73:$R$84),0)))))))</f>
        <v>34124597</v>
      </c>
      <c r="L25" s="66">
        <f t="shared" si="13"/>
        <v>244543390.56</v>
      </c>
      <c r="M25" s="66">
        <f t="shared" si="0"/>
        <v>247205392.77313605</v>
      </c>
      <c r="N25" s="67">
        <f t="shared" si="1"/>
        <v>0.13954413947502436</v>
      </c>
      <c r="O25" s="66">
        <f t="shared" si="14"/>
        <v>34496063.808112673</v>
      </c>
      <c r="P25" s="64">
        <f>IF($J$19='2. Customer Classes'!$B$14,+O25/'4. Customer Growth'!$C21,+IF($J$19='2. Customer Classes'!$B$15,+O25/'4. Customer Growth'!$E21,+IF($J$19='2. Customer Classes'!$B$16,+O25/'4. Customer Growth'!$G21,+IF($J$19='2. Customer Classes'!$B$17,+O25/'4. Customer Growth'!$I21,+IF($J$19='2. Customer Classes'!$B$18,+O25/'4. Customer Growth'!$K21,+IF($J$19='2. Customer Classes'!$B$19,+O25/'4. Customer Growth'!$M21,IF($J$19='2. Customer Classes'!$B$20,+O25/'4. Customer Growth'!$O21)))))))</f>
        <v>32284.570714190617</v>
      </c>
      <c r="Q25" s="76"/>
      <c r="R25" s="178">
        <f t="shared" si="15"/>
        <v>2010</v>
      </c>
      <c r="S25" s="64">
        <f>IF($R$19='2. Customer Classes'!$B$14,+SUM('3. Consumption by Rate Class'!$D$73:$D$84),+IF($R$19='2. Customer Classes'!$B$15,+SUM('3. Consumption by Rate Class'!$F$73:$F$84),+IF($R$19='2. Customer Classes'!$B$16,+SUM('3. Consumption by Rate Class'!$H$73:$H$84),+IF($R$19='2. Customer Classes'!$B$17,+SUM('3. Consumption by Rate Class'!$J$73:$J$84),+IF($R$19='2. Customer Classes'!$B$18,+SUM('3. Consumption by Rate Class'!$L$73:$L$84),+IF($R$19='2. Customer Classes'!$B$19,+SUM('3. Consumption by Rate Class'!$O$73:$O$84),IF($R$19='2. Customer Classes'!$B$20,+SUM('3. Consumption by Rate Class'!$R$73:$R$84),0)))))))</f>
        <v>716622.84621952369</v>
      </c>
      <c r="T25" s="66">
        <f t="shared" si="2"/>
        <v>244543390.56</v>
      </c>
      <c r="U25" s="66">
        <f t="shared" si="3"/>
        <v>247205392.77313605</v>
      </c>
      <c r="V25" s="67">
        <f t="shared" si="16"/>
        <v>2.9304527289757049E-3</v>
      </c>
      <c r="W25" s="66">
        <f t="shared" si="17"/>
        <v>724423.71786954754</v>
      </c>
      <c r="X25" s="64">
        <f>IF($R$19='2. Customer Classes'!$B$14,+W25/'4. Customer Growth'!$C21,+IF($R$19='2. Customer Classes'!$B$15,+W25/'4. Customer Growth'!$E21,+IF($R$19='2. Customer Classes'!$B$16,+W25/'4. Customer Growth'!$G21,+IF($R$19='2. Customer Classes'!$B$17,+W25/'4. Customer Growth'!$I21,+IF($R$19='2. Customer Classes'!$B$18,+W25/'4. Customer Growth'!$K21,+IF($R$19='2. Customer Classes'!$B$19,+W25/'4. Customer Growth'!$M21,IF($R$19='2. Customer Classes'!$B$20,+W25/'4. Customer Growth'!$O21)))))))</f>
        <v>7625.5128196794476</v>
      </c>
      <c r="Z25" s="178">
        <f t="shared" si="18"/>
        <v>2010</v>
      </c>
      <c r="AA25" s="64">
        <f>IF($Z$19='2. Customer Classes'!$B$14,+SUM('3. Consumption by Rate Class'!$D$73:$D$84),+IF($Z$19='2. Customer Classes'!$B$15,+SUM('3. Consumption by Rate Class'!$F$73:$F$84),+IF($Z$19='2. Customer Classes'!$B$16,+SUM('3. Consumption by Rate Class'!$H$73:$H$84),+IF($Z$19='2. Customer Classes'!$B$17,+SUM('3. Consumption by Rate Class'!$J$73:$J$84),+IF($Z$19='2. Customer Classes'!$B$18,+SUM('3. Consumption by Rate Class'!$L$73:$L$84),+IF($Z$19='2. Customer Classes'!$B$19,+SUM('3. Consumption by Rate Class'!$O$73:$O$84),IF($Z$19='2. Customer Classes'!$B$20,+SUM('3. Consumption by Rate Class'!$R$73:$R$84),0)))))))</f>
        <v>0</v>
      </c>
      <c r="AB25" s="222">
        <f t="shared" si="4"/>
        <v>244543390.56</v>
      </c>
      <c r="AC25" s="222">
        <f t="shared" si="5"/>
        <v>247205392.77313605</v>
      </c>
      <c r="AD25" s="67">
        <f t="shared" si="6"/>
        <v>0</v>
      </c>
      <c r="AE25" s="222">
        <f t="shared" si="19"/>
        <v>0</v>
      </c>
      <c r="AF25" s="64" t="e">
        <f>IF($Z$19='2. Customer Classes'!$B$14,+AE25/'4. Customer Growth'!$C21,+IF($Z$19='2. Customer Classes'!$B$15,+AE25/'4. Customer Growth'!$E21,+IF($Z$19='2. Customer Classes'!$B$16,+AE25/'4. Customer Growth'!$G21,+IF($Z$19='2. Customer Classes'!$B$17,+AE25/'4. Customer Growth'!$I21,+IF($Z$19='2. Customer Classes'!$B$18,+AE25/'4. Customer Growth'!$K21,+IF($Z$19='2. Customer Classes'!$B$19,+AE25/'4. Customer Growth'!$M21,IF($Z$19='2. Customer Classes'!$B$20,+AE25/'4. Customer Growth'!$O21)))))))</f>
        <v>#DIV/0!</v>
      </c>
      <c r="AH25" s="178">
        <f t="shared" si="20"/>
        <v>2010</v>
      </c>
      <c r="AI25" s="64">
        <f>IF($AH$19='2. Customer Classes'!$B$14,+SUM('3. Consumption by Rate Class'!$D$73:$D$84),+IF($AH$19='2. Customer Classes'!$B$15,+SUM('3. Consumption by Rate Class'!$F$73:$F$84),+IF($AH$19='2. Customer Classes'!$B$16,+SUM('3. Consumption by Rate Class'!$H$73:$H$84),+IF($AH$19='2. Customer Classes'!$B$17,+SUM('3. Consumption by Rate Class'!$J$73:$J$84),+IF($AH$19='2. Customer Classes'!$B$18,+SUM('3. Consumption by Rate Class'!$L$73:$L$84),+IF($AH$19='2. Customer Classes'!$B$19,+SUM('3. Consumption by Rate Class'!$O$73:$O$84),IF($AH$19='2. Customer Classes'!$B$20,+SUM('3. Consumption by Rate Class'!$R$73:$R$84),0)))))))</f>
        <v>0</v>
      </c>
      <c r="AJ25" s="222">
        <f t="shared" si="7"/>
        <v>244543390.56</v>
      </c>
      <c r="AK25" s="222">
        <f t="shared" si="8"/>
        <v>247205392.77313605</v>
      </c>
      <c r="AL25" s="67">
        <f t="shared" si="9"/>
        <v>0</v>
      </c>
      <c r="AM25" s="222">
        <f t="shared" si="21"/>
        <v>0</v>
      </c>
      <c r="AN25" s="64" t="e">
        <f>IF($AH$19='2. Customer Classes'!$B$14,+AM25/'4. Customer Growth'!$C21,+IF($AH$19='2. Customer Classes'!$B$15,+AM25/'4. Customer Growth'!$E21,+IF($AH$19='2. Customer Classes'!$B$16,+AM25/'4. Customer Growth'!$G21,+IF($AH$19='2. Customer Classes'!$B$17,+AM25/'4. Customer Growth'!$I21,+IF($AH$19='2. Customer Classes'!$B$18,+AM25/'4. Customer Growth'!$K21,+IF($AH$19='2. Customer Classes'!$B$19,+AM25/'4. Customer Growth'!$M21,IF($AH$19='2. Customer Classes'!$B$20,+AM25/'4. Customer Growth'!$O21)))))))</f>
        <v>#DIV/0!</v>
      </c>
    </row>
    <row r="26" spans="2:40" x14ac:dyDescent="0.2">
      <c r="B26" s="178">
        <f>'4. Customer Growth'!B22</f>
        <v>2011</v>
      </c>
      <c r="C26" s="64">
        <f>IF($B$19='2. Customer Classes'!$B$14,+SUM('3. Consumption by Rate Class'!$D$85:$D$96),+IF($B$19='2. Customer Classes'!$B$15,+SUM('3. Consumption by Rate Class'!$F$85:$F$96),+IF($B$19='2. Customer Classes'!$B$16,+SUM('3. Consumption by Rate Class'!$H$85:$H$96),+IF($B$19='2. Customer Classes'!$B$17,+SUM('3. Consumption by Rate Class'!$J$85:$J$96),+IF($B$19='2. Customer Classes'!$B$18,+SUM('3. Consumption by Rate Class'!$L$85:$L$96),+IF($B$19='2. Customer Classes'!$B$19,+SUM('3. Consumption by Rate Class'!$O$85:$O$96),IF($B$19='2. Customer Classes'!$B$20,+SUM('3. Consumption by Rate Class'!$R$85:$R$96),0)))))))</f>
        <v>73172117</v>
      </c>
      <c r="D26" s="66">
        <f>SUM('6. WS Regression Analysis'!J80:J91)</f>
        <v>248601682.74000001</v>
      </c>
      <c r="E26" s="66">
        <f>SUM('6. WS Regression Analysis'!R80:R91)</f>
        <v>248673994.55355757</v>
      </c>
      <c r="F26" s="67">
        <f t="shared" si="10"/>
        <v>0.29433476150894372</v>
      </c>
      <c r="G26" s="66">
        <f t="shared" si="11"/>
        <v>73193400.880397737</v>
      </c>
      <c r="H26" s="64">
        <f>IF($B$19='2. Customer Classes'!$B$14,+G26/'4. Customer Growth'!$C22,+IF($B$19='2. Customer Classes'!$B$15,+G26/'4. Customer Growth'!$E22,+IF($B$19='2. Customer Classes'!$B$16,+G26/'4. Customer Growth'!$G22,+IF($B$19='2. Customer Classes'!$B$17,+G26/'4. Customer Growth'!$I22,+IF($B$19='2. Customer Classes'!$B$18,+G26/'4. Customer Growth'!$K22,+IF($B$19='2. Customer Classes'!$B$19,+G26/'4. Customer Growth'!$M22,IF($B$19='2. Customer Classes'!$B$20,+G26/'4. Customer Growth'!$O22)))))))</f>
        <v>8687.644021412194</v>
      </c>
      <c r="I26" s="76"/>
      <c r="J26" s="178">
        <f t="shared" si="12"/>
        <v>2011</v>
      </c>
      <c r="K26" s="64">
        <f>IF($J$19='2. Customer Classes'!$B$14,+SUM('3. Consumption by Rate Class'!$D$85:$D$96),+IF($J$19='2. Customer Classes'!$B$15,+SUM('3. Consumption by Rate Class'!$F$85:$F$96),+IF($J$19='2. Customer Classes'!$B$16,+SUM('3. Consumption by Rate Class'!$H$85:$H$96),+IF($J$19='2. Customer Classes'!$B$17,+SUM('3. Consumption by Rate Class'!$J$85:$J$96),+IF($J$19='2. Customer Classes'!$B$18,+SUM('3. Consumption by Rate Class'!$L$85:$L$96),+IF($J$19='2. Customer Classes'!$B$19,+SUM('3. Consumption by Rate Class'!$O$85:$O$96),IF($J$19='2. Customer Classes'!$B$20,+SUM('3. Consumption by Rate Class'!$R$85:$R$96),0)))))))</f>
        <v>38803700</v>
      </c>
      <c r="L26" s="66">
        <f t="shared" si="13"/>
        <v>248601682.74000001</v>
      </c>
      <c r="M26" s="66">
        <f t="shared" si="0"/>
        <v>248673994.55355757</v>
      </c>
      <c r="N26" s="67">
        <f t="shared" si="1"/>
        <v>0.15608784129020895</v>
      </c>
      <c r="O26" s="66">
        <f t="shared" si="14"/>
        <v>38814986.994877979</v>
      </c>
      <c r="P26" s="64">
        <f>IF($J$19='2. Customer Classes'!$B$14,+O26/'4. Customer Growth'!$C22,+IF($J$19='2. Customer Classes'!$B$15,+O26/'4. Customer Growth'!$E22,+IF($J$19='2. Customer Classes'!$B$16,+O26/'4. Customer Growth'!$G22,+IF($J$19='2. Customer Classes'!$B$17,+O26/'4. Customer Growth'!$I22,+IF($J$19='2. Customer Classes'!$B$18,+O26/'4. Customer Growth'!$K22,+IF($J$19='2. Customer Classes'!$B$19,+O26/'4. Customer Growth'!$M22,IF($J$19='2. Customer Classes'!$B$20,+O26/'4. Customer Growth'!$O22)))))))</f>
        <v>36191.130065154292</v>
      </c>
      <c r="Q26" s="76"/>
      <c r="R26" s="178">
        <f t="shared" si="15"/>
        <v>2011</v>
      </c>
      <c r="S26" s="64">
        <f>IF($R$19='2. Customer Classes'!$B$14,+SUM('3. Consumption by Rate Class'!$D$85:$D$96),+IF($R$19='2. Customer Classes'!$B$15,+SUM('3. Consumption by Rate Class'!$F$85:$F$96),+IF($R$19='2. Customer Classes'!$B$16,+SUM('3. Consumption by Rate Class'!$H$85:$H$96),+IF($R$19='2. Customer Classes'!$B$17,+SUM('3. Consumption by Rate Class'!$J$85:$J$96),+IF($R$19='2. Customer Classes'!$B$18,+SUM('3. Consumption by Rate Class'!$L$85:$L$96),+IF($R$19='2. Customer Classes'!$B$19,+SUM('3. Consumption by Rate Class'!$O$85:$O$96),IF($R$19='2. Customer Classes'!$B$20,+SUM('3. Consumption by Rate Class'!$R$85:$R$96),0)))))))</f>
        <v>659574</v>
      </c>
      <c r="T26" s="66">
        <f t="shared" si="2"/>
        <v>248601682.74000001</v>
      </c>
      <c r="U26" s="66">
        <f t="shared" si="3"/>
        <v>248673994.55355757</v>
      </c>
      <c r="V26" s="67">
        <f t="shared" si="16"/>
        <v>2.653135701779683E-3</v>
      </c>
      <c r="W26" s="66">
        <f t="shared" si="17"/>
        <v>659765.85305421008</v>
      </c>
      <c r="X26" s="64">
        <f>IF($R$19='2. Customer Classes'!$B$14,+W26/'4. Customer Growth'!$C22,+IF($R$19='2. Customer Classes'!$B$15,+W26/'4. Customer Growth'!$E22,+IF($R$19='2. Customer Classes'!$B$16,+W26/'4. Customer Growth'!$G22,+IF($R$19='2. Customer Classes'!$B$17,+W26/'4. Customer Growth'!$I22,+IF($R$19='2. Customer Classes'!$B$18,+W26/'4. Customer Growth'!$K22,+IF($R$19='2. Customer Classes'!$B$19,+W26/'4. Customer Growth'!$M22,IF($R$19='2. Customer Classes'!$B$20,+W26/'4. Customer Growth'!$O22)))))))</f>
        <v>6872.560969314688</v>
      </c>
      <c r="Z26" s="178">
        <f t="shared" si="18"/>
        <v>2011</v>
      </c>
      <c r="AA26" s="64">
        <f>IF($Z$19='2. Customer Classes'!$B$14,+SUM('3. Consumption by Rate Class'!$D$85:$D$96),+IF($Z$19='2. Customer Classes'!$B$15,+SUM('3. Consumption by Rate Class'!$F$85:$F$96),+IF($Z$19='2. Customer Classes'!$B$16,+SUM('3. Consumption by Rate Class'!$H$85:$H$96),+IF($Z$19='2. Customer Classes'!$B$17,+SUM('3. Consumption by Rate Class'!$J$85:$J$96),+IF($Z$19='2. Customer Classes'!$B$18,+SUM('3. Consumption by Rate Class'!$L$85:$L$96),+IF($Z$19='2. Customer Classes'!$B$19,+SUM('3. Consumption by Rate Class'!$O$85:$O$96),IF($Z$19='2. Customer Classes'!$B$20,+SUM('3. Consumption by Rate Class'!$R$85:$R$96),0)))))))</f>
        <v>0</v>
      </c>
      <c r="AB26" s="222">
        <f t="shared" si="4"/>
        <v>248601682.74000001</v>
      </c>
      <c r="AC26" s="222">
        <f t="shared" si="5"/>
        <v>248673994.55355757</v>
      </c>
      <c r="AD26" s="67">
        <f t="shared" si="6"/>
        <v>0</v>
      </c>
      <c r="AE26" s="222">
        <f t="shared" si="19"/>
        <v>0</v>
      </c>
      <c r="AF26" s="64" t="e">
        <f>IF($Z$19='2. Customer Classes'!$B$14,+AE26/'4. Customer Growth'!$C22,+IF($Z$19='2. Customer Classes'!$B$15,+AE26/'4. Customer Growth'!$E22,+IF($Z$19='2. Customer Classes'!$B$16,+AE26/'4. Customer Growth'!$G22,+IF($Z$19='2. Customer Classes'!$B$17,+AE26/'4. Customer Growth'!$I22,+IF($Z$19='2. Customer Classes'!$B$18,+AE26/'4. Customer Growth'!$K22,+IF($Z$19='2. Customer Classes'!$B$19,+AE26/'4. Customer Growth'!$M22,IF($Z$19='2. Customer Classes'!$B$20,+AE26/'4. Customer Growth'!$O22)))))))</f>
        <v>#DIV/0!</v>
      </c>
      <c r="AH26" s="178">
        <f t="shared" si="20"/>
        <v>2011</v>
      </c>
      <c r="AI26" s="64">
        <f>IF($AH$19='2. Customer Classes'!$B$14,+SUM('3. Consumption by Rate Class'!$D$85:$D$96),+IF($AH$19='2. Customer Classes'!$B$15,+SUM('3. Consumption by Rate Class'!$F$85:$F$96),+IF($AH$19='2. Customer Classes'!$B$16,+SUM('3. Consumption by Rate Class'!$H$85:$H$96),+IF($AH$19='2. Customer Classes'!$B$17,+SUM('3. Consumption by Rate Class'!$J$85:$J$96),+IF($AH$19='2. Customer Classes'!$B$18,+SUM('3. Consumption by Rate Class'!$L$85:$L$96),+IF($AH$19='2. Customer Classes'!$B$19,+SUM('3. Consumption by Rate Class'!$O$85:$O$96),IF($AH$19='2. Customer Classes'!$B$20,+SUM('3. Consumption by Rate Class'!$R$85:$R$96),0)))))))</f>
        <v>0</v>
      </c>
      <c r="AJ26" s="222">
        <f t="shared" si="7"/>
        <v>248601682.74000001</v>
      </c>
      <c r="AK26" s="222">
        <f t="shared" si="8"/>
        <v>248673994.55355757</v>
      </c>
      <c r="AL26" s="67">
        <f t="shared" si="9"/>
        <v>0</v>
      </c>
      <c r="AM26" s="222">
        <f t="shared" si="21"/>
        <v>0</v>
      </c>
      <c r="AN26" s="64" t="e">
        <f>IF($AH$19='2. Customer Classes'!$B$14,+AM26/'4. Customer Growth'!$C22,+IF($AH$19='2. Customer Classes'!$B$15,+AM26/'4. Customer Growth'!$E22,+IF($AH$19='2. Customer Classes'!$B$16,+AM26/'4. Customer Growth'!$G22,+IF($AH$19='2. Customer Classes'!$B$17,+AM26/'4. Customer Growth'!$I22,+IF($AH$19='2. Customer Classes'!$B$18,+AM26/'4. Customer Growth'!$K22,+IF($AH$19='2. Customer Classes'!$B$19,+AM26/'4. Customer Growth'!$M22,IF($AH$19='2. Customer Classes'!$B$20,+AM26/'4. Customer Growth'!$O22)))))))</f>
        <v>#DIV/0!</v>
      </c>
    </row>
    <row r="27" spans="2:40" x14ac:dyDescent="0.2">
      <c r="B27" s="178">
        <f>'4. Customer Growth'!B23</f>
        <v>2012</v>
      </c>
      <c r="C27" s="64">
        <f>IF($B$19='2. Customer Classes'!$B$14,+SUM('3. Consumption by Rate Class'!$D$97:$D$108),+IF($B$19='2. Customer Classes'!$B$15,+SUM('3. Consumption by Rate Class'!$F$97:$F$108),+IF($B$19='2. Customer Classes'!$B$16,+SUM('3. Consumption by Rate Class'!$H$97:$H$108),+IF($B$19='2. Customer Classes'!$B$17,+SUM('3. Consumption by Rate Class'!$J$97:$J$108),+IF($B$19='2. Customer Classes'!$B$18,+SUM('3. Consumption by Rate Class'!$L$97:$L$108),+IF($B$19='2. Customer Classes'!$B$19,+SUM('3. Consumption by Rate Class'!$O$97:$O$108),IF($B$19='2. Customer Classes'!$B$20,+SUM('3. Consumption by Rate Class'!$R$97:$R$108),0)))))))</f>
        <v>70910271</v>
      </c>
      <c r="D27" s="66">
        <f>SUM('6. WS Regression Analysis'!J92:J103)</f>
        <v>250144401.56999999</v>
      </c>
      <c r="E27" s="66">
        <f>SUM('6. WS Regression Analysis'!R92:R103)</f>
        <v>250342774.98395351</v>
      </c>
      <c r="F27" s="67">
        <f t="shared" si="10"/>
        <v>0.28347734570488314</v>
      </c>
      <c r="G27" s="66">
        <f t="shared" si="11"/>
        <v>70966505.368845955</v>
      </c>
      <c r="H27" s="64">
        <f>IF($B$19='2. Customer Classes'!$B$14,+G27/'4. Customer Growth'!$C23,+IF($B$19='2. Customer Classes'!$B$15,+G27/'4. Customer Growth'!$E23,+IF($B$19='2. Customer Classes'!$B$16,+G27/'4. Customer Growth'!$G23,+IF($B$19='2. Customer Classes'!$B$17,+G27/'4. Customer Growth'!$I23,+IF($B$19='2. Customer Classes'!$B$18,+G27/'4. Customer Growth'!$K23,+IF($B$19='2. Customer Classes'!$B$19,+G27/'4. Customer Growth'!$M23,IF($B$19='2. Customer Classes'!$B$20,+G27/'4. Customer Growth'!$O23)))))))</f>
        <v>8324.5167588089098</v>
      </c>
      <c r="I27" s="76"/>
      <c r="J27" s="178">
        <f t="shared" si="12"/>
        <v>2012</v>
      </c>
      <c r="K27" s="64">
        <f>IF($J$19='2. Customer Classes'!$B$14,+SUM('3. Consumption by Rate Class'!$D$97:$D$108),+IF($J$19='2. Customer Classes'!$B$15,+SUM('3. Consumption by Rate Class'!$F$97:$F$108),+IF($J$19='2. Customer Classes'!$B$16,+SUM('3. Consumption by Rate Class'!$H$97:$H$108),+IF($J$19='2. Customer Classes'!$B$17,+SUM('3. Consumption by Rate Class'!$J$97:$J$108),+IF($J$19='2. Customer Classes'!$B$18,+SUM('3. Consumption by Rate Class'!$L$97:$L$108),+IF($J$19='2. Customer Classes'!$B$19,+SUM('3. Consumption by Rate Class'!$O$97:$O$108),IF($J$19='2. Customer Classes'!$B$20,+SUM('3. Consumption by Rate Class'!$R$97:$R$108),0)))))))</f>
        <v>33174074</v>
      </c>
      <c r="L27" s="66">
        <f t="shared" si="13"/>
        <v>250144401.56999999</v>
      </c>
      <c r="M27" s="66">
        <f t="shared" si="0"/>
        <v>250342774.98395351</v>
      </c>
      <c r="N27" s="67">
        <f t="shared" si="1"/>
        <v>0.13261969403187551</v>
      </c>
      <c r="O27" s="66">
        <f t="shared" si="14"/>
        <v>33200382.221462574</v>
      </c>
      <c r="P27" s="64">
        <f>IF($J$19='2. Customer Classes'!$B$14,+O27/'4. Customer Growth'!$C23,+IF($J$19='2. Customer Classes'!$B$15,+O27/'4. Customer Growth'!$E23,+IF($J$19='2. Customer Classes'!$B$16,+O27/'4. Customer Growth'!$G23,+IF($J$19='2. Customer Classes'!$B$17,+O27/'4. Customer Growth'!$I23,+IF($J$19='2. Customer Classes'!$B$18,+O27/'4. Customer Growth'!$K23,+IF($J$19='2. Customer Classes'!$B$19,+O27/'4. Customer Growth'!$M23,IF($J$19='2. Customer Classes'!$B$20,+O27/'4. Customer Growth'!$O23)))))))</f>
        <v>31115.634696778419</v>
      </c>
      <c r="Q27" s="76"/>
      <c r="R27" s="178">
        <f t="shared" si="15"/>
        <v>2012</v>
      </c>
      <c r="S27" s="64">
        <f>IF($R$19='2. Customer Classes'!$B$14,+SUM('3. Consumption by Rate Class'!$D$97:$D$108),+IF($R$19='2. Customer Classes'!$B$15,+SUM('3. Consumption by Rate Class'!$F$97:$F$108),+IF($R$19='2. Customer Classes'!$B$16,+SUM('3. Consumption by Rate Class'!$H$97:$H$108),+IF($R$19='2. Customer Classes'!$B$17,+SUM('3. Consumption by Rate Class'!$J$97:$J$108),+IF($R$19='2. Customer Classes'!$B$18,+SUM('3. Consumption by Rate Class'!$L$97:$L$108),+IF($R$19='2. Customer Classes'!$B$19,+SUM('3. Consumption by Rate Class'!$O$97:$O$108),IF($R$19='2. Customer Classes'!$B$20,+SUM('3. Consumption by Rate Class'!$R$97:$R$108),0)))))))</f>
        <v>627467</v>
      </c>
      <c r="T27" s="66">
        <f t="shared" si="2"/>
        <v>250144401.56999999</v>
      </c>
      <c r="U27" s="66">
        <f t="shared" si="3"/>
        <v>250342774.98395351</v>
      </c>
      <c r="V27" s="67">
        <f t="shared" si="16"/>
        <v>2.5084191213626287E-3</v>
      </c>
      <c r="W27" s="66">
        <f t="shared" si="17"/>
        <v>627964.60366473091</v>
      </c>
      <c r="X27" s="64">
        <f>IF($R$19='2. Customer Classes'!$B$14,+W27/'4. Customer Growth'!$C23,+IF($R$19='2. Customer Classes'!$B$15,+W27/'4. Customer Growth'!$E23,+IF($R$19='2. Customer Classes'!$B$16,+W27/'4. Customer Growth'!$G23,+IF($R$19='2. Customer Classes'!$B$17,+W27/'4. Customer Growth'!$I23,+IF($R$19='2. Customer Classes'!$B$18,+W27/'4. Customer Growth'!$K23,+IF($R$19='2. Customer Classes'!$B$19,+W27/'4. Customer Growth'!$M23,IF($R$19='2. Customer Classes'!$B$20,+W27/'4. Customer Growth'!$O23)))))))</f>
        <v>6645.1280811082634</v>
      </c>
      <c r="Z27" s="178">
        <f t="shared" si="18"/>
        <v>2012</v>
      </c>
      <c r="AA27" s="64">
        <f>IF($Z$19='2. Customer Classes'!$B$14,+SUM('3. Consumption by Rate Class'!$D$97:$D$108),+IF($Z$19='2. Customer Classes'!$B$15,+SUM('3. Consumption by Rate Class'!$F$97:$F$108),+IF($Z$19='2. Customer Classes'!$B$16,+SUM('3. Consumption by Rate Class'!$H$97:$H$108),+IF($Z$19='2. Customer Classes'!$B$17,+SUM('3. Consumption by Rate Class'!$J$97:$J$108),+IF($Z$19='2. Customer Classes'!$B$18,+SUM('3. Consumption by Rate Class'!$L$97:$L$108),+IF($Z$19='2. Customer Classes'!$B$19,+SUM('3. Consumption by Rate Class'!$O$97:$O$108),IF($Z$19='2. Customer Classes'!$B$20,+SUM('3. Consumption by Rate Class'!$R$97:$R$108),0)))))))</f>
        <v>0</v>
      </c>
      <c r="AB27" s="222">
        <f t="shared" si="4"/>
        <v>250144401.56999999</v>
      </c>
      <c r="AC27" s="222">
        <f t="shared" si="5"/>
        <v>250342774.98395351</v>
      </c>
      <c r="AD27" s="67">
        <f t="shared" si="6"/>
        <v>0</v>
      </c>
      <c r="AE27" s="222">
        <f t="shared" si="19"/>
        <v>0</v>
      </c>
      <c r="AF27" s="64" t="e">
        <f>IF($Z$19='2. Customer Classes'!$B$14,+AE27/'4. Customer Growth'!$C23,+IF($Z$19='2. Customer Classes'!$B$15,+AE27/'4. Customer Growth'!$E23,+IF($Z$19='2. Customer Classes'!$B$16,+AE27/'4. Customer Growth'!$G23,+IF($Z$19='2. Customer Classes'!$B$17,+AE27/'4. Customer Growth'!$I23,+IF($Z$19='2. Customer Classes'!$B$18,+AE27/'4. Customer Growth'!$K23,+IF($Z$19='2. Customer Classes'!$B$19,+AE27/'4. Customer Growth'!$M23,IF($Z$19='2. Customer Classes'!$B$20,+AE27/'4. Customer Growth'!$O23)))))))</f>
        <v>#DIV/0!</v>
      </c>
      <c r="AH27" s="178">
        <f t="shared" si="20"/>
        <v>2012</v>
      </c>
      <c r="AI27" s="64">
        <f>IF($AH$19='2. Customer Classes'!$B$14,+SUM('3. Consumption by Rate Class'!$D$97:$D$108),+IF($AH$19='2. Customer Classes'!$B$15,+SUM('3. Consumption by Rate Class'!$F$97:$F$108),+IF($AH$19='2. Customer Classes'!$B$16,+SUM('3. Consumption by Rate Class'!$H$97:$H$108),+IF($AH$19='2. Customer Classes'!$B$17,+SUM('3. Consumption by Rate Class'!$J$97:$J$108),+IF($AH$19='2. Customer Classes'!$B$18,+SUM('3. Consumption by Rate Class'!$L$97:$L$108),+IF($AH$19='2. Customer Classes'!$B$19,+SUM('3. Consumption by Rate Class'!$O$97:$O$108),IF($AH$19='2. Customer Classes'!$B$20,+SUM('3. Consumption by Rate Class'!$R$97:$R$108),0)))))))</f>
        <v>0</v>
      </c>
      <c r="AJ27" s="222">
        <f t="shared" si="7"/>
        <v>250144401.56999999</v>
      </c>
      <c r="AK27" s="222">
        <f t="shared" si="8"/>
        <v>250342774.98395351</v>
      </c>
      <c r="AL27" s="67">
        <f t="shared" si="9"/>
        <v>0</v>
      </c>
      <c r="AM27" s="222">
        <f t="shared" si="21"/>
        <v>0</v>
      </c>
      <c r="AN27" s="64" t="e">
        <f>IF($AH$19='2. Customer Classes'!$B$14,+AM27/'4. Customer Growth'!$C23,+IF($AH$19='2. Customer Classes'!$B$15,+AM27/'4. Customer Growth'!$E23,+IF($AH$19='2. Customer Classes'!$B$16,+AM27/'4. Customer Growth'!$G23,+IF($AH$19='2. Customer Classes'!$B$17,+AM27/'4. Customer Growth'!$I23,+IF($AH$19='2. Customer Classes'!$B$18,+AM27/'4. Customer Growth'!$K23,+IF($AH$19='2. Customer Classes'!$B$19,+AM27/'4. Customer Growth'!$M23,IF($AH$19='2. Customer Classes'!$B$20,+AM27/'4. Customer Growth'!$O23)))))))</f>
        <v>#DIV/0!</v>
      </c>
    </row>
    <row r="28" spans="2:40" x14ac:dyDescent="0.2">
      <c r="B28" s="178">
        <f>'4. Customer Growth'!B24</f>
        <v>2013</v>
      </c>
      <c r="C28" s="64">
        <f>IF($B$19='2. Customer Classes'!$B$14,+SUM('3. Consumption by Rate Class'!$D$109:$D$120),+IF($B$19='2. Customer Classes'!$B$15,+SUM('3. Consumption by Rate Class'!$F$109:$F$120),+IF($B$19='2. Customer Classes'!$B$16,+SUM('3. Consumption by Rate Class'!$H$109:$H$120),+IF($B$19='2. Customer Classes'!$B$17,+SUM('3. Consumption by Rate Class'!$J$109:$J$120),+IF($B$19='2. Customer Classes'!$B$18,+SUM('3. Consumption by Rate Class'!$L$109:$L$120),+IF($B$19='2. Customer Classes'!$B$19,+SUM('3. Consumption by Rate Class'!$O$109:$O$120),IF($B$19='2. Customer Classes'!$B$20,+SUM('3. Consumption by Rate Class'!$R$109:$R$120),0)))))))</f>
        <v>73387300</v>
      </c>
      <c r="D28" s="66">
        <f>SUM('6. WS Regression Analysis'!J104:J115)</f>
        <v>246166626.33000001</v>
      </c>
      <c r="E28" s="66">
        <f>SUM('6. WS Regression Analysis'!R104:R115)</f>
        <v>249342246.0888707</v>
      </c>
      <c r="F28" s="67">
        <f t="shared" si="10"/>
        <v>0.29812042799668648</v>
      </c>
      <c r="G28" s="66">
        <f t="shared" si="11"/>
        <v>74334017.121669263</v>
      </c>
      <c r="H28" s="64">
        <f>IF($B$19='2. Customer Classes'!$B$14,+G28/'4. Customer Growth'!$C24,+IF($B$19='2. Customer Classes'!$B$15,+G28/'4. Customer Growth'!$E24,+IF($B$19='2. Customer Classes'!$B$16,+G28/'4. Customer Growth'!$G24,+IF($B$19='2. Customer Classes'!$B$17,+G28/'4. Customer Growth'!$I24,+IF($B$19='2. Customer Classes'!$B$18,+G28/'4. Customer Growth'!$K24,+IF($B$19='2. Customer Classes'!$B$19,+G28/'4. Customer Growth'!$M24,IF($B$19='2. Customer Classes'!$B$20,+G28/'4. Customer Growth'!$O24)))))))</f>
        <v>8616.4387529464784</v>
      </c>
      <c r="I28" s="76"/>
      <c r="J28" s="178">
        <f t="shared" si="12"/>
        <v>2013</v>
      </c>
      <c r="K28" s="64">
        <f>IF($J$19='2. Customer Classes'!$B$14,+SUM('3. Consumption by Rate Class'!$D$109:$D$120),+IF($J$19='2. Customer Classes'!$B$15,+SUM('3. Consumption by Rate Class'!$F$109:$F$120),+IF($J$19='2. Customer Classes'!$B$16,+SUM('3. Consumption by Rate Class'!$H$109:$H$120),+IF($J$19='2. Customer Classes'!$B$17,+SUM('3. Consumption by Rate Class'!$J$109:$J$120),+IF($J$19='2. Customer Classes'!$B$18,+SUM('3. Consumption by Rate Class'!$L$109:$L$120),+IF($J$19='2. Customer Classes'!$B$19,+SUM('3. Consumption by Rate Class'!$O$109:$O$120),IF($J$19='2. Customer Classes'!$B$20,+SUM('3. Consumption by Rate Class'!$R$109:$R$120),0)))))))</f>
        <v>32912921</v>
      </c>
      <c r="L28" s="66">
        <f t="shared" si="13"/>
        <v>246166626.33000001</v>
      </c>
      <c r="M28" s="66">
        <f t="shared" si="0"/>
        <v>249342246.0888707</v>
      </c>
      <c r="N28" s="67">
        <f t="shared" si="1"/>
        <v>0.13370179983649938</v>
      </c>
      <c r="O28" s="66">
        <f t="shared" si="14"/>
        <v>33337507.077357363</v>
      </c>
      <c r="P28" s="64">
        <f>IF($J$19='2. Customer Classes'!$B$14,+O28/'4. Customer Growth'!$C24,+IF($J$19='2. Customer Classes'!$B$15,+O28/'4. Customer Growth'!$E24,+IF($J$19='2. Customer Classes'!$B$16,+O28/'4. Customer Growth'!$G24,+IF($J$19='2. Customer Classes'!$B$17,+O28/'4. Customer Growth'!$I24,+IF($J$19='2. Customer Classes'!$B$18,+O28/'4. Customer Growth'!$K24,+IF($J$19='2. Customer Classes'!$B$19,+O28/'4. Customer Growth'!$M24,IF($J$19='2. Customer Classes'!$B$20,+O28/'4. Customer Growth'!$O24)))))))</f>
        <v>31509.93107500696</v>
      </c>
      <c r="Q28" s="76"/>
      <c r="R28" s="178">
        <f t="shared" si="15"/>
        <v>2013</v>
      </c>
      <c r="S28" s="64">
        <f>IF($R$19='2. Customer Classes'!$B$14,+SUM('3. Consumption by Rate Class'!$D$109:$D$120),+IF($R$19='2. Customer Classes'!$B$15,+SUM('3. Consumption by Rate Class'!$F$109:$F$120),+IF($R$19='2. Customer Classes'!$B$16,+SUM('3. Consumption by Rate Class'!$H$109:$H$120),+IF($R$19='2. Customer Classes'!$B$17,+SUM('3. Consumption by Rate Class'!$J$109:$J$120),+IF($R$19='2. Customer Classes'!$B$18,+SUM('3. Consumption by Rate Class'!$L$109:$L$120),+IF($R$19='2. Customer Classes'!$B$19,+SUM('3. Consumption by Rate Class'!$O$109:$O$120),IF($R$19='2. Customer Classes'!$B$20,+SUM('3. Consumption by Rate Class'!$R$109:$R$120),0)))))))</f>
        <v>668402</v>
      </c>
      <c r="T28" s="66">
        <f t="shared" si="2"/>
        <v>246166626.33000001</v>
      </c>
      <c r="U28" s="66">
        <f t="shared" si="3"/>
        <v>249342246.0888707</v>
      </c>
      <c r="V28" s="67">
        <f t="shared" si="16"/>
        <v>2.7152421510784732E-3</v>
      </c>
      <c r="W28" s="66">
        <f t="shared" si="17"/>
        <v>677024.57662508334</v>
      </c>
      <c r="X28" s="64">
        <f>IF($R$19='2. Customer Classes'!$B$14,+W28/'4. Customer Growth'!$C24,+IF($R$19='2. Customer Classes'!$B$15,+W28/'4. Customer Growth'!$E24,+IF($R$19='2. Customer Classes'!$B$16,+W28/'4. Customer Growth'!$G24,+IF($R$19='2. Customer Classes'!$B$17,+W28/'4. Customer Growth'!$I24,+IF($R$19='2. Customer Classes'!$B$18,+W28/'4. Customer Growth'!$K24,+IF($R$19='2. Customer Classes'!$B$19,+W28/'4. Customer Growth'!$M24,IF($R$19='2. Customer Classes'!$B$20,+W28/'4. Customer Growth'!$O24)))))))</f>
        <v>7240.9045628351159</v>
      </c>
      <c r="Z28" s="178">
        <f t="shared" si="18"/>
        <v>2013</v>
      </c>
      <c r="AA28" s="64">
        <f>IF($Z$19='2. Customer Classes'!$B$14,+SUM('3. Consumption by Rate Class'!$D$109:$D$120),+IF($Z$19='2. Customer Classes'!$B$15,+SUM('3. Consumption by Rate Class'!$F$109:$F$120),+IF($Z$19='2. Customer Classes'!$B$16,+SUM('3. Consumption by Rate Class'!$H$109:$H$120),+IF($Z$19='2. Customer Classes'!$B$17,+SUM('3. Consumption by Rate Class'!$J$109:$J$120),+IF($Z$19='2. Customer Classes'!$B$18,+SUM('3. Consumption by Rate Class'!$L$109:$L$120),+IF($Z$19='2. Customer Classes'!$B$19,+SUM('3. Consumption by Rate Class'!$O$109:$O$120),IF($Z$19='2. Customer Classes'!$B$20,+SUM('3. Consumption by Rate Class'!$R$109:$R$120),0)))))))</f>
        <v>0</v>
      </c>
      <c r="AB28" s="222">
        <f t="shared" si="4"/>
        <v>246166626.33000001</v>
      </c>
      <c r="AC28" s="222">
        <f t="shared" si="5"/>
        <v>249342246.0888707</v>
      </c>
      <c r="AD28" s="67">
        <f t="shared" si="6"/>
        <v>0</v>
      </c>
      <c r="AE28" s="222">
        <f t="shared" si="19"/>
        <v>0</v>
      </c>
      <c r="AF28" s="64" t="e">
        <f>IF($Z$19='2. Customer Classes'!$B$14,+AE28/'4. Customer Growth'!$C24,+IF($Z$19='2. Customer Classes'!$B$15,+AE28/'4. Customer Growth'!$E24,+IF($Z$19='2. Customer Classes'!$B$16,+AE28/'4. Customer Growth'!$G24,+IF($Z$19='2. Customer Classes'!$B$17,+AE28/'4. Customer Growth'!$I24,+IF($Z$19='2. Customer Classes'!$B$18,+AE28/'4. Customer Growth'!$K24,+IF($Z$19='2. Customer Classes'!$B$19,+AE28/'4. Customer Growth'!$M24,IF($Z$19='2. Customer Classes'!$B$20,+AE28/'4. Customer Growth'!$O24)))))))</f>
        <v>#DIV/0!</v>
      </c>
      <c r="AH28" s="178">
        <f t="shared" si="20"/>
        <v>2013</v>
      </c>
      <c r="AI28" s="64">
        <f>IF($AH$19='2. Customer Classes'!$B$14,+SUM('3. Consumption by Rate Class'!$D$109:$D$120),+IF($AH$19='2. Customer Classes'!$B$15,+SUM('3. Consumption by Rate Class'!$F$109:$F$120),+IF($AH$19='2. Customer Classes'!$B$16,+SUM('3. Consumption by Rate Class'!$H$109:$H$120),+IF($AH$19='2. Customer Classes'!$B$17,+SUM('3. Consumption by Rate Class'!$J$109:$J$120),+IF($AH$19='2. Customer Classes'!$B$18,+SUM('3. Consumption by Rate Class'!$L$109:$L$120),+IF($AH$19='2. Customer Classes'!$B$19,+SUM('3. Consumption by Rate Class'!$O$109:$O$120),IF($AH$19='2. Customer Classes'!$B$20,+SUM('3. Consumption by Rate Class'!$R$109:$R$120),0)))))))</f>
        <v>0</v>
      </c>
      <c r="AJ28" s="222">
        <f t="shared" si="7"/>
        <v>246166626.33000001</v>
      </c>
      <c r="AK28" s="222">
        <f t="shared" si="8"/>
        <v>249342246.0888707</v>
      </c>
      <c r="AL28" s="67">
        <f t="shared" si="9"/>
        <v>0</v>
      </c>
      <c r="AM28" s="222">
        <f t="shared" si="21"/>
        <v>0</v>
      </c>
      <c r="AN28" s="64" t="e">
        <f>IF($AH$19='2. Customer Classes'!$B$14,+AM28/'4. Customer Growth'!$C24,+IF($AH$19='2. Customer Classes'!$B$15,+AM28/'4. Customer Growth'!$E24,+IF($AH$19='2. Customer Classes'!$B$16,+AM28/'4. Customer Growth'!$G24,+IF($AH$19='2. Customer Classes'!$B$17,+AM28/'4. Customer Growth'!$I24,+IF($AH$19='2. Customer Classes'!$B$18,+AM28/'4. Customer Growth'!$K24,+IF($AH$19='2. Customer Classes'!$B$19,+AM28/'4. Customer Growth'!$M24,IF($AH$19='2. Customer Classes'!$B$20,+AM28/'4. Customer Growth'!$O24)))))))</f>
        <v>#DIV/0!</v>
      </c>
    </row>
    <row r="29" spans="2:40" x14ac:dyDescent="0.2">
      <c r="B29" s="178">
        <f>'4. Customer Growth'!B25</f>
        <v>2014</v>
      </c>
      <c r="C29" s="64">
        <f>IF($B$19='2. Customer Classes'!$B$14,+SUM('3. Consumption by Rate Class'!$D$121:$D$132),+IF($B$19='2. Customer Classes'!$B$15,+SUM('3. Consumption by Rate Class'!$F$121:$F$132),+IF($B$19='2. Customer Classes'!$B$16,+SUM('3. Consumption by Rate Class'!$H$121:$H$132),+IF($B$19='2. Customer Classes'!$B$17,+SUM('3. Consumption by Rate Class'!$J$121:$J$132),+IF($B$19='2. Customer Classes'!$B$18,+SUM('3. Consumption by Rate Class'!$L$121:$L$132),+IF($B$19='2. Customer Classes'!$B$19,+SUM('3. Consumption by Rate Class'!$O$121:$O$132),IF($B$19='2. Customer Classes'!$B$20,+SUM('3. Consumption by Rate Class'!$R$121:$R$132),0)))))))</f>
        <v>73600211</v>
      </c>
      <c r="D29" s="66">
        <f>SUM('6. WS Regression Analysis'!J116:J127)</f>
        <v>242535263.39000002</v>
      </c>
      <c r="E29" s="66">
        <f>SUM('6. WS Regression Analysis'!R116:R127)</f>
        <v>249658428.47991201</v>
      </c>
      <c r="F29" s="67">
        <f t="shared" si="10"/>
        <v>0.30346189651461059</v>
      </c>
      <c r="G29" s="66">
        <f t="shared" si="11"/>
        <v>75761820.187371373</v>
      </c>
      <c r="H29" s="64">
        <f>IF($B$19='2. Customer Classes'!$B$14,+G29/'4. Customer Growth'!$C25,+IF($B$19='2. Customer Classes'!$B$15,+G29/'4. Customer Growth'!$E25,+IF($B$19='2. Customer Classes'!$B$16,+G29/'4. Customer Growth'!$G25,+IF($B$19='2. Customer Classes'!$B$17,+G29/'4. Customer Growth'!$I25,+IF($B$19='2. Customer Classes'!$B$18,+G29/'4. Customer Growth'!$K25,+IF($B$19='2. Customer Classes'!$B$19,+G29/'4. Customer Growth'!$M25,IF($B$19='2. Customer Classes'!$B$20,+G29/'4. Customer Growth'!$O25)))))))</f>
        <v>8648.1159965037805</v>
      </c>
      <c r="I29" s="76"/>
      <c r="J29" s="178">
        <f t="shared" si="12"/>
        <v>2014</v>
      </c>
      <c r="K29" s="64">
        <f>IF($J$19='2. Customer Classes'!$B$14,+SUM('3. Consumption by Rate Class'!$D$121:$D$132),+IF($J$19='2. Customer Classes'!$B$15,+SUM('3. Consumption by Rate Class'!$F$121:$F$132),+IF($J$19='2. Customer Classes'!$B$16,+SUM('3. Consumption by Rate Class'!$H$121:$H$132),+IF($J$19='2. Customer Classes'!$B$17,+SUM('3. Consumption by Rate Class'!$J$121:$J$132),+IF($J$19='2. Customer Classes'!$B$18,+SUM('3. Consumption by Rate Class'!$L$121:$L$132),+IF($J$19='2. Customer Classes'!$B$19,+SUM('3. Consumption by Rate Class'!$O$121:$O$132),IF($J$19='2. Customer Classes'!$B$20,+SUM('3. Consumption by Rate Class'!$R$121:$R$132),0)))))))</f>
        <v>31500702</v>
      </c>
      <c r="L29" s="66">
        <f t="shared" si="13"/>
        <v>242535263.39000002</v>
      </c>
      <c r="M29" s="66">
        <f t="shared" si="0"/>
        <v>249658428.47991201</v>
      </c>
      <c r="N29" s="67">
        <f t="shared" si="1"/>
        <v>0.12988091529332146</v>
      </c>
      <c r="O29" s="66">
        <f t="shared" si="14"/>
        <v>32425865.201663207</v>
      </c>
      <c r="P29" s="64">
        <f>IF($J$19='2. Customer Classes'!$B$14,+O29/'4. Customer Growth'!$C25,+IF($J$19='2. Customer Classes'!$B$15,+O29/'4. Customer Growth'!$E25,+IF($J$19='2. Customer Classes'!$B$16,+O29/'4. Customer Growth'!$G25,+IF($J$19='2. Customer Classes'!$B$17,+O29/'4. Customer Growth'!$I25,+IF($J$19='2. Customer Classes'!$B$18,+O29/'4. Customer Growth'!$K25,+IF($J$19='2. Customer Classes'!$B$19,+O29/'4. Customer Growth'!$M25,IF($J$19='2. Customer Classes'!$B$20,+O29/'4. Customer Growth'!$O25)))))))</f>
        <v>30347.089566367064</v>
      </c>
      <c r="Q29" s="76"/>
      <c r="R29" s="178">
        <f t="shared" si="15"/>
        <v>2014</v>
      </c>
      <c r="S29" s="64">
        <f>IF($R$19='2. Customer Classes'!$B$14,+SUM('3. Consumption by Rate Class'!$D$121:$D$132),+IF($R$19='2. Customer Classes'!$B$15,+SUM('3. Consumption by Rate Class'!$F$121:$F$132),+IF($R$19='2. Customer Classes'!$B$16,+SUM('3. Consumption by Rate Class'!$H$121:$H$132),+IF($R$19='2. Customer Classes'!$B$17,+SUM('3. Consumption by Rate Class'!$J$121:$J$132),+IF($R$19='2. Customer Classes'!$B$18,+SUM('3. Consumption by Rate Class'!$L$121:$L$132),+IF($R$19='2. Customer Classes'!$B$19,+SUM('3. Consumption by Rate Class'!$O$121:$O$132),IF($R$19='2. Customer Classes'!$B$20,+SUM('3. Consumption by Rate Class'!$R$121:$R$132),0)))))))</f>
        <v>555548</v>
      </c>
      <c r="T29" s="66">
        <f t="shared" si="2"/>
        <v>242535263.39000002</v>
      </c>
      <c r="U29" s="66">
        <f t="shared" si="3"/>
        <v>249658428.47991201</v>
      </c>
      <c r="V29" s="67">
        <f t="shared" si="16"/>
        <v>2.2905864996079816E-3</v>
      </c>
      <c r="W29" s="66">
        <f t="shared" si="17"/>
        <v>571864.22578943125</v>
      </c>
      <c r="X29" s="64">
        <f>IF($R$19='2. Customer Classes'!$B$14,+W29/'4. Customer Growth'!$C25,+IF($R$19='2. Customer Classes'!$B$15,+W29/'4. Customer Growth'!$E25,+IF($R$19='2. Customer Classes'!$B$16,+W29/'4. Customer Growth'!$G25,+IF($R$19='2. Customer Classes'!$B$17,+W29/'4. Customer Growth'!$I25,+IF($R$19='2. Customer Classes'!$B$18,+W29/'4. Customer Growth'!$K25,+IF($R$19='2. Customer Classes'!$B$19,+W29/'4. Customer Growth'!$M25,IF($R$19='2. Customer Classes'!$B$20,+W29/'4. Customer Growth'!$O25)))))))</f>
        <v>6149.0776966605508</v>
      </c>
      <c r="Z29" s="178">
        <f t="shared" si="18"/>
        <v>2014</v>
      </c>
      <c r="AA29" s="64">
        <f>IF($Z$19='2. Customer Classes'!$B$14,+SUM('3. Consumption by Rate Class'!$D$121:$D$132),+IF($Z$19='2. Customer Classes'!$B$15,+SUM('3. Consumption by Rate Class'!$F$121:$F$132),+IF($Z$19='2. Customer Classes'!$B$16,+SUM('3. Consumption by Rate Class'!$H$121:$H$132),+IF($Z$19='2. Customer Classes'!$B$17,+SUM('3. Consumption by Rate Class'!$J$121:$J$132),+IF($Z$19='2. Customer Classes'!$B$18,+SUM('3. Consumption by Rate Class'!$L$121:$L$132),+IF($Z$19='2. Customer Classes'!$B$19,+SUM('3. Consumption by Rate Class'!$O$121:$O$132),IF($Z$19='2. Customer Classes'!$B$20,+SUM('3. Consumption by Rate Class'!$R$121:$R$132),0)))))))</f>
        <v>0</v>
      </c>
      <c r="AB29" s="222">
        <f t="shared" si="4"/>
        <v>242535263.39000002</v>
      </c>
      <c r="AC29" s="222">
        <f t="shared" si="5"/>
        <v>249658428.47991201</v>
      </c>
      <c r="AD29" s="67">
        <f t="shared" si="6"/>
        <v>0</v>
      </c>
      <c r="AE29" s="222">
        <f t="shared" si="19"/>
        <v>0</v>
      </c>
      <c r="AF29" s="64" t="e">
        <f>IF($Z$19='2. Customer Classes'!$B$14,+AE29/'4. Customer Growth'!$C25,+IF($Z$19='2. Customer Classes'!$B$15,+AE29/'4. Customer Growth'!$E25,+IF($Z$19='2. Customer Classes'!$B$16,+AE29/'4. Customer Growth'!$G25,+IF($Z$19='2. Customer Classes'!$B$17,+AE29/'4. Customer Growth'!$I25,+IF($Z$19='2. Customer Classes'!$B$18,+AE29/'4. Customer Growth'!$K25,+IF($Z$19='2. Customer Classes'!$B$19,+AE29/'4. Customer Growth'!$M25,IF($Z$19='2. Customer Classes'!$B$20,+AE29/'4. Customer Growth'!$O25)))))))</f>
        <v>#DIV/0!</v>
      </c>
      <c r="AH29" s="178">
        <f t="shared" si="20"/>
        <v>2014</v>
      </c>
      <c r="AI29" s="64">
        <f>IF($AH$19='2. Customer Classes'!$B$14,+SUM('3. Consumption by Rate Class'!$D$121:$D$132),+IF($AH$19='2. Customer Classes'!$B$15,+SUM('3. Consumption by Rate Class'!$F$121:$F$132),+IF($AH$19='2. Customer Classes'!$B$16,+SUM('3. Consumption by Rate Class'!$H$121:$H$132),+IF($AH$19='2. Customer Classes'!$B$17,+SUM('3. Consumption by Rate Class'!$J$121:$J$132),+IF($AH$19='2. Customer Classes'!$B$18,+SUM('3. Consumption by Rate Class'!$L$121:$L$132),+IF($AH$19='2. Customer Classes'!$B$19,+SUM('3. Consumption by Rate Class'!$O$121:$O$132),IF($AH$19='2. Customer Classes'!$B$20,+SUM('3. Consumption by Rate Class'!$R$121:$R$132),0)))))))</f>
        <v>0</v>
      </c>
      <c r="AJ29" s="222">
        <f t="shared" si="7"/>
        <v>242535263.39000002</v>
      </c>
      <c r="AK29" s="222">
        <f t="shared" si="8"/>
        <v>249658428.47991201</v>
      </c>
      <c r="AL29" s="67">
        <f t="shared" si="9"/>
        <v>0</v>
      </c>
      <c r="AM29" s="222">
        <f t="shared" si="21"/>
        <v>0</v>
      </c>
      <c r="AN29" s="64" t="e">
        <f>IF($AH$19='2. Customer Classes'!$B$14,+AM29/'4. Customer Growth'!$C25,+IF($AH$19='2. Customer Classes'!$B$15,+AM29/'4. Customer Growth'!$E25,+IF($AH$19='2. Customer Classes'!$B$16,+AM29/'4. Customer Growth'!$G25,+IF($AH$19='2. Customer Classes'!$B$17,+AM29/'4. Customer Growth'!$I25,+IF($AH$19='2. Customer Classes'!$B$18,+AM29/'4. Customer Growth'!$K25,+IF($AH$19='2. Customer Classes'!$B$19,+AM29/'4. Customer Growth'!$M25,IF($AH$19='2. Customer Classes'!$B$20,+AM29/'4. Customer Growth'!$O25)))))))</f>
        <v>#DIV/0!</v>
      </c>
    </row>
    <row r="30" spans="2:40" x14ac:dyDescent="0.2">
      <c r="B30" s="178">
        <f>'4. Customer Growth'!B26</f>
        <v>2015</v>
      </c>
      <c r="C30" s="64">
        <f>IF($B$19='2. Customer Classes'!$B$14,+SUM('3. Consumption by Rate Class'!$D$133:$D$144),+IF($B$19='2. Customer Classes'!$B$15,+SUM('3. Consumption by Rate Class'!$F$133:$F$144),+IF($B$19='2. Customer Classes'!$B$16,+SUM('3. Consumption by Rate Class'!$H$133:$H$144),+IF($B$19='2. Customer Classes'!$B$17,+SUM('3. Consumption by Rate Class'!$J$133:$J$144),+IF($B$19='2. Customer Classes'!$B$18,+SUM('3. Consumption by Rate Class'!$L$133:$L$144),+IF($B$19='2. Customer Classes'!$B$19,+SUM('3. Consumption by Rate Class'!$O$133:$O$144),IF($B$19='2. Customer Classes'!$B$20,+SUM('3. Consumption by Rate Class'!$R$133:$R$144),0)))))))</f>
        <v>77095510</v>
      </c>
      <c r="D30" s="66">
        <f>SUM('6. WS Regression Analysis'!J128:J139)</f>
        <v>239401282.51999998</v>
      </c>
      <c r="E30" s="66">
        <f>SUM('6. WS Regression Analysis'!R128:R139)</f>
        <v>247399736.29403827</v>
      </c>
      <c r="F30" s="67">
        <f>C30/D30</f>
        <v>0.32203465741065657</v>
      </c>
      <c r="G30" s="66">
        <f>E30*F30</f>
        <v>79671289.320937395</v>
      </c>
      <c r="H30" s="64">
        <f>IF($B$19='2. Customer Classes'!$B$14,+G30/'4. Customer Growth'!$C26,+IF($B$19='2. Customer Classes'!$B$15,+G30/'4. Customer Growth'!$E26,+IF($B$19='2. Customer Classes'!$B$16,+G30/'4. Customer Growth'!$G26,+IF($B$19='2. Customer Classes'!$B$17,+G30/'4. Customer Growth'!$I26,+IF($B$19='2. Customer Classes'!$B$18,+G30/'4. Customer Growth'!$K26,+IF($B$19='2. Customer Classes'!$B$19,+G30/'4. Customer Growth'!$M26,IF($B$19='2. Customer Classes'!$B$20,+G30/'4. Customer Growth'!$O26)))))))</f>
        <v>8966.9430862056724</v>
      </c>
      <c r="I30" s="76"/>
      <c r="J30" s="178">
        <f t="shared" si="12"/>
        <v>2015</v>
      </c>
      <c r="K30" s="64">
        <f>IF($J$19='2. Customer Classes'!$B$14,+SUM('3. Consumption by Rate Class'!$D$133:$D$144),+IF($J$19='2. Customer Classes'!$B$15,+SUM('3. Consumption by Rate Class'!$F$133:$F$144),+IF($J$19='2. Customer Classes'!$B$16,+SUM('3. Consumption by Rate Class'!$H$133:$H$144),+IF($J$19='2. Customer Classes'!$B$17,+SUM('3. Consumption by Rate Class'!$J$133:$J$144),+IF($J$19='2. Customer Classes'!$B$18,+SUM('3. Consumption by Rate Class'!$L$133:$L$144),+IF($J$19='2. Customer Classes'!$B$19,+SUM('3. Consumption by Rate Class'!$O$133:$O$144),IF($J$19='2. Customer Classes'!$B$20,+SUM('3. Consumption by Rate Class'!$R$133:$R$144),0)))))))</f>
        <v>31866049</v>
      </c>
      <c r="L30" s="66">
        <f t="shared" si="13"/>
        <v>239401282.51999998</v>
      </c>
      <c r="M30" s="66">
        <f t="shared" si="0"/>
        <v>247399736.29403827</v>
      </c>
      <c r="N30" s="67">
        <f>K30/L30</f>
        <v>0.13310726101618883</v>
      </c>
      <c r="O30" s="66">
        <f t="shared" si="14"/>
        <v>32930701.274226837</v>
      </c>
      <c r="P30" s="64">
        <f>IF($J$19='2. Customer Classes'!$B$14,+O30/'4. Customer Growth'!$C26,+IF($J$19='2. Customer Classes'!$B$15,+O30/'4. Customer Growth'!$E26,+IF($J$19='2. Customer Classes'!$B$16,+O30/'4. Customer Growth'!$G26,+IF($J$19='2. Customer Classes'!$B$17,+O30/'4. Customer Growth'!$I26,+IF($J$19='2. Customer Classes'!$B$18,+O30/'4. Customer Growth'!$K26,+IF($J$19='2. Customer Classes'!$B$19,+O30/'4. Customer Growth'!$M26,IF($J$19='2. Customer Classes'!$B$20,+O30/'4. Customer Growth'!$O26)))))))</f>
        <v>30562.135753342773</v>
      </c>
      <c r="Q30" s="76"/>
      <c r="R30" s="178">
        <f t="shared" si="15"/>
        <v>2015</v>
      </c>
      <c r="S30" s="64">
        <f>IF($R$19='2. Customer Classes'!$B$14,+SUM('3. Consumption by Rate Class'!$D$133:$D$144),+IF($R$19='2. Customer Classes'!$B$15,+SUM('3. Consumption by Rate Class'!$F$133:$F$144),+IF($R$19='2. Customer Classes'!$B$16,+SUM('3. Consumption by Rate Class'!$H$133:$H$144),+IF($R$19='2. Customer Classes'!$B$17,+SUM('3. Consumption by Rate Class'!$J$133:$J$144),+IF($R$19='2. Customer Classes'!$B$18,+SUM('3. Consumption by Rate Class'!$L$133:$L$144),+IF($R$19='2. Customer Classes'!$B$19,+SUM('3. Consumption by Rate Class'!$O$133:$O$144),IF($R$19='2. Customer Classes'!$B$20,+SUM('3. Consumption by Rate Class'!$R$133:$R$144),0)))))))</f>
        <v>602228</v>
      </c>
      <c r="T30" s="66">
        <f t="shared" si="2"/>
        <v>239401282.51999998</v>
      </c>
      <c r="U30" s="66">
        <f t="shared" si="3"/>
        <v>247399736.29403827</v>
      </c>
      <c r="V30" s="67">
        <f>S30/T30</f>
        <v>2.515558787575371E-3</v>
      </c>
      <c r="W30" s="66">
        <f t="shared" si="17"/>
        <v>622348.58067829744</v>
      </c>
      <c r="X30" s="64">
        <f>IF($R$19='2. Customer Classes'!$B$14,+W30/'4. Customer Growth'!$C26,+IF($R$19='2. Customer Classes'!$B$15,+W30/'4. Customer Growth'!$E26,+IF($R$19='2. Customer Classes'!$B$16,+W30/'4. Customer Growth'!$G26,+IF($R$19='2. Customer Classes'!$B$17,+W30/'4. Customer Growth'!$I26,+IF($R$19='2. Customer Classes'!$B$18,+W30/'4. Customer Growth'!$K26,+IF($R$19='2. Customer Classes'!$B$19,+W30/'4. Customer Growth'!$M26,IF($R$19='2. Customer Classes'!$B$20,+W30/'4. Customer Growth'!$O26)))))))</f>
        <v>6914.9842297588602</v>
      </c>
      <c r="Z30" s="178">
        <f t="shared" si="18"/>
        <v>2015</v>
      </c>
      <c r="AA30" s="64">
        <f>IF($Z$19='2. Customer Classes'!$B$14,+SUM('3. Consumption by Rate Class'!$D$133:$D$144),+IF($Z$19='2. Customer Classes'!$B$15,+SUM('3. Consumption by Rate Class'!$F$133:$F$144),+IF($Z$19='2. Customer Classes'!$B$16,+SUM('3. Consumption by Rate Class'!$H$133:$H$144),+IF($Z$19='2. Customer Classes'!$B$17,+SUM('3. Consumption by Rate Class'!$J$133:$J$144),+IF($Z$19='2. Customer Classes'!$B$18,+SUM('3. Consumption by Rate Class'!$L$133:$L$144),+IF($Z$19='2. Customer Classes'!$B$19,+SUM('3. Consumption by Rate Class'!$O$133:$O$144),IF($Z$19='2. Customer Classes'!$B$20,+SUM('3. Consumption by Rate Class'!$R$133:$R$144),0)))))))</f>
        <v>0</v>
      </c>
      <c r="AB30" s="222">
        <f t="shared" si="4"/>
        <v>239401282.51999998</v>
      </c>
      <c r="AC30" s="222">
        <f t="shared" si="5"/>
        <v>247399736.29403827</v>
      </c>
      <c r="AD30" s="67">
        <f t="shared" si="6"/>
        <v>0</v>
      </c>
      <c r="AE30" s="222">
        <f t="shared" si="19"/>
        <v>0</v>
      </c>
      <c r="AF30" s="64" t="e">
        <f>IF($Z$19='2. Customer Classes'!$B$14,+AE30/'4. Customer Growth'!$C26,+IF($Z$19='2. Customer Classes'!$B$15,+AE30/'4. Customer Growth'!$E26,+IF($Z$19='2. Customer Classes'!$B$16,+AE30/'4. Customer Growth'!$G26,+IF($Z$19='2. Customer Classes'!$B$17,+AE30/'4. Customer Growth'!$I26,+IF($Z$19='2. Customer Classes'!$B$18,+AE30/'4. Customer Growth'!$K26,+IF($Z$19='2. Customer Classes'!$B$19,+AE30/'4. Customer Growth'!$M26,IF($Z$19='2. Customer Classes'!$B$20,+AE30/'4. Customer Growth'!$O26)))))))</f>
        <v>#DIV/0!</v>
      </c>
      <c r="AH30" s="178">
        <f t="shared" si="20"/>
        <v>2015</v>
      </c>
      <c r="AI30" s="64">
        <f>IF($AH$19='2. Customer Classes'!$B$14,+SUM('3. Consumption by Rate Class'!$D$133:$D$144),+IF($AH$19='2. Customer Classes'!$B$15,+SUM('3. Consumption by Rate Class'!$F$133:$F$144),+IF($AH$19='2. Customer Classes'!$B$16,+SUM('3. Consumption by Rate Class'!$H$133:$H$144),+IF($AH$19='2. Customer Classes'!$B$17,+SUM('3. Consumption by Rate Class'!$J$133:$J$144),+IF($AH$19='2. Customer Classes'!$B$18,+SUM('3. Consumption by Rate Class'!$L$133:$L$144),+IF($AH$19='2. Customer Classes'!$B$19,+SUM('3. Consumption by Rate Class'!$O$133:$O$144),IF($AH$19='2. Customer Classes'!$B$20,+SUM('3. Consumption by Rate Class'!$R$133:$R$144),0)))))))</f>
        <v>0</v>
      </c>
      <c r="AJ30" s="222">
        <f t="shared" si="7"/>
        <v>239401282.51999998</v>
      </c>
      <c r="AK30" s="222">
        <f t="shared" si="8"/>
        <v>247399736.29403827</v>
      </c>
      <c r="AL30" s="67">
        <f t="shared" si="9"/>
        <v>0</v>
      </c>
      <c r="AM30" s="222">
        <f t="shared" si="21"/>
        <v>0</v>
      </c>
      <c r="AN30" s="64" t="e">
        <f>IF($AH$19='2. Customer Classes'!$B$14,+AM30/'4. Customer Growth'!$C26,+IF($AH$19='2. Customer Classes'!$B$15,+AM30/'4. Customer Growth'!$E26,+IF($AH$19='2. Customer Classes'!$B$16,+AM30/'4. Customer Growth'!$G26,+IF($AH$19='2. Customer Classes'!$B$17,+AM30/'4. Customer Growth'!$I26,+IF($AH$19='2. Customer Classes'!$B$18,+AM30/'4. Customer Growth'!$K26,+IF($AH$19='2. Customer Classes'!$B$19,+AM30/'4. Customer Growth'!$M26,IF($AH$19='2. Customer Classes'!$B$20,+AM30/'4. Customer Growth'!$O26)))))))</f>
        <v>#DIV/0!</v>
      </c>
    </row>
    <row r="31" spans="2:40" ht="14.25" customHeight="1" x14ac:dyDescent="0.2">
      <c r="B31" s="179" t="str">
        <f>'4. Customer Growth'!B30</f>
        <v>2016</v>
      </c>
      <c r="C31" s="69"/>
      <c r="D31" s="69"/>
      <c r="E31" s="163">
        <f>SUM('6. WS Regression Analysis'!R140:R151)</f>
        <v>249817975.81562376</v>
      </c>
      <c r="F31" s="70">
        <f>F30</f>
        <v>0.32203465741065657</v>
      </c>
      <c r="G31" s="163">
        <f>E31*F31</f>
        <v>80450046.256808087</v>
      </c>
      <c r="H31" s="64">
        <f>IF($B$19='2. Customer Classes'!$B$14,+G31/'4. Customer Growth'!$C26,+IF($B$19='2. Customer Classes'!$B$15,+G31/'4. Customer Growth'!$E26,+IF($B$19='2. Customer Classes'!$B$16,+G31/'4. Customer Growth'!$G26,+IF($B$19='2. Customer Classes'!$B$17,+G31/'4. Customer Growth'!$I26,+IF($B$19='2. Customer Classes'!$B$18,+G31/'4. Customer Growth'!$K26,+IF($B$19='2. Customer Classes'!$B$19,+G31/'4. Customer Growth'!$M26,IF($B$19='2. Customer Classes'!$B$20,+G31/'4. Customer Growth'!$O26)))))))</f>
        <v>9054.5915877105326</v>
      </c>
      <c r="I31" s="76"/>
      <c r="J31" s="179" t="str">
        <f t="shared" si="12"/>
        <v>2016</v>
      </c>
      <c r="K31" s="69"/>
      <c r="L31" s="69"/>
      <c r="M31" s="163">
        <f>E31</f>
        <v>249817975.81562376</v>
      </c>
      <c r="N31" s="70">
        <f>N30</f>
        <v>0.13310726101618883</v>
      </c>
      <c r="O31" s="163">
        <f>M31*N31</f>
        <v>33252586.513426181</v>
      </c>
      <c r="P31" s="64">
        <f>IF($J$19='2. Customer Classes'!$B$14,+O31/'4. Customer Growth'!$C26,+IF($J$19='2. Customer Classes'!$B$15,+O31/'4. Customer Growth'!$E26,+IF($J$19='2. Customer Classes'!$B$16,+O31/'4. Customer Growth'!$G26,+IF($J$19='2. Customer Classes'!$B$17,+O31/'4. Customer Growth'!$I26,+IF($J$19='2. Customer Classes'!$B$18,+O31/'4. Customer Growth'!$K26,+IF($J$19='2. Customer Classes'!$B$19,+O31/'4. Customer Growth'!$M26,IF($J$19='2. Customer Classes'!$B$20,+O31/'4. Customer Growth'!$O26)))))))</f>
        <v>30860.869153991815</v>
      </c>
      <c r="Q31" s="76"/>
      <c r="R31" s="179" t="str">
        <f t="shared" si="15"/>
        <v>2016</v>
      </c>
      <c r="S31" s="69"/>
      <c r="T31" s="69"/>
      <c r="U31" s="130">
        <f>M31</f>
        <v>249817975.81562376</v>
      </c>
      <c r="V31" s="70">
        <f>V30</f>
        <v>2.515558787575371E-3</v>
      </c>
      <c r="W31" s="130">
        <f>U31*V31</f>
        <v>628431.80435728387</v>
      </c>
      <c r="X31" s="64">
        <f>IF($R$19='2. Customer Classes'!$B$14,+W31/'4. Customer Growth'!$C26,+IF($R$19='2. Customer Classes'!$B$15,+W31/'4. Customer Growth'!$E26,+IF($R$19='2. Customer Classes'!$B$16,+W31/'4. Customer Growth'!$G26,+IF($R$19='2. Customer Classes'!$B$17,+W31/'4. Customer Growth'!$I26,+IF($R$19='2. Customer Classes'!$B$18,+W31/'4. Customer Growth'!$K26,+IF($R$19='2. Customer Classes'!$B$19,+W31/'4. Customer Growth'!$M26,IF($R$19='2. Customer Classes'!$B$20,+W31/'4. Customer Growth'!$O26)))))))</f>
        <v>6982.5756039698208</v>
      </c>
      <c r="Z31" s="179" t="str">
        <f t="shared" si="18"/>
        <v>2016</v>
      </c>
      <c r="AA31" s="69"/>
      <c r="AB31" s="69"/>
      <c r="AC31" s="278">
        <f>U31</f>
        <v>249817975.81562376</v>
      </c>
      <c r="AD31" s="70">
        <f>AD30</f>
        <v>0</v>
      </c>
      <c r="AE31" s="278">
        <f>AC31*AD31</f>
        <v>0</v>
      </c>
      <c r="AF31" s="64" t="e">
        <f>IF($Z$19='2. Customer Classes'!$B$14,+AE31/'4. Customer Growth'!$C26,+IF($Z$19='2. Customer Classes'!$B$15,+AE31/'4. Customer Growth'!$E26,+IF($Z$19='2. Customer Classes'!$B$16,+AE31/'4. Customer Growth'!$G26,+IF($Z$19='2. Customer Classes'!$B$17,+AE31/'4. Customer Growth'!$I26,+IF($Z$19='2. Customer Classes'!$B$18,+AE31/'4. Customer Growth'!$K26,+IF($Z$19='2. Customer Classes'!$B$19,+AE31/'4. Customer Growth'!$M26,IF($Z$19='2. Customer Classes'!$B$20,+AE31/'4. Customer Growth'!$O26)))))))</f>
        <v>#DIV/0!</v>
      </c>
      <c r="AH31" s="179" t="str">
        <f t="shared" si="20"/>
        <v>2016</v>
      </c>
      <c r="AI31" s="69"/>
      <c r="AJ31" s="69"/>
      <c r="AK31" s="278">
        <f>AC31</f>
        <v>249817975.81562376</v>
      </c>
      <c r="AL31" s="70">
        <f>AL30</f>
        <v>0</v>
      </c>
      <c r="AM31" s="278">
        <f>AK31*AL31</f>
        <v>0</v>
      </c>
      <c r="AN31" s="64" t="e">
        <f>IF($AH$19='2. Customer Classes'!$B$14,+AM31/'4. Customer Growth'!$C26,+IF($AH$19='2. Customer Classes'!$B$15,+AM31/'4. Customer Growth'!$E26,+IF($AH$19='2. Customer Classes'!$B$16,+AM31/'4. Customer Growth'!$G26,+IF($AH$19='2. Customer Classes'!$B$17,+AM31/'4. Customer Growth'!$I26,+IF($AH$19='2. Customer Classes'!$B$18,+AM31/'4. Customer Growth'!$K26,+IF($AH$19='2. Customer Classes'!$B$19,+AM31/'4. Customer Growth'!$M26,IF($AH$19='2. Customer Classes'!$B$20,+AM31/'4. Customer Growth'!$O26)))))))</f>
        <v>#DIV/0!</v>
      </c>
    </row>
    <row r="32" spans="2:40" ht="14.25" customHeight="1" thickBot="1" x14ac:dyDescent="0.25">
      <c r="B32" s="180" t="str">
        <f>'4. Customer Growth'!B31</f>
        <v>2017</v>
      </c>
      <c r="C32" s="71"/>
      <c r="D32" s="71"/>
      <c r="E32" s="164">
        <f>SUM('6. WS Regression Analysis'!R152:R163)</f>
        <v>250282670.81650454</v>
      </c>
      <c r="F32" s="72">
        <f>F31</f>
        <v>0.32203465741065657</v>
      </c>
      <c r="G32" s="164">
        <f t="shared" si="11"/>
        <v>80599694.152217165</v>
      </c>
      <c r="H32" s="64">
        <f>IF($B$19='2. Customer Classes'!$B$14,+G32/'4. Customer Growth'!$C26,+IF($B$19='2. Customer Classes'!$B$15,+G32/'4. Customer Growth'!$E26,+IF($B$19='2. Customer Classes'!$B$16,+G32/'4. Customer Growth'!$G26,+IF($B$19='2. Customer Classes'!$B$17,+G32/'4. Customer Growth'!$I26,+IF($B$19='2. Customer Classes'!$B$18,+G32/'4. Customer Growth'!$K26,+IF($B$19='2. Customer Classes'!$B$19,+G32/'4. Customer Growth'!$M26,IF($B$19='2. Customer Classes'!$B$20,+G32/'4. Customer Growth'!$O26)))))))</f>
        <v>9071.4343446502153</v>
      </c>
      <c r="I32" s="76"/>
      <c r="J32" s="180" t="str">
        <f t="shared" si="12"/>
        <v>2017</v>
      </c>
      <c r="K32" s="71"/>
      <c r="L32" s="71"/>
      <c r="M32" s="164">
        <f>E32</f>
        <v>250282670.81650454</v>
      </c>
      <c r="N32" s="72">
        <f>N31</f>
        <v>0.13310726101618883</v>
      </c>
      <c r="O32" s="164">
        <f>M32*N32</f>
        <v>33314440.792201336</v>
      </c>
      <c r="P32" s="64">
        <f>IF($J$19='2. Customer Classes'!$B$14,+O32/'4. Customer Growth'!$C26,+IF($J$19='2. Customer Classes'!$B$15,+O32/'4. Customer Growth'!$E26,+IF($J$19='2. Customer Classes'!$B$16,+O32/'4. Customer Growth'!$G26,+IF($J$19='2. Customer Classes'!$B$17,+O32/'4. Customer Growth'!$I26,+IF($J$19='2. Customer Classes'!$B$18,+O32/'4. Customer Growth'!$K26,+IF($J$19='2. Customer Classes'!$B$19,+O32/'4. Customer Growth'!$M26,IF($J$19='2. Customer Classes'!$B$20,+O32/'4. Customer Growth'!$O26)))))))</f>
        <v>30918.27451712421</v>
      </c>
      <c r="Q32" s="76"/>
      <c r="R32" s="179" t="str">
        <f t="shared" si="15"/>
        <v>2017</v>
      </c>
      <c r="S32" s="71"/>
      <c r="T32" s="71"/>
      <c r="U32" s="131">
        <f>M32</f>
        <v>250282670.81650454</v>
      </c>
      <c r="V32" s="72">
        <f>V31</f>
        <v>2.515558787575371E-3</v>
      </c>
      <c r="W32" s="131">
        <f>U32*V32</f>
        <v>629600.77195029182</v>
      </c>
      <c r="X32" s="64">
        <f>IF($R$19='2. Customer Classes'!$B$14,+W32/'4. Customer Growth'!$C26,+IF($R$19='2. Customer Classes'!$B$15,+W32/'4. Customer Growth'!$E26,+IF($R$19='2. Customer Classes'!$B$16,+W32/'4. Customer Growth'!$G26,+IF($R$19='2. Customer Classes'!$B$17,+W32/'4. Customer Growth'!$I26,+IF($R$19='2. Customer Classes'!$B$18,+W32/'4. Customer Growth'!$K26,+IF($R$19='2. Customer Classes'!$B$19,+W32/'4. Customer Growth'!$M26,IF($R$19='2. Customer Classes'!$B$20,+W32/'4. Customer Growth'!$O26)))))))</f>
        <v>6995.5641327810199</v>
      </c>
      <c r="Z32" s="179" t="str">
        <f t="shared" si="18"/>
        <v>2017</v>
      </c>
      <c r="AA32" s="71"/>
      <c r="AB32" s="71"/>
      <c r="AC32" s="277">
        <f>U32</f>
        <v>250282670.81650454</v>
      </c>
      <c r="AD32" s="72">
        <f>AD31</f>
        <v>0</v>
      </c>
      <c r="AE32" s="277">
        <f>AC32*AD32</f>
        <v>0</v>
      </c>
      <c r="AF32" s="64" t="e">
        <f>IF($Z$19='2. Customer Classes'!$B$14,+AE32/'4. Customer Growth'!$C26,+IF($Z$19='2. Customer Classes'!$B$15,+AE32/'4. Customer Growth'!$E26,+IF($Z$19='2. Customer Classes'!$B$16,+AE32/'4. Customer Growth'!$G26,+IF($Z$19='2. Customer Classes'!$B$17,+AE32/'4. Customer Growth'!$I26,+IF($Z$19='2. Customer Classes'!$B$18,+AE32/'4. Customer Growth'!$K26,+IF($Z$19='2. Customer Classes'!$B$19,+AE32/'4. Customer Growth'!$M26,IF($Z$19='2. Customer Classes'!$B$20,+AE32/'4. Customer Growth'!$O26)))))))</f>
        <v>#DIV/0!</v>
      </c>
      <c r="AH32" s="179" t="str">
        <f t="shared" si="20"/>
        <v>2017</v>
      </c>
      <c r="AI32" s="71"/>
      <c r="AJ32" s="71"/>
      <c r="AK32" s="277">
        <f>AC32</f>
        <v>250282670.81650454</v>
      </c>
      <c r="AL32" s="72">
        <f>AL31</f>
        <v>0</v>
      </c>
      <c r="AM32" s="277">
        <f>AK32*AL32</f>
        <v>0</v>
      </c>
      <c r="AN32" s="64" t="e">
        <f>IF($AH$19='2. Customer Classes'!$B$14,+AM32/'4. Customer Growth'!$C26,+IF($AH$19='2. Customer Classes'!$B$15,+AM32/'4. Customer Growth'!$E26,+IF($AH$19='2. Customer Classes'!$B$16,+AM32/'4. Customer Growth'!$G26,+IF($AH$19='2. Customer Classes'!$B$17,+AM32/'4. Customer Growth'!$I26,+IF($AH$19='2. Customer Classes'!$B$18,+AM32/'4. Customer Growth'!$K26,+IF($AH$19='2. Customer Classes'!$B$19,+AM32/'4. Customer Growth'!$M26,IF($AH$19='2. Customer Classes'!$B$20,+AM32/'4. Customer Growth'!$O26)))))))</f>
        <v>#DIV/0!</v>
      </c>
    </row>
    <row r="33" spans="2:40" ht="13.5" customHeight="1" x14ac:dyDescent="0.2">
      <c r="B33" s="933" t="s">
        <v>154</v>
      </c>
      <c r="C33" s="933"/>
      <c r="D33" s="933"/>
      <c r="E33" s="933"/>
      <c r="F33" s="933"/>
      <c r="G33" s="933"/>
      <c r="H33" s="933"/>
      <c r="I33" s="24"/>
      <c r="J33" s="933" t="s">
        <v>154</v>
      </c>
      <c r="K33" s="933"/>
      <c r="L33" s="933"/>
      <c r="M33" s="933"/>
      <c r="N33" s="933"/>
      <c r="O33" s="933"/>
      <c r="P33" s="933"/>
      <c r="R33" s="933" t="s">
        <v>154</v>
      </c>
      <c r="S33" s="933"/>
      <c r="T33" s="933"/>
      <c r="U33" s="933"/>
      <c r="V33" s="933"/>
      <c r="W33" s="933"/>
      <c r="X33" s="933"/>
      <c r="Z33" s="933" t="s">
        <v>154</v>
      </c>
      <c r="AA33" s="933"/>
      <c r="AB33" s="933"/>
      <c r="AC33" s="933"/>
      <c r="AD33" s="933"/>
      <c r="AE33" s="933"/>
      <c r="AF33" s="933"/>
      <c r="AH33" s="933" t="s">
        <v>154</v>
      </c>
      <c r="AI33" s="933"/>
      <c r="AJ33" s="933"/>
      <c r="AK33" s="933"/>
      <c r="AL33" s="933"/>
      <c r="AM33" s="933"/>
      <c r="AN33" s="933"/>
    </row>
    <row r="34" spans="2:40" x14ac:dyDescent="0.2">
      <c r="B34" s="148"/>
      <c r="C34" s="148"/>
      <c r="D34" s="148"/>
      <c r="E34" s="149"/>
      <c r="F34" s="150"/>
      <c r="G34" s="151"/>
      <c r="H34" s="153"/>
      <c r="I34" s="24"/>
      <c r="J34" s="152"/>
      <c r="K34" s="152"/>
      <c r="L34" s="152"/>
      <c r="M34" s="152"/>
      <c r="N34" s="152"/>
      <c r="O34" s="151"/>
      <c r="P34" s="152"/>
      <c r="R34" s="152"/>
      <c r="S34" s="152"/>
      <c r="T34" s="152"/>
      <c r="U34" s="152"/>
      <c r="V34" s="152"/>
      <c r="W34" s="151"/>
      <c r="X34" s="152"/>
      <c r="Z34" s="152"/>
      <c r="AA34" s="152"/>
      <c r="AB34" s="152"/>
      <c r="AC34" s="152"/>
      <c r="AD34" s="152"/>
      <c r="AE34" s="151"/>
      <c r="AF34" s="152"/>
      <c r="AH34" s="152"/>
      <c r="AI34" s="152"/>
      <c r="AJ34" s="152"/>
      <c r="AK34" s="152"/>
      <c r="AL34" s="152"/>
      <c r="AM34" s="151"/>
      <c r="AN34" s="152"/>
    </row>
    <row r="35" spans="2:40" x14ac:dyDescent="0.2">
      <c r="B35" s="148"/>
      <c r="C35" s="148"/>
      <c r="D35" s="148"/>
      <c r="E35" s="149"/>
      <c r="F35" s="150"/>
      <c r="G35" s="151"/>
      <c r="H35" s="153"/>
      <c r="I35" s="24"/>
      <c r="J35" s="152"/>
      <c r="K35" s="152"/>
      <c r="L35" s="152"/>
      <c r="M35" s="152"/>
      <c r="N35" s="152"/>
      <c r="O35" s="151"/>
      <c r="P35" s="152"/>
      <c r="R35" s="152"/>
      <c r="S35" s="152"/>
      <c r="T35" s="152"/>
      <c r="U35" s="152"/>
      <c r="V35" s="152"/>
      <c r="W35" s="151"/>
      <c r="X35" s="152"/>
      <c r="Z35" s="152"/>
      <c r="AA35" s="152"/>
      <c r="AB35" s="152"/>
      <c r="AC35" s="152"/>
      <c r="AD35" s="152"/>
      <c r="AE35" s="151"/>
      <c r="AF35" s="152"/>
      <c r="AH35" s="152"/>
      <c r="AI35" s="152"/>
      <c r="AJ35" s="152"/>
      <c r="AK35" s="152"/>
      <c r="AL35" s="152"/>
      <c r="AM35" s="151"/>
      <c r="AN35" s="152"/>
    </row>
    <row r="36" spans="2:40" x14ac:dyDescent="0.2">
      <c r="B36" s="148"/>
      <c r="C36" s="148"/>
      <c r="D36" s="148"/>
      <c r="E36" s="149"/>
      <c r="F36" s="150"/>
      <c r="G36" s="151"/>
      <c r="H36" s="153"/>
      <c r="I36" s="24"/>
      <c r="J36" s="152"/>
      <c r="K36" s="152"/>
      <c r="L36" s="152"/>
      <c r="M36" s="152"/>
      <c r="N36" s="152"/>
      <c r="O36" s="151"/>
      <c r="P36" s="152"/>
      <c r="R36" s="152"/>
      <c r="S36" s="152"/>
      <c r="T36" s="152"/>
      <c r="U36" s="152"/>
      <c r="V36" s="152"/>
      <c r="W36" s="151"/>
      <c r="X36" s="152"/>
      <c r="Z36" s="152"/>
      <c r="AA36" s="152"/>
      <c r="AB36" s="152"/>
      <c r="AC36" s="152"/>
      <c r="AD36" s="152"/>
      <c r="AE36" s="151"/>
      <c r="AF36" s="152"/>
      <c r="AH36" s="152"/>
      <c r="AI36" s="152"/>
      <c r="AJ36" s="152"/>
      <c r="AK36" s="152"/>
      <c r="AL36" s="152"/>
      <c r="AM36" s="151"/>
      <c r="AN36" s="152"/>
    </row>
    <row r="37" spans="2:40" x14ac:dyDescent="0.2">
      <c r="B37" s="148"/>
      <c r="C37" s="148"/>
      <c r="D37" s="148"/>
      <c r="E37" s="149"/>
      <c r="F37" s="150"/>
      <c r="G37" s="151"/>
      <c r="H37" s="153"/>
      <c r="I37" s="24"/>
      <c r="J37" s="152"/>
      <c r="K37" s="152"/>
      <c r="L37" s="152"/>
      <c r="M37" s="152"/>
      <c r="N37" s="152"/>
      <c r="O37" s="151"/>
      <c r="P37" s="152"/>
      <c r="R37" s="152"/>
      <c r="S37" s="152"/>
      <c r="T37" s="152"/>
      <c r="U37" s="152"/>
      <c r="V37" s="152"/>
      <c r="W37" s="151"/>
      <c r="X37" s="152"/>
      <c r="Z37" s="152"/>
      <c r="AA37" s="152"/>
      <c r="AB37" s="152"/>
      <c r="AC37" s="152"/>
      <c r="AD37" s="152"/>
      <c r="AE37" s="151"/>
      <c r="AF37" s="152"/>
      <c r="AH37" s="152"/>
      <c r="AI37" s="152"/>
      <c r="AJ37" s="152"/>
      <c r="AK37" s="152"/>
      <c r="AL37" s="152"/>
      <c r="AM37" s="151"/>
      <c r="AN37" s="152"/>
    </row>
    <row r="38" spans="2:40" ht="15" x14ac:dyDescent="0.2">
      <c r="B38" s="932" t="s">
        <v>174</v>
      </c>
      <c r="C38" s="932"/>
      <c r="D38" s="932"/>
      <c r="E38" s="932"/>
      <c r="F38" s="932"/>
      <c r="G38" s="932"/>
      <c r="H38" s="932"/>
      <c r="I38" s="76"/>
      <c r="J38" s="932" t="s">
        <v>174</v>
      </c>
      <c r="K38" s="932"/>
      <c r="L38" s="932"/>
      <c r="M38" s="932"/>
      <c r="N38" s="932"/>
      <c r="O38" s="932"/>
      <c r="P38" s="932"/>
      <c r="Q38" s="76"/>
      <c r="R38" s="932" t="s">
        <v>174</v>
      </c>
      <c r="S38" s="932"/>
      <c r="T38" s="932"/>
      <c r="U38" s="932"/>
      <c r="V38" s="932"/>
      <c r="W38" s="932"/>
      <c r="X38" s="932"/>
      <c r="Z38" s="932" t="s">
        <v>174</v>
      </c>
      <c r="AA38" s="932"/>
      <c r="AB38" s="932"/>
      <c r="AC38" s="932"/>
      <c r="AD38" s="932"/>
      <c r="AE38" s="932"/>
      <c r="AF38" s="932"/>
      <c r="AH38" s="932" t="s">
        <v>174</v>
      </c>
      <c r="AI38" s="932"/>
      <c r="AJ38" s="932"/>
      <c r="AK38" s="932"/>
      <c r="AL38" s="932"/>
      <c r="AM38" s="932"/>
      <c r="AN38" s="932"/>
    </row>
    <row r="39" spans="2:40" ht="13.5" thickBot="1" x14ac:dyDescent="0.25">
      <c r="B39" s="73"/>
      <c r="C39" s="74"/>
      <c r="D39" s="74"/>
      <c r="E39" s="74"/>
      <c r="F39" s="74"/>
      <c r="G39" s="74"/>
      <c r="H39" s="76"/>
      <c r="I39" s="76"/>
      <c r="J39" s="73"/>
      <c r="K39" s="74"/>
      <c r="L39" s="74"/>
      <c r="M39" s="74"/>
      <c r="N39" s="74"/>
      <c r="O39" s="74"/>
      <c r="P39" s="76"/>
      <c r="Q39" s="76"/>
      <c r="R39" s="73"/>
      <c r="S39" s="74"/>
      <c r="T39" s="74"/>
      <c r="U39" s="74"/>
      <c r="V39" s="74"/>
      <c r="W39" s="74"/>
      <c r="X39" s="76"/>
      <c r="Z39" s="73"/>
      <c r="AA39" s="74"/>
      <c r="AB39" s="74"/>
      <c r="AC39" s="74"/>
      <c r="AD39" s="74"/>
      <c r="AE39" s="74"/>
      <c r="AF39" s="76"/>
      <c r="AH39" s="73"/>
      <c r="AI39" s="74"/>
      <c r="AJ39" s="74"/>
      <c r="AK39" s="74"/>
      <c r="AL39" s="74"/>
      <c r="AM39" s="74"/>
      <c r="AN39" s="76"/>
    </row>
    <row r="40" spans="2:40" ht="14.25" customHeight="1" thickBot="1" x14ac:dyDescent="0.25">
      <c r="B40" s="929" t="str">
        <f>B19</f>
        <v>Residential</v>
      </c>
      <c r="C40" s="930"/>
      <c r="D40" s="930"/>
      <c r="E40" s="930"/>
      <c r="F40" s="930"/>
      <c r="G40" s="930"/>
      <c r="H40" s="931"/>
      <c r="I40" s="145"/>
      <c r="J40" s="929" t="str">
        <f>J19</f>
        <v>General Service &lt; 50 kW</v>
      </c>
      <c r="K40" s="930"/>
      <c r="L40" s="930"/>
      <c r="M40" s="930"/>
      <c r="N40" s="930"/>
      <c r="O40" s="930"/>
      <c r="P40" s="931"/>
      <c r="Q40" s="145"/>
      <c r="R40" s="929" t="str">
        <f>R19</f>
        <v>Unmetered Scattered Load</v>
      </c>
      <c r="S40" s="930"/>
      <c r="T40" s="930"/>
      <c r="U40" s="930"/>
      <c r="V40" s="930"/>
      <c r="W40" s="930"/>
      <c r="X40" s="931"/>
      <c r="Z40" s="929">
        <f>Z19</f>
        <v>0</v>
      </c>
      <c r="AA40" s="930"/>
      <c r="AB40" s="930"/>
      <c r="AC40" s="930"/>
      <c r="AD40" s="930"/>
      <c r="AE40" s="930"/>
      <c r="AF40" s="931"/>
      <c r="AH40" s="929">
        <f>AH19</f>
        <v>0</v>
      </c>
      <c r="AI40" s="930"/>
      <c r="AJ40" s="930"/>
      <c r="AK40" s="930"/>
      <c r="AL40" s="930"/>
      <c r="AM40" s="930"/>
      <c r="AN40" s="931"/>
    </row>
    <row r="41" spans="2:40" ht="42" customHeight="1" x14ac:dyDescent="0.2">
      <c r="B41" s="63" t="s">
        <v>33</v>
      </c>
      <c r="C41" s="280" t="s">
        <v>40</v>
      </c>
      <c r="D41" s="922" t="s">
        <v>158</v>
      </c>
      <c r="E41" s="922"/>
      <c r="F41" s="924" t="s">
        <v>39</v>
      </c>
      <c r="G41" s="925"/>
      <c r="H41" s="75" t="s">
        <v>16</v>
      </c>
      <c r="I41" s="146"/>
      <c r="J41" s="63" t="s">
        <v>33</v>
      </c>
      <c r="K41" s="280" t="s">
        <v>40</v>
      </c>
      <c r="L41" s="922" t="s">
        <v>158</v>
      </c>
      <c r="M41" s="922"/>
      <c r="N41" s="918" t="s">
        <v>39</v>
      </c>
      <c r="O41" s="919"/>
      <c r="P41" s="75" t="s">
        <v>16</v>
      </c>
      <c r="Q41" s="146"/>
      <c r="R41" s="63" t="s">
        <v>33</v>
      </c>
      <c r="S41" s="280" t="s">
        <v>40</v>
      </c>
      <c r="T41" s="922" t="s">
        <v>158</v>
      </c>
      <c r="U41" s="922"/>
      <c r="V41" s="918" t="s">
        <v>39</v>
      </c>
      <c r="W41" s="919"/>
      <c r="X41" s="75" t="s">
        <v>16</v>
      </c>
      <c r="Z41" s="63" t="s">
        <v>33</v>
      </c>
      <c r="AA41" s="280" t="s">
        <v>40</v>
      </c>
      <c r="AB41" s="922" t="s">
        <v>158</v>
      </c>
      <c r="AC41" s="922"/>
      <c r="AD41" s="918" t="s">
        <v>39</v>
      </c>
      <c r="AE41" s="919"/>
      <c r="AF41" s="75" t="s">
        <v>16</v>
      </c>
      <c r="AH41" s="355" t="s">
        <v>33</v>
      </c>
      <c r="AI41" s="356" t="s">
        <v>40</v>
      </c>
      <c r="AJ41" s="934" t="s">
        <v>158</v>
      </c>
      <c r="AK41" s="934"/>
      <c r="AL41" s="935" t="s">
        <v>39</v>
      </c>
      <c r="AM41" s="936"/>
      <c r="AN41" s="335" t="s">
        <v>16</v>
      </c>
    </row>
    <row r="42" spans="2:40" x14ac:dyDescent="0.2">
      <c r="B42" s="181" t="str">
        <f>B31</f>
        <v>2016</v>
      </c>
      <c r="C42" s="64">
        <f>IF($B$19='2. Customer Classes'!$B$14,+('4. Customer Growth'!$C$42-'4. Customer Growth'!$C$26),+IF($B$19='2. Customer Classes'!$B$15,+('4. Customer Growth'!$E$42-'4. Customer Growth'!$E$26),+IF($B$19='2. Customer Classes'!$B$16,+('4. Customer Growth'!$G$42-'4. Customer Growth'!$G$26),+IF($B$19='2. Customer Classes'!$B$17,+('4. Customer Growth'!$I$42-'4. Customer Growth'!$I$26),+IF($B$19='2. Customer Classes'!$B$18,+('4. Customer Growth'!$K$42-'4. Customer Growth'!$K$26),+IF($B$19='2. Customer Classes'!$B$19,+('4. Customer Growth'!$M$42-'4. Customer Growth'!$M$26),IF($B$19='2. Customer Classes'!$B$20,+('4. Customer Growth'!$O$42-'4. Customer Growth'!$O$26),0)))))))</f>
        <v>141.92393754079603</v>
      </c>
      <c r="D42" s="923">
        <f>IF(F30&gt;0,+H31,0)</f>
        <v>9054.5915877105326</v>
      </c>
      <c r="E42" s="923"/>
      <c r="F42" s="920">
        <f>IF(+$G$16="yes",+C42*D42,0)</f>
        <v>0</v>
      </c>
      <c r="G42" s="921"/>
      <c r="H42" s="77">
        <f>G31+F42</f>
        <v>80450046.256808087</v>
      </c>
      <c r="I42" s="147"/>
      <c r="J42" s="181" t="str">
        <f>B42</f>
        <v>2016</v>
      </c>
      <c r="K42" s="64">
        <f>IF($J$19='2. Customer Classes'!$B$14,+('4. Customer Growth'!$C$42-'4. Customer Growth'!$C$26),+IF($J$19='2. Customer Classes'!$B$15,+('4. Customer Growth'!$E$42-'4. Customer Growth'!$E$26),+IF($J$19='2. Customer Classes'!$B$16,+('4. Customer Growth'!$G$42-'4. Customer Growth'!$G$26),+IF($J$19='2. Customer Classes'!$B$17,+('4. Customer Growth'!$I$42-'4. Customer Growth'!$I$26),+IF($J$19='2. Customer Classes'!$B$18,+('4. Customer Growth'!$K$42-'4. Customer Growth'!$K$26),+IF($J$19='2. Customer Classes'!$B$19,+('4. Customer Growth'!$M$42-'4. Customer Growth'!$M$26),IF($J$19='2. Customer Classes'!$B$20,+('4. Customer Growth'!$O$42-'4. Customer Growth'!$O$26),0)))))))</f>
        <v>4.6545150107601785</v>
      </c>
      <c r="L42" s="923">
        <f>IF(N30&gt;0,+P31,0)</f>
        <v>30860.869153991815</v>
      </c>
      <c r="M42" s="923"/>
      <c r="N42" s="920">
        <f>IF(+$G$16="yes",+K42*L42,0)</f>
        <v>0</v>
      </c>
      <c r="O42" s="921"/>
      <c r="P42" s="77">
        <f>O31+N42</f>
        <v>33252586.513426181</v>
      </c>
      <c r="Q42" s="147"/>
      <c r="R42" s="181" t="str">
        <f>B42</f>
        <v>2016</v>
      </c>
      <c r="S42" s="64">
        <f>IF($R$19='2. Customer Classes'!$B$14,+('4. Customer Growth'!$C$42-'4. Customer Growth'!$C$26),+IF($R$19='2. Customer Classes'!$B$15,+('4. Customer Growth'!$E$42-'4. Customer Growth'!$E$26),+IF($R$19='2. Customer Classes'!$B$16,+('4. Customer Growth'!$G$42-'4. Customer Growth'!$G$26),+IF($R$19='2. Customer Classes'!$B$17,+('4. Customer Growth'!$I$42-'4. Customer Growth'!$I$26),+IF($R$19='2. Customer Classes'!$B$18,+('4. Customer Growth'!$K$42-'4. Customer Growth'!$K$26),+IF($R$19='2. Customer Classes'!$B$19,+('4. Customer Growth'!$M$42-'4. Customer Growth'!$M$26),IF($R$19='2. Customer Classes'!$B$20,+('4. Customer Growth'!$O$42-'4. Customer Growth'!$O$26),0)))))))</f>
        <v>2.7715786810153986</v>
      </c>
      <c r="T42" s="923">
        <f>IF(V30&gt;0,+X31,0)</f>
        <v>6982.5756039698208</v>
      </c>
      <c r="U42" s="923"/>
      <c r="V42" s="920">
        <f>IF(+$G$16="yes",+S42*T42,0)</f>
        <v>0</v>
      </c>
      <c r="W42" s="921"/>
      <c r="X42" s="77">
        <f>W31+V42</f>
        <v>628431.80435728387</v>
      </c>
      <c r="Z42" s="181" t="str">
        <f>J42</f>
        <v>2016</v>
      </c>
      <c r="AA42" s="64">
        <f>IF($Z$19='2. Customer Classes'!$B$14,+('4. Customer Growth'!$C$42-'4. Customer Growth'!$C$26),+IF($Z$19='2. Customer Classes'!$B$15,+('4. Customer Growth'!$E$42-'4. Customer Growth'!$E$26),+IF($Z$19='2. Customer Classes'!$B$16,+('4. Customer Growth'!$G$42-'4. Customer Growth'!$G$26),+IF($Z$19='2. Customer Classes'!$B$17,+('4. Customer Growth'!$I$42-'4. Customer Growth'!$I$26),+IF($Z$19='2. Customer Classes'!$B$18,+('4. Customer Growth'!$K$42-'4. Customer Growth'!$K$26),+IF($Z$19='2. Customer Classes'!$B$19,+('4. Customer Growth'!$M$42-'4. Customer Growth'!$M$26),IF($Z$19='2. Customer Classes'!$B$20,+('4. Customer Growth'!$O$42-'4. Customer Growth'!$O$26),0)))))))</f>
        <v>0</v>
      </c>
      <c r="AB42" s="923">
        <f>IF(AD30&gt;0,+AF31,0)</f>
        <v>0</v>
      </c>
      <c r="AC42" s="923"/>
      <c r="AD42" s="920">
        <f>IF(+$G$16="yes",+AA42*AB42,0)</f>
        <v>0</v>
      </c>
      <c r="AE42" s="921"/>
      <c r="AF42" s="77">
        <f>AE31+AD42</f>
        <v>0</v>
      </c>
      <c r="AH42" s="181" t="str">
        <f>R42</f>
        <v>2016</v>
      </c>
      <c r="AI42" s="64">
        <f>IF($AH$19='2. Customer Classes'!$B$14,+('4. Customer Growth'!$C$42-'4. Customer Growth'!$C$26),+IF($AH$19='2. Customer Classes'!$B$15,+('4. Customer Growth'!$E$42-'4. Customer Growth'!$E$26),+IF($AH$19='2. Customer Classes'!$B$16,+('4. Customer Growth'!$G$42-'4. Customer Growth'!$G$26),+IF($AH$19='2. Customer Classes'!$B$17,+('4. Customer Growth'!$I$42-'4. Customer Growth'!$I$26),+IF($AH$19='2. Customer Classes'!$B$18,+('4. Customer Growth'!$K$42-'4. Customer Growth'!$K$26),+IF($AH$19='2. Customer Classes'!$B$19,+('4. Customer Growth'!$M$42-'4. Customer Growth'!$M$26),IF($AH$19='2. Customer Classes'!$B$20,+('4. Customer Growth'!$O$42-'4. Customer Growth'!$O$26),0)))))))</f>
        <v>0</v>
      </c>
      <c r="AJ42" s="923">
        <f>IF(AL30&gt;0,+AN31,0)</f>
        <v>0</v>
      </c>
      <c r="AK42" s="923"/>
      <c r="AL42" s="920">
        <f>IF(+$G$16="yes",+AI42*AJ42,0)</f>
        <v>0</v>
      </c>
      <c r="AM42" s="921"/>
      <c r="AN42" s="77">
        <f>AM31+AL42</f>
        <v>0</v>
      </c>
    </row>
    <row r="43" spans="2:40" ht="13.5" thickBot="1" x14ac:dyDescent="0.25">
      <c r="B43" s="305" t="str">
        <f>B32</f>
        <v>2017</v>
      </c>
      <c r="C43" s="306">
        <f>IF($B$19='2. Customer Classes'!$B$14,+('4. Customer Growth'!$C$43-'4. Customer Growth'!$C$26),+IF($B$19='2. Customer Classes'!$B$15,+('4. Customer Growth'!$E$43-'4. Customer Growth'!$E$26),+IF($B$19='2. Customer Classes'!$B$16,+('4. Customer Growth'!$G$43-'4. Customer Growth'!$G$26),+IF($B$19='2. Customer Classes'!$B$17,+('4. Customer Growth'!$I$43-'4. Customer Growth'!$I$26),+IF($B$19='2. Customer Classes'!$B$18,+('4. Customer Growth'!$K$43-'4. Customer Growth'!$K$26),+IF($B$19='2. Customer Classes'!$B$19,+('4. Customer Growth'!$M$43-'4. Customer Growth'!$M$26),IF($B$19='2. Customer Classes'!$B$20,+('4. Customer Growth'!$O$43-'4. Customer Growth'!$O$26),0)))))))</f>
        <v>286.11488735475905</v>
      </c>
      <c r="D43" s="915">
        <f>IF(F30&gt;0,+H32,0)</f>
        <v>9071.4343446502153</v>
      </c>
      <c r="E43" s="915"/>
      <c r="F43" s="916">
        <f>IF(+$G$16="yes",+C43*D43,0)</f>
        <v>0</v>
      </c>
      <c r="G43" s="917"/>
      <c r="H43" s="78">
        <f>G32+F43</f>
        <v>80599694.152217165</v>
      </c>
      <c r="I43" s="147"/>
      <c r="J43" s="305" t="str">
        <f>B43</f>
        <v>2017</v>
      </c>
      <c r="K43" s="306">
        <f>IF($J$19='2. Customer Classes'!$B$14,+('4. Customer Growth'!$C$43-'4. Customer Growth'!$C$26),+IF($J$19='2. Customer Classes'!$B$15,+('4. Customer Growth'!$E$43-'4. Customer Growth'!$E$26),+IF($J$19='2. Customer Classes'!$B$16,+('4. Customer Growth'!$G$43-'4. Customer Growth'!$G$26),+IF($J$19='2. Customer Classes'!$B$17,+('4. Customer Growth'!$I$43-'4. Customer Growth'!$I$26),+IF($J$19='2. Customer Classes'!$B$18,+('4. Customer Growth'!$K$43-'4. Customer Growth'!$K$26),+IF($J$19='2. Customer Classes'!$B$19,+('4. Customer Growth'!$M$43-'4. Customer Growth'!$M$26),IF($J$19='2. Customer Classes'!$B$20,+('4. Customer Growth'!$O$43-'4. Customer Growth'!$O$26),0)))))))</f>
        <v>9.3291362952888903</v>
      </c>
      <c r="L43" s="915">
        <f>IF(N30&gt;0,+P32,0)</f>
        <v>30918.27451712421</v>
      </c>
      <c r="M43" s="915"/>
      <c r="N43" s="916">
        <f>IF(+$G$16="yes",+K43*L43,0)</f>
        <v>0</v>
      </c>
      <c r="O43" s="917"/>
      <c r="P43" s="78">
        <f>O32+N43</f>
        <v>33314440.792201336</v>
      </c>
      <c r="Q43" s="147"/>
      <c r="R43" s="305" t="str">
        <f>B43</f>
        <v>2017</v>
      </c>
      <c r="S43" s="306">
        <f>IF($R$19='2. Customer Classes'!$B$14,+('4. Customer Growth'!$C$43-'4. Customer Growth'!$C$26),+IF($R$19='2. Customer Classes'!$B$15,+('4. Customer Growth'!$E$43-'4. Customer Growth'!$E$26),+IF($R$19='2. Customer Classes'!$B$16,+('4. Customer Growth'!$G$43-'4. Customer Growth'!$G$26),+IF($R$19='2. Customer Classes'!$B$17,+('4. Customer Growth'!$I$43-'4. Customer Growth'!$I$26),+IF($R$19='2. Customer Classes'!$B$18,+('4. Customer Growth'!$K$43-'4. Customer Growth'!$K$26),+IF($R$19='2. Customer Classes'!$B$19,+('4. Customer Growth'!$M$43-'4. Customer Growth'!$M$26),IF($R$19='2. Customer Classes'!$B$20,+('4. Customer Growth'!$O$43-'4. Customer Growth'!$O$26),0)))))))</f>
        <v>5.6285090107536746</v>
      </c>
      <c r="T43" s="915">
        <f>IF(V30&gt;0,+X32,0)</f>
        <v>6995.5641327810199</v>
      </c>
      <c r="U43" s="915"/>
      <c r="V43" s="916">
        <f>IF(+$G$16="yes",+S43*T43,0)</f>
        <v>0</v>
      </c>
      <c r="W43" s="917"/>
      <c r="X43" s="78">
        <f>W32+V43</f>
        <v>629600.77195029182</v>
      </c>
      <c r="Z43" s="305" t="str">
        <f>J43</f>
        <v>2017</v>
      </c>
      <c r="AA43" s="306">
        <f>IF($Z$19='2. Customer Classes'!$B$14,+('4. Customer Growth'!$C$43-'4. Customer Growth'!$C$26),+IF($Z$19='2. Customer Classes'!$B$15,+('4. Customer Growth'!$E$43-'4. Customer Growth'!$E$26),+IF($Z$19='2. Customer Classes'!$B$16,+('4. Customer Growth'!$G$43-'4. Customer Growth'!$G$26),+IF($Z$19='2. Customer Classes'!$B$17,+('4. Customer Growth'!$I$43-'4. Customer Growth'!$I$26),+IF($Z$19='2. Customer Classes'!$B$18,+('4. Customer Growth'!$K$43-'4. Customer Growth'!$K$26),+IF($Z$19='2. Customer Classes'!$B$19,+('4. Customer Growth'!$M$43-'4. Customer Growth'!$M$26),IF($Z$19='2. Customer Classes'!$B$20,+('4. Customer Growth'!$O$43-'4. Customer Growth'!$O$26),0)))))))</f>
        <v>0</v>
      </c>
      <c r="AB43" s="915">
        <f>IF(AD30&gt;0,+AF32,0)</f>
        <v>0</v>
      </c>
      <c r="AC43" s="915"/>
      <c r="AD43" s="916">
        <f>IF(+$G$16="yes",+AA43*AB43,0)</f>
        <v>0</v>
      </c>
      <c r="AE43" s="917"/>
      <c r="AF43" s="78">
        <f>AE32+AD43</f>
        <v>0</v>
      </c>
      <c r="AG43" s="307"/>
      <c r="AH43" s="305" t="str">
        <f>R43</f>
        <v>2017</v>
      </c>
      <c r="AI43" s="306">
        <f>IF($AH$19='2. Customer Classes'!$B$14,+('4. Customer Growth'!$C$43-'4. Customer Growth'!$C$26),+IF($AH$19='2. Customer Classes'!$B$15,+('4. Customer Growth'!$E$43-'4. Customer Growth'!$E$26),+IF($AH$19='2. Customer Classes'!$B$16,+('4. Customer Growth'!$G$43-'4. Customer Growth'!$G$26),+IF($AH$19='2. Customer Classes'!$B$17,+('4. Customer Growth'!$I$43-'4. Customer Growth'!$I$26),+IF($AH$19='2. Customer Classes'!$B$18,+('4. Customer Growth'!$K$43-'4. Customer Growth'!$K$26),+IF($AH$19='2. Customer Classes'!$B$19,+('4. Customer Growth'!$M$43-'4. Customer Growth'!$M$26),IF($AH$19='2. Customer Classes'!$B$20,+('4. Customer Growth'!$O$43-'4. Customer Growth'!$O$26),0)))))))</f>
        <v>0</v>
      </c>
      <c r="AJ43" s="915">
        <f>IF(AL30&gt;0,+AN32,0)</f>
        <v>0</v>
      </c>
      <c r="AK43" s="915"/>
      <c r="AL43" s="916">
        <f>IF(+$G$16="yes",+AI43*AJ43,0)</f>
        <v>0</v>
      </c>
      <c r="AM43" s="917"/>
      <c r="AN43" s="78">
        <f>AM32+AL43</f>
        <v>0</v>
      </c>
    </row>
    <row r="44" spans="2:40" x14ac:dyDescent="0.2">
      <c r="B44" s="1"/>
      <c r="C44" s="1"/>
      <c r="D44" s="1"/>
      <c r="E44" s="1"/>
      <c r="F44" s="1"/>
      <c r="G44" s="1"/>
    </row>
    <row r="46" spans="2:40" x14ac:dyDescent="0.2">
      <c r="X46" s="275"/>
    </row>
    <row r="47" spans="2:40" x14ac:dyDescent="0.2">
      <c r="G47" s="235"/>
    </row>
    <row r="54" spans="2:3" x14ac:dyDescent="0.2">
      <c r="B54" s="914" t="s">
        <v>175</v>
      </c>
      <c r="C54" s="914"/>
    </row>
    <row r="55" spans="2:3" x14ac:dyDescent="0.2">
      <c r="B55" s="557" t="s">
        <v>176</v>
      </c>
      <c r="C55" s="558"/>
    </row>
    <row r="56" spans="2:3" x14ac:dyDescent="0.2">
      <c r="B56" s="557" t="s">
        <v>177</v>
      </c>
      <c r="C56" s="558"/>
    </row>
  </sheetData>
  <mergeCells count="51">
    <mergeCell ref="AH19:AN19"/>
    <mergeCell ref="AH33:AN33"/>
    <mergeCell ref="AH38:AN38"/>
    <mergeCell ref="AH40:AN40"/>
    <mergeCell ref="AJ41:AK41"/>
    <mergeCell ref="AL41:AM41"/>
    <mergeCell ref="AB42:AC42"/>
    <mergeCell ref="AD42:AE42"/>
    <mergeCell ref="AJ42:AK42"/>
    <mergeCell ref="AL42:AM42"/>
    <mergeCell ref="AB43:AC43"/>
    <mergeCell ref="AD43:AE43"/>
    <mergeCell ref="AJ43:AK43"/>
    <mergeCell ref="AL43:AM43"/>
    <mergeCell ref="Z19:AF19"/>
    <mergeCell ref="Z33:AF33"/>
    <mergeCell ref="Z38:AF38"/>
    <mergeCell ref="Z40:AF40"/>
    <mergeCell ref="AB41:AC41"/>
    <mergeCell ref="AD41:AE41"/>
    <mergeCell ref="F42:G42"/>
    <mergeCell ref="D41:E41"/>
    <mergeCell ref="D42:E42"/>
    <mergeCell ref="J19:P19"/>
    <mergeCell ref="R19:X19"/>
    <mergeCell ref="B19:H19"/>
    <mergeCell ref="B40:H40"/>
    <mergeCell ref="J40:P40"/>
    <mergeCell ref="R40:X40"/>
    <mergeCell ref="B38:H38"/>
    <mergeCell ref="J38:P38"/>
    <mergeCell ref="R38:X38"/>
    <mergeCell ref="B33:H33"/>
    <mergeCell ref="J33:P33"/>
    <mergeCell ref="R33:X33"/>
    <mergeCell ref="B54:C54"/>
    <mergeCell ref="T43:U43"/>
    <mergeCell ref="V43:W43"/>
    <mergeCell ref="F43:G43"/>
    <mergeCell ref="N41:O41"/>
    <mergeCell ref="N42:O42"/>
    <mergeCell ref="N43:O43"/>
    <mergeCell ref="T41:U41"/>
    <mergeCell ref="V41:W41"/>
    <mergeCell ref="T42:U42"/>
    <mergeCell ref="V42:W42"/>
    <mergeCell ref="D43:E43"/>
    <mergeCell ref="L41:M41"/>
    <mergeCell ref="L42:M42"/>
    <mergeCell ref="L43:M43"/>
    <mergeCell ref="F41:G41"/>
  </mergeCells>
  <pageMargins left="0.70866141732283472" right="0.70866141732283472" top="0.74803149606299213" bottom="0.74803149606299213" header="0.31496062992125984" footer="0.31496062992125984"/>
  <pageSetup scale="58"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B19:H19 J19:P19 R19:X19 Z19:AF19 AH19:AN19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8"/>
  <sheetViews>
    <sheetView showGridLines="0" topLeftCell="AF10" workbookViewId="0">
      <selection activeCell="AR21" sqref="AR21"/>
    </sheetView>
  </sheetViews>
  <sheetFormatPr defaultColWidth="11.1640625" defaultRowHeight="12.75" x14ac:dyDescent="0.2"/>
  <cols>
    <col min="1" max="1" width="13.6640625" style="1" customWidth="1"/>
    <col min="2" max="6" width="15.1640625" style="52" customWidth="1"/>
    <col min="7" max="7" width="17" style="52" customWidth="1"/>
    <col min="8" max="8" width="16.6640625" style="52" customWidth="1"/>
    <col min="9" max="9" width="17.83203125" style="52" customWidth="1"/>
    <col min="10" max="10" width="16.1640625" style="52" customWidth="1"/>
    <col min="11" max="12" width="4.33203125" style="52" customWidth="1"/>
    <col min="13" max="15" width="15.1640625" style="145" customWidth="1"/>
    <col min="16" max="16" width="15.1640625" style="52" customWidth="1"/>
    <col min="17" max="21" width="15.1640625" style="1" customWidth="1"/>
    <col min="22" max="22" width="4.33203125" style="1" customWidth="1"/>
    <col min="23" max="29" width="15.1640625" style="1" customWidth="1"/>
    <col min="30" max="30" width="13.83203125" style="58" customWidth="1"/>
    <col min="31" max="31" width="13.83203125" style="1" customWidth="1"/>
    <col min="32" max="32" width="2.33203125" style="1" customWidth="1"/>
    <col min="33" max="36" width="15.1640625" style="1" customWidth="1"/>
    <col min="37" max="37" width="16.33203125" style="1" bestFit="1" customWidth="1"/>
    <col min="38" max="38" width="15.1640625" style="1" customWidth="1"/>
    <col min="39" max="39" width="17" style="1" bestFit="1" customWidth="1"/>
    <col min="40" max="40" width="15.1640625" style="1" customWidth="1"/>
    <col min="41" max="41" width="20.33203125" style="1" customWidth="1"/>
    <col min="42" max="42" width="3.33203125" style="1" customWidth="1"/>
    <col min="43" max="51" width="15.1640625" style="1" customWidth="1"/>
    <col min="52" max="16384" width="11.1640625" style="1"/>
  </cols>
  <sheetData>
    <row r="1" spans="1:30" s="532" customFormat="1" x14ac:dyDescent="0.2">
      <c r="A1" s="726" t="s">
        <v>266</v>
      </c>
      <c r="B1" s="52"/>
      <c r="C1" s="52"/>
      <c r="D1" s="52"/>
      <c r="E1" s="52"/>
      <c r="F1" s="52"/>
      <c r="G1" s="52"/>
      <c r="H1" s="52"/>
      <c r="I1" s="52"/>
      <c r="J1" s="52"/>
      <c r="K1" s="52"/>
      <c r="L1" s="52"/>
      <c r="M1" s="145"/>
      <c r="N1" s="145"/>
      <c r="O1" s="145"/>
      <c r="P1" s="52"/>
      <c r="AD1" s="58"/>
    </row>
    <row r="2" spans="1:30" s="532" customFormat="1" x14ac:dyDescent="0.2">
      <c r="B2" s="52"/>
      <c r="C2" s="52"/>
      <c r="D2" s="52"/>
      <c r="E2" s="52"/>
      <c r="F2" s="52"/>
      <c r="G2" s="52"/>
      <c r="H2" s="52"/>
      <c r="I2" s="52"/>
      <c r="J2" s="52"/>
      <c r="K2" s="52"/>
      <c r="L2" s="52"/>
      <c r="M2" s="145"/>
      <c r="N2" s="145"/>
      <c r="O2" s="145"/>
      <c r="P2" s="52"/>
      <c r="AD2" s="58"/>
    </row>
    <row r="3" spans="1:30" s="532" customFormat="1" x14ac:dyDescent="0.2">
      <c r="B3" s="52"/>
      <c r="C3" s="52"/>
      <c r="D3" s="52"/>
      <c r="E3" s="52"/>
      <c r="F3" s="52"/>
      <c r="G3" s="52"/>
      <c r="H3" s="52"/>
      <c r="I3" s="52"/>
      <c r="J3" s="52"/>
      <c r="K3" s="52"/>
      <c r="L3" s="52"/>
      <c r="M3" s="145"/>
      <c r="N3" s="145"/>
      <c r="O3" s="145"/>
      <c r="P3" s="52"/>
      <c r="AD3" s="58"/>
    </row>
    <row r="4" spans="1:30" s="532" customFormat="1" x14ac:dyDescent="0.2">
      <c r="B4" s="52"/>
      <c r="C4" s="52"/>
      <c r="D4" s="52"/>
      <c r="E4" s="52"/>
      <c r="F4" s="52"/>
      <c r="G4" s="52"/>
      <c r="H4" s="52"/>
      <c r="I4" s="52"/>
      <c r="J4" s="52"/>
      <c r="K4" s="52"/>
      <c r="L4" s="52"/>
      <c r="M4" s="145"/>
      <c r="N4" s="145"/>
      <c r="O4" s="145"/>
      <c r="P4" s="52"/>
      <c r="AD4" s="58"/>
    </row>
    <row r="5" spans="1:30" s="532" customFormat="1" x14ac:dyDescent="0.2">
      <c r="B5" s="52"/>
      <c r="C5" s="52"/>
      <c r="D5" s="52"/>
      <c r="E5" s="52"/>
      <c r="F5" s="52"/>
      <c r="G5" s="52"/>
      <c r="H5" s="52"/>
      <c r="I5" s="52"/>
      <c r="J5" s="52"/>
      <c r="K5" s="52"/>
      <c r="L5" s="52"/>
      <c r="M5" s="145"/>
      <c r="N5" s="145"/>
      <c r="O5" s="145"/>
      <c r="P5" s="52"/>
      <c r="AD5" s="58"/>
    </row>
    <row r="6" spans="1:30" s="532" customFormat="1" x14ac:dyDescent="0.2">
      <c r="B6" s="52"/>
      <c r="C6" s="52"/>
      <c r="D6" s="52"/>
      <c r="E6" s="52"/>
      <c r="F6" s="52"/>
      <c r="G6" s="52"/>
      <c r="H6" s="52"/>
      <c r="I6" s="52"/>
      <c r="J6" s="52"/>
      <c r="K6" s="52"/>
      <c r="L6" s="52"/>
      <c r="M6" s="145"/>
      <c r="N6" s="145"/>
      <c r="O6" s="145"/>
      <c r="P6" s="52"/>
      <c r="AD6" s="58"/>
    </row>
    <row r="7" spans="1:30" s="532" customFormat="1" x14ac:dyDescent="0.2">
      <c r="B7" s="52"/>
      <c r="C7" s="52"/>
      <c r="D7" s="52"/>
      <c r="E7" s="52"/>
      <c r="F7" s="52"/>
      <c r="G7" s="52"/>
      <c r="H7" s="52"/>
      <c r="I7" s="52"/>
      <c r="J7" s="52"/>
      <c r="K7" s="52"/>
      <c r="L7" s="52"/>
      <c r="M7" s="145"/>
      <c r="N7" s="145"/>
      <c r="O7" s="145"/>
      <c r="P7" s="52"/>
      <c r="AD7" s="58"/>
    </row>
    <row r="8" spans="1:30" s="532" customFormat="1" x14ac:dyDescent="0.2">
      <c r="B8" s="52"/>
      <c r="C8" s="52"/>
      <c r="D8" s="52"/>
      <c r="E8" s="52"/>
      <c r="F8" s="52"/>
      <c r="G8" s="52"/>
      <c r="H8" s="52"/>
      <c r="I8" s="52"/>
      <c r="J8" s="52"/>
      <c r="K8" s="52"/>
      <c r="L8" s="52"/>
      <c r="M8" s="145"/>
      <c r="N8" s="145"/>
      <c r="O8" s="145"/>
      <c r="P8" s="52"/>
      <c r="AD8" s="58"/>
    </row>
    <row r="9" spans="1:30" s="532" customFormat="1" x14ac:dyDescent="0.2">
      <c r="B9" s="52"/>
      <c r="C9" s="52"/>
      <c r="D9" s="52"/>
      <c r="E9" s="52"/>
      <c r="F9" s="52"/>
      <c r="G9" s="52"/>
      <c r="H9" s="52"/>
      <c r="I9" s="52"/>
      <c r="J9" s="52"/>
      <c r="K9" s="52"/>
      <c r="L9" s="52"/>
      <c r="M9" s="145"/>
      <c r="N9" s="145"/>
      <c r="O9" s="145"/>
      <c r="P9" s="52"/>
      <c r="AD9" s="58"/>
    </row>
    <row r="11" spans="1:30" ht="23.25" x14ac:dyDescent="0.2">
      <c r="B11" s="132" t="s">
        <v>98</v>
      </c>
      <c r="C11" s="132"/>
      <c r="D11" s="132"/>
      <c r="Z11" s="58"/>
      <c r="AD11" s="1"/>
    </row>
    <row r="12" spans="1:30" ht="15" customHeight="1" x14ac:dyDescent="0.2">
      <c r="B12" s="57" t="s">
        <v>63</v>
      </c>
      <c r="C12" s="132"/>
      <c r="D12" s="132"/>
    </row>
    <row r="13" spans="1:30" ht="15" customHeight="1" x14ac:dyDescent="0.2">
      <c r="B13" s="99" t="s">
        <v>254</v>
      </c>
      <c r="C13" s="132"/>
      <c r="D13" s="132"/>
    </row>
    <row r="14" spans="1:30" ht="15" customHeight="1" x14ac:dyDescent="0.2">
      <c r="B14" s="99" t="s">
        <v>255</v>
      </c>
      <c r="C14" s="132"/>
      <c r="D14" s="132"/>
    </row>
    <row r="15" spans="1:30" ht="15" customHeight="1" x14ac:dyDescent="0.2">
      <c r="B15" s="99" t="s">
        <v>256</v>
      </c>
      <c r="C15" s="132"/>
      <c r="D15" s="132"/>
    </row>
    <row r="16" spans="1:30" ht="14.25" x14ac:dyDescent="0.2">
      <c r="B16" s="99" t="s">
        <v>257</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4"/>
      <c r="AD16" s="24"/>
    </row>
    <row r="17" spans="2:51" s="532" customFormat="1" ht="15" thickBot="1" x14ac:dyDescent="0.25">
      <c r="B17" s="99"/>
      <c r="C17" s="533"/>
      <c r="D17" s="533"/>
      <c r="E17" s="533"/>
      <c r="F17" s="533"/>
      <c r="G17" s="533"/>
      <c r="H17" s="533"/>
      <c r="I17" s="533"/>
      <c r="J17" s="533"/>
      <c r="K17" s="533"/>
      <c r="L17" s="533"/>
      <c r="M17" s="533"/>
      <c r="N17" s="533"/>
      <c r="O17" s="533"/>
      <c r="P17" s="533"/>
      <c r="Q17" s="533"/>
      <c r="R17" s="533"/>
      <c r="S17" s="533"/>
      <c r="T17" s="533"/>
      <c r="U17" s="533"/>
      <c r="V17" s="533"/>
      <c r="W17" s="533"/>
      <c r="X17" s="533"/>
      <c r="Y17" s="533"/>
      <c r="Z17" s="533"/>
      <c r="AA17" s="533"/>
      <c r="AB17" s="533"/>
      <c r="AC17" s="24"/>
      <c r="AD17" s="24"/>
    </row>
    <row r="18" spans="2:51" ht="12.75" customHeight="1" thickBot="1" x14ac:dyDescent="0.25">
      <c r="B18" s="926" t="s">
        <v>274</v>
      </c>
      <c r="C18" s="927"/>
      <c r="D18" s="927"/>
      <c r="E18" s="927"/>
      <c r="F18" s="927"/>
      <c r="G18" s="927"/>
      <c r="H18" s="927"/>
      <c r="I18" s="927"/>
      <c r="J18" s="928"/>
      <c r="K18" s="185"/>
      <c r="L18" s="185"/>
      <c r="M18" s="926" t="s">
        <v>102</v>
      </c>
      <c r="N18" s="927"/>
      <c r="O18" s="927"/>
      <c r="P18" s="927"/>
      <c r="Q18" s="927"/>
      <c r="R18" s="927"/>
      <c r="S18" s="927"/>
      <c r="T18" s="927"/>
      <c r="U18" s="928"/>
      <c r="V18" s="185"/>
      <c r="W18" s="926" t="s">
        <v>85</v>
      </c>
      <c r="X18" s="927"/>
      <c r="Y18" s="927"/>
      <c r="Z18" s="927"/>
      <c r="AA18" s="927"/>
      <c r="AB18" s="927"/>
      <c r="AC18" s="927"/>
      <c r="AD18" s="927"/>
      <c r="AE18" s="928"/>
      <c r="AG18" s="926" t="s">
        <v>273</v>
      </c>
      <c r="AH18" s="927"/>
      <c r="AI18" s="927"/>
      <c r="AJ18" s="927"/>
      <c r="AK18" s="927"/>
      <c r="AL18" s="927"/>
      <c r="AM18" s="927"/>
      <c r="AN18" s="927"/>
      <c r="AO18" s="928"/>
      <c r="AQ18" s="926" t="s">
        <v>103</v>
      </c>
      <c r="AR18" s="927"/>
      <c r="AS18" s="927"/>
      <c r="AT18" s="927"/>
      <c r="AU18" s="927"/>
      <c r="AV18" s="927"/>
      <c r="AW18" s="927"/>
      <c r="AX18" s="927"/>
      <c r="AY18" s="928"/>
    </row>
    <row r="19" spans="2:51" ht="46.5" customHeight="1" x14ac:dyDescent="0.2">
      <c r="B19" s="401" t="s">
        <v>33</v>
      </c>
      <c r="C19" s="487" t="s">
        <v>36</v>
      </c>
      <c r="D19" s="487" t="s">
        <v>232</v>
      </c>
      <c r="E19" s="399" t="s">
        <v>36</v>
      </c>
      <c r="F19" s="399" t="s">
        <v>37</v>
      </c>
      <c r="G19" s="399" t="s">
        <v>181</v>
      </c>
      <c r="H19" s="399" t="s">
        <v>179</v>
      </c>
      <c r="I19" s="399" t="s">
        <v>180</v>
      </c>
      <c r="J19" s="400" t="s">
        <v>41</v>
      </c>
      <c r="K19" s="186"/>
      <c r="L19" s="186"/>
      <c r="M19" s="401" t="s">
        <v>33</v>
      </c>
      <c r="N19" s="487" t="s">
        <v>36</v>
      </c>
      <c r="O19" s="487" t="s">
        <v>232</v>
      </c>
      <c r="P19" s="399" t="s">
        <v>36</v>
      </c>
      <c r="Q19" s="399" t="s">
        <v>37</v>
      </c>
      <c r="R19" s="399" t="s">
        <v>181</v>
      </c>
      <c r="S19" s="399" t="s">
        <v>179</v>
      </c>
      <c r="T19" s="399" t="s">
        <v>180</v>
      </c>
      <c r="U19" s="400" t="s">
        <v>41</v>
      </c>
      <c r="V19" s="58"/>
      <c r="W19" s="377" t="s">
        <v>33</v>
      </c>
      <c r="X19" s="487" t="s">
        <v>36</v>
      </c>
      <c r="Y19" s="487" t="s">
        <v>232</v>
      </c>
      <c r="Z19" s="372" t="s">
        <v>36</v>
      </c>
      <c r="AA19" s="372" t="s">
        <v>37</v>
      </c>
      <c r="AB19" s="372" t="s">
        <v>181</v>
      </c>
      <c r="AC19" s="372" t="s">
        <v>179</v>
      </c>
      <c r="AD19" s="372" t="s">
        <v>180</v>
      </c>
      <c r="AE19" s="333" t="s">
        <v>41</v>
      </c>
      <c r="AG19" s="401" t="s">
        <v>33</v>
      </c>
      <c r="AH19" s="487" t="s">
        <v>36</v>
      </c>
      <c r="AI19" s="487" t="s">
        <v>232</v>
      </c>
      <c r="AJ19" s="372" t="s">
        <v>36</v>
      </c>
      <c r="AK19" s="399" t="s">
        <v>37</v>
      </c>
      <c r="AL19" s="399" t="s">
        <v>181</v>
      </c>
      <c r="AM19" s="399" t="s">
        <v>179</v>
      </c>
      <c r="AN19" s="399" t="s">
        <v>180</v>
      </c>
      <c r="AO19" s="400" t="s">
        <v>41</v>
      </c>
      <c r="AQ19" s="401" t="s">
        <v>33</v>
      </c>
      <c r="AR19" s="487" t="s">
        <v>36</v>
      </c>
      <c r="AS19" s="487" t="s">
        <v>232</v>
      </c>
      <c r="AT19" s="372" t="s">
        <v>36</v>
      </c>
      <c r="AU19" s="399" t="s">
        <v>37</v>
      </c>
      <c r="AV19" s="399" t="s">
        <v>181</v>
      </c>
      <c r="AW19" s="399" t="s">
        <v>179</v>
      </c>
      <c r="AX19" s="399" t="s">
        <v>180</v>
      </c>
      <c r="AY19" s="400" t="s">
        <v>41</v>
      </c>
    </row>
    <row r="20" spans="2:51" x14ac:dyDescent="0.2">
      <c r="B20" s="91" t="s">
        <v>30</v>
      </c>
      <c r="C20" s="488"/>
      <c r="D20" s="488"/>
      <c r="E20" s="92"/>
      <c r="F20" s="92"/>
      <c r="G20" s="327"/>
      <c r="H20" s="327"/>
      <c r="I20" s="222"/>
      <c r="J20" s="374"/>
      <c r="K20" s="146"/>
      <c r="L20" s="146"/>
      <c r="M20" s="91" t="s">
        <v>30</v>
      </c>
      <c r="N20" s="488"/>
      <c r="O20" s="488"/>
      <c r="P20" s="92"/>
      <c r="Q20" s="92"/>
      <c r="R20" s="92"/>
      <c r="S20" s="92"/>
      <c r="T20" s="92"/>
      <c r="U20" s="93"/>
      <c r="V20" s="58"/>
      <c r="W20" s="91" t="s">
        <v>30</v>
      </c>
      <c r="X20" s="488"/>
      <c r="Y20" s="488"/>
      <c r="Z20" s="92"/>
      <c r="AA20" s="92"/>
      <c r="AB20" s="92"/>
      <c r="AC20" s="92"/>
      <c r="AD20" s="92"/>
      <c r="AE20" s="239"/>
      <c r="AG20" s="91" t="s">
        <v>30</v>
      </c>
      <c r="AH20" s="488"/>
      <c r="AI20" s="488"/>
      <c r="AJ20" s="92"/>
      <c r="AK20" s="92"/>
      <c r="AL20" s="92"/>
      <c r="AM20" s="92"/>
      <c r="AN20" s="92"/>
      <c r="AO20" s="239"/>
      <c r="AQ20" s="91" t="s">
        <v>30</v>
      </c>
      <c r="AR20" s="488"/>
      <c r="AS20" s="488"/>
      <c r="AT20" s="92"/>
      <c r="AU20" s="92"/>
      <c r="AV20" s="92"/>
      <c r="AW20" s="92"/>
      <c r="AX20" s="92"/>
      <c r="AY20" s="239"/>
    </row>
    <row r="21" spans="2:51" ht="12.75" customHeight="1" x14ac:dyDescent="0.2">
      <c r="B21" s="192">
        <f>'4. Customer Growth'!B17</f>
        <v>2006</v>
      </c>
      <c r="C21" s="64">
        <f>IF($B$18='2. Customer Classes'!$B$14,+SUM('3. Consumption by Rate Class'!$D$25:$D$36),+IF($B$18='2. Customer Classes'!$B$15,+SUM('3. Consumption by Rate Class'!$F$25:$F$36),+IF($B$18='2. Customer Classes'!$B$16,+SUM('3. Consumption by Rate Class'!$H$25:$H$36),+IF($B$18='2. Customer Classes'!$B$17,+SUM('3. Consumption by Rate Class'!$J$25:$J$36),+IF($B$18='2. Customer Classes'!$B$18,+SUM('3. Consumption by Rate Class'!$L$25:$L$36),+IF($B$18='2. Customer Classes'!$B$19,+SUM('3. Consumption by Rate Class'!$O$25:$O$36),IF($B$18='2. Customer Classes'!$B$20,+SUM('3. Consumption by Rate Class'!$R$25:$R$36),0)))))))</f>
        <v>120975702</v>
      </c>
      <c r="D21" s="442"/>
      <c r="E21" s="64">
        <f>+D21+C21</f>
        <v>120975702</v>
      </c>
      <c r="F21" s="64">
        <f>+IF($B$18='2. Customer Classes'!$B$18,+SUM('3. Consumption by Rate Class'!$M$25:$M$36),+IF($B$18='2. Customer Classes'!$B$19,+SUM('3. Consumption by Rate Class'!$P$25:$P$36),IF($B$18='2. Customer Classes'!$B$20,+SUM('3. Consumption by Rate Class'!$S$25:$S$36),0)))</f>
        <v>297477.3</v>
      </c>
      <c r="G21" s="64">
        <f>IF($B$18='2. Customer Classes'!$B$14,+'4. Customer Growth'!$C17,+IF($B$18='2. Customer Classes'!$B$15,+'4. Customer Growth'!$E17,+IF($B$18='2. Customer Classes'!$B$16,+'4. Customer Growth'!$G17,+IF($B$18='2. Customer Classes'!$B$17,+'4. Customer Growth'!$I17,+IF($B$18='2. Customer Classes'!$B$18,+'4. Customer Growth'!$K17,+IF($B$18='2. Customer Classes'!$B$19,+'4. Customer Growth'!$M17,IF($B$18='2. Customer Classes'!$B$20,+'4. Customer Growth'!$O17,0)))))))</f>
        <v>145.5</v>
      </c>
      <c r="H21" s="373">
        <f>IF(F21&gt;0,+E21/G21,0)</f>
        <v>831448.12371134025</v>
      </c>
      <c r="I21" s="376">
        <f>IF(F21&gt;0,+F21/G21,0)</f>
        <v>2044.5175257731958</v>
      </c>
      <c r="J21" s="339">
        <f>IF(F21&gt;0,+F21/E21,0)</f>
        <v>2.4589838709925403E-3</v>
      </c>
      <c r="K21" s="183"/>
      <c r="L21" s="183"/>
      <c r="M21" s="192">
        <f t="shared" ref="M21:M32" si="0">B21</f>
        <v>2006</v>
      </c>
      <c r="N21" s="64">
        <f>IF($M$18='2. Customer Classes'!$B$14,+SUM('3. Consumption by Rate Class'!$D$25:$D$36),+IF($M$18='2. Customer Classes'!$B$15,+SUM('3. Consumption by Rate Class'!$F$25:$F$36),+IF($M$18='2. Customer Classes'!$B$16,+SUM('3. Consumption by Rate Class'!$H$25:$H$36),+IF($M$18='2. Customer Classes'!$B$17,+SUM('3. Consumption by Rate Class'!$J$25:$J$36),+IF($M$18='2. Customer Classes'!$B$18,+SUM('3. Consumption by Rate Class'!$L$25:$L$36),+IF($M$18='2. Customer Classes'!$B$19,+SUM('3. Consumption by Rate Class'!$O$25:$O$36),IF($M$18='2. Customer Classes'!$B$20,+SUM('3. Consumption by Rate Class'!$R$25:$R$36),0)))))))</f>
        <v>1923289.8225330669</v>
      </c>
      <c r="O21" s="442"/>
      <c r="P21" s="64">
        <f>+N21+O21</f>
        <v>1923289.8225330669</v>
      </c>
      <c r="Q21" s="222">
        <f>+IF($M$18='2. Customer Classes'!$B$18,+SUM('3. Consumption by Rate Class'!$M$25:$M$36),+IF($M$18='2. Customer Classes'!$B$19,+SUM('3. Consumption by Rate Class'!$P$25:$P$36),IF($M$18='2. Customer Classes'!$B$20,+SUM('3. Consumption by Rate Class'!$S$25:$S$36),0)))</f>
        <v>5221.5</v>
      </c>
      <c r="R21" s="222">
        <f>IF($M$18='2. Customer Classes'!$B$14,+'4. Customer Growth'!$C17,+IF($M$18='2. Customer Classes'!$B$15,+'4. Customer Growth'!$E17,+IF($M$18='2. Customer Classes'!$B$16,+'4. Customer Growth'!$G17,+IF($M$18='2. Customer Classes'!$B$17,+'4. Customer Growth'!$I17,+IF($M$18='2. Customer Classes'!$B$18,+'4. Customer Growth'!$K17,+IF($M$18='2. Customer Classes'!$B$19,+'4. Customer Growth'!$M17,IF($M$18='2. Customer Classes'!$B$20,+'4. Customer Growth'!$O17,0)))))))</f>
        <v>2671</v>
      </c>
      <c r="S21" s="373">
        <f>IF(Q21&gt;0,+P21/R21,0)</f>
        <v>720.06358013218528</v>
      </c>
      <c r="T21" s="376">
        <f>IF(Q21&gt;0,+Q21/R21,0)</f>
        <v>1.9548858105578435</v>
      </c>
      <c r="U21" s="339">
        <f>IF(Q21&gt;0,+Q21/P21,0)</f>
        <v>2.7148794418945287E-3</v>
      </c>
      <c r="V21" s="58"/>
      <c r="W21" s="192">
        <f t="shared" ref="W21:W32" si="1">B21</f>
        <v>2006</v>
      </c>
      <c r="X21" s="64">
        <f>IF($W$18='2. Customer Classes'!$B$14,+SUM('3. Consumption by Rate Class'!$D$25:$D$36),+IF($W$18='2. Customer Classes'!$B$15,+SUM('3. Consumption by Rate Class'!$F$25:$F$36),+IF($W$18='2. Customer Classes'!$B$16,+SUM('3. Consumption by Rate Class'!$H$25:$H$36),+IF($W$18='2. Customer Classes'!$B$17,+SUM('3. Consumption by Rate Class'!$J$25:$J$36),+IF($W$18='2. Customer Classes'!$B$18,+SUM('3. Consumption by Rate Class'!$L$25:$L$36),+IF($W$18='2. Customer Classes'!$B$19,+SUM('3. Consumption by Rate Class'!$O$25:$O$36),IF($W$18='2. Customer Classes'!$B$20,+SUM('3. Consumption by Rate Class'!$R$25:$R$36),0)))))))</f>
        <v>76063.696059073991</v>
      </c>
      <c r="Y21" s="442"/>
      <c r="Z21" s="64">
        <f>+X21+Y21</f>
        <v>76063.696059073991</v>
      </c>
      <c r="AA21" s="222">
        <f>+IF($W$18='2. Customer Classes'!$B$18,+SUM('3. Consumption by Rate Class'!$M$25:$M$36),+IF($W$18='2. Customer Classes'!$B$19,+SUM('3. Consumption by Rate Class'!$P$25:$P$36),IF($W$18='2. Customer Classes'!$B$20,+SUM('3. Consumption by Rate Class'!$S$25:$S$36),0)))</f>
        <v>211.35349632855065</v>
      </c>
      <c r="AB21" s="222">
        <f>IF($W$18='2. Customer Classes'!$B$14,+'4. Customer Growth'!$C17,+IF($W$18='2. Customer Classes'!$B$15,+'4. Customer Growth'!$E17,+IF($W$18='2. Customer Classes'!$B$16,+'4. Customer Growth'!$G17,+IF($W$18='2. Customer Classes'!$B$17,+'4. Customer Growth'!$I17,+IF($W$18='2. Customer Classes'!$B$18,+'4. Customer Growth'!$K17,+IF($W$18='2. Customer Classes'!$B$19,+'4. Customer Growth'!$M17,IF($W$18='2. Customer Classes'!$B$20,+'4. Customer Growth'!$O17,0)))))))</f>
        <v>55</v>
      </c>
      <c r="AC21" s="373">
        <f>IF(AA21&gt;0,+Z21/AB21,0)</f>
        <v>1382.9762919831635</v>
      </c>
      <c r="AD21" s="376">
        <f>IF(AA21&gt;0,+AA21/AB21,0)</f>
        <v>3.8427908423372843</v>
      </c>
      <c r="AE21" s="339">
        <f>IF(AA21&gt;0,+AA21/Z21,0)</f>
        <v>2.7786382634418052E-3</v>
      </c>
      <c r="AG21" s="354">
        <f>+B21</f>
        <v>2006</v>
      </c>
      <c r="AH21" s="64">
        <f>IF($AG$18='2. Customer Classes'!$B$14,+SUM('3. Consumption by Rate Class'!$D$25:$D$36),+IF($AG$18='2. Customer Classes'!$B$15,+SUM('3. Consumption by Rate Class'!$F$25:$F$36),+IF($AG$18='2. Customer Classes'!$B$16,+SUM('3. Consumption by Rate Class'!$H$25:$H$36),+IF($AG$18='2. Customer Classes'!$B$17,+SUM('3. Consumption by Rate Class'!$J$25:$J$36),+IF($AG$18='2. Customer Classes'!$B$18,+SUM('3. Consumption by Rate Class'!$L$25:$L$36),+IF($AG$18='2. Customer Classes'!$B$19,+SUM('3. Consumption by Rate Class'!$O$25:$O$36),IF($AG$18='2. Customer Classes'!$B$20,+SUM('3. Consumption by Rate Class'!$R$25:$R$36),IF($AG$18='2. Customer Classes'!$B$21,+SUM('3. Consumption by Rate Class'!$U$25:$U$36),0))))))))</f>
        <v>23443190</v>
      </c>
      <c r="AI21" s="442"/>
      <c r="AJ21" s="64">
        <f>+AH21+AI21</f>
        <v>23443190</v>
      </c>
      <c r="AK21" s="222">
        <f>+IF($AG$18='2. Customer Classes'!$B$18,+SUM('3. Consumption by Rate Class'!$M$25:$M$36),+IF($AG$18='2. Customer Classes'!$B$19,+SUM('3. Consumption by Rate Class'!$P$25:$P$36),IF($AG$18='2. Customer Classes'!$B$20,+SUM('3. Consumption by Rate Class'!$S$25:$S$36),IF($AG$18='2. Customer Classes'!$B$21,+SUM('3. Consumption by Rate Class'!$V$25:$V$36),0))))</f>
        <v>48478.95</v>
      </c>
      <c r="AL21" s="222">
        <f>IF($AG$18='2. Customer Classes'!$B$14,+'4. Customer Growth'!$C17,+IF($AG$18='2. Customer Classes'!$B$15,+'4. Customer Growth'!$E17,+IF($AG$18='2. Customer Classes'!$B$16,+'4. Customer Growth'!$G17,+IF($AG$18='2. Customer Classes'!$B$17,+'4. Customer Growth'!$I17,+IF($AG$18='2. Customer Classes'!$B$18,+'4. Customer Growth'!$K17,+IF($AG$18='2. Customer Classes'!$B$19,+'4. Customer Growth'!$M17,IF($AG$18='2. Customer Classes'!$B$20,+'4. Customer Growth'!$O17,IF($AG$18='2. Customer Classes'!$B$21,+'4. Customer Growth'!$Q17,0))))))))</f>
        <v>1</v>
      </c>
      <c r="AM21" s="373">
        <f>IF(AK21&gt;0,+AJ21/AL21,0)</f>
        <v>23443190</v>
      </c>
      <c r="AN21" s="376">
        <f>IF(AK21&gt;0,+AK21/AL21,0)</f>
        <v>48478.95</v>
      </c>
      <c r="AO21" s="339">
        <f>IF(AK21&gt;0,+AK21/AJ21,0)</f>
        <v>2.0679331609733996E-3</v>
      </c>
      <c r="AQ21" s="354">
        <f>+B21</f>
        <v>2006</v>
      </c>
      <c r="AR21" s="64">
        <f>IF($AQ$18='2. Customer Classes'!$B$14,+SUM('3. Consumption by Rate Class'!$D$25:$D$36),+IF($AQ$18='2. Customer Classes'!$B$15,+SUM('3. Consumption by Rate Class'!$F$25:$F$36),+IF($AQ$18='2. Customer Classes'!$B$16,+SUM('3. Consumption by Rate Class'!$H$25:$H$36),+IF($AQ$18='2. Customer Classes'!$B$17,+SUM('3. Consumption by Rate Class'!$J$25:$J$36),+IF($AQ$18='2. Customer Classes'!$B$18,+SUM('3. Consumption by Rate Class'!$L$25:$L$36),+IF($AQ$18='2. Customer Classes'!$B$19,+SUM('3. Consumption by Rate Class'!$O$25:$O$36),IF($AQ$18='2. Customer Classes'!$B$20,+SUM('3. Consumption by Rate Class'!$R$25:$R$36),0)))))))</f>
        <v>595250.77752402704</v>
      </c>
      <c r="AS21" s="442"/>
      <c r="AT21" s="64">
        <f>+AR21+AS21</f>
        <v>595250.77752402704</v>
      </c>
      <c r="AU21" s="222">
        <f>+IF($AQ$18='2. Customer Classes'!$B$18,+SUM('3. Consumption by Rate Class'!$M$25:$M$36),+IF($AQ$18='2. Customer Classes'!$B$19,+SUM('3. Consumption by Rate Class'!$P$25:$P$36),IF($AQ$18='2. Customer Classes'!$B$20,+SUM('3. Consumption by Rate Class'!$S$25:$S$36),0)))</f>
        <v>0</v>
      </c>
      <c r="AV21" s="222">
        <f>IF($AQ$18='2. Customer Classes'!$B$14,+'4. Customer Growth'!$C17,+IF($AQ$18='2. Customer Classes'!$B$15,+'4. Customer Growth'!$E17,+IF($AQ$18='2. Customer Classes'!$B$16,+'4. Customer Growth'!$G17,+IF($AQ$18='2. Customer Classes'!$B$17,+'4. Customer Growth'!$I17,+IF($AQ$18='2. Customer Classes'!$B$18,+'4. Customer Growth'!$K17,+IF($AQ$18='2. Customer Classes'!$B$19,+'4. Customer Growth'!$M17,IF($AQ$18='2. Customer Classes'!$B$20,+'4. Customer Growth'!$O17,0)))))))</f>
        <v>68.5</v>
      </c>
      <c r="AW21" s="373">
        <f>IF(AV21&gt;0,+AT21/AV21,0)</f>
        <v>8689.7923726135341</v>
      </c>
      <c r="AX21" s="376">
        <f>IF(AU21&gt;0,+AU21/AV21,0)</f>
        <v>0</v>
      </c>
      <c r="AY21" s="339">
        <f>IF(AU21&gt;0,+AU21/AT21,0)</f>
        <v>0</v>
      </c>
    </row>
    <row r="22" spans="2:51" ht="12.75" customHeight="1" x14ac:dyDescent="0.2">
      <c r="B22" s="192">
        <f>'4. Customer Growth'!B18</f>
        <v>2007</v>
      </c>
      <c r="C22" s="64">
        <f>IF($B$18='2. Customer Classes'!$B$14,+SUM('3. Consumption by Rate Class'!$D$37:$D$48),+IF($B$18='2. Customer Classes'!$B$15,+SUM('3. Consumption by Rate Class'!$F$37:$F$48),+IF($B$18='2. Customer Classes'!$B$16,+SUM('3. Consumption by Rate Class'!$H$37:$H$48),+IF($B$18='2. Customer Classes'!$B$17,+SUM('3. Consumption by Rate Class'!$J$37:$J$48),+IF($B$18='2. Customer Classes'!$B$18,+SUM('3. Consumption by Rate Class'!$L$37:$L$48),+IF($B$18='2. Customer Classes'!$B$19,+SUM('3. Consumption by Rate Class'!$O$37:$O$48),IF($B$18='2. Customer Classes'!$B$20,+SUM('3. Consumption by Rate Class'!$R$37:$R$48),0)))))))</f>
        <v>122417181</v>
      </c>
      <c r="D22" s="442"/>
      <c r="E22" s="64">
        <f t="shared" ref="E22:E32" si="2">+D22+C22</f>
        <v>122417181</v>
      </c>
      <c r="F22" s="64">
        <f>+IF($B$18='2. Customer Classes'!$B$18,+SUM('3. Consumption by Rate Class'!$M$37:$M$48),+IF($B$18='2. Customer Classes'!$B$19,+SUM('3. Consumption by Rate Class'!$P$37:$P$48),IF($B$18='2. Customer Classes'!$B$20,+SUM('3. Consumption by Rate Class'!$S$37:$S$48),0)))</f>
        <v>300809.10000000003</v>
      </c>
      <c r="G22" s="64">
        <f>IF($B$18='2. Customer Classes'!$B$14,+'4. Customer Growth'!$C18,+IF($B$18='2. Customer Classes'!$B$15,+'4. Customer Growth'!$E18,+IF($B$18='2. Customer Classes'!$B$16,+'4. Customer Growth'!$G18,+IF($B$18='2. Customer Classes'!$B$17,+'4. Customer Growth'!$I18,+IF($B$18='2. Customer Classes'!$B$18,+'4. Customer Growth'!$K18,+IF($B$18='2. Customer Classes'!$B$19,+'4. Customer Growth'!$M18,IF($B$18='2. Customer Classes'!$B$20,+'4. Customer Growth'!$O18,0)))))))</f>
        <v>147.5</v>
      </c>
      <c r="H22" s="373">
        <f t="shared" ref="H22:H32" si="3">IF(F22&gt;0,+E22/G22,0)</f>
        <v>829946.98983050848</v>
      </c>
      <c r="I22" s="376">
        <f t="shared" ref="I22:I32" si="4">IF(F22&gt;0,+F22/G22,0)</f>
        <v>2039.3837288135596</v>
      </c>
      <c r="J22" s="339">
        <f t="shared" ref="J22:J30" si="5">IF(F22&gt;0,+F22/E22,0)</f>
        <v>2.457245768467745E-3</v>
      </c>
      <c r="K22" s="183"/>
      <c r="L22" s="183"/>
      <c r="M22" s="192">
        <f t="shared" si="0"/>
        <v>2007</v>
      </c>
      <c r="N22" s="64">
        <f>IF($M$18='2. Customer Classes'!$B$14,+SUM('3. Consumption by Rate Class'!$D$37:$D$48),+IF($M$18='2. Customer Classes'!$B$15,+SUM('3. Consumption by Rate Class'!$F$37:$F$48),+IF($M$18='2. Customer Classes'!$B$16,+SUM('3. Consumption by Rate Class'!$H$37:$H$48),+IF($M$18='2. Customer Classes'!$B$17,+SUM('3. Consumption by Rate Class'!$J$37:$J$48),+IF($M$18='2. Customer Classes'!$B$18,+SUM('3. Consumption by Rate Class'!$L$37:$L$48),+IF($M$18='2. Customer Classes'!$B$19,+SUM('3. Consumption by Rate Class'!$O$37:$O$48),IF($M$18='2. Customer Classes'!$B$20,+SUM('3. Consumption by Rate Class'!$R$37:$R$48),0)))))))</f>
        <v>1931928</v>
      </c>
      <c r="O22" s="442"/>
      <c r="P22" s="64">
        <f t="shared" ref="P22:P32" si="6">+N22+O22</f>
        <v>1931928</v>
      </c>
      <c r="Q22" s="222">
        <f>+IF($M$18='2. Customer Classes'!$B$18,+SUM('3. Consumption by Rate Class'!$M$37:$M$48),+IF($M$18='2. Customer Classes'!$B$19,+SUM('3. Consumption by Rate Class'!$P$37:$P$48),IF($M$18='2. Customer Classes'!$B$20,+SUM('3. Consumption by Rate Class'!$S$37:$S$48),0)))</f>
        <v>5239.8999999999996</v>
      </c>
      <c r="R22" s="222">
        <f>IF($M$18='2. Customer Classes'!$B$14,+'4. Customer Growth'!$C18,+IF($M$18='2. Customer Classes'!$B$15,+'4. Customer Growth'!$E18,+IF($M$18='2. Customer Classes'!$B$16,+'4. Customer Growth'!$G18,+IF($M$18='2. Customer Classes'!$B$17,+'4. Customer Growth'!$I18,+IF($M$18='2. Customer Classes'!$B$18,+'4. Customer Growth'!$K18,+IF($M$18='2. Customer Classes'!$B$19,+'4. Customer Growth'!$M18,IF($M$18='2. Customer Classes'!$B$20,+'4. Customer Growth'!$O18,0)))))))</f>
        <v>2743</v>
      </c>
      <c r="S22" s="373">
        <f t="shared" ref="S22:S32" si="7">IF(Q22&gt;0,+P22/R22,0)</f>
        <v>704.31206707983961</v>
      </c>
      <c r="T22" s="376">
        <f t="shared" ref="T22:T32" si="8">IF(Q22&gt;0,+Q22/R22,0)</f>
        <v>1.9102807145461174</v>
      </c>
      <c r="U22" s="339">
        <f t="shared" ref="U22:U32" si="9">IF(Q22&gt;0,+Q22/P22,0)</f>
        <v>2.7122646392619184E-3</v>
      </c>
      <c r="V22" s="58"/>
      <c r="W22" s="192">
        <f t="shared" si="1"/>
        <v>2007</v>
      </c>
      <c r="X22" s="64">
        <f>IF($W$18='2. Customer Classes'!$B$14,+SUM('3. Consumption by Rate Class'!$D$37:$D$48),+IF($W$18='2. Customer Classes'!$B$15,+SUM('3. Consumption by Rate Class'!$F$37:$F$48),+IF($W$18='2. Customer Classes'!$B$16,+SUM('3. Consumption by Rate Class'!$H$37:$H$48),+IF($W$18='2. Customer Classes'!$B$17,+SUM('3. Consumption by Rate Class'!$J$37:$J$48),+IF($W$18='2. Customer Classes'!$B$18,+SUM('3. Consumption by Rate Class'!$L$37:$L$48),+IF($W$18='2. Customer Classes'!$B$19,+SUM('3. Consumption by Rate Class'!$O$37:$O$48),IF($W$18='2. Customer Classes'!$B$20,+SUM('3. Consumption by Rate Class'!$R$37:$R$48),0)))))))</f>
        <v>76442.150921409208</v>
      </c>
      <c r="Y22" s="442"/>
      <c r="Z22" s="64">
        <f t="shared" ref="Z22:Z32" si="10">+X22+Y22</f>
        <v>76442.150921409208</v>
      </c>
      <c r="AA22" s="222">
        <f>+IF($W$18='2. Customer Classes'!$B$18,+SUM('3. Consumption by Rate Class'!$M$37:$M$48),+IF($W$18='2. Customer Classes'!$B$19,+SUM('3. Consumption by Rate Class'!$P$37:$P$48),IF($W$18='2. Customer Classes'!$B$20,+SUM('3. Consumption by Rate Class'!$S$37:$S$48),0)))</f>
        <v>212.33930811502557</v>
      </c>
      <c r="AB22" s="222">
        <f>IF($W$18='2. Customer Classes'!$B$14,+'4. Customer Growth'!$C18,+IF($W$18='2. Customer Classes'!$B$15,+'4. Customer Growth'!$E18,+IF($W$18='2. Customer Classes'!$B$16,+'4. Customer Growth'!$G18,+IF($W$18='2. Customer Classes'!$B$17,+'4. Customer Growth'!$I18,+IF($W$18='2. Customer Classes'!$B$18,+'4. Customer Growth'!$K18,+IF($W$18='2. Customer Classes'!$B$19,+'4. Customer Growth'!$M18,IF($W$18='2. Customer Classes'!$B$20,+'4. Customer Growth'!$O18,0)))))))</f>
        <v>55</v>
      </c>
      <c r="AC22" s="373">
        <f t="shared" ref="AC22:AC32" si="11">IF(AA22&gt;0,+Z22/AB22,0)</f>
        <v>1389.8572894801673</v>
      </c>
      <c r="AD22" s="376">
        <f t="shared" ref="AD22:AD32" si="12">IF(AA22&gt;0,+AA22/AB22,0)</f>
        <v>3.8607146930004648</v>
      </c>
      <c r="AE22" s="339">
        <f t="shared" ref="AE22:AE32" si="13">IF(AA22&gt;0,+AA22/Z22,0)</f>
        <v>2.7777777777777779E-3</v>
      </c>
      <c r="AG22" s="354">
        <f t="shared" ref="AG22:AG32" si="14">+B22</f>
        <v>2007</v>
      </c>
      <c r="AH22" s="64">
        <f>IF($AG$18='2. Customer Classes'!$B$14,+SUM('3. Consumption by Rate Class'!$D$37:$D$48),+IF($AG$18='2. Customer Classes'!$B$15,+SUM('3. Consumption by Rate Class'!$F$37:$F$48),+IF($AG$18='2. Customer Classes'!$B$16,+SUM('3. Consumption by Rate Class'!$H$37:$H$48),+IF($AG$18='2. Customer Classes'!$B$17,+SUM('3. Consumption by Rate Class'!$J$37:$J$48),+IF($AG$18='2. Customer Classes'!$B$18,+SUM('3. Consumption by Rate Class'!$L$37:$L$48),+IF($AG$18='2. Customer Classes'!$B$19,+SUM('3. Consumption by Rate Class'!$O$37:$O$48),IF($AG$18='2. Customer Classes'!$B$20,+SUM('3. Consumption by Rate Class'!$R$37:$R$48),IF($AG$18='2. Customer Classes'!$B$21,+SUM('3. Consumption by Rate Class'!$U$37:$U$48),0))))))))</f>
        <v>20583615.100000001</v>
      </c>
      <c r="AI22" s="442"/>
      <c r="AJ22" s="64">
        <f t="shared" ref="AJ22:AJ32" si="15">+AH22+AI22</f>
        <v>20583615.100000001</v>
      </c>
      <c r="AK22" s="222">
        <f>+IF($AG$18='2. Customer Classes'!$B$18,+SUM('3. Consumption by Rate Class'!$M$37:$M$48),+IF($AG$18='2. Customer Classes'!$B$19,+SUM('3. Consumption by Rate Class'!$P$37:$P$48),IF($AG$18='2. Customer Classes'!$B$20,+SUM('3. Consumption by Rate Class'!$S$37:$S$48),IF($AG$18='2. Customer Classes'!$B$21,+SUM('3. Consumption by Rate Class'!$V$37:$V$48),0))))</f>
        <v>46226.600000000006</v>
      </c>
      <c r="AL22" s="222">
        <f>IF($AG$18='2. Customer Classes'!$B$14,+'4. Customer Growth'!$C18,+IF($AG$18='2. Customer Classes'!$B$15,+'4. Customer Growth'!$E18,+IF($AG$18='2. Customer Classes'!$B$16,+'4. Customer Growth'!$G18,+IF($AG$18='2. Customer Classes'!$B$17,+'4. Customer Growth'!$I18,+IF($AG$18='2. Customer Classes'!$B$18,+'4. Customer Growth'!$K18,+IF($AG$18='2. Customer Classes'!$B$19,+'4. Customer Growth'!$M18,IF($AG$18='2. Customer Classes'!$B$20,+'4. Customer Growth'!$O18,IF($AG$18='2. Customer Classes'!$B$21,+'4. Customer Growth'!$Q18,0))))))))</f>
        <v>1</v>
      </c>
      <c r="AM22" s="373">
        <f>IF(AK22&gt;0,+AJ22/AL22,0)</f>
        <v>20583615.100000001</v>
      </c>
      <c r="AN22" s="376">
        <f t="shared" ref="AN22:AN32" si="16">IF(AK22&gt;0,+AK22/AL22,0)</f>
        <v>46226.600000000006</v>
      </c>
      <c r="AO22" s="339">
        <f t="shared" ref="AO22:AO32" si="17">IF(AK22&gt;0,+AK22/AJ22,0)</f>
        <v>2.2457959777920644E-3</v>
      </c>
      <c r="AQ22" s="354">
        <f t="shared" ref="AQ22:AQ32" si="18">+B22</f>
        <v>2007</v>
      </c>
      <c r="AR22" s="64">
        <f>IF($AQ$18='2. Customer Classes'!$B$14,+SUM('3. Consumption by Rate Class'!$D$37:$D$48),+IF($AQ$18='2. Customer Classes'!$B$15,+SUM('3. Consumption by Rate Class'!$F$37:$F$48),+IF($AQ$18='2. Customer Classes'!$B$16,+SUM('3. Consumption by Rate Class'!$H$37:$H$48),+IF($AQ$18='2. Customer Classes'!$B$17,+SUM('3. Consumption by Rate Class'!$J$37:$J$48),+IF($AQ$18='2. Customer Classes'!$B$18,+SUM('3. Consumption by Rate Class'!$L$37:$L$48),+IF($AQ$18='2. Customer Classes'!$B$19,+SUM('3. Consumption by Rate Class'!$O$37:$O$48),IF($AQ$18='2. Customer Classes'!$B$20,+SUM('3. Consumption by Rate Class'!$R$37:$R$48),0)))))))</f>
        <v>605328</v>
      </c>
      <c r="AS22" s="442"/>
      <c r="AT22" s="64">
        <f t="shared" ref="AT22:AT32" si="19">+AR22+AS22</f>
        <v>605328</v>
      </c>
      <c r="AU22" s="222">
        <f>+IF($AQ$18='2. Customer Classes'!$B$18,+SUM('3. Consumption by Rate Class'!$M$37:$M$48),+IF($AQ$18='2. Customer Classes'!$B$19,+SUM('3. Consumption by Rate Class'!$P$37:$P$48),IF($AQ$18='2. Customer Classes'!$B$20,+SUM('3. Consumption by Rate Class'!$S$37:$S$48),0)))</f>
        <v>0</v>
      </c>
      <c r="AV22" s="222">
        <f>IF($AQ$18='2. Customer Classes'!$B$14,+'4. Customer Growth'!$C18,+IF($AQ$18='2. Customer Classes'!$B$15,+'4. Customer Growth'!$E18,+IF($AQ$18='2. Customer Classes'!$B$16,+'4. Customer Growth'!$G18,+IF($AQ$18='2. Customer Classes'!$B$17,+'4. Customer Growth'!$I18,+IF($AQ$18='2. Customer Classes'!$B$18,+'4. Customer Growth'!$K18,+IF($AQ$18='2. Customer Classes'!$B$19,+'4. Customer Growth'!$M18,IF($AQ$18='2. Customer Classes'!$B$20,+'4. Customer Growth'!$O18,0)))))))</f>
        <v>80.5</v>
      </c>
      <c r="AW22" s="373">
        <f t="shared" ref="AW22:AW32" si="20">IF(AV22&gt;0,+AT22/AV22,0)</f>
        <v>7519.6024844720496</v>
      </c>
      <c r="AX22" s="376">
        <f t="shared" ref="AX22:AX32" si="21">IF(AU22&gt;0,+AU22/AV22,0)</f>
        <v>0</v>
      </c>
      <c r="AY22" s="339">
        <f t="shared" ref="AY22:AY30" si="22">IF(AU22&gt;0,+AU22/AT22,0)</f>
        <v>0</v>
      </c>
    </row>
    <row r="23" spans="2:51" ht="12.75" customHeight="1" x14ac:dyDescent="0.2">
      <c r="B23" s="192">
        <f>'4. Customer Growth'!B19</f>
        <v>2008</v>
      </c>
      <c r="C23" s="64">
        <f>IF($B$18='2. Customer Classes'!$B$14,+SUM('3. Consumption by Rate Class'!$D$49:$D$60),+IF($B$18='2. Customer Classes'!$B$15,+SUM('3. Consumption by Rate Class'!$F$49:$F$60),+IF($B$18='2. Customer Classes'!$B$16,+SUM('3. Consumption by Rate Class'!$H$49:$H$60),+IF($B$18='2. Customer Classes'!$B$17,+SUM('3. Consumption by Rate Class'!$J$49:$J$60),+IF($B$18='2. Customer Classes'!$B$18,+SUM('3. Consumption by Rate Class'!$L$49:$L$60),+IF($B$18='2. Customer Classes'!$B$19,+SUM('3. Consumption by Rate Class'!$O$49:$O$60),IF($B$18='2. Customer Classes'!$B$20,+SUM('3. Consumption by Rate Class'!$R$49:$R$60),0)))))))</f>
        <v>121003376</v>
      </c>
      <c r="D23" s="442"/>
      <c r="E23" s="64">
        <f t="shared" si="2"/>
        <v>121003376</v>
      </c>
      <c r="F23" s="64">
        <f>+IF($B$18='2. Customer Classes'!$B$18,+SUM('3. Consumption by Rate Class'!$M$49:$M$60),+IF($B$18='2. Customer Classes'!$B$19,+SUM('3. Consumption by Rate Class'!$P$49:$P$60),IF($B$18='2. Customer Classes'!$B$20,+SUM('3. Consumption by Rate Class'!$S$49:$S$60),0)))</f>
        <v>298912.40000000002</v>
      </c>
      <c r="G23" s="64">
        <f>IF($B$18='2. Customer Classes'!$B$14,+'4. Customer Growth'!$C19,+IF($B$18='2. Customer Classes'!$B$15,+'4. Customer Growth'!$E19,+IF($B$18='2. Customer Classes'!$B$16,+'4. Customer Growth'!$G19,+IF($B$18='2. Customer Classes'!$B$17,+'4. Customer Growth'!$I19,+IF($B$18='2. Customer Classes'!$B$18,+'4. Customer Growth'!$K19,+IF($B$18='2. Customer Classes'!$B$19,+'4. Customer Growth'!$M19,IF($B$18='2. Customer Classes'!$B$20,+'4. Customer Growth'!$O19,0)))))))</f>
        <v>133</v>
      </c>
      <c r="H23" s="373">
        <f t="shared" si="3"/>
        <v>909799.81954887218</v>
      </c>
      <c r="I23" s="376">
        <f t="shared" si="4"/>
        <v>2247.4616541353384</v>
      </c>
      <c r="J23" s="339">
        <f t="shared" si="5"/>
        <v>2.4702814903280056E-3</v>
      </c>
      <c r="K23" s="183"/>
      <c r="L23" s="183"/>
      <c r="M23" s="192">
        <f t="shared" si="0"/>
        <v>2008</v>
      </c>
      <c r="N23" s="64">
        <f>IF($M$18='2. Customer Classes'!$B$14,+SUM('3. Consumption by Rate Class'!$D$49:$D$60),+IF($M$18='2. Customer Classes'!$B$15,+SUM('3. Consumption by Rate Class'!$F$49:$F$60),+IF($M$18='2. Customer Classes'!$B$16,+SUM('3. Consumption by Rate Class'!$H$49:$H$60),+IF($M$18='2. Customer Classes'!$B$17,+SUM('3. Consumption by Rate Class'!$J$49:$J$60),+IF($M$18='2. Customer Classes'!$B$18,+SUM('3. Consumption by Rate Class'!$L$49:$L$60),+IF($M$18='2. Customer Classes'!$B$19,+SUM('3. Consumption by Rate Class'!$O$49:$O$60),IF($M$18='2. Customer Classes'!$B$20,+SUM('3. Consumption by Rate Class'!$R$49:$R$60),0)))))))</f>
        <v>1867799.5215356699</v>
      </c>
      <c r="O23" s="442"/>
      <c r="P23" s="64">
        <f t="shared" si="6"/>
        <v>1867799.5215356699</v>
      </c>
      <c r="Q23" s="222">
        <f>+IF($M$18='2. Customer Classes'!$B$18,+SUM('3. Consumption by Rate Class'!$M$49:$M$60),+IF($M$18='2. Customer Classes'!$B$19,+SUM('3. Consumption by Rate Class'!$P$49:$P$60),IF($M$18='2. Customer Classes'!$B$20,+SUM('3. Consumption by Rate Class'!$S$49:$S$60),0)))</f>
        <v>5091.2000000000007</v>
      </c>
      <c r="R23" s="222">
        <f>IF($M$18='2. Customer Classes'!$B$14,+'4. Customer Growth'!$C19,+IF($M$18='2. Customer Classes'!$B$15,+'4. Customer Growth'!$E19,+IF($M$18='2. Customer Classes'!$B$16,+'4. Customer Growth'!$G19,+IF($M$18='2. Customer Classes'!$B$17,+'4. Customer Growth'!$I19,+IF($M$18='2. Customer Classes'!$B$18,+'4. Customer Growth'!$K19,+IF($M$18='2. Customer Classes'!$B$19,+'4. Customer Growth'!$M19,IF($M$18='2. Customer Classes'!$B$20,+'4. Customer Growth'!$O19,0)))))))</f>
        <v>2793</v>
      </c>
      <c r="S23" s="373">
        <f t="shared" si="7"/>
        <v>668.74311548001072</v>
      </c>
      <c r="T23" s="376">
        <f t="shared" si="8"/>
        <v>1.8228428213390622</v>
      </c>
      <c r="U23" s="339">
        <f t="shared" si="9"/>
        <v>2.7257743356814391E-3</v>
      </c>
      <c r="V23" s="58"/>
      <c r="W23" s="192">
        <f t="shared" si="1"/>
        <v>2008</v>
      </c>
      <c r="X23" s="64">
        <f>IF($W$18='2. Customer Classes'!$B$14,+SUM('3. Consumption by Rate Class'!$D$49:$D$60),+IF($W$18='2. Customer Classes'!$B$15,+SUM('3. Consumption by Rate Class'!$F$49:$F$60),+IF($W$18='2. Customer Classes'!$B$16,+SUM('3. Consumption by Rate Class'!$H$49:$H$60),+IF($W$18='2. Customer Classes'!$B$17,+SUM('3. Consumption by Rate Class'!$J$49:$J$60),+IF($W$18='2. Customer Classes'!$B$18,+SUM('3. Consumption by Rate Class'!$L$49:$L$60),+IF($W$18='2. Customer Classes'!$B$19,+SUM('3. Consumption by Rate Class'!$O$49:$O$60),IF($W$18='2. Customer Classes'!$B$20,+SUM('3. Consumption by Rate Class'!$R$49:$R$60),0)))))))</f>
        <v>81053.799492218415</v>
      </c>
      <c r="Y23" s="442"/>
      <c r="Z23" s="64">
        <f t="shared" si="10"/>
        <v>81053.799492218415</v>
      </c>
      <c r="AA23" s="222">
        <f>+IF($W$18='2. Customer Classes'!$B$18,+SUM('3. Consumption by Rate Class'!$M$49:$M$60),+IF($W$18='2. Customer Classes'!$B$19,+SUM('3. Consumption by Rate Class'!$P$49:$P$60),IF($W$18='2. Customer Classes'!$B$20,+SUM('3. Consumption by Rate Class'!$S$49:$S$60),0)))</f>
        <v>225.03441398199672</v>
      </c>
      <c r="AB23" s="222">
        <f>IF($W$18='2. Customer Classes'!$B$14,+'4. Customer Growth'!$C19,+IF($W$18='2. Customer Classes'!$B$15,+'4. Customer Growth'!$E19,+IF($W$18='2. Customer Classes'!$B$16,+'4. Customer Growth'!$G19,+IF($W$18='2. Customer Classes'!$B$17,+'4. Customer Growth'!$I19,+IF($W$18='2. Customer Classes'!$B$18,+'4. Customer Growth'!$K19,+IF($W$18='2. Customer Classes'!$B$19,+'4. Customer Growth'!$M19,IF($W$18='2. Customer Classes'!$B$20,+'4. Customer Growth'!$O19,0)))))))</f>
        <v>58</v>
      </c>
      <c r="AC23" s="373">
        <f t="shared" si="11"/>
        <v>1397.4793015899727</v>
      </c>
      <c r="AD23" s="376">
        <f t="shared" si="12"/>
        <v>3.8799036893447711</v>
      </c>
      <c r="AE23" s="339">
        <f t="shared" si="13"/>
        <v>2.7763586086251416E-3</v>
      </c>
      <c r="AG23" s="354">
        <f t="shared" si="14"/>
        <v>2008</v>
      </c>
      <c r="AH23" s="64">
        <f>IF($AG$18='2. Customer Classes'!$B$14,+SUM('3. Consumption by Rate Class'!$D$49:$D$60),+IF($AG$18='2. Customer Classes'!$B$15,+SUM('3. Consumption by Rate Class'!$F$49:$F$60),+IF($AG$18='2. Customer Classes'!$B$16,+SUM('3. Consumption by Rate Class'!$H$49:$H$60),+IF($AG$18='2. Customer Classes'!$B$17,+SUM('3. Consumption by Rate Class'!$J$49:$J$60),+IF($AG$18='2. Customer Classes'!$B$18,+SUM('3. Consumption by Rate Class'!$L$49:$L$60),+IF($AG$18='2. Customer Classes'!$B$19,+SUM('3. Consumption by Rate Class'!$O$49:$O$60),IF($AG$18='2. Customer Classes'!$B$20,+SUM('3. Consumption by Rate Class'!$R$49:$R$60),IF($AG$18='2. Customer Classes'!$B$21,+SUM('3. Consumption by Rate Class'!$U$49:$U$60),0))))))))</f>
        <v>18805505.400000002</v>
      </c>
      <c r="AI23" s="442"/>
      <c r="AJ23" s="64">
        <f t="shared" si="15"/>
        <v>18805505.400000002</v>
      </c>
      <c r="AK23" s="222">
        <f>+IF($AG$18='2. Customer Classes'!$B$18,+SUM('3. Consumption by Rate Class'!$M$49:$M$60),+IF($AG$18='2. Customer Classes'!$B$19,+SUM('3. Consumption by Rate Class'!$P$49:$P$60),IF($AG$18='2. Customer Classes'!$B$20,+SUM('3. Consumption by Rate Class'!$S$49:$S$60),IF($AG$18='2. Customer Classes'!$B$21,+SUM('3. Consumption by Rate Class'!$V$49:$V$60),0))))</f>
        <v>40463.800000000003</v>
      </c>
      <c r="AL23" s="222">
        <f>IF($AG$18='2. Customer Classes'!$B$14,+'4. Customer Growth'!$C19,+IF($AG$18='2. Customer Classes'!$B$15,+'4. Customer Growth'!$E19,+IF($AG$18='2. Customer Classes'!$B$16,+'4. Customer Growth'!$G19,+IF($AG$18='2. Customer Classes'!$B$17,+'4. Customer Growth'!$I19,+IF($AG$18='2. Customer Classes'!$B$18,+'4. Customer Growth'!$K19,+IF($AG$18='2. Customer Classes'!$B$19,+'4. Customer Growth'!$M19,IF($AG$18='2. Customer Classes'!$B$20,+'4. Customer Growth'!$O19,IF($AG$18='2. Customer Classes'!$B$21,+'4. Customer Growth'!$Q19,0))))))))</f>
        <v>1</v>
      </c>
      <c r="AM23" s="373">
        <f t="shared" ref="AM23:AM32" si="23">IF(AK23&gt;0,+AJ23/AL23,0)</f>
        <v>18805505.400000002</v>
      </c>
      <c r="AN23" s="376">
        <f t="shared" si="16"/>
        <v>40463.800000000003</v>
      </c>
      <c r="AO23" s="339">
        <f t="shared" si="17"/>
        <v>2.1516996825833778E-3</v>
      </c>
      <c r="AQ23" s="354">
        <f t="shared" si="18"/>
        <v>2008</v>
      </c>
      <c r="AR23" s="64">
        <f>IF($AQ$18='2. Customer Classes'!$B$14,+SUM('3. Consumption by Rate Class'!$D$49:$D$60),+IF($AQ$18='2. Customer Classes'!$B$15,+SUM('3. Consumption by Rate Class'!$F$49:$F$60),+IF($AQ$18='2. Customer Classes'!$B$16,+SUM('3. Consumption by Rate Class'!$H$49:$H$60),+IF($AQ$18='2. Customer Classes'!$B$17,+SUM('3. Consumption by Rate Class'!$J$49:$J$60),+IF($AQ$18='2. Customer Classes'!$B$18,+SUM('3. Consumption by Rate Class'!$L$49:$L$60),+IF($AQ$18='2. Customer Classes'!$B$19,+SUM('3. Consumption by Rate Class'!$O$49:$O$60),IF($AQ$18='2. Customer Classes'!$B$20,+SUM('3. Consumption by Rate Class'!$R$49:$R$60),0)))))))</f>
        <v>720399.74271798297</v>
      </c>
      <c r="AS23" s="442"/>
      <c r="AT23" s="64">
        <f t="shared" si="19"/>
        <v>720399.74271798297</v>
      </c>
      <c r="AU23" s="222">
        <f>+IF($AQ$18='2. Customer Classes'!$B$18,+SUM('3. Consumption by Rate Class'!$M$49:$M$60),+IF($AQ$18='2. Customer Classes'!$B$19,+SUM('3. Consumption by Rate Class'!$P$49:$P$60),IF($AQ$18='2. Customer Classes'!$B$20,+SUM('3. Consumption by Rate Class'!$S$49:$S$60),0)))</f>
        <v>0</v>
      </c>
      <c r="AV23" s="222">
        <f>IF($AQ$18='2. Customer Classes'!$B$14,+'4. Customer Growth'!$C19,+IF($AQ$18='2. Customer Classes'!$B$15,+'4. Customer Growth'!$E19,+IF($AQ$18='2. Customer Classes'!$B$16,+'4. Customer Growth'!$G19,+IF($AQ$18='2. Customer Classes'!$B$17,+'4. Customer Growth'!$I19,+IF($AQ$18='2. Customer Classes'!$B$18,+'4. Customer Growth'!$K19,+IF($AQ$18='2. Customer Classes'!$B$19,+'4. Customer Growth'!$M19,IF($AQ$18='2. Customer Classes'!$B$20,+'4. Customer Growth'!$O19,0)))))))</f>
        <v>90</v>
      </c>
      <c r="AW23" s="373">
        <f t="shared" si="20"/>
        <v>8004.4415857553668</v>
      </c>
      <c r="AX23" s="376">
        <f t="shared" si="21"/>
        <v>0</v>
      </c>
      <c r="AY23" s="339">
        <f t="shared" si="22"/>
        <v>0</v>
      </c>
    </row>
    <row r="24" spans="2:51" ht="12.75" customHeight="1" x14ac:dyDescent="0.2">
      <c r="B24" s="192">
        <f>'4. Customer Growth'!B20</f>
        <v>2009</v>
      </c>
      <c r="C24" s="64">
        <f>IF($B$18='2. Customer Classes'!$B$14,+SUM('3. Consumption by Rate Class'!$D$61:$D$72),+IF($B$18='2. Customer Classes'!$B$15,+SUM('3. Consumption by Rate Class'!$F$61:$F$72),+IF($B$18='2. Customer Classes'!$B$16,+SUM('3. Consumption by Rate Class'!$H$61:$H$72),+IF($B$18='2. Customer Classes'!$B$17,+SUM('3. Consumption by Rate Class'!$J$61:$J$72),+IF($B$18='2. Customer Classes'!$B$18,+SUM('3. Consumption by Rate Class'!$L$61:$L$72),+IF($B$18='2. Customer Classes'!$B$19,+SUM('3. Consumption by Rate Class'!$O$61:$O$72),IF($B$18='2. Customer Classes'!$B$20,+SUM('3. Consumption by Rate Class'!$R$61:$R$72),0)))))))</f>
        <v>114875960</v>
      </c>
      <c r="D24" s="442"/>
      <c r="E24" s="64">
        <f t="shared" si="2"/>
        <v>114875960</v>
      </c>
      <c r="F24" s="64">
        <f>+IF($B$18='2. Customer Classes'!$B$18,+SUM('3. Consumption by Rate Class'!$M$61:$M$72),+IF($B$18='2. Customer Classes'!$B$19,+SUM('3. Consumption by Rate Class'!$P$61:$P$72),IF($B$18='2. Customer Classes'!$B$20,+SUM('3. Consumption by Rate Class'!$S$61:$S$72),0)))</f>
        <v>290142.59999999992</v>
      </c>
      <c r="G24" s="64">
        <f>IF($B$18='2. Customer Classes'!$B$14,+'4. Customer Growth'!$C20,+IF($B$18='2. Customer Classes'!$B$15,+'4. Customer Growth'!$E20,+IF($B$18='2. Customer Classes'!$B$16,+'4. Customer Growth'!$G20,+IF($B$18='2. Customer Classes'!$B$17,+'4. Customer Growth'!$I20,+IF($B$18='2. Customer Classes'!$B$18,+'4. Customer Growth'!$K20,+IF($B$18='2. Customer Classes'!$B$19,+'4. Customer Growth'!$M20,IF($B$18='2. Customer Classes'!$B$20,+'4. Customer Growth'!$O20,0)))))))</f>
        <v>129.5</v>
      </c>
      <c r="H24" s="373">
        <f t="shared" si="3"/>
        <v>887073.05019305018</v>
      </c>
      <c r="I24" s="376">
        <f t="shared" si="4"/>
        <v>2240.483397683397</v>
      </c>
      <c r="J24" s="339">
        <f t="shared" si="5"/>
        <v>2.5257033760588371E-3</v>
      </c>
      <c r="K24" s="183"/>
      <c r="L24" s="183"/>
      <c r="M24" s="192">
        <f t="shared" si="0"/>
        <v>2009</v>
      </c>
      <c r="N24" s="64">
        <f>IF($M$18='2. Customer Classes'!$B$14,+SUM('3. Consumption by Rate Class'!$D$61:$D$72),+IF($M$18='2. Customer Classes'!$B$15,+SUM('3. Consumption by Rate Class'!$F$61:$F$72),+IF($M$18='2. Customer Classes'!$B$16,+SUM('3. Consumption by Rate Class'!$H$61:$H$72),+IF($M$18='2. Customer Classes'!$B$17,+SUM('3. Consumption by Rate Class'!$J$61:$J$72),+IF($M$18='2. Customer Classes'!$B$18,+SUM('3. Consumption by Rate Class'!$L$61:$L$72),+IF($M$18='2. Customer Classes'!$B$19,+SUM('3. Consumption by Rate Class'!$O$61:$O$72),IF($M$18='2. Customer Classes'!$B$20,+SUM('3. Consumption by Rate Class'!$R$61:$R$72),0)))))))</f>
        <v>1350901.1708566549</v>
      </c>
      <c r="O24" s="442"/>
      <c r="P24" s="64">
        <f t="shared" si="6"/>
        <v>1350901.1708566549</v>
      </c>
      <c r="Q24" s="222">
        <f>+IF($M$18='2. Customer Classes'!$B$18,+SUM('3. Consumption by Rate Class'!$M$61:$M$72),+IF($M$18='2. Customer Classes'!$B$19,+SUM('3. Consumption by Rate Class'!$P$61:$P$72),IF($M$18='2. Customer Classes'!$B$20,+SUM('3. Consumption by Rate Class'!$S$61:$S$72),0)))</f>
        <v>3654.0999999999995</v>
      </c>
      <c r="R24" s="222">
        <f>IF($M$18='2. Customer Classes'!$B$14,+'4. Customer Growth'!$C20,+IF($M$18='2. Customer Classes'!$B$15,+'4. Customer Growth'!$E20,+IF($M$18='2. Customer Classes'!$B$16,+'4. Customer Growth'!$G20,+IF($M$18='2. Customer Classes'!$B$17,+'4. Customer Growth'!$I20,+IF($M$18='2. Customer Classes'!$B$18,+'4. Customer Growth'!$K20,+IF($M$18='2. Customer Classes'!$B$19,+'4. Customer Growth'!$M20,IF($M$18='2. Customer Classes'!$B$20,+'4. Customer Growth'!$O20,0)))))))</f>
        <v>2815.5</v>
      </c>
      <c r="S24" s="373">
        <f t="shared" si="7"/>
        <v>479.80862044278274</v>
      </c>
      <c r="T24" s="376">
        <f t="shared" si="8"/>
        <v>1.2978511809625286</v>
      </c>
      <c r="U24" s="339">
        <f t="shared" si="9"/>
        <v>2.7049351046774233E-3</v>
      </c>
      <c r="V24" s="58"/>
      <c r="W24" s="192">
        <f t="shared" si="1"/>
        <v>2009</v>
      </c>
      <c r="X24" s="64">
        <f>IF($W$18='2. Customer Classes'!$B$14,+SUM('3. Consumption by Rate Class'!$D$61:$D$72),+IF($W$18='2. Customer Classes'!$B$15,+SUM('3. Consumption by Rate Class'!$F$61:$F$72),+IF($W$18='2. Customer Classes'!$B$16,+SUM('3. Consumption by Rate Class'!$H$61:$H$72),+IF($W$18='2. Customer Classes'!$B$17,+SUM('3. Consumption by Rate Class'!$J$61:$J$72),+IF($W$18='2. Customer Classes'!$B$18,+SUM('3. Consumption by Rate Class'!$L$61:$L$72),+IF($W$18='2. Customer Classes'!$B$19,+SUM('3. Consumption by Rate Class'!$O$61:$O$72),IF($W$18='2. Customer Classes'!$B$20,+SUM('3. Consumption by Rate Class'!$R$61:$R$72),0)))))))</f>
        <v>78799.687128734338</v>
      </c>
      <c r="Y24" s="442"/>
      <c r="Z24" s="64">
        <f t="shared" si="10"/>
        <v>78799.687128734338</v>
      </c>
      <c r="AA24" s="536">
        <f>+IF($W$18='2. Customer Classes'!$B$18,+SUM('3. Consumption by Rate Class'!$M$61:$M$72),+IF($W$18='2. Customer Classes'!$B$19,+SUM('3. Consumption by Rate Class'!$P$61:$P$72),IF($W$18='2. Customer Classes'!$B$20,+SUM('3. Consumption by Rate Class'!$S$61:$S$72),0)))</f>
        <v>222.10830015479695</v>
      </c>
      <c r="AB24" s="222">
        <f>IF($W$18='2. Customer Classes'!$B$14,+'4. Customer Growth'!$C20,+IF($W$18='2. Customer Classes'!$B$15,+'4. Customer Growth'!$E20,+IF($W$18='2. Customer Classes'!$B$16,+'4. Customer Growth'!$G20,+IF($W$18='2. Customer Classes'!$B$17,+'4. Customer Growth'!$I20,+IF($W$18='2. Customer Classes'!$B$18,+'4. Customer Growth'!$K20,+IF($W$18='2. Customer Classes'!$B$19,+'4. Customer Growth'!$M20,IF($W$18='2. Customer Classes'!$B$20,+'4. Customer Growth'!$O20,0)))))))</f>
        <v>59.5</v>
      </c>
      <c r="AC24" s="373">
        <f t="shared" si="11"/>
        <v>1324.3644895585603</v>
      </c>
      <c r="AD24" s="376">
        <f t="shared" si="12"/>
        <v>3.7329126076436463</v>
      </c>
      <c r="AE24" s="339">
        <f t="shared" si="13"/>
        <v>2.8186444419752662E-3</v>
      </c>
      <c r="AG24" s="354">
        <f t="shared" si="14"/>
        <v>2009</v>
      </c>
      <c r="AH24" s="64">
        <f>IF($AG$18='2. Customer Classes'!$B$14,+SUM('3. Consumption by Rate Class'!$D$61:$D$72),+IF($AG$18='2. Customer Classes'!$B$15,+SUM('3. Consumption by Rate Class'!$F$61:$F$72),+IF($AG$18='2. Customer Classes'!$B$16,+SUM('3. Consumption by Rate Class'!$H$61:$H$72),+IF($AG$18='2. Customer Classes'!$B$17,+SUM('3. Consumption by Rate Class'!$J$61:$J$72),+IF($AG$18='2. Customer Classes'!$B$18,+SUM('3. Consumption by Rate Class'!$L$61:$L$72),+IF($AG$18='2. Customer Classes'!$B$19,+SUM('3. Consumption by Rate Class'!$O$61:$O$72),IF($AG$18='2. Customer Classes'!$B$20,+SUM('3. Consumption by Rate Class'!$R$61:$R$72),IF($AG$18='2. Customer Classes'!$B$21,+SUM('3. Consumption by Rate Class'!$U$61:$U$72),0))))))))</f>
        <v>19554366.59</v>
      </c>
      <c r="AI24" s="442"/>
      <c r="AJ24" s="64">
        <f t="shared" si="15"/>
        <v>19554366.59</v>
      </c>
      <c r="AK24" s="222">
        <f>+IF($AG$18='2. Customer Classes'!$B$18,+SUM('3. Consumption by Rate Class'!$M$61:$M$72),+IF($AG$18='2. Customer Classes'!$B$19,+SUM('3. Consumption by Rate Class'!$P$61:$P$72),IF($AG$18='2. Customer Classes'!$B$20,+SUM('3. Consumption by Rate Class'!$S$61:$S$72),IF($AG$18='2. Customer Classes'!$B$21,+SUM('3. Consumption by Rate Class'!$V$61:$V$72),0))))</f>
        <v>49628.899999999994</v>
      </c>
      <c r="AL24" s="222">
        <f>IF($AG$18='2. Customer Classes'!$B$14,+'4. Customer Growth'!$C20,+IF($AG$18='2. Customer Classes'!$B$15,+'4. Customer Growth'!$E20,+IF($AG$18='2. Customer Classes'!$B$16,+'4. Customer Growth'!$G20,+IF($AG$18='2. Customer Classes'!$B$17,+'4. Customer Growth'!$I20,+IF($AG$18='2. Customer Classes'!$B$18,+'4. Customer Growth'!$K20,+IF($AG$18='2. Customer Classes'!$B$19,+'4. Customer Growth'!$M20,IF($AG$18='2. Customer Classes'!$B$20,+'4. Customer Growth'!$O20,IF($AG$18='2. Customer Classes'!$B$21,+'4. Customer Growth'!$Q20,0))))))))</f>
        <v>1</v>
      </c>
      <c r="AM24" s="373">
        <f t="shared" si="23"/>
        <v>19554366.59</v>
      </c>
      <c r="AN24" s="376">
        <f t="shared" si="16"/>
        <v>49628.899999999994</v>
      </c>
      <c r="AO24" s="339">
        <f t="shared" si="17"/>
        <v>2.537995785830258E-3</v>
      </c>
      <c r="AQ24" s="354">
        <f t="shared" si="18"/>
        <v>2009</v>
      </c>
      <c r="AR24" s="64">
        <f>IF($AQ$18='2. Customer Classes'!$B$14,+SUM('3. Consumption by Rate Class'!$D$61:$D$72),+IF($AQ$18='2. Customer Classes'!$B$15,+SUM('3. Consumption by Rate Class'!$F$61:$F$72),+IF($AQ$18='2. Customer Classes'!$B$16,+SUM('3. Consumption by Rate Class'!$H$61:$H$72),+IF($AQ$18='2. Customer Classes'!$B$17,+SUM('3. Consumption by Rate Class'!$J$61:$J$72),+IF($AQ$18='2. Customer Classes'!$B$18,+SUM('3. Consumption by Rate Class'!$L$61:$L$72),+IF($AQ$18='2. Customer Classes'!$B$19,+SUM('3. Consumption by Rate Class'!$O$61:$O$72),IF($AQ$18='2. Customer Classes'!$B$20,+SUM('3. Consumption by Rate Class'!$R$61:$R$72),0)))))))</f>
        <v>747874.03424722515</v>
      </c>
      <c r="AS24" s="442"/>
      <c r="AT24" s="64">
        <f t="shared" si="19"/>
        <v>747874.03424722515</v>
      </c>
      <c r="AU24" s="222">
        <f>+IF($AQ$18='2. Customer Classes'!$B$18,+SUM('3. Consumption by Rate Class'!$M$61:$M$72),+IF($AQ$18='2. Customer Classes'!$B$19,+SUM('3. Consumption by Rate Class'!$P$61:$P$72),IF($AQ$18='2. Customer Classes'!$B$20,+SUM('3. Consumption by Rate Class'!$S$61:$S$72),0)))</f>
        <v>0</v>
      </c>
      <c r="AV24" s="222">
        <f>IF($AQ$18='2. Customer Classes'!$B$14,+'4. Customer Growth'!$C20,+IF($AQ$18='2. Customer Classes'!$B$15,+'4. Customer Growth'!$E20,+IF($AQ$18='2. Customer Classes'!$B$16,+'4. Customer Growth'!$G20,+IF($AQ$18='2. Customer Classes'!$B$17,+'4. Customer Growth'!$I20,+IF($AQ$18='2. Customer Classes'!$B$18,+'4. Customer Growth'!$K20,+IF($AQ$18='2. Customer Classes'!$B$19,+'4. Customer Growth'!$M20,IF($AQ$18='2. Customer Classes'!$B$20,+'4. Customer Growth'!$O20,0)))))))</f>
        <v>95.5</v>
      </c>
      <c r="AW24" s="373">
        <f t="shared" si="20"/>
        <v>7831.1417198662321</v>
      </c>
      <c r="AX24" s="376">
        <f t="shared" si="21"/>
        <v>0</v>
      </c>
      <c r="AY24" s="339">
        <f t="shared" si="22"/>
        <v>0</v>
      </c>
    </row>
    <row r="25" spans="2:51" ht="12.75" customHeight="1" x14ac:dyDescent="0.2">
      <c r="B25" s="192">
        <f>'4. Customer Growth'!B21</f>
        <v>2010</v>
      </c>
      <c r="C25" s="64">
        <f>IF($B$18='2. Customer Classes'!$B$14,+SUM('3. Consumption by Rate Class'!$D$73:$D$84),+IF($B$18='2. Customer Classes'!$B$15,+SUM('3. Consumption by Rate Class'!$F$73:$F$84),+IF($B$18='2. Customer Classes'!$B$16,+SUM('3. Consumption by Rate Class'!$H$73:$H$84),+IF($B$18='2. Customer Classes'!$B$17,+SUM('3. Consumption by Rate Class'!$J$73:$J$84),+IF($B$18='2. Customer Classes'!$B$18,+SUM('3. Consumption by Rate Class'!$L$73:$L$84),+IF($B$18='2. Customer Classes'!$B$19,+SUM('3. Consumption by Rate Class'!$O$73:$O$84),IF($B$18='2. Customer Classes'!$B$20,+SUM('3. Consumption by Rate Class'!$R$73:$R$84),0)))))))</f>
        <v>120290733</v>
      </c>
      <c r="D25" s="442"/>
      <c r="E25" s="64">
        <f t="shared" si="2"/>
        <v>120290733</v>
      </c>
      <c r="F25" s="64">
        <f>+IF($B$18='2. Customer Classes'!$B$18,+SUM('3. Consumption by Rate Class'!$M$73:$M$84),+IF($B$18='2. Customer Classes'!$B$19,+SUM('3. Consumption by Rate Class'!$P$73:$P$84),IF($B$18='2. Customer Classes'!$B$20,+SUM('3. Consumption by Rate Class'!$S$73:$S$84),0)))</f>
        <v>299040.51</v>
      </c>
      <c r="G25" s="64">
        <f>IF($B$18='2. Customer Classes'!$B$14,+'4. Customer Growth'!$C21,+IF($B$18='2. Customer Classes'!$B$15,+'4. Customer Growth'!$E21,+IF($B$18='2. Customer Classes'!$B$16,+'4. Customer Growth'!$G21,+IF($B$18='2. Customer Classes'!$B$17,+'4. Customer Growth'!$I21,+IF($B$18='2. Customer Classes'!$B$18,+'4. Customer Growth'!$K21,+IF($B$18='2. Customer Classes'!$B$19,+'4. Customer Growth'!$M21,IF($B$18='2. Customer Classes'!$B$20,+'4. Customer Growth'!$O21,0)))))))</f>
        <v>131</v>
      </c>
      <c r="H25" s="373">
        <f t="shared" si="3"/>
        <v>918249.87022900768</v>
      </c>
      <c r="I25" s="376">
        <f t="shared" si="4"/>
        <v>2282.7519847328244</v>
      </c>
      <c r="J25" s="339">
        <f t="shared" si="5"/>
        <v>2.4859812767123136E-3</v>
      </c>
      <c r="K25" s="183"/>
      <c r="L25" s="183"/>
      <c r="M25" s="192">
        <f t="shared" si="0"/>
        <v>2010</v>
      </c>
      <c r="N25" s="64">
        <f>IF($M$18='2. Customer Classes'!$B$14,+SUM('3. Consumption by Rate Class'!$D$73:$D$84),+IF($M$18='2. Customer Classes'!$B$15,+SUM('3. Consumption by Rate Class'!$F$73:$F$84),+IF($M$18='2. Customer Classes'!$B$16,+SUM('3. Consumption by Rate Class'!$H$73:$H$84),+IF($M$18='2. Customer Classes'!$B$17,+SUM('3. Consumption by Rate Class'!$J$73:$J$84),+IF($M$18='2. Customer Classes'!$B$18,+SUM('3. Consumption by Rate Class'!$L$73:$L$84),+IF($M$18='2. Customer Classes'!$B$19,+SUM('3. Consumption by Rate Class'!$O$73:$O$84),IF($M$18='2. Customer Classes'!$B$20,+SUM('3. Consumption by Rate Class'!$R$73:$R$84),0)))))))</f>
        <v>1194281.7307655821</v>
      </c>
      <c r="O25" s="442"/>
      <c r="P25" s="64">
        <f t="shared" si="6"/>
        <v>1194281.7307655821</v>
      </c>
      <c r="Q25" s="222">
        <f>+IF($M$18='2. Customer Classes'!$B$18,+SUM('3. Consumption by Rate Class'!$M$73:$M$84),+IF($M$18='2. Customer Classes'!$B$19,+SUM('3. Consumption by Rate Class'!$P$73:$P$84),IF($M$18='2. Customer Classes'!$B$20,+SUM('3. Consumption by Rate Class'!$S$73:$S$84),0)))</f>
        <v>3301.8999999999992</v>
      </c>
      <c r="R25" s="222">
        <f>IF($M$18='2. Customer Classes'!$B$14,+'4. Customer Growth'!$C21,+IF($M$18='2. Customer Classes'!$B$15,+'4. Customer Growth'!$E21,+IF($M$18='2. Customer Classes'!$B$16,+'4. Customer Growth'!$G21,+IF($M$18='2. Customer Classes'!$B$17,+'4. Customer Growth'!$I21,+IF($M$18='2. Customer Classes'!$B$18,+'4. Customer Growth'!$K21,+IF($M$18='2. Customer Classes'!$B$19,+'4. Customer Growth'!$M21,IF($M$18='2. Customer Classes'!$B$20,+'4. Customer Growth'!$O21,0)))))))</f>
        <v>2752</v>
      </c>
      <c r="S25" s="373">
        <f t="shared" si="7"/>
        <v>433.96865216772602</v>
      </c>
      <c r="T25" s="376">
        <f t="shared" si="8"/>
        <v>1.1998183139534881</v>
      </c>
      <c r="U25" s="339">
        <f t="shared" si="9"/>
        <v>2.7647580256321513E-3</v>
      </c>
      <c r="V25" s="58"/>
      <c r="W25" s="192">
        <f t="shared" si="1"/>
        <v>2010</v>
      </c>
      <c r="X25" s="64">
        <f>IF($W$18='2. Customer Classes'!$B$14,+SUM('3. Consumption by Rate Class'!$D$73:$D$84),+IF($W$18='2. Customer Classes'!$B$15,+SUM('3. Consumption by Rate Class'!$F$73:$F$84),+IF($W$18='2. Customer Classes'!$B$16,+SUM('3. Consumption by Rate Class'!$H$73:$H$84),+IF($W$18='2. Customer Classes'!$B$17,+SUM('3. Consumption by Rate Class'!$J$73:$J$84),+IF($W$18='2. Customer Classes'!$B$18,+SUM('3. Consumption by Rate Class'!$L$73:$L$84),+IF($W$18='2. Customer Classes'!$B$19,+SUM('3. Consumption by Rate Class'!$O$73:$O$84),IF($W$18='2. Customer Classes'!$B$20,+SUM('3. Consumption by Rate Class'!$R$73:$R$84),0)))))))</f>
        <v>54122.065561244759</v>
      </c>
      <c r="Y25" s="442"/>
      <c r="Z25" s="64">
        <f t="shared" si="10"/>
        <v>54122.065561244759</v>
      </c>
      <c r="AA25" s="222">
        <f>+IF($W$18='2. Customer Classes'!$B$18,+SUM('3. Consumption by Rate Class'!$M$73:$M$84),+IF($W$18='2. Customer Classes'!$B$19,+SUM('3. Consumption by Rate Class'!$P$73:$P$84),IF($W$18='2. Customer Classes'!$B$20,+SUM('3. Consumption by Rate Class'!$S$73:$S$84),0)))</f>
        <v>219.09108054779566</v>
      </c>
      <c r="AB25" s="222">
        <f>IF($W$18='2. Customer Classes'!$B$14,+'4. Customer Growth'!$C21,+IF($W$18='2. Customer Classes'!$B$15,+'4. Customer Growth'!$E21,+IF($W$18='2. Customer Classes'!$B$16,+'4. Customer Growth'!$G21,+IF($W$18='2. Customer Classes'!$B$17,+'4. Customer Growth'!$I21,+IF($W$18='2. Customer Classes'!$B$18,+'4. Customer Growth'!$K21,+IF($W$18='2. Customer Classes'!$B$19,+'4. Customer Growth'!$M21,IF($W$18='2. Customer Classes'!$B$20,+'4. Customer Growth'!$O21,0)))))))</f>
        <v>55</v>
      </c>
      <c r="AC25" s="373">
        <f t="shared" si="11"/>
        <v>984.03755565899564</v>
      </c>
      <c r="AD25" s="376">
        <f t="shared" si="12"/>
        <v>3.9834741917781029</v>
      </c>
      <c r="AE25" s="339">
        <f t="shared" si="13"/>
        <v>4.0480916290948146E-3</v>
      </c>
      <c r="AG25" s="354">
        <f t="shared" si="14"/>
        <v>2010</v>
      </c>
      <c r="AH25" s="64">
        <f>IF($AG$18='2. Customer Classes'!$B$14,+SUM('3. Consumption by Rate Class'!$D$73:$D$84),+IF($AG$18='2. Customer Classes'!$B$15,+SUM('3. Consumption by Rate Class'!$F$73:$F$84),+IF($AG$18='2. Customer Classes'!$B$16,+SUM('3. Consumption by Rate Class'!$H$73:$H$84),+IF($AG$18='2. Customer Classes'!$B$17,+SUM('3. Consumption by Rate Class'!$J$73:$J$84),+IF($AG$18='2. Customer Classes'!$B$18,+SUM('3. Consumption by Rate Class'!$L$73:$L$84),+IF($AG$18='2. Customer Classes'!$B$19,+SUM('3. Consumption by Rate Class'!$O$73:$O$84),IF($AG$18='2. Customer Classes'!$B$20,+SUM('3. Consumption by Rate Class'!$R$73:$R$84),IF($AG$18='2. Customer Classes'!$B$21,+SUM('3. Consumption by Rate Class'!$U$73:$U$84),0))))))))</f>
        <v>19036344.470000003</v>
      </c>
      <c r="AI25" s="442"/>
      <c r="AJ25" s="64">
        <f t="shared" si="15"/>
        <v>19036344.470000003</v>
      </c>
      <c r="AK25" s="222">
        <f>+IF($AG$18='2. Customer Classes'!$B$18,+SUM('3. Consumption by Rate Class'!$M$73:$M$84),+IF($AG$18='2. Customer Classes'!$B$19,+SUM('3. Consumption by Rate Class'!$P$73:$P$84),IF($AG$18='2. Customer Classes'!$B$20,+SUM('3. Consumption by Rate Class'!$S$73:$S$84),IF($AG$18='2. Customer Classes'!$B$21,+SUM('3. Consumption by Rate Class'!$V$73:$V$84),0))))</f>
        <v>45255.720000000008</v>
      </c>
      <c r="AL25" s="222">
        <f>IF($AG$18='2. Customer Classes'!$B$14,+'4. Customer Growth'!$C21,+IF($AG$18='2. Customer Classes'!$B$15,+'4. Customer Growth'!$E21,+IF($AG$18='2. Customer Classes'!$B$16,+'4. Customer Growth'!$G21,+IF($AG$18='2. Customer Classes'!$B$17,+'4. Customer Growth'!$I21,+IF($AG$18='2. Customer Classes'!$B$18,+'4. Customer Growth'!$K21,+IF($AG$18='2. Customer Classes'!$B$19,+'4. Customer Growth'!$M21,IF($AG$18='2. Customer Classes'!$B$20,+'4. Customer Growth'!$O21,IF($AG$18='2. Customer Classes'!$B$21,+'4. Customer Growth'!$Q21,0))))))))</f>
        <v>1</v>
      </c>
      <c r="AM25" s="373">
        <f t="shared" si="23"/>
        <v>19036344.470000003</v>
      </c>
      <c r="AN25" s="376">
        <f t="shared" si="16"/>
        <v>45255.720000000008</v>
      </c>
      <c r="AO25" s="339">
        <f t="shared" si="17"/>
        <v>2.3773324795272528E-3</v>
      </c>
      <c r="AQ25" s="354">
        <f t="shared" si="18"/>
        <v>2010</v>
      </c>
      <c r="AR25" s="64">
        <f>IF($AQ$18='2. Customer Classes'!$B$14,+SUM('3. Consumption by Rate Class'!$D$73:$D$84),+IF($AQ$18='2. Customer Classes'!$B$15,+SUM('3. Consumption by Rate Class'!$F$73:$F$84),+IF($AQ$18='2. Customer Classes'!$B$16,+SUM('3. Consumption by Rate Class'!$H$73:$H$84),+IF($AQ$18='2. Customer Classes'!$B$17,+SUM('3. Consumption by Rate Class'!$J$73:$J$84),+IF($AQ$18='2. Customer Classes'!$B$18,+SUM('3. Consumption by Rate Class'!$L$73:$L$84),+IF($AQ$18='2. Customer Classes'!$B$19,+SUM('3. Consumption by Rate Class'!$O$73:$O$84),IF($AQ$18='2. Customer Classes'!$B$20,+SUM('3. Consumption by Rate Class'!$R$73:$R$84),0)))))))</f>
        <v>716622.84621952369</v>
      </c>
      <c r="AS25" s="442"/>
      <c r="AT25" s="64">
        <f t="shared" si="19"/>
        <v>716622.84621952369</v>
      </c>
      <c r="AU25" s="222">
        <f>+IF($AQ$18='2. Customer Classes'!$B$18,+SUM('3. Consumption by Rate Class'!$M$73:$M$84),+IF($AQ$18='2. Customer Classes'!$B$19,+SUM('3. Consumption by Rate Class'!$P$73:$P$84),IF($AQ$18='2. Customer Classes'!$B$20,+SUM('3. Consumption by Rate Class'!$S$73:$S$84),0)))</f>
        <v>0</v>
      </c>
      <c r="AV25" s="222">
        <f>IF($AQ$18='2. Customer Classes'!$B$14,+'4. Customer Growth'!$C21,+IF($AQ$18='2. Customer Classes'!$B$15,+'4. Customer Growth'!$E21,+IF($AQ$18='2. Customer Classes'!$B$16,+'4. Customer Growth'!$G21,+IF($AQ$18='2. Customer Classes'!$B$17,+'4. Customer Growth'!$I21,+IF($AQ$18='2. Customer Classes'!$B$18,+'4. Customer Growth'!$K21,+IF($AQ$18='2. Customer Classes'!$B$19,+'4. Customer Growth'!$M21,IF($AQ$18='2. Customer Classes'!$B$20,+'4. Customer Growth'!$O21,0)))))))</f>
        <v>95</v>
      </c>
      <c r="AW25" s="373">
        <f t="shared" si="20"/>
        <v>7543.3983812581446</v>
      </c>
      <c r="AX25" s="376">
        <f t="shared" si="21"/>
        <v>0</v>
      </c>
      <c r="AY25" s="339">
        <f t="shared" si="22"/>
        <v>0</v>
      </c>
    </row>
    <row r="26" spans="2:51" ht="12.75" customHeight="1" x14ac:dyDescent="0.2">
      <c r="B26" s="192">
        <f>'4. Customer Growth'!B22</f>
        <v>2011</v>
      </c>
      <c r="C26" s="64">
        <f>IF($B$18='2. Customer Classes'!$B$14,+SUM('3. Consumption by Rate Class'!$D$85:$D$96),+IF($B$18='2. Customer Classes'!$B$15,+SUM('3. Consumption by Rate Class'!$F$85:$F$96),+IF($B$18='2. Customer Classes'!$B$16,+SUM('3. Consumption by Rate Class'!$H$85:$H$96),+IF($B$18='2. Customer Classes'!$B$17,+SUM('3. Consumption by Rate Class'!$J$85:$J$96),+IF($B$18='2. Customer Classes'!$B$18,+SUM('3. Consumption by Rate Class'!$L$85:$L$96),+IF($B$18='2. Customer Classes'!$B$19,+SUM('3. Consumption by Rate Class'!$O$85:$O$96),IF($B$18='2. Customer Classes'!$B$20,+SUM('3. Consumption by Rate Class'!$R$85:$R$96),0)))))))</f>
        <v>120834914</v>
      </c>
      <c r="D26" s="442"/>
      <c r="E26" s="64">
        <f t="shared" si="2"/>
        <v>120834914</v>
      </c>
      <c r="F26" s="64">
        <f>+IF($B$18='2. Customer Classes'!$B$18,+SUM('3. Consumption by Rate Class'!$M$85:$M$96),+IF($B$18='2. Customer Classes'!$B$19,+SUM('3. Consumption by Rate Class'!$P$85:$P$96),IF($B$18='2. Customer Classes'!$B$20,+SUM('3. Consumption by Rate Class'!$S$85:$S$96),0)))</f>
        <v>300129.30000000005</v>
      </c>
      <c r="G26" s="64">
        <f>IF($B$18='2. Customer Classes'!$B$14,+'4. Customer Growth'!$C22,+IF($B$18='2. Customer Classes'!$B$15,+'4. Customer Growth'!$E22,+IF($B$18='2. Customer Classes'!$B$16,+'4. Customer Growth'!$G22,+IF($B$18='2. Customer Classes'!$B$17,+'4. Customer Growth'!$I22,+IF($B$18='2. Customer Classes'!$B$18,+'4. Customer Growth'!$K22,+IF($B$18='2. Customer Classes'!$B$19,+'4. Customer Growth'!$M22,IF($B$18='2. Customer Classes'!$B$20,+'4. Customer Growth'!$O22,0)))))))</f>
        <v>131.5</v>
      </c>
      <c r="H26" s="373">
        <f t="shared" si="3"/>
        <v>918896.68441064644</v>
      </c>
      <c r="I26" s="376">
        <f t="shared" si="4"/>
        <v>2282.3520912547533</v>
      </c>
      <c r="J26" s="339">
        <f t="shared" si="5"/>
        <v>2.483796198174975E-3</v>
      </c>
      <c r="K26" s="183"/>
      <c r="L26" s="183"/>
      <c r="M26" s="192">
        <f t="shared" si="0"/>
        <v>2011</v>
      </c>
      <c r="N26" s="64">
        <f>IF($M$18='2. Customer Classes'!$B$14,+SUM('3. Consumption by Rate Class'!$D$85:$D$96),+IF($M$18='2. Customer Classes'!$B$15,+SUM('3. Consumption by Rate Class'!$F$85:$F$96),+IF($M$18='2. Customer Classes'!$B$16,+SUM('3. Consumption by Rate Class'!$H$85:$H$96),+IF($M$18='2. Customer Classes'!$B$17,+SUM('3. Consumption by Rate Class'!$J$85:$J$96),+IF($M$18='2. Customer Classes'!$B$18,+SUM('3. Consumption by Rate Class'!$L$85:$L$96),+IF($M$18='2. Customer Classes'!$B$19,+SUM('3. Consumption by Rate Class'!$O$85:$O$96),IF($M$18='2. Customer Classes'!$B$20,+SUM('3. Consumption by Rate Class'!$R$85:$R$96),0)))))))</f>
        <v>1222967</v>
      </c>
      <c r="O26" s="442"/>
      <c r="P26" s="64">
        <f t="shared" si="6"/>
        <v>1222967</v>
      </c>
      <c r="Q26" s="222">
        <f>+IF($M$18='2. Customer Classes'!$B$18,+SUM('3. Consumption by Rate Class'!$M$85:$M$96),+IF($M$18='2. Customer Classes'!$B$19,+SUM('3. Consumption by Rate Class'!$P$85:$P$96),IF($M$18='2. Customer Classes'!$B$20,+SUM('3. Consumption by Rate Class'!$S$85:$S$96),0)))</f>
        <v>3321</v>
      </c>
      <c r="R26" s="222">
        <f>IF($M$18='2. Customer Classes'!$B$14,+'4. Customer Growth'!$C22,+IF($M$18='2. Customer Classes'!$B$15,+'4. Customer Growth'!$E22,+IF($M$18='2. Customer Classes'!$B$16,+'4. Customer Growth'!$G22,+IF($M$18='2. Customer Classes'!$B$17,+'4. Customer Growth'!$I22,+IF($M$18='2. Customer Classes'!$B$18,+'4. Customer Growth'!$K22,+IF($M$18='2. Customer Classes'!$B$19,+'4. Customer Growth'!$M22,IF($M$18='2. Customer Classes'!$B$20,+'4. Customer Growth'!$O22,0)))))))</f>
        <v>2759</v>
      </c>
      <c r="S26" s="373">
        <f t="shared" si="7"/>
        <v>443.26458861906485</v>
      </c>
      <c r="T26" s="376">
        <f t="shared" si="8"/>
        <v>1.2036969916636462</v>
      </c>
      <c r="U26" s="339">
        <f t="shared" si="9"/>
        <v>2.7155270747289176E-3</v>
      </c>
      <c r="V26" s="58"/>
      <c r="W26" s="192">
        <f t="shared" si="1"/>
        <v>2011</v>
      </c>
      <c r="X26" s="64">
        <f>IF($W$18='2. Customer Classes'!$B$14,+SUM('3. Consumption by Rate Class'!$D$85:$D$96),+IF($W$18='2. Customer Classes'!$B$15,+SUM('3. Consumption by Rate Class'!$F$85:$F$96),+IF($W$18='2. Customer Classes'!$B$16,+SUM('3. Consumption by Rate Class'!$H$85:$H$96),+IF($W$18='2. Customer Classes'!$B$17,+SUM('3. Consumption by Rate Class'!$J$85:$J$96),+IF($W$18='2. Customer Classes'!$B$18,+SUM('3. Consumption by Rate Class'!$L$85:$L$96),+IF($W$18='2. Customer Classes'!$B$19,+SUM('3. Consumption by Rate Class'!$O$85:$O$96),IF($W$18='2. Customer Classes'!$B$20,+SUM('3. Consumption by Rate Class'!$R$85:$R$96),0)))))))</f>
        <v>43758</v>
      </c>
      <c r="Y26" s="442"/>
      <c r="Z26" s="64">
        <f t="shared" si="10"/>
        <v>43758</v>
      </c>
      <c r="AA26" s="222">
        <f>+IF($W$18='2. Customer Classes'!$B$18,+SUM('3. Consumption by Rate Class'!$M$85:$M$96),+IF($W$18='2. Customer Classes'!$B$19,+SUM('3. Consumption by Rate Class'!$P$85:$P$96),IF($W$18='2. Customer Classes'!$B$20,+SUM('3. Consumption by Rate Class'!$S$85:$S$96),0)))</f>
        <v>132</v>
      </c>
      <c r="AB26" s="222">
        <f>IF($W$18='2. Customer Classes'!$B$14,+'4. Customer Growth'!$C22,+IF($W$18='2. Customer Classes'!$B$15,+'4. Customer Growth'!$E22,+IF($W$18='2. Customer Classes'!$B$16,+'4. Customer Growth'!$G22,+IF($W$18='2. Customer Classes'!$B$17,+'4. Customer Growth'!$I22,+IF($W$18='2. Customer Classes'!$B$18,+'4. Customer Growth'!$K22,+IF($W$18='2. Customer Classes'!$B$19,+'4. Customer Growth'!$M22,IF($W$18='2. Customer Classes'!$B$20,+'4. Customer Growth'!$O22,0)))))))</f>
        <v>53</v>
      </c>
      <c r="AC26" s="373">
        <f t="shared" si="11"/>
        <v>825.62264150943395</v>
      </c>
      <c r="AD26" s="376">
        <f t="shared" si="12"/>
        <v>2.4905660377358489</v>
      </c>
      <c r="AE26" s="339">
        <f t="shared" si="13"/>
        <v>3.0165912518853697E-3</v>
      </c>
      <c r="AG26" s="354">
        <f t="shared" si="14"/>
        <v>2011</v>
      </c>
      <c r="AH26" s="64">
        <f>IF($AG$18='2. Customer Classes'!$B$14,+SUM('3. Consumption by Rate Class'!$D$85:$D$96),+IF($AG$18='2. Customer Classes'!$B$15,+SUM('3. Consumption by Rate Class'!$F$85:$F$96),+IF($AG$18='2. Customer Classes'!$B$16,+SUM('3. Consumption by Rate Class'!$H$85:$H$96),+IF($AG$18='2. Customer Classes'!$B$17,+SUM('3. Consumption by Rate Class'!$J$85:$J$96),+IF($AG$18='2. Customer Classes'!$B$18,+SUM('3. Consumption by Rate Class'!$L$85:$L$96),+IF($AG$18='2. Customer Classes'!$B$19,+SUM('3. Consumption by Rate Class'!$O$85:$O$96),IF($AG$18='2. Customer Classes'!$B$20,+SUM('3. Consumption by Rate Class'!$R$85:$R$96),IF($AG$18='2. Customer Classes'!$B$21,+SUM('3. Consumption by Rate Class'!$U$85:$U$96),0))))))))</f>
        <v>15051682</v>
      </c>
      <c r="AI26" s="442"/>
      <c r="AJ26" s="64">
        <f t="shared" si="15"/>
        <v>15051682</v>
      </c>
      <c r="AK26" s="222">
        <f>+IF($AG$18='2. Customer Classes'!$B$18,+SUM('3. Consumption by Rate Class'!$M$85:$M$96),+IF($AG$18='2. Customer Classes'!$B$19,+SUM('3. Consumption by Rate Class'!$P$85:$P$96),IF($AG$18='2. Customer Classes'!$B$20,+SUM('3. Consumption by Rate Class'!$S$85:$S$96),IF($AG$18='2. Customer Classes'!$B$21,+SUM('3. Consumption by Rate Class'!$V$85:$V$96),0))))</f>
        <v>42335.9</v>
      </c>
      <c r="AL26" s="222">
        <f>IF($AG$18='2. Customer Classes'!$B$14,+'4. Customer Growth'!$C22,+IF($AG$18='2. Customer Classes'!$B$15,+'4. Customer Growth'!$E22,+IF($AG$18='2. Customer Classes'!$B$16,+'4. Customer Growth'!$G22,+IF($AG$18='2. Customer Classes'!$B$17,+'4. Customer Growth'!$I22,+IF($AG$18='2. Customer Classes'!$B$18,+'4. Customer Growth'!$K22,+IF($AG$18='2. Customer Classes'!$B$19,+'4. Customer Growth'!$M22,IF($AG$18='2. Customer Classes'!$B$20,+'4. Customer Growth'!$O22,IF($AG$18='2. Customer Classes'!$B$21,+'4. Customer Growth'!$Q22,0))))))))</f>
        <v>1</v>
      </c>
      <c r="AM26" s="373">
        <f t="shared" si="23"/>
        <v>15051682</v>
      </c>
      <c r="AN26" s="376">
        <f t="shared" si="16"/>
        <v>42335.9</v>
      </c>
      <c r="AO26" s="339">
        <f t="shared" si="17"/>
        <v>2.8127022614482557E-3</v>
      </c>
      <c r="AQ26" s="354">
        <f t="shared" si="18"/>
        <v>2011</v>
      </c>
      <c r="AR26" s="64">
        <f>IF($AQ$18='2. Customer Classes'!$B$14,+SUM('3. Consumption by Rate Class'!$D$85:$D$96),+IF($AQ$18='2. Customer Classes'!$B$15,+SUM('3. Consumption by Rate Class'!$F$85:$F$96),+IF($AQ$18='2. Customer Classes'!$B$16,+SUM('3. Consumption by Rate Class'!$H$85:$H$96),+IF($AQ$18='2. Customer Classes'!$B$17,+SUM('3. Consumption by Rate Class'!$J$85:$J$96),+IF($AQ$18='2. Customer Classes'!$B$18,+SUM('3. Consumption by Rate Class'!$L$85:$L$96),+IF($AQ$18='2. Customer Classes'!$B$19,+SUM('3. Consumption by Rate Class'!$O$85:$O$96),IF($AQ$18='2. Customer Classes'!$B$20,+SUM('3. Consumption by Rate Class'!$R$85:$R$96),0)))))))</f>
        <v>659574</v>
      </c>
      <c r="AS26" s="442"/>
      <c r="AT26" s="64">
        <f t="shared" si="19"/>
        <v>659574</v>
      </c>
      <c r="AU26" s="222">
        <f>+IF($AQ$18='2. Customer Classes'!$B$18,+SUM('3. Consumption by Rate Class'!$M$85:$M$96),+IF($AQ$18='2. Customer Classes'!$B$19,+SUM('3. Consumption by Rate Class'!$P$85:$P$96),IF($AQ$18='2. Customer Classes'!$B$20,+SUM('3. Consumption by Rate Class'!$S$85:$S$96),0)))</f>
        <v>0</v>
      </c>
      <c r="AV26" s="222">
        <f>IF($AQ$18='2. Customer Classes'!$B$14,+'4. Customer Growth'!$C22,+IF($AQ$18='2. Customer Classes'!$B$15,+'4. Customer Growth'!$E22,+IF($AQ$18='2. Customer Classes'!$B$16,+'4. Customer Growth'!$G22,+IF($AQ$18='2. Customer Classes'!$B$17,+'4. Customer Growth'!$I22,+IF($AQ$18='2. Customer Classes'!$B$18,+'4. Customer Growth'!$K22,+IF($AQ$18='2. Customer Classes'!$B$19,+'4. Customer Growth'!$M22,IF($AQ$18='2. Customer Classes'!$B$20,+'4. Customer Growth'!$O22,0)))))))</f>
        <v>96</v>
      </c>
      <c r="AW26" s="373">
        <f t="shared" si="20"/>
        <v>6870.5625</v>
      </c>
      <c r="AX26" s="376">
        <f t="shared" si="21"/>
        <v>0</v>
      </c>
      <c r="AY26" s="339">
        <f t="shared" si="22"/>
        <v>0</v>
      </c>
    </row>
    <row r="27" spans="2:51" ht="12.75" customHeight="1" x14ac:dyDescent="0.2">
      <c r="B27" s="192">
        <f>'4. Customer Growth'!B23</f>
        <v>2012</v>
      </c>
      <c r="C27" s="64">
        <f>IF($B$18='2. Customer Classes'!$B$14,+SUM('3. Consumption by Rate Class'!$D$97:$D$108),+IF($B$18='2. Customer Classes'!$B$15,+SUM('3. Consumption by Rate Class'!$F$97:$F$108),+IF($B$18='2. Customer Classes'!$B$16,+SUM('3. Consumption by Rate Class'!$H$97:$H$108),+IF($B$18='2. Customer Classes'!$B$17,+SUM('3. Consumption by Rate Class'!$J$97:$J$108),+IF($B$18='2. Customer Classes'!$B$18,+SUM('3. Consumption by Rate Class'!$L$97:$L$108),+IF($B$18='2. Customer Classes'!$B$19,+SUM('3. Consumption by Rate Class'!$O$97:$O$108),IF($B$18='2. Customer Classes'!$B$20,+SUM('3. Consumption by Rate Class'!$R$97:$R$108),0)))))))</f>
        <v>128532327</v>
      </c>
      <c r="D27" s="442"/>
      <c r="E27" s="64">
        <f t="shared" si="2"/>
        <v>128532327</v>
      </c>
      <c r="F27" s="64">
        <f>+IF($B$18='2. Customer Classes'!$B$18,+SUM('3. Consumption by Rate Class'!$M$97:$M$108),+IF($B$18='2. Customer Classes'!$B$19,+SUM('3. Consumption by Rate Class'!$P$97:$P$108),IF($B$18='2. Customer Classes'!$B$20,+SUM('3. Consumption by Rate Class'!$S$97:$S$108),0)))</f>
        <v>322335</v>
      </c>
      <c r="G27" s="64">
        <f>IF($B$18='2. Customer Classes'!$B$14,+'4. Customer Growth'!$C23,+IF($B$18='2. Customer Classes'!$B$15,+'4. Customer Growth'!$E23,+IF($B$18='2. Customer Classes'!$B$16,+'4. Customer Growth'!$G23,+IF($B$18='2. Customer Classes'!$B$17,+'4. Customer Growth'!$I23,+IF($B$18='2. Customer Classes'!$B$18,+'4. Customer Growth'!$K23,+IF($B$18='2. Customer Classes'!$B$19,+'4. Customer Growth'!$M23,IF($B$18='2. Customer Classes'!$B$20,+'4. Customer Growth'!$O23,0)))))))</f>
        <v>137</v>
      </c>
      <c r="H27" s="373">
        <f t="shared" si="3"/>
        <v>938192.16788321163</v>
      </c>
      <c r="I27" s="376">
        <f t="shared" si="4"/>
        <v>2352.8102189781021</v>
      </c>
      <c r="J27" s="339">
        <f t="shared" si="5"/>
        <v>2.507812684352941E-3</v>
      </c>
      <c r="K27" s="183"/>
      <c r="L27" s="183"/>
      <c r="M27" s="192">
        <f t="shared" si="0"/>
        <v>2012</v>
      </c>
      <c r="N27" s="64">
        <f>IF($M$18='2. Customer Classes'!$B$14,+SUM('3. Consumption by Rate Class'!$D$97:$D$108),+IF($M$18='2. Customer Classes'!$B$15,+SUM('3. Consumption by Rate Class'!$F$97:$F$108),+IF($M$18='2. Customer Classes'!$B$16,+SUM('3. Consumption by Rate Class'!$H$97:$H$108),+IF($M$18='2. Customer Classes'!$B$17,+SUM('3. Consumption by Rate Class'!$J$97:$J$108),+IF($M$18='2. Customer Classes'!$B$18,+SUM('3. Consumption by Rate Class'!$L$97:$L$108),+IF($M$18='2. Customer Classes'!$B$19,+SUM('3. Consumption by Rate Class'!$O$97:$O$108),IF($M$18='2. Customer Classes'!$B$20,+SUM('3. Consumption by Rate Class'!$R$97:$R$108),0)))))))</f>
        <v>1222128</v>
      </c>
      <c r="O27" s="442"/>
      <c r="P27" s="64">
        <f t="shared" si="6"/>
        <v>1222128</v>
      </c>
      <c r="Q27" s="222">
        <f>+IF($M$18='2. Customer Classes'!$B$18,+SUM('3. Consumption by Rate Class'!$M$97:$M$108),+IF($M$18='2. Customer Classes'!$B$19,+SUM('3. Consumption by Rate Class'!$P$97:$P$108),IF($M$18='2. Customer Classes'!$B$20,+SUM('3. Consumption by Rate Class'!$S$97:$S$108),0)))</f>
        <v>3340</v>
      </c>
      <c r="R27" s="222">
        <f>IF($M$18='2. Customer Classes'!$B$14,+'4. Customer Growth'!$C23,+IF($M$18='2. Customer Classes'!$B$15,+'4. Customer Growth'!$E23,+IF($M$18='2. Customer Classes'!$B$16,+'4. Customer Growth'!$G23,+IF($M$18='2. Customer Classes'!$B$17,+'4. Customer Growth'!$I23,+IF($M$18='2. Customer Classes'!$B$18,+'4. Customer Growth'!$K23,+IF($M$18='2. Customer Classes'!$B$19,+'4. Customer Growth'!$M23,IF($M$18='2. Customer Classes'!$B$20,+'4. Customer Growth'!$O23,0)))))))</f>
        <v>2802</v>
      </c>
      <c r="S27" s="373">
        <f t="shared" si="7"/>
        <v>436.16274089935763</v>
      </c>
      <c r="T27" s="376">
        <f t="shared" si="8"/>
        <v>1.192005710206995</v>
      </c>
      <c r="U27" s="339">
        <f t="shared" si="9"/>
        <v>2.7329379573988975E-3</v>
      </c>
      <c r="V27" s="58"/>
      <c r="W27" s="192">
        <f t="shared" si="1"/>
        <v>2012</v>
      </c>
      <c r="X27" s="64">
        <f>IF($W$18='2. Customer Classes'!$B$14,+SUM('3. Consumption by Rate Class'!$D$97:$D$108),+IF($W$18='2. Customer Classes'!$B$15,+SUM('3. Consumption by Rate Class'!$F$97:$F$108),+IF($W$18='2. Customer Classes'!$B$16,+SUM('3. Consumption by Rate Class'!$H$97:$H$108),+IF($W$18='2. Customer Classes'!$B$17,+SUM('3. Consumption by Rate Class'!$J$97:$J$108),+IF($W$18='2. Customer Classes'!$B$18,+SUM('3. Consumption by Rate Class'!$L$97:$L$108),+IF($W$18='2. Customer Classes'!$B$19,+SUM('3. Consumption by Rate Class'!$O$97:$O$108),IF($W$18='2. Customer Classes'!$B$20,+SUM('3. Consumption by Rate Class'!$R$97:$R$108),0)))))))</f>
        <v>41938</v>
      </c>
      <c r="Y27" s="442"/>
      <c r="Z27" s="64">
        <f t="shared" si="10"/>
        <v>41938</v>
      </c>
      <c r="AA27" s="222">
        <f>+IF($W$18='2. Customer Classes'!$B$18,+SUM('3. Consumption by Rate Class'!$M$97:$M$108),+IF($W$18='2. Customer Classes'!$B$19,+SUM('3. Consumption by Rate Class'!$P$97:$P$108),IF($W$18='2. Customer Classes'!$B$20,+SUM('3. Consumption by Rate Class'!$S$97:$S$108),0)))</f>
        <v>132</v>
      </c>
      <c r="AB27" s="222">
        <f>IF($W$18='2. Customer Classes'!$B$14,+'4. Customer Growth'!$C23,+IF($W$18='2. Customer Classes'!$B$15,+'4. Customer Growth'!$E23,+IF($W$18='2. Customer Classes'!$B$16,+'4. Customer Growth'!$G23,+IF($W$18='2. Customer Classes'!$B$17,+'4. Customer Growth'!$I23,+IF($W$18='2. Customer Classes'!$B$18,+'4. Customer Growth'!$K23,+IF($W$18='2. Customer Classes'!$B$19,+'4. Customer Growth'!$M23,IF($W$18='2. Customer Classes'!$B$20,+'4. Customer Growth'!$O23,0)))))))</f>
        <v>54</v>
      </c>
      <c r="AC27" s="373">
        <f t="shared" si="11"/>
        <v>776.62962962962968</v>
      </c>
      <c r="AD27" s="376">
        <f t="shared" si="12"/>
        <v>2.4444444444444446</v>
      </c>
      <c r="AE27" s="339">
        <f t="shared" si="13"/>
        <v>3.1475034574848584E-3</v>
      </c>
      <c r="AG27" s="354">
        <f t="shared" si="14"/>
        <v>2012</v>
      </c>
      <c r="AH27" s="64">
        <f>IF($AG$18='2. Customer Classes'!$B$14,+SUM('3. Consumption by Rate Class'!$D$97:$D$108),+IF($AG$18='2. Customer Classes'!$B$15,+SUM('3. Consumption by Rate Class'!$F$97:$F$108),+IF($AG$18='2. Customer Classes'!$B$16,+SUM('3. Consumption by Rate Class'!$H$97:$H$108),+IF($AG$18='2. Customer Classes'!$B$17,+SUM('3. Consumption by Rate Class'!$J$97:$J$108),+IF($AG$18='2. Customer Classes'!$B$18,+SUM('3. Consumption by Rate Class'!$L$97:$L$108),+IF($AG$18='2. Customer Classes'!$B$19,+SUM('3. Consumption by Rate Class'!$O$97:$O$108),IF($AG$18='2. Customer Classes'!$B$20,+SUM('3. Consumption by Rate Class'!$R$97:$R$108),IF($AG$18='2. Customer Classes'!$B$21,+SUM('3. Consumption by Rate Class'!$U$97:$U$108),0))))))))</f>
        <v>15193348</v>
      </c>
      <c r="AI27" s="442"/>
      <c r="AJ27" s="64">
        <f t="shared" si="15"/>
        <v>15193348</v>
      </c>
      <c r="AK27" s="222">
        <f>+IF($AG$18='2. Customer Classes'!$B$18,+SUM('3. Consumption by Rate Class'!$M$97:$M$108),+IF($AG$18='2. Customer Classes'!$B$19,+SUM('3. Consumption by Rate Class'!$P$97:$P$108),IF($AG$18='2. Customer Classes'!$B$20,+SUM('3. Consumption by Rate Class'!$S$97:$S$108),IF($AG$18='2. Customer Classes'!$B$21,+SUM('3. Consumption by Rate Class'!$V$97:$V$108),0))))</f>
        <v>39662.6</v>
      </c>
      <c r="AL27" s="222">
        <f>IF($AG$18='2. Customer Classes'!$B$14,+'4. Customer Growth'!$C23,+IF($AG$18='2. Customer Classes'!$B$15,+'4. Customer Growth'!$E23,+IF($AG$18='2. Customer Classes'!$B$16,+'4. Customer Growth'!$G23,+IF($AG$18='2. Customer Classes'!$B$17,+'4. Customer Growth'!$I23,+IF($AG$18='2. Customer Classes'!$B$18,+'4. Customer Growth'!$K23,+IF($AG$18='2. Customer Classes'!$B$19,+'4. Customer Growth'!$M23,IF($AG$18='2. Customer Classes'!$B$20,+'4. Customer Growth'!$O23,IF($AG$18='2. Customer Classes'!$B$21,+'4. Customer Growth'!$Q23,0))))))))</f>
        <v>1</v>
      </c>
      <c r="AM27" s="373">
        <f t="shared" si="23"/>
        <v>15193348</v>
      </c>
      <c r="AN27" s="376">
        <f t="shared" si="16"/>
        <v>39662.6</v>
      </c>
      <c r="AO27" s="339">
        <f t="shared" si="17"/>
        <v>2.6105240266990526E-3</v>
      </c>
      <c r="AQ27" s="354">
        <f t="shared" si="18"/>
        <v>2012</v>
      </c>
      <c r="AR27" s="64">
        <f>IF($AQ$18='2. Customer Classes'!$B$14,+SUM('3. Consumption by Rate Class'!$D$97:$D$108),+IF($AQ$18='2. Customer Classes'!$B$15,+SUM('3. Consumption by Rate Class'!$F$97:$F$108),+IF($AQ$18='2. Customer Classes'!$B$16,+SUM('3. Consumption by Rate Class'!$H$97:$H$108),+IF($AQ$18='2. Customer Classes'!$B$17,+SUM('3. Consumption by Rate Class'!$J$97:$J$108),+IF($AQ$18='2. Customer Classes'!$B$18,+SUM('3. Consumption by Rate Class'!$L$97:$L$108),+IF($AQ$18='2. Customer Classes'!$B$19,+SUM('3. Consumption by Rate Class'!$O$97:$O$108),IF($AQ$18='2. Customer Classes'!$B$20,+SUM('3. Consumption by Rate Class'!$R$97:$R$108),0)))))))</f>
        <v>627467</v>
      </c>
      <c r="AS27" s="442"/>
      <c r="AT27" s="64">
        <f t="shared" si="19"/>
        <v>627467</v>
      </c>
      <c r="AU27" s="222">
        <f>+IF($AQ$18='2. Customer Classes'!$B$18,+SUM('3. Consumption by Rate Class'!$M$97:$M$108),+IF($AQ$18='2. Customer Classes'!$B$19,+SUM('3. Consumption by Rate Class'!$P$97:$P$108),IF($AQ$18='2. Customer Classes'!$B$20,+SUM('3. Consumption by Rate Class'!$S$97:$S$108),0)))</f>
        <v>0</v>
      </c>
      <c r="AV27" s="222">
        <f>IF($AQ$18='2. Customer Classes'!$B$14,+'4. Customer Growth'!$C23,+IF($AQ$18='2. Customer Classes'!$B$15,+'4. Customer Growth'!$E23,+IF($AQ$18='2. Customer Classes'!$B$16,+'4. Customer Growth'!$G23,+IF($AQ$18='2. Customer Classes'!$B$17,+'4. Customer Growth'!$I23,+IF($AQ$18='2. Customer Classes'!$B$18,+'4. Customer Growth'!$K23,+IF($AQ$18='2. Customer Classes'!$B$19,+'4. Customer Growth'!$M23,IF($AQ$18='2. Customer Classes'!$B$20,+'4. Customer Growth'!$O23,0)))))))</f>
        <v>94.5</v>
      </c>
      <c r="AW27" s="373">
        <f t="shared" si="20"/>
        <v>6639.862433862434</v>
      </c>
      <c r="AX27" s="376">
        <f t="shared" si="21"/>
        <v>0</v>
      </c>
      <c r="AY27" s="339">
        <f t="shared" si="22"/>
        <v>0</v>
      </c>
    </row>
    <row r="28" spans="2:51" ht="12.75" customHeight="1" x14ac:dyDescent="0.2">
      <c r="B28" s="192">
        <f>'4. Customer Growth'!B24</f>
        <v>2013</v>
      </c>
      <c r="C28" s="64">
        <f>IF($B$18='2. Customer Classes'!$B$14,+SUM('3. Consumption by Rate Class'!$D$109:$D$120),+IF($B$18='2. Customer Classes'!$B$15,+SUM('3. Consumption by Rate Class'!$F$109:$F$120),+IF($B$18='2. Customer Classes'!$B$16,+SUM('3. Consumption by Rate Class'!$H$109:$H$120),+IF($B$18='2. Customer Classes'!$B$17,+SUM('3. Consumption by Rate Class'!$J$109:$J$120),+IF($B$18='2. Customer Classes'!$B$18,+SUM('3. Consumption by Rate Class'!$L$109:$L$120),+IF($B$18='2. Customer Classes'!$B$19,+SUM('3. Consumption by Rate Class'!$O$109:$O$120),IF($B$18='2. Customer Classes'!$B$20,+SUM('3. Consumption by Rate Class'!$R$109:$R$120),0)))))))</f>
        <v>125354819</v>
      </c>
      <c r="D28" s="442"/>
      <c r="E28" s="64">
        <f t="shared" si="2"/>
        <v>125354819</v>
      </c>
      <c r="F28" s="64">
        <f>+IF($B$18='2. Customer Classes'!$B$18,+SUM('3. Consumption by Rate Class'!$M$109:$M$120),+IF($B$18='2. Customer Classes'!$B$19,+SUM('3. Consumption by Rate Class'!$P$109:$P$120),IF($B$18='2. Customer Classes'!$B$20,+SUM('3. Consumption by Rate Class'!$S$109:$S$120),0)))</f>
        <v>323427</v>
      </c>
      <c r="G28" s="64">
        <f>IF($B$18='2. Customer Classes'!$B$14,+'4. Customer Growth'!$C24,+IF($B$18='2. Customer Classes'!$B$15,+'4. Customer Growth'!$E24,+IF($B$18='2. Customer Classes'!$B$16,+'4. Customer Growth'!$G24,+IF($B$18='2. Customer Classes'!$B$17,+'4. Customer Growth'!$I24,+IF($B$18='2. Customer Classes'!$B$18,+'4. Customer Growth'!$K24,+IF($B$18='2. Customer Classes'!$B$19,+'4. Customer Growth'!$M24,IF($B$18='2. Customer Classes'!$B$20,+'4. Customer Growth'!$O24,0)))))))</f>
        <v>141.5</v>
      </c>
      <c r="H28" s="373">
        <f t="shared" si="3"/>
        <v>885899.78091872786</v>
      </c>
      <c r="I28" s="376">
        <f t="shared" si="4"/>
        <v>2285.7031802120141</v>
      </c>
      <c r="J28" s="339">
        <f t="shared" si="5"/>
        <v>2.5800922739156922E-3</v>
      </c>
      <c r="K28" s="183"/>
      <c r="L28" s="183"/>
      <c r="M28" s="192">
        <f t="shared" si="0"/>
        <v>2013</v>
      </c>
      <c r="N28" s="64">
        <f>IF($M$18='2. Customer Classes'!$B$14,+SUM('3. Consumption by Rate Class'!$D$109:$D$120),+IF($M$18='2. Customer Classes'!$B$15,+SUM('3. Consumption by Rate Class'!$F$109:$F$120),+IF($M$18='2. Customer Classes'!$B$16,+SUM('3. Consumption by Rate Class'!$H$109:$H$120),+IF($M$18='2. Customer Classes'!$B$17,+SUM('3. Consumption by Rate Class'!$J$109:$J$120),+IF($M$18='2. Customer Classes'!$B$18,+SUM('3. Consumption by Rate Class'!$L$109:$L$120),+IF($M$18='2. Customer Classes'!$B$19,+SUM('3. Consumption by Rate Class'!$O$109:$O$120),IF($M$18='2. Customer Classes'!$B$20,+SUM('3. Consumption by Rate Class'!$R$109:$R$120),0)))))))</f>
        <v>1249953</v>
      </c>
      <c r="O28" s="442"/>
      <c r="P28" s="64">
        <f t="shared" si="6"/>
        <v>1249953</v>
      </c>
      <c r="Q28" s="222">
        <f>+IF($M$18='2. Customer Classes'!$B$18,+SUM('3. Consumption by Rate Class'!$M$109:$M$120),+IF($M$18='2. Customer Classes'!$B$19,+SUM('3. Consumption by Rate Class'!$P$109:$P$120),IF($M$18='2. Customer Classes'!$B$20,+SUM('3. Consumption by Rate Class'!$S$109:$S$120),0)))</f>
        <v>3386</v>
      </c>
      <c r="R28" s="222">
        <f>IF($M$18='2. Customer Classes'!$B$14,+'4. Customer Growth'!$C24,+IF($M$18='2. Customer Classes'!$B$15,+'4. Customer Growth'!$E24,+IF($M$18='2. Customer Classes'!$B$16,+'4. Customer Growth'!$G24,+IF($M$18='2. Customer Classes'!$B$17,+'4. Customer Growth'!$I24,+IF($M$18='2. Customer Classes'!$B$18,+'4. Customer Growth'!$K24,+IF($M$18='2. Customer Classes'!$B$19,+'4. Customer Growth'!$M24,IF($M$18='2. Customer Classes'!$B$20,+'4. Customer Growth'!$O24,0)))))))</f>
        <v>2862</v>
      </c>
      <c r="S28" s="373">
        <f t="shared" si="7"/>
        <v>436.74109014675054</v>
      </c>
      <c r="T28" s="376">
        <f t="shared" si="8"/>
        <v>1.183088749126485</v>
      </c>
      <c r="U28" s="339">
        <f t="shared" si="9"/>
        <v>2.7089018547097371E-3</v>
      </c>
      <c r="V28" s="58"/>
      <c r="W28" s="192">
        <f t="shared" si="1"/>
        <v>2013</v>
      </c>
      <c r="X28" s="64">
        <f>IF($W$18='2. Customer Classes'!$B$14,+SUM('3. Consumption by Rate Class'!$D$109:$D$120),+IF($W$18='2. Customer Classes'!$B$15,+SUM('3. Consumption by Rate Class'!$F$109:$F$120),+IF($W$18='2. Customer Classes'!$B$16,+SUM('3. Consumption by Rate Class'!$H$109:$H$120),+IF($W$18='2. Customer Classes'!$B$17,+SUM('3. Consumption by Rate Class'!$J$109:$J$120),+IF($W$18='2. Customer Classes'!$B$18,+SUM('3. Consumption by Rate Class'!$L$109:$L$120),+IF($W$18='2. Customer Classes'!$B$19,+SUM('3. Consumption by Rate Class'!$O$109:$O$120),IF($W$18='2. Customer Classes'!$B$20,+SUM('3. Consumption by Rate Class'!$R$109:$R$120),0)))))))</f>
        <v>44355</v>
      </c>
      <c r="Y28" s="442"/>
      <c r="Z28" s="64">
        <f t="shared" si="10"/>
        <v>44355</v>
      </c>
      <c r="AA28" s="222">
        <f>+IF($W$18='2. Customer Classes'!$B$18,+SUM('3. Consumption by Rate Class'!$M$109:$M$120),+IF($W$18='2. Customer Classes'!$B$19,+SUM('3. Consumption by Rate Class'!$P$109:$P$120),IF($W$18='2. Customer Classes'!$B$20,+SUM('3. Consumption by Rate Class'!$S$109:$S$120),0)))</f>
        <v>132</v>
      </c>
      <c r="AB28" s="222">
        <f>IF($W$18='2. Customer Classes'!$B$14,+'4. Customer Growth'!$C24,+IF($W$18='2. Customer Classes'!$B$15,+'4. Customer Growth'!$E24,+IF($W$18='2. Customer Classes'!$B$16,+'4. Customer Growth'!$G24,+IF($W$18='2. Customer Classes'!$B$17,+'4. Customer Growth'!$I24,+IF($W$18='2. Customer Classes'!$B$18,+'4. Customer Growth'!$K24,+IF($W$18='2. Customer Classes'!$B$19,+'4. Customer Growth'!$M24,IF($W$18='2. Customer Classes'!$B$20,+'4. Customer Growth'!$O24,0)))))))</f>
        <v>54</v>
      </c>
      <c r="AC28" s="373">
        <f t="shared" si="11"/>
        <v>821.38888888888891</v>
      </c>
      <c r="AD28" s="376">
        <f t="shared" si="12"/>
        <v>2.4444444444444446</v>
      </c>
      <c r="AE28" s="339">
        <f t="shared" si="13"/>
        <v>2.9759891782211701E-3</v>
      </c>
      <c r="AG28" s="354">
        <f t="shared" si="14"/>
        <v>2013</v>
      </c>
      <c r="AH28" s="64">
        <f>IF($AG$18='2. Customer Classes'!$B$14,+SUM('3. Consumption by Rate Class'!$D$109:$D$120),+IF($AG$18='2. Customer Classes'!$B$15,+SUM('3. Consumption by Rate Class'!$F$109:$F$120),+IF($AG$18='2. Customer Classes'!$B$16,+SUM('3. Consumption by Rate Class'!$H$109:$H$120),+IF($AG$18='2. Customer Classes'!$B$17,+SUM('3. Consumption by Rate Class'!$J$109:$J$120),+IF($AG$18='2. Customer Classes'!$B$18,+SUM('3. Consumption by Rate Class'!$L$109:$L$120),+IF($AG$18='2. Customer Classes'!$B$19,+SUM('3. Consumption by Rate Class'!$O$109:$O$120),IF($AG$18='2. Customer Classes'!$B$20,+SUM('3. Consumption by Rate Class'!$R$109:$R$120),IF($AG$18='2. Customer Classes'!$B$21,+SUM('3. Consumption by Rate Class'!$U$109:$U$120),0))))))))</f>
        <v>13952451</v>
      </c>
      <c r="AI28" s="442"/>
      <c r="AJ28" s="64">
        <f t="shared" si="15"/>
        <v>13952451</v>
      </c>
      <c r="AK28" s="536">
        <f>+IF($AG$18='2. Customer Classes'!$B$18,+SUM('3. Consumption by Rate Class'!$M$109:$M$120),+IF($AG$18='2. Customer Classes'!$B$19,+SUM('3. Consumption by Rate Class'!$P$109:$P$120),IF($AG$18='2. Customer Classes'!$B$20,+SUM('3. Consumption by Rate Class'!$S$109:$S$120),IF($AG$18='2. Customer Classes'!$B$21,+SUM('3. Consumption by Rate Class'!$V$109:$V$120),0))))</f>
        <v>37942.600000000006</v>
      </c>
      <c r="AL28" s="222">
        <f>IF($AG$18='2. Customer Classes'!$B$14,+'4. Customer Growth'!$C24,+IF($AG$18='2. Customer Classes'!$B$15,+'4. Customer Growth'!$E24,+IF($AG$18='2. Customer Classes'!$B$16,+'4. Customer Growth'!$G24,+IF($AG$18='2. Customer Classes'!$B$17,+'4. Customer Growth'!$I24,+IF($AG$18='2. Customer Classes'!$B$18,+'4. Customer Growth'!$K24,+IF($AG$18='2. Customer Classes'!$B$19,+'4. Customer Growth'!$M24,IF($AG$18='2. Customer Classes'!$B$20,+'4. Customer Growth'!$O24,IF($AG$18='2. Customer Classes'!$B$21,+'4. Customer Growth'!$Q24,0))))))))</f>
        <v>1</v>
      </c>
      <c r="AM28" s="373">
        <f t="shared" si="23"/>
        <v>13952451</v>
      </c>
      <c r="AN28" s="376">
        <f t="shared" si="16"/>
        <v>37942.600000000006</v>
      </c>
      <c r="AO28" s="339">
        <f t="shared" si="17"/>
        <v>2.7194218420835167E-3</v>
      </c>
      <c r="AQ28" s="354">
        <f t="shared" si="18"/>
        <v>2013</v>
      </c>
      <c r="AR28" s="64">
        <f>IF($AQ$18='2. Customer Classes'!$B$14,+SUM('3. Consumption by Rate Class'!$D$109:$D$120),+IF($AQ$18='2. Customer Classes'!$B$15,+SUM('3. Consumption by Rate Class'!$F$109:$F$120),+IF($AQ$18='2. Customer Classes'!$B$16,+SUM('3. Consumption by Rate Class'!$H$109:$H$120),+IF($AQ$18='2. Customer Classes'!$B$17,+SUM('3. Consumption by Rate Class'!$J$109:$J$120),+IF($AQ$18='2. Customer Classes'!$B$18,+SUM('3. Consumption by Rate Class'!$L$109:$L$120),+IF($AQ$18='2. Customer Classes'!$B$19,+SUM('3. Consumption by Rate Class'!$O$109:$O$120),IF($AQ$18='2. Customer Classes'!$B$20,+SUM('3. Consumption by Rate Class'!$R$109:$R$120),0)))))))</f>
        <v>668402</v>
      </c>
      <c r="AS28" s="442"/>
      <c r="AT28" s="64">
        <f t="shared" si="19"/>
        <v>668402</v>
      </c>
      <c r="AU28" s="222">
        <f>+IF($AQ$18='2. Customer Classes'!$B$18,+SUM('3. Consumption by Rate Class'!$M$109:$M$120),+IF($AQ$18='2. Customer Classes'!$B$19,+SUM('3. Consumption by Rate Class'!$P$109:$P$120),IF($AQ$18='2. Customer Classes'!$B$20,+SUM('3. Consumption by Rate Class'!$S$109:$S$120),0)))</f>
        <v>0</v>
      </c>
      <c r="AV28" s="222">
        <f>IF($AQ$18='2. Customer Classes'!$B$14,+'4. Customer Growth'!$C24,+IF($AQ$18='2. Customer Classes'!$B$15,+'4. Customer Growth'!$E24,+IF($AQ$18='2. Customer Classes'!$B$16,+'4. Customer Growth'!$G24,+IF($AQ$18='2. Customer Classes'!$B$17,+'4. Customer Growth'!$I24,+IF($AQ$18='2. Customer Classes'!$B$18,+'4. Customer Growth'!$K24,+IF($AQ$18='2. Customer Classes'!$B$19,+'4. Customer Growth'!$M24,IF($AQ$18='2. Customer Classes'!$B$20,+'4. Customer Growth'!$O24,0)))))))</f>
        <v>93.5</v>
      </c>
      <c r="AW28" s="373">
        <f t="shared" si="20"/>
        <v>7148.6844919786099</v>
      </c>
      <c r="AX28" s="376">
        <f t="shared" si="21"/>
        <v>0</v>
      </c>
      <c r="AY28" s="339">
        <f t="shared" si="22"/>
        <v>0</v>
      </c>
    </row>
    <row r="29" spans="2:51" ht="12.75" customHeight="1" x14ac:dyDescent="0.2">
      <c r="B29" s="192">
        <f>'4. Customer Growth'!B25</f>
        <v>2014</v>
      </c>
      <c r="C29" s="64">
        <f>IF($B$18='2. Customer Classes'!$B$14,+SUM('3. Consumption by Rate Class'!$D$121:$D$132),+IF($B$18='2. Customer Classes'!$B$15,+SUM('3. Consumption by Rate Class'!$F$121:$F$132),+IF($B$18='2. Customer Classes'!$B$16,+SUM('3. Consumption by Rate Class'!$H$121:$H$132),+IF($B$18='2. Customer Classes'!$B$17,+SUM('3. Consumption by Rate Class'!$J$121:$J$132),+IF($B$18='2. Customer Classes'!$B$18,+SUM('3. Consumption by Rate Class'!$L$121:$L$132),+IF($B$18='2. Customer Classes'!$B$19,+SUM('3. Consumption by Rate Class'!$O$121:$O$132),IF($B$18='2. Customer Classes'!$B$20,+SUM('3. Consumption by Rate Class'!$R$121:$R$132),0)))))))</f>
        <v>119336146</v>
      </c>
      <c r="D29" s="442"/>
      <c r="E29" s="64">
        <f t="shared" si="2"/>
        <v>119336146</v>
      </c>
      <c r="F29" s="64">
        <f>+IF($B$18='2. Customer Classes'!$B$18,+SUM('3. Consumption by Rate Class'!$M$121:$M$132),+IF($B$18='2. Customer Classes'!$B$19,+SUM('3. Consumption by Rate Class'!$P$121:$P$132),IF($B$18='2. Customer Classes'!$B$20,+SUM('3. Consumption by Rate Class'!$S$121:$S$132),0)))</f>
        <v>314352.19999999995</v>
      </c>
      <c r="G29" s="64">
        <f>IF($B$18='2. Customer Classes'!$B$14,+'4. Customer Growth'!$C25,+IF($B$18='2. Customer Classes'!$B$15,+'4. Customer Growth'!$E25,+IF($B$18='2. Customer Classes'!$B$16,+'4. Customer Growth'!$G25,+IF($B$18='2. Customer Classes'!$B$17,+'4. Customer Growth'!$I25,+IF($B$18='2. Customer Classes'!$B$18,+'4. Customer Growth'!$K25,+IF($B$18='2. Customer Classes'!$B$19,+'4. Customer Growth'!$M25,IF($B$18='2. Customer Classes'!$B$20,+'4. Customer Growth'!$O25,0)))))))</f>
        <v>138</v>
      </c>
      <c r="H29" s="373">
        <f t="shared" si="3"/>
        <v>864754.68115942029</v>
      </c>
      <c r="I29" s="376">
        <f t="shared" si="4"/>
        <v>2277.9144927536227</v>
      </c>
      <c r="J29" s="339">
        <f t="shared" si="5"/>
        <v>2.634174225804141E-3</v>
      </c>
      <c r="K29" s="183"/>
      <c r="L29" s="183"/>
      <c r="M29" s="192">
        <f t="shared" si="0"/>
        <v>2014</v>
      </c>
      <c r="N29" s="64">
        <f>IF($M$18='2. Customer Classes'!$B$14,+SUM('3. Consumption by Rate Class'!$D$121:$D$132),+IF($M$18='2. Customer Classes'!$B$15,+SUM('3. Consumption by Rate Class'!$F$121:$F$132),+IF($M$18='2. Customer Classes'!$B$16,+SUM('3. Consumption by Rate Class'!$H$121:$H$132),+IF($M$18='2. Customer Classes'!$B$17,+SUM('3. Consumption by Rate Class'!$J$121:$J$132),+IF($M$18='2. Customer Classes'!$B$18,+SUM('3. Consumption by Rate Class'!$L$121:$L$132),+IF($M$18='2. Customer Classes'!$B$19,+SUM('3. Consumption by Rate Class'!$O$121:$O$132),IF($M$18='2. Customer Classes'!$B$20,+SUM('3. Consumption by Rate Class'!$R$121:$R$132),0)))))))</f>
        <v>1258253</v>
      </c>
      <c r="O29" s="442"/>
      <c r="P29" s="64">
        <f t="shared" si="6"/>
        <v>1258253</v>
      </c>
      <c r="Q29" s="222">
        <f>+IF($M$18='2. Customer Classes'!$B$18,+SUM('3. Consumption by Rate Class'!$M$121:$M$132),+IF($M$18='2. Customer Classes'!$B$19,+SUM('3. Consumption by Rate Class'!$P$121:$P$132),IF($M$18='2. Customer Classes'!$B$20,+SUM('3. Consumption by Rate Class'!$S$121:$S$132),0)))</f>
        <v>3408.5999999999995</v>
      </c>
      <c r="R29" s="222">
        <f>IF($M$18='2. Customer Classes'!$B$14,+'4. Customer Growth'!$C25,+IF($M$18='2. Customer Classes'!$B$15,+'4. Customer Growth'!$E25,+IF($M$18='2. Customer Classes'!$B$16,+'4. Customer Growth'!$G25,+IF($M$18='2. Customer Classes'!$B$17,+'4. Customer Growth'!$I25,+IF($M$18='2. Customer Classes'!$B$18,+'4. Customer Growth'!$K25,+IF($M$18='2. Customer Classes'!$B$19,+'4. Customer Growth'!$M25,IF($M$18='2. Customer Classes'!$B$20,+'4. Customer Growth'!$O25,0)))))))</f>
        <v>2634</v>
      </c>
      <c r="S29" s="373">
        <f t="shared" si="7"/>
        <v>477.69665907365226</v>
      </c>
      <c r="T29" s="376">
        <f t="shared" si="8"/>
        <v>1.2940774487471525</v>
      </c>
      <c r="U29" s="339">
        <f t="shared" si="9"/>
        <v>2.7089941371091501E-3</v>
      </c>
      <c r="V29" s="58"/>
      <c r="W29" s="192">
        <f t="shared" si="1"/>
        <v>2014</v>
      </c>
      <c r="X29" s="64">
        <f>IF($W$18='2. Customer Classes'!$B$14,+SUM('3. Consumption by Rate Class'!$D$121:$D$132),+IF($W$18='2. Customer Classes'!$B$15,+SUM('3. Consumption by Rate Class'!$F$121:$F$132),+IF($W$18='2. Customer Classes'!$B$16,+SUM('3. Consumption by Rate Class'!$H$121:$H$132),+IF($W$18='2. Customer Classes'!$B$17,+SUM('3. Consumption by Rate Class'!$J$121:$J$132),+IF($W$18='2. Customer Classes'!$B$18,+SUM('3. Consumption by Rate Class'!$L$121:$L$132),+IF($W$18='2. Customer Classes'!$B$19,+SUM('3. Consumption by Rate Class'!$O$121:$O$132),IF($W$18='2. Customer Classes'!$B$20,+SUM('3. Consumption by Rate Class'!$R$121:$R$132),0)))))))</f>
        <v>42943</v>
      </c>
      <c r="Y29" s="442"/>
      <c r="Z29" s="64">
        <f t="shared" si="10"/>
        <v>42943</v>
      </c>
      <c r="AA29" s="222">
        <f>+IF($W$18='2. Customer Classes'!$B$18,+SUM('3. Consumption by Rate Class'!$M$121:$M$132),+IF($W$18='2. Customer Classes'!$B$19,+SUM('3. Consumption by Rate Class'!$P$121:$P$132),IF($W$18='2. Customer Classes'!$B$20,+SUM('3. Consumption by Rate Class'!$S$121:$S$132),0)))</f>
        <v>132</v>
      </c>
      <c r="AB29" s="222">
        <f>IF($W$18='2. Customer Classes'!$B$14,+'4. Customer Growth'!$C25,+IF($W$18='2. Customer Classes'!$B$15,+'4. Customer Growth'!$E25,+IF($W$18='2. Customer Classes'!$B$16,+'4. Customer Growth'!$G25,+IF($W$18='2. Customer Classes'!$B$17,+'4. Customer Growth'!$I25,+IF($W$18='2. Customer Classes'!$B$18,+'4. Customer Growth'!$K25,+IF($W$18='2. Customer Classes'!$B$19,+'4. Customer Growth'!$M25,IF($W$18='2. Customer Classes'!$B$20,+'4. Customer Growth'!$O25,0)))))))</f>
        <v>54</v>
      </c>
      <c r="AC29" s="373">
        <f t="shared" si="11"/>
        <v>795.24074074074076</v>
      </c>
      <c r="AD29" s="376">
        <f t="shared" si="12"/>
        <v>2.4444444444444446</v>
      </c>
      <c r="AE29" s="339">
        <f t="shared" si="13"/>
        <v>3.073842069720327E-3</v>
      </c>
      <c r="AG29" s="354">
        <f t="shared" si="14"/>
        <v>2014</v>
      </c>
      <c r="AH29" s="64">
        <f>IF($AG$18='2. Customer Classes'!$B$14,+SUM('3. Consumption by Rate Class'!$D$121:$D$132),+IF($AG$18='2. Customer Classes'!$B$15,+SUM('3. Consumption by Rate Class'!$F$121:$F$132),+IF($AG$18='2. Customer Classes'!$B$16,+SUM('3. Consumption by Rate Class'!$H$121:$H$132),+IF($AG$18='2. Customer Classes'!$B$17,+SUM('3. Consumption by Rate Class'!$J$121:$J$132),+IF($AG$18='2. Customer Classes'!$B$18,+SUM('3. Consumption by Rate Class'!$L$121:$L$132),+IF($AG$18='2. Customer Classes'!$B$19,+SUM('3. Consumption by Rate Class'!$O$121:$O$132),IF($AG$18='2. Customer Classes'!$B$20,+SUM('3. Consumption by Rate Class'!$R$121:$R$132),IF($AG$18='2. Customer Classes'!$B$21,+SUM('3. Consumption by Rate Class'!$U$121:$U$132),0))))))))</f>
        <v>12584229</v>
      </c>
      <c r="AI29" s="442"/>
      <c r="AJ29" s="64">
        <f t="shared" si="15"/>
        <v>12584229</v>
      </c>
      <c r="AK29" s="222">
        <f>+IF($AG$18='2. Customer Classes'!$B$18,+SUM('3. Consumption by Rate Class'!$M$121:$M$132),+IF($AG$18='2. Customer Classes'!$B$19,+SUM('3. Consumption by Rate Class'!$P$121:$P$132),IF($AG$18='2. Customer Classes'!$B$20,+SUM('3. Consumption by Rate Class'!$S$121:$S$132),IF($AG$18='2. Customer Classes'!$B$21,+SUM('3. Consumption by Rate Class'!$V$121:$V$132),0))))</f>
        <v>36603.599999999999</v>
      </c>
      <c r="AL29" s="222">
        <f>IF($AG$18='2. Customer Classes'!$B$14,+'4. Customer Growth'!$C25,+IF($AG$18='2. Customer Classes'!$B$15,+'4. Customer Growth'!$E25,+IF($AG$18='2. Customer Classes'!$B$16,+'4. Customer Growth'!$G25,+IF($AG$18='2. Customer Classes'!$B$17,+'4. Customer Growth'!$I25,+IF($AG$18='2. Customer Classes'!$B$18,+'4. Customer Growth'!$K25,+IF($AG$18='2. Customer Classes'!$B$19,+'4. Customer Growth'!$M25,IF($AG$18='2. Customer Classes'!$B$20,+'4. Customer Growth'!$O25,IF($AG$18='2. Customer Classes'!$B$21,+'4. Customer Growth'!$Q25,0))))))))</f>
        <v>1</v>
      </c>
      <c r="AM29" s="373">
        <f t="shared" si="23"/>
        <v>12584229</v>
      </c>
      <c r="AN29" s="376">
        <f t="shared" si="16"/>
        <v>36603.599999999999</v>
      </c>
      <c r="AO29" s="339">
        <f t="shared" si="17"/>
        <v>2.9086883272705861E-3</v>
      </c>
      <c r="AQ29" s="354">
        <f t="shared" si="18"/>
        <v>2014</v>
      </c>
      <c r="AR29" s="64">
        <f>IF($AQ$18='2. Customer Classes'!$B$14,+SUM('3. Consumption by Rate Class'!$D$121:$D$132),+IF($AQ$18='2. Customer Classes'!$B$15,+SUM('3. Consumption by Rate Class'!$F$121:$F$132),+IF($AQ$18='2. Customer Classes'!$B$16,+SUM('3. Consumption by Rate Class'!$H$121:$H$132),+IF($AQ$18='2. Customer Classes'!$B$17,+SUM('3. Consumption by Rate Class'!$J$121:$J$132),+IF($AQ$18='2. Customer Classes'!$B$18,+SUM('3. Consumption by Rate Class'!$L$121:$L$132),+IF($AQ$18='2. Customer Classes'!$B$19,+SUM('3. Consumption by Rate Class'!$O$121:$O$132),IF($AQ$18='2. Customer Classes'!$B$20,+SUM('3. Consumption by Rate Class'!$R$121:$R$132),0)))))))</f>
        <v>555548</v>
      </c>
      <c r="AS29" s="442"/>
      <c r="AT29" s="64">
        <f t="shared" si="19"/>
        <v>555548</v>
      </c>
      <c r="AU29" s="222">
        <f>+IF($AQ$18='2. Customer Classes'!$B$18,+SUM('3. Consumption by Rate Class'!$M$121:$M$132),+IF($AQ$18='2. Customer Classes'!$B$19,+SUM('3. Consumption by Rate Class'!$P$121:$P$132),IF($AQ$18='2. Customer Classes'!$B$20,+SUM('3. Consumption by Rate Class'!$S$121:$S$132),0)))</f>
        <v>0</v>
      </c>
      <c r="AV29" s="222">
        <f>IF($AQ$18='2. Customer Classes'!$B$14,+'4. Customer Growth'!$C25,+IF($AQ$18='2. Customer Classes'!$B$15,+'4. Customer Growth'!$E25,+IF($AQ$18='2. Customer Classes'!$B$16,+'4. Customer Growth'!$G25,+IF($AQ$18='2. Customer Classes'!$B$17,+'4. Customer Growth'!$I25,+IF($AQ$18='2. Customer Classes'!$B$18,+'4. Customer Growth'!$K25,+IF($AQ$18='2. Customer Classes'!$B$19,+'4. Customer Growth'!$M25,IF($AQ$18='2. Customer Classes'!$B$20,+'4. Customer Growth'!$O25,0)))))))</f>
        <v>93</v>
      </c>
      <c r="AW29" s="373">
        <f t="shared" si="20"/>
        <v>5973.6344086021509</v>
      </c>
      <c r="AX29" s="376">
        <f t="shared" si="21"/>
        <v>0</v>
      </c>
      <c r="AY29" s="339">
        <f t="shared" si="22"/>
        <v>0</v>
      </c>
    </row>
    <row r="30" spans="2:51" ht="12.75" customHeight="1" x14ac:dyDescent="0.2">
      <c r="B30" s="192">
        <f>'4. Customer Growth'!B26</f>
        <v>2015</v>
      </c>
      <c r="C30" s="64">
        <f>IF($B$18='2. Customer Classes'!$B$14,+SUM('3. Consumption by Rate Class'!$D$133:$D$144),+IF($B$18='2. Customer Classes'!$B$15,+SUM('3. Consumption by Rate Class'!$F$133:$F$144),+IF($B$18='2. Customer Classes'!$B$16,+SUM('3. Consumption by Rate Class'!$H$133:$H$144),+IF($B$18='2. Customer Classes'!$B$17,+SUM('3. Consumption by Rate Class'!$J$133:$J$144),+IF($B$18='2. Customer Classes'!$B$18,+SUM('3. Consumption by Rate Class'!$L$133:$L$144),+IF($B$18='2. Customer Classes'!$B$19,+SUM('3. Consumption by Rate Class'!$O$133:$O$144),IF($B$18='2. Customer Classes'!$B$20,+SUM('3. Consumption by Rate Class'!$R$133:$R$144),0)))))))</f>
        <v>115685946</v>
      </c>
      <c r="D30" s="442"/>
      <c r="E30" s="64">
        <f t="shared" si="2"/>
        <v>115685946</v>
      </c>
      <c r="F30" s="64">
        <f>+IF($B$18='2. Customer Classes'!$B$18,+SUM('3. Consumption by Rate Class'!$M$133:$M$144),+IF($B$18='2. Customer Classes'!$B$19,+SUM('3. Consumption by Rate Class'!$P$133:$P$144),IF($B$18='2. Customer Classes'!$B$20,+SUM('3. Consumption by Rate Class'!$S$133:$S$144),0)))</f>
        <v>306814.40000000002</v>
      </c>
      <c r="G30" s="64">
        <f>IF($B$18='2. Customer Classes'!$B$14,+'4. Customer Growth'!$C26,+IF($B$18='2. Customer Classes'!$B$15,+'4. Customer Growth'!$E26,+IF($B$18='2. Customer Classes'!$B$16,+'4. Customer Growth'!$G26,+IF($B$18='2. Customer Classes'!$B$17,+'4. Customer Growth'!$I26,+IF($B$18='2. Customer Classes'!$B$18,+'4. Customer Growth'!$K26,+IF($B$18='2. Customer Classes'!$B$19,+'4. Customer Growth'!$M26,IF($B$18='2. Customer Classes'!$B$20,+'4. Customer Growth'!$O26,0)))))))</f>
        <v>134</v>
      </c>
      <c r="H30" s="373">
        <f t="shared" si="3"/>
        <v>863327.95522388059</v>
      </c>
      <c r="I30" s="376">
        <f t="shared" si="4"/>
        <v>2289.6597014925374</v>
      </c>
      <c r="J30" s="339">
        <f t="shared" si="5"/>
        <v>2.6521320057321398E-3</v>
      </c>
      <c r="K30" s="183"/>
      <c r="L30" s="183"/>
      <c r="M30" s="192">
        <f t="shared" si="0"/>
        <v>2015</v>
      </c>
      <c r="N30" s="64">
        <f>IF($M$18='2. Customer Classes'!$B$14,+SUM('3. Consumption by Rate Class'!$D$133:$D$144),+IF($M$18='2. Customer Classes'!$B$15,+SUM('3. Consumption by Rate Class'!$F$133:$F$144),+IF($M$18='2. Customer Classes'!$B$16,+SUM('3. Consumption by Rate Class'!$H$133:$H$144),+IF($M$18='2. Customer Classes'!$B$17,+SUM('3. Consumption by Rate Class'!$J$133:$J$144),+IF($M$18='2. Customer Classes'!$B$18,+SUM('3. Consumption by Rate Class'!$L$133:$L$144),+IF($M$18='2. Customer Classes'!$B$19,+SUM('3. Consumption by Rate Class'!$O$133:$O$144),IF($M$18='2. Customer Classes'!$B$20,+SUM('3. Consumption by Rate Class'!$R$133:$R$144),0)))))))</f>
        <v>1439933</v>
      </c>
      <c r="O30" s="442"/>
      <c r="P30" s="64">
        <f t="shared" si="6"/>
        <v>1439933</v>
      </c>
      <c r="Q30" s="222">
        <f>+IF($M$18='2. Customer Classes'!$B$18,+SUM('3. Consumption by Rate Class'!$M$133:$M$144),+IF($M$18='2. Customer Classes'!$B$19,+SUM('3. Consumption by Rate Class'!$P$133:$P$144),IF($M$18='2. Customer Classes'!$B$20,+SUM('3. Consumption by Rate Class'!$S$133:$S$144),0)))</f>
        <v>3416</v>
      </c>
      <c r="R30" s="222">
        <f>IF($M$18='2. Customer Classes'!$B$14,+'4. Customer Growth'!$C26,+IF($M$18='2. Customer Classes'!$B$15,+'4. Customer Growth'!$E26,+IF($M$18='2. Customer Classes'!$B$16,+'4. Customer Growth'!$G26,+IF($M$18='2. Customer Classes'!$B$17,+'4. Customer Growth'!$I26,+IF($M$18='2. Customer Classes'!$B$18,+'4. Customer Growth'!$K26,+IF($M$18='2. Customer Classes'!$B$19,+'4. Customer Growth'!$M26,IF($M$18='2. Customer Classes'!$B$20,+'4. Customer Growth'!$O26,0)))))))</f>
        <v>2694</v>
      </c>
      <c r="S30" s="373">
        <f t="shared" si="7"/>
        <v>534.49628804751296</v>
      </c>
      <c r="T30" s="376">
        <f t="shared" si="8"/>
        <v>1.2680029695619897</v>
      </c>
      <c r="U30" s="339">
        <f t="shared" si="9"/>
        <v>2.3723326015863237E-3</v>
      </c>
      <c r="V30" s="58"/>
      <c r="W30" s="192">
        <f t="shared" si="1"/>
        <v>2015</v>
      </c>
      <c r="X30" s="64">
        <f>IF($W$18='2. Customer Classes'!$B$14,+SUM('3. Consumption by Rate Class'!$D$133:$D$144),+IF($W$18='2. Customer Classes'!$B$15,+SUM('3. Consumption by Rate Class'!$F$133:$F$144),+IF($W$18='2. Customer Classes'!$B$16,+SUM('3. Consumption by Rate Class'!$H$133:$H$144),+IF($W$18='2. Customer Classes'!$B$17,+SUM('3. Consumption by Rate Class'!$J$133:$J$144),+IF($W$18='2. Customer Classes'!$B$18,+SUM('3. Consumption by Rate Class'!$L$133:$L$144),+IF($W$18='2. Customer Classes'!$B$19,+SUM('3. Consumption by Rate Class'!$O$133:$O$144),IF($W$18='2. Customer Classes'!$B$20,+SUM('3. Consumption by Rate Class'!$R$133:$R$144),0)))))))</f>
        <v>43818</v>
      </c>
      <c r="Y30" s="442"/>
      <c r="Z30" s="64">
        <f t="shared" si="10"/>
        <v>43818</v>
      </c>
      <c r="AA30" s="222">
        <f>+IF($W$18='2. Customer Classes'!$B$18,+SUM('3. Consumption by Rate Class'!$M$133:$M$144),+IF($W$18='2. Customer Classes'!$B$19,+SUM('3. Consumption by Rate Class'!$P$133:$P$144),IF($W$18='2. Customer Classes'!$B$20,+SUM('3. Consumption by Rate Class'!$S$133:$S$144),0)))</f>
        <v>132</v>
      </c>
      <c r="AB30" s="222">
        <f>IF($W$18='2. Customer Classes'!$B$14,+'4. Customer Growth'!$C26,+IF($W$18='2. Customer Classes'!$B$15,+'4. Customer Growth'!$E26,+IF($W$18='2. Customer Classes'!$B$16,+'4. Customer Growth'!$G26,+IF($W$18='2. Customer Classes'!$B$17,+'4. Customer Growth'!$I26,+IF($W$18='2. Customer Classes'!$B$18,+'4. Customer Growth'!$K26,+IF($W$18='2. Customer Classes'!$B$19,+'4. Customer Growth'!$M26,IF($W$18='2. Customer Classes'!$B$20,+'4. Customer Growth'!$O26,0)))))))</f>
        <v>54</v>
      </c>
      <c r="AC30" s="373">
        <f t="shared" si="11"/>
        <v>811.44444444444446</v>
      </c>
      <c r="AD30" s="376">
        <f t="shared" si="12"/>
        <v>2.4444444444444446</v>
      </c>
      <c r="AE30" s="339">
        <f t="shared" si="13"/>
        <v>3.0124606326167327E-3</v>
      </c>
      <c r="AG30" s="354">
        <f t="shared" si="14"/>
        <v>2015</v>
      </c>
      <c r="AH30" s="64">
        <f>IF($AG$18='2. Customer Classes'!$B$14,+SUM('3. Consumption by Rate Class'!$D$133:$D$144),+IF($AG$18='2. Customer Classes'!$B$15,+SUM('3. Consumption by Rate Class'!$F$133:$F$144),+IF($AG$18='2. Customer Classes'!$B$16,+SUM('3. Consumption by Rate Class'!$H$133:$H$144),+IF($AG$18='2. Customer Classes'!$B$17,+SUM('3. Consumption by Rate Class'!$J$133:$J$144),+IF($AG$18='2. Customer Classes'!$B$18,+SUM('3. Consumption by Rate Class'!$L$133:$L$144),+IF($AG$18='2. Customer Classes'!$B$19,+SUM('3. Consumption by Rate Class'!$O$133:$O$144),IF($AG$18='2. Customer Classes'!$B$20,+SUM('3. Consumption by Rate Class'!$R$133:$R$144),IF($AG$18='2. Customer Classes'!$B$21,+SUM('3. Consumption by Rate Class'!$U$133:$U$144),0))))))))</f>
        <v>14943860</v>
      </c>
      <c r="AI30" s="442"/>
      <c r="AJ30" s="64">
        <f t="shared" si="15"/>
        <v>14943860</v>
      </c>
      <c r="AK30" s="222">
        <f>+IF($AG$18='2. Customer Classes'!$B$18,+SUM('3. Consumption by Rate Class'!$M$133:$M$144),+IF($AG$18='2. Customer Classes'!$B$19,+SUM('3. Consumption by Rate Class'!$P$133:$P$144),IF($AG$18='2. Customer Classes'!$B$20,+SUM('3. Consumption by Rate Class'!$S$133:$S$144),IF($AG$18='2. Customer Classes'!$B$21,+SUM('3. Consumption by Rate Class'!$V$133:$V$144),0))))</f>
        <v>33867.5</v>
      </c>
      <c r="AL30" s="222">
        <f>IF($AG$18='2. Customer Classes'!$B$14,+'4. Customer Growth'!$C26,+IF($AG$18='2. Customer Classes'!$B$15,+'4. Customer Growth'!$E26,+IF($AG$18='2. Customer Classes'!$B$16,+'4. Customer Growth'!$G26,+IF($AG$18='2. Customer Classes'!$B$17,+'4. Customer Growth'!$I26,+IF($AG$18='2. Customer Classes'!$B$18,+'4. Customer Growth'!$K26,+IF($AG$18='2. Customer Classes'!$B$19,+'4. Customer Growth'!$M26,IF($AG$18='2. Customer Classes'!$B$20,+'4. Customer Growth'!$O26,IF($AG$18='2. Customer Classes'!$B$21,+'4. Customer Growth'!$Q26,0))))))))</f>
        <v>1</v>
      </c>
      <c r="AM30" s="373">
        <f t="shared" si="23"/>
        <v>14943860</v>
      </c>
      <c r="AN30" s="376">
        <f t="shared" si="16"/>
        <v>33867.5</v>
      </c>
      <c r="AO30" s="339">
        <f t="shared" si="17"/>
        <v>2.2663153964236817E-3</v>
      </c>
      <c r="AQ30" s="354">
        <f t="shared" si="18"/>
        <v>2015</v>
      </c>
      <c r="AR30" s="64">
        <f>IF($AQ$18='2. Customer Classes'!$B$14,+SUM('3. Consumption by Rate Class'!$D$133:$D$144),+IF($AQ$18='2. Customer Classes'!$B$15,+SUM('3. Consumption by Rate Class'!$F$133:$F$144),+IF($AQ$18='2. Customer Classes'!$B$16,+SUM('3. Consumption by Rate Class'!$H$133:$H$144),+IF($AQ$18='2. Customer Classes'!$B$17,+SUM('3. Consumption by Rate Class'!$J$133:$J$144),+IF($AQ$18='2. Customer Classes'!$B$18,+SUM('3. Consumption by Rate Class'!$L$133:$L$144),+IF($AQ$18='2. Customer Classes'!$B$19,+SUM('3. Consumption by Rate Class'!$O$133:$O$144),IF($AQ$18='2. Customer Classes'!$B$20,+SUM('3. Consumption by Rate Class'!$R$133:$R$144),0)))))))</f>
        <v>602228</v>
      </c>
      <c r="AS30" s="442"/>
      <c r="AT30" s="64">
        <f t="shared" si="19"/>
        <v>602228</v>
      </c>
      <c r="AU30" s="222">
        <f>+IF($AQ$18='2. Customer Classes'!$B$18,+SUM('3. Consumption by Rate Class'!$M$133:$M$144),+IF($AQ$18='2. Customer Classes'!$B$19,+SUM('3. Consumption by Rate Class'!$P$133:$P$144),IF($AQ$18='2. Customer Classes'!$B$20,+SUM('3. Consumption by Rate Class'!$S$133:$S$144),0)))</f>
        <v>0</v>
      </c>
      <c r="AV30" s="222">
        <f>IF($AQ$18='2. Customer Classes'!$B$14,+'4. Customer Growth'!$C26,+IF($AQ$18='2. Customer Classes'!$B$15,+'4. Customer Growth'!$E26,+IF($AQ$18='2. Customer Classes'!$B$16,+'4. Customer Growth'!$G26,+IF($AQ$18='2. Customer Classes'!$B$17,+'4. Customer Growth'!$I26,+IF($AQ$18='2. Customer Classes'!$B$18,+'4. Customer Growth'!$K26,+IF($AQ$18='2. Customer Classes'!$B$19,+'4. Customer Growth'!$M26,IF($AQ$18='2. Customer Classes'!$B$20,+'4. Customer Growth'!$O26,0)))))))</f>
        <v>90</v>
      </c>
      <c r="AW30" s="373">
        <f t="shared" si="20"/>
        <v>6691.4222222222224</v>
      </c>
      <c r="AX30" s="376">
        <f t="shared" si="21"/>
        <v>0</v>
      </c>
      <c r="AY30" s="339">
        <f t="shared" si="22"/>
        <v>0</v>
      </c>
    </row>
    <row r="31" spans="2:51" ht="12.75" customHeight="1" x14ac:dyDescent="0.2">
      <c r="B31" s="192" t="str">
        <f>'4. Customer Growth'!B30</f>
        <v>2016</v>
      </c>
      <c r="C31" s="304">
        <f>+C30/'6. WS Regression Analysis'!$S$139*'6. WS Regression Analysis'!$S$151</f>
        <v>116816732.68110102</v>
      </c>
      <c r="D31" s="442"/>
      <c r="E31" s="64">
        <f t="shared" si="2"/>
        <v>116816732.68110102</v>
      </c>
      <c r="F31" s="281">
        <f>+E31*J34</f>
        <v>295034.71343124693</v>
      </c>
      <c r="G31" s="222">
        <f>IF($B$18='2. Customer Classes'!$B$14,+'4. Customer Growth'!$C42,+IF($B$18='2. Customer Classes'!$B$15,+'4. Customer Growth'!$E42,+IF($B$18='2. Customer Classes'!$B$16,+'4. Customer Growth'!$G42,+IF($B$18='2. Customer Classes'!$B$17,+'4. Customer Growth'!$I42,+IF($B$18='2. Customer Classes'!$B$18,+'4. Customer Growth'!$K42,+IF($B$18='2. Customer Classes'!$B$19,+'4. Customer Growth'!$M42,IF($B$18='2. Customer Classes'!$B$20,+'4. Customer Growth'!$O42,0)))))))</f>
        <v>132.77969465471912</v>
      </c>
      <c r="H31" s="373">
        <f t="shared" si="3"/>
        <v>879778.59103285149</v>
      </c>
      <c r="I31" s="376">
        <f t="shared" si="4"/>
        <v>2221.9866840216528</v>
      </c>
      <c r="J31" s="339">
        <f>IF(F31&gt;0,+F31/E31,0)</f>
        <v>2.5256203170539331E-3</v>
      </c>
      <c r="K31" s="74"/>
      <c r="L31" s="74"/>
      <c r="M31" s="192" t="str">
        <f t="shared" si="0"/>
        <v>2016</v>
      </c>
      <c r="N31" s="304">
        <f>+N30/'6. WS Regression Analysis'!$S$139*'6. WS Regression Analysis'!$S$151</f>
        <v>1454007.8043680072</v>
      </c>
      <c r="O31" s="442"/>
      <c r="P31" s="496">
        <f t="shared" si="6"/>
        <v>1454007.8043680072</v>
      </c>
      <c r="Q31" s="281">
        <f>P31*$U$34</f>
        <v>3905.6547356588153</v>
      </c>
      <c r="R31" s="222">
        <f>IF($M$18='2. Customer Classes'!$B$14,+'4. Customer Growth'!$C42,+IF($M$18='2. Customer Classes'!$B$15,+'4. Customer Growth'!$E42,+IF($M$18='2. Customer Classes'!$B$16,+'4. Customer Growth'!$G42,+IF($M$18='2. Customer Classes'!$B$17,+'4. Customer Growth'!$I42,+IF($M$18='2. Customer Classes'!$B$18,+'4. Customer Growth'!$K42,+IF($M$18='2. Customer Classes'!$B$19,+'4. Customer Growth'!$M42,IF($M$18='2. Customer Classes'!$B$20,+'4. Customer Growth'!$O42,0)))))))</f>
        <v>2696.567749993425</v>
      </c>
      <c r="S31" s="373">
        <f t="shared" si="7"/>
        <v>539.20685077226506</v>
      </c>
      <c r="T31" s="376">
        <f t="shared" si="8"/>
        <v>1.4483799769793799</v>
      </c>
      <c r="U31" s="339">
        <f t="shared" si="9"/>
        <v>2.6861305172680488E-3</v>
      </c>
      <c r="V31" s="58"/>
      <c r="W31" s="192" t="str">
        <f t="shared" si="1"/>
        <v>2016</v>
      </c>
      <c r="X31" s="304">
        <f>+X30/'6. WS Regression Analysis'!$S$139*'6. WS Regression Analysis'!$S$151</f>
        <v>44246.304495971228</v>
      </c>
      <c r="Y31" s="442"/>
      <c r="Z31" s="64">
        <f t="shared" si="10"/>
        <v>44246.304495971228</v>
      </c>
      <c r="AA31" s="281">
        <f>Z31*$AE$34</f>
        <v>134.62335169787229</v>
      </c>
      <c r="AB31" s="222">
        <f>IF($W$18='2. Customer Classes'!$B$14,+'4. Customer Growth'!$C42,+IF($W$18='2. Customer Classes'!$B$15,+'4. Customer Growth'!$E42,+IF($W$18='2. Customer Classes'!$B$16,+'4. Customer Growth'!$G42,+IF($W$18='2. Customer Classes'!$B$17,+'4. Customer Growth'!$I42,+IF($W$18='2. Customer Classes'!$B$18,+'4. Customer Growth'!$K42,+IF($W$18='2. Customer Classes'!$B$19,+'4. Customer Growth'!$M42,IF($W$18='2. Customer Classes'!$B$20,+'4. Customer Growth'!$O42,0)))))))</f>
        <v>53.890017322054852</v>
      </c>
      <c r="AC31" s="373">
        <f t="shared" si="11"/>
        <v>821.04825150729971</v>
      </c>
      <c r="AD31" s="376">
        <f t="shared" si="12"/>
        <v>2.4981129787608509</v>
      </c>
      <c r="AE31" s="339">
        <f t="shared" si="13"/>
        <v>3.0425897310843259E-3</v>
      </c>
      <c r="AG31" s="354" t="str">
        <f t="shared" si="14"/>
        <v>2016</v>
      </c>
      <c r="AH31" s="304">
        <f>+AH30/'6. WS Regression Analysis'!$S$139*'6. WS Regression Analysis'!$S$151</f>
        <v>15089930.619954463</v>
      </c>
      <c r="AI31" s="442"/>
      <c r="AJ31" s="496">
        <f t="shared" si="15"/>
        <v>15089930.619954463</v>
      </c>
      <c r="AK31" s="304">
        <f>AJ31*$AO$34</f>
        <v>37269.727733739157</v>
      </c>
      <c r="AL31" s="222">
        <f>IF($AG$18='2. Customer Classes'!$B$14,+'4. Customer Growth'!$C42,+IF($AG$18='2. Customer Classes'!$B$15,+'4. Customer Growth'!$E42,+IF($AG$18='2. Customer Classes'!$B$16,+'4. Customer Growth'!$G42,+IF($AG$18='2. Customer Classes'!$B$17,+'4. Customer Growth'!$I42,+IF($AG$18='2. Customer Classes'!$B$18,+'4. Customer Growth'!$K42,+IF($AG$18='2. Customer Classes'!$B$19,+'4. Customer Growth'!$M42,IF($AG$18='2. Customer Classes'!$B$20,+'4. Customer Growth'!$O42,IF($AG$18='2. Customer Classes'!$B$21,+'4. Customer Growth'!$Q42,0))))))))</f>
        <v>1</v>
      </c>
      <c r="AM31" s="373">
        <f t="shared" si="23"/>
        <v>15089930.619954463</v>
      </c>
      <c r="AN31" s="376">
        <f t="shared" si="16"/>
        <v>37269.727733739157</v>
      </c>
      <c r="AO31" s="339">
        <f>IF(AK31&gt;0,+AK31/AJ31,0)</f>
        <v>2.4698408940631448E-3</v>
      </c>
      <c r="AQ31" s="354" t="str">
        <f t="shared" si="18"/>
        <v>2016</v>
      </c>
      <c r="AR31" s="304">
        <f>+AR30/'6. WS Regression Analysis'!$S$139*'6. WS Regression Analysis'!$S$151</f>
        <v>608114.55255830393</v>
      </c>
      <c r="AS31" s="442"/>
      <c r="AT31" s="496">
        <f t="shared" si="19"/>
        <v>608114.55255830393</v>
      </c>
      <c r="AU31" s="304">
        <f>AT31*$AY$34</f>
        <v>0</v>
      </c>
      <c r="AV31" s="222">
        <f>IF($AQ$18='2. Customer Classes'!$B$14,+'4. Customer Growth'!$C42,+IF($AQ$18='2. Customer Classes'!$B$15,+'4. Customer Growth'!$E42,+IF($AQ$18='2. Customer Classes'!$B$16,+'4. Customer Growth'!$G42,+IF($AQ$18='2. Customer Classes'!$B$17,+'4. Customer Growth'!$I42,+IF($AQ$18='2. Customer Classes'!$B$18,+'4. Customer Growth'!$K42,+IF($AQ$18='2. Customer Classes'!$B$19,+'4. Customer Growth'!$M42,IF($AQ$18='2. Customer Classes'!$B$20,+'4. Customer Growth'!$O42,0)))))))</f>
        <v>92.771578681015399</v>
      </c>
      <c r="AW31" s="373">
        <f t="shared" si="20"/>
        <v>6554.9660920316683</v>
      </c>
      <c r="AX31" s="376">
        <f t="shared" si="21"/>
        <v>0</v>
      </c>
      <c r="AY31" s="79"/>
    </row>
    <row r="32" spans="2:51" x14ac:dyDescent="0.2">
      <c r="B32" s="192" t="str">
        <f>'4. Customer Growth'!B31</f>
        <v>2017</v>
      </c>
      <c r="C32" s="304">
        <f>+C30/'6. WS Regression Analysis'!$S$139*'6. WS Regression Analysis'!$S$163</f>
        <v>117034027.49953394</v>
      </c>
      <c r="D32" s="442"/>
      <c r="E32" s="64">
        <f t="shared" si="2"/>
        <v>117034027.49953394</v>
      </c>
      <c r="F32" s="281">
        <f>+E32*J34</f>
        <v>295583.51763947163</v>
      </c>
      <c r="G32" s="222">
        <f>IF($B$18='2. Customer Classes'!$B$14,+'4. Customer Growth'!$C43,+IF($B$18='2. Customer Classes'!$B$15,+'4. Customer Growth'!$E43,+IF($B$18='2. Customer Classes'!$B$16,+'4. Customer Growth'!$G43,+IF($B$18='2. Customer Classes'!$B$17,+'4. Customer Growth'!$I43,+IF($B$18='2. Customer Classes'!$B$18,+'4. Customer Growth'!$K43,+IF($B$18='2. Customer Classes'!$B$19,+'4. Customer Growth'!$M43,IF($B$18='2. Customer Classes'!$B$20,+'4. Customer Growth'!$O43,0)))))))</f>
        <v>131.57050233283914</v>
      </c>
      <c r="H32" s="373">
        <f t="shared" si="3"/>
        <v>889515.70013366896</v>
      </c>
      <c r="I32" s="376">
        <f t="shared" si="4"/>
        <v>2246.5789245960482</v>
      </c>
      <c r="J32" s="339">
        <f>IF(F32&gt;0,+F32/E32,0)</f>
        <v>2.5256203170539331E-3</v>
      </c>
      <c r="K32" s="74"/>
      <c r="L32" s="74"/>
      <c r="M32" s="192" t="str">
        <f t="shared" si="0"/>
        <v>2017</v>
      </c>
      <c r="N32" s="304">
        <f>+N30/'6. WS Regression Analysis'!$S$139*'6. WS Regression Analysis'!$S$163</f>
        <v>1456712.4542464858</v>
      </c>
      <c r="O32" s="442"/>
      <c r="P32" s="496">
        <f t="shared" si="6"/>
        <v>1456712.4542464858</v>
      </c>
      <c r="Q32" s="281">
        <f>P32*$U$34</f>
        <v>3912.919778235922</v>
      </c>
      <c r="R32" s="222">
        <f>IF($M$18='2. Customer Classes'!$B$14,+'4. Customer Growth'!$C43,+IF($M$18='2. Customer Classes'!$B$15,+'4. Customer Growth'!$E43,+IF($M$18='2. Customer Classes'!$B$16,+'4. Customer Growth'!$G43,+IF($M$18='2. Customer Classes'!$B$17,+'4. Customer Growth'!$I43,+IF($M$18='2. Customer Classes'!$B$18,+'4. Customer Growth'!$K43,+IF($M$18='2. Customer Classes'!$B$19,+'4. Customer Growth'!$M43,IF($M$18='2. Customer Classes'!$B$20,+'4. Customer Growth'!$O43,0)))))))</f>
        <v>2699.1379474033415</v>
      </c>
      <c r="S32" s="373">
        <f t="shared" si="7"/>
        <v>539.69544448363251</v>
      </c>
      <c r="T32" s="376">
        <f t="shared" si="8"/>
        <v>1.4496924034580292</v>
      </c>
      <c r="U32" s="339">
        <f t="shared" si="9"/>
        <v>2.6861305172680488E-3</v>
      </c>
      <c r="V32" s="58"/>
      <c r="W32" s="192" t="str">
        <f t="shared" si="1"/>
        <v>2017</v>
      </c>
      <c r="X32" s="304">
        <f>+X30/'6. WS Regression Analysis'!$S$139*'6. WS Regression Analysis'!$S$163</f>
        <v>44328.608567323972</v>
      </c>
      <c r="Y32" s="442"/>
      <c r="Z32" s="64">
        <f t="shared" si="10"/>
        <v>44328.608567323972</v>
      </c>
      <c r="AA32" s="281">
        <f>Z32*$AE$34</f>
        <v>134.87376922019658</v>
      </c>
      <c r="AB32" s="222">
        <f>IF($W$18='2. Customer Classes'!$B$14,+'4. Customer Growth'!$C43,+IF($W$18='2. Customer Classes'!$B$15,+'4. Customer Growth'!$E43,+IF($W$18='2. Customer Classes'!$B$16,+'4. Customer Growth'!$G43,+IF($W$18='2. Customer Classes'!$B$17,+'4. Customer Growth'!$I43,+IF($W$18='2. Customer Classes'!$B$18,+'4. Customer Growth'!$K43,+IF($W$18='2. Customer Classes'!$B$19,+'4. Customer Growth'!$M43,IF($W$18='2. Customer Classes'!$B$20,+'4. Customer Growth'!$O43,0)))))))</f>
        <v>53.780258647617998</v>
      </c>
      <c r="AC32" s="373">
        <f t="shared" si="11"/>
        <v>824.25428367268273</v>
      </c>
      <c r="AD32" s="376">
        <f t="shared" si="12"/>
        <v>2.5078676193047711</v>
      </c>
      <c r="AE32" s="339">
        <f t="shared" si="13"/>
        <v>3.0425897310843255E-3</v>
      </c>
      <c r="AG32" s="354" t="str">
        <f t="shared" si="14"/>
        <v>2017</v>
      </c>
      <c r="AH32" s="304">
        <f>+AH30/'6. WS Regression Analysis'!$S$139*'6. WS Regression Analysis'!$S$163</f>
        <v>15117999.918410014</v>
      </c>
      <c r="AI32" s="442"/>
      <c r="AJ32" s="496">
        <f t="shared" si="15"/>
        <v>15117999.918410014</v>
      </c>
      <c r="AK32" s="304">
        <f>AJ32*$AO$34</f>
        <v>37339.054434932339</v>
      </c>
      <c r="AL32" s="222">
        <f>IF($AG$18='2. Customer Classes'!$B$14,+'4. Customer Growth'!$C43,+IF($AG$18='2. Customer Classes'!$B$15,+'4. Customer Growth'!$E43,+IF($AG$18='2. Customer Classes'!$B$16,+'4. Customer Growth'!$G43,+IF($AG$18='2. Customer Classes'!$B$17,+'4. Customer Growth'!$I43,+IF($AG$18='2. Customer Classes'!$B$18,+'4. Customer Growth'!$K43,+IF($AG$18='2. Customer Classes'!$B$19,+'4. Customer Growth'!$M43,IF($AG$18='2. Customer Classes'!$B$20,+'4. Customer Growth'!$O43,IF($AG$18='2. Customer Classes'!$B$21,+'4. Customer Growth'!$Q43,0))))))))</f>
        <v>1</v>
      </c>
      <c r="AM32" s="373">
        <f t="shared" si="23"/>
        <v>15117999.918410014</v>
      </c>
      <c r="AN32" s="376">
        <f t="shared" si="16"/>
        <v>37339.054434932339</v>
      </c>
      <c r="AO32" s="339">
        <f t="shared" si="17"/>
        <v>2.4698408940631448E-3</v>
      </c>
      <c r="AQ32" s="354" t="str">
        <f t="shared" si="18"/>
        <v>2017</v>
      </c>
      <c r="AR32" s="304">
        <f>+AR30/'6. WS Regression Analysis'!$S$139*'6. WS Regression Analysis'!$S$163</f>
        <v>609245.72733311378</v>
      </c>
      <c r="AS32" s="442"/>
      <c r="AT32" s="496">
        <f t="shared" si="19"/>
        <v>609245.72733311378</v>
      </c>
      <c r="AU32" s="304">
        <f>AT32*$AY$34</f>
        <v>0</v>
      </c>
      <c r="AV32" s="222">
        <f>IF($AQ$18='2. Customer Classes'!$B$14,+'4. Customer Growth'!$C43,+IF($AQ$18='2. Customer Classes'!$B$15,+'4. Customer Growth'!$E43,+IF($AQ$18='2. Customer Classes'!$B$16,+'4. Customer Growth'!$G43,+IF($AQ$18='2. Customer Classes'!$B$17,+'4. Customer Growth'!$I43,+IF($AQ$18='2. Customer Classes'!$B$18,+'4. Customer Growth'!$K43,+IF($AQ$18='2. Customer Classes'!$B$19,+'4. Customer Growth'!$M43,IF($AQ$18='2. Customer Classes'!$B$20,+'4. Customer Growth'!$O43,0)))))))</f>
        <v>95.628509010753675</v>
      </c>
      <c r="AW32" s="373">
        <f t="shared" si="20"/>
        <v>6370.9633626579134</v>
      </c>
      <c r="AX32" s="376">
        <f t="shared" si="21"/>
        <v>0</v>
      </c>
      <c r="AY32" s="79"/>
    </row>
    <row r="33" spans="2:51" x14ac:dyDescent="0.2">
      <c r="B33" s="68"/>
      <c r="C33" s="489"/>
      <c r="D33" s="489"/>
      <c r="E33" s="222"/>
      <c r="F33" s="281"/>
      <c r="G33" s="279"/>
      <c r="H33" s="279"/>
      <c r="I33" s="281"/>
      <c r="J33" s="374"/>
      <c r="K33" s="74"/>
      <c r="L33" s="74"/>
      <c r="M33" s="68"/>
      <c r="N33" s="489"/>
      <c r="O33" s="489"/>
      <c r="P33" s="222"/>
      <c r="Q33" s="281"/>
      <c r="R33" s="281"/>
      <c r="S33" s="281"/>
      <c r="T33" s="281"/>
      <c r="U33" s="80"/>
      <c r="V33" s="58"/>
      <c r="W33" s="68"/>
      <c r="X33" s="489"/>
      <c r="Y33" s="489"/>
      <c r="Z33" s="281"/>
      <c r="AA33" s="281"/>
      <c r="AB33" s="281"/>
      <c r="AC33" s="281"/>
      <c r="AD33" s="281"/>
      <c r="AE33" s="239"/>
      <c r="AG33" s="68"/>
      <c r="AH33" s="489"/>
      <c r="AI33" s="489"/>
      <c r="AJ33" s="281"/>
      <c r="AK33" s="281"/>
      <c r="AL33" s="281"/>
      <c r="AM33" s="281"/>
      <c r="AN33" s="281"/>
      <c r="AO33" s="239"/>
      <c r="AQ33" s="68"/>
      <c r="AR33" s="489"/>
      <c r="AS33" s="489"/>
      <c r="AT33" s="304"/>
      <c r="AU33" s="304"/>
      <c r="AV33" s="304"/>
      <c r="AW33" s="304"/>
      <c r="AX33" s="304"/>
      <c r="AY33" s="239"/>
    </row>
    <row r="34" spans="2:51" ht="16.5" customHeight="1" x14ac:dyDescent="0.2">
      <c r="B34" s="232" t="s">
        <v>160</v>
      </c>
      <c r="C34" s="490"/>
      <c r="D34" s="490"/>
      <c r="E34" s="729">
        <v>10</v>
      </c>
      <c r="F34" s="191"/>
      <c r="G34" s="328"/>
      <c r="H34" s="334">
        <f>IF($E$34=1,+AVERAGE(H30:H30),+IF($E$34=2,+AVERAGE(H29:H30),+IF($E$34=3,+AVERAGE(H28:H30),+IF($E$34=4,+AVERAGE(H27:H30),+IF($E$34=5,+AVERAGE(H26:H30),+IF($E$34=6,+AVERAGE(H25:H30),+IF($E$34=7,+AVERAGE(H24:H30),+IF($E$34=8,+AVERAGE(H23:H30),+IF($E$34=9,+AVERAGE(H22:H30),+IF($E$34=10,+AVERAGE(H21:H30),0))))))))))</f>
        <v>884758.91231086641</v>
      </c>
      <c r="I34" s="380">
        <f>IF($E$34=1,+AVERAGE(I30:I30),+IF($E$34=2,+AVERAGE(I29:I30),+IF($E$34=3,+AVERAGE(I28:I30),+IF($E$34=4,+AVERAGE(I27:I30),+IF($E$34=5,+AVERAGE(I26:I30),+IF($E$34=6,+AVERAGE(I25:I30),+IF($E$34=7,+AVERAGE(I24:I30),+IF($E$34=8,+AVERAGE(I23:I30),+IF($E$34=9,+AVERAGE(I22:I30),+IF($E$34=10,+AVERAGE(I21:I30),0))))))))))</f>
        <v>2234.3037975829343</v>
      </c>
      <c r="J34" s="311">
        <f>IF($E$34=1,+AVERAGE(J30:J30),+IF($E$34=2,+AVERAGE(J29:J30),+IF($E$34=3,+AVERAGE(J28:J30),+IF($E$34=4,+AVERAGE(J27:J30),+IF($E$34=5,+AVERAGE(J26:J30),+IF($E$34=6,+AVERAGE(J25:J30),+IF($E$34=7,+AVERAGE(J24:J30),+IF($E$34=8,+AVERAGE(J23:J30),+IF($E$34=9,+AVERAGE(J22:J30),+IF($E$34=10,+AVERAGE(J21:J30),0))))))))))</f>
        <v>2.5256203170539331E-3</v>
      </c>
      <c r="K34" s="184"/>
      <c r="L34" s="184"/>
      <c r="M34" s="232" t="s">
        <v>160</v>
      </c>
      <c r="N34" s="495"/>
      <c r="O34" s="495"/>
      <c r="P34" s="743">
        <v>10</v>
      </c>
      <c r="Q34" s="191"/>
      <c r="R34" s="191"/>
      <c r="S34" s="334">
        <f>IF($P$34=1,+AVERAGE(S30:S30),+IF($P$34=2,+AVERAGE(S29:S30),+IF($P$34=3,+AVERAGE(S28:S30),+IF($P$34=4,+AVERAGE(S27:S30),+IF($P$34=5,+AVERAGE(S26:S30),+IF($P$34=6,+AVERAGE(S25:S30),+IF($P$34=7,+AVERAGE(S24:S30),+IF($P$34=8,+AVERAGE(S23:S30),+IF($P$34=9,+AVERAGE(S22:S30),+IF($P$34=10,+AVERAGE(S21:S30),0))))))))))</f>
        <v>533.52574020888824</v>
      </c>
      <c r="T34" s="379">
        <f>IF($P$34=1,+AVERAGE(T30:T30),+IF($P$34=2,+AVERAGE(T29:T30),+IF($P$34=3,+AVERAGE(T28:T30),+IF($P$34=4,+AVERAGE(T27:T30),+IF($P$34=5,+AVERAGE(T26:T30),+IF($P$34=6,+AVERAGE(T25:T30),+IF($P$34=7,+AVERAGE(T24:T30),+IF($P$34=8,+AVERAGE(T23:T30),+IF($P$34=9,+AVERAGE(T22:T30),+IF($P$34=10,+AVERAGE(T21:T30),0))))))))))</f>
        <v>1.4326550710665307</v>
      </c>
      <c r="U34" s="193">
        <f>IF($P$34=1,+AVERAGE(U30:U30),+IF($P$34=2,+AVERAGE(U29:U30),+IF($P$34=3,+AVERAGE(U28:U30),+IF($P$34=4,+AVERAGE(U27:U30),+IF($P$34=5,+AVERAGE(U26:U30),+IF($P$34=6,+AVERAGE(U25:U30),+IF($P$34=7,+AVERAGE(U24:U30),+IF($P$34=8,+AVERAGE(U23:U30),+IF($P$34=9,+AVERAGE(U22:U30),+IF($P$34=10,+AVERAGE(U21:U30),0))))))))))</f>
        <v>2.6861305172680488E-3</v>
      </c>
      <c r="V34" s="58"/>
      <c r="W34" s="232" t="s">
        <v>160</v>
      </c>
      <c r="X34" s="495"/>
      <c r="Y34" s="495"/>
      <c r="Z34" s="743">
        <v>10</v>
      </c>
      <c r="AA34" s="191"/>
      <c r="AB34" s="191"/>
      <c r="AC34" s="334">
        <f>IF($Z$34=1,+AVERAGE(AC30:AC30),+IF($Z$34=2,+AVERAGE(AC29:AC30),+IF($Z$34=3,+AVERAGE(AC28:AC30),+IF($Z$34=4,+AVERAGE(AC27:AC30),+IF($Z$34=5,+AVERAGE(AC26:AC30),+IF($Z$34=6,+AVERAGE(AC25:AC30),+IF($Z$34=7,+AVERAGE(AC24:AC30),+IF($Z$34=8,+AVERAGE(AC23:AC30),+IF($Z$34=9,+AVERAGE(AC22:AC30),+IF($Z$34=10,+AVERAGE(AC21:AC30),0))))))))))</f>
        <v>1050.9041273483999</v>
      </c>
      <c r="AD34" s="379">
        <f>IF($Z$34=1,+AVERAGE(AD30:AD30),+IF($Z$34=2,+AVERAGE(AD29:AD30),+IF($Z$34=3,+AVERAGE(AD28:AD30),+IF($Z$34=4,+AVERAGE(AD27:AD30),+IF($Z$34=5,+AVERAGE(AD26:AD30),+IF($Z$34=6,+AVERAGE(AD25:AD30),+IF($Z$34=7,+AVERAGE(AD24:AD30),+IF($Z$34=8,+AVERAGE(AD23:AD30),+IF($Z$34=9,+AVERAGE(AD22:AD30),+IF($Z$34=10,+AVERAGE(AD21:AD30),0))))))))))</f>
        <v>3.156813983961789</v>
      </c>
      <c r="AE34" s="193">
        <f>IF($Z$34=1,+AVERAGE(AE30:AE30),+IF($Z$34=2,+AVERAGE(AE29:AE30),+IF($Z$34=3,+AVERAGE(AE28:AE30),+IF($Z$34=4,+AVERAGE(AE27:AE30),+IF($Z$34=5,+AVERAGE(AE26:AE30),+IF($Z$34=6,+AVERAGE(AE25:AE30),+IF($Z$34=7,+AVERAGE(AE24:AE30),+IF($Z$34=8,+AVERAGE(AE23:AE30),+IF($Z$34=9,+AVERAGE(AE22:AE30),+IF($Z$34=10,+AVERAGE(AE21:AE30),0))))))))))</f>
        <v>3.0425897310843259E-3</v>
      </c>
      <c r="AG34" s="232" t="s">
        <v>160</v>
      </c>
      <c r="AH34" s="495"/>
      <c r="AI34" s="495"/>
      <c r="AJ34" s="743">
        <v>10</v>
      </c>
      <c r="AK34" s="191"/>
      <c r="AL34" s="191"/>
      <c r="AM34" s="334">
        <f>IF($AJ$34=1,+AVERAGE(AM30:AM30),+IF($AJ$34=2,+AVERAGE(AM29:AM30),+IF($AJ$34=3,+AVERAGE(AM28:AM30),+IF($AJ$34=4,+AVERAGE(AM27:AM30),+IF($AJ$34=5,+AVERAGE(AM26:AM30),+IF($AJ$34=6,+AVERAGE(AM25:AM30),+IF($AJ$34=7,+AVERAGE(AM24:AM30),+IF($AJ$34=8,+AVERAGE(AM23:AM30),+IF($AJ$34=9,+AVERAGE(AM22:AM30),+IF($AJ$34=10,+AVERAGE(AM21:AM30),0))))))))))</f>
        <v>17314859.155999999</v>
      </c>
      <c r="AN34" s="379">
        <f>IF($AJ$34=1,+AVERAGE(AN30:AN30),+IF($AJ$34=2,+AVERAGE(AN29:AN30),+IF($AJ$34=3,+AVERAGE(AN28:AN30),+IF($AJ$34=4,+AVERAGE(AN27:AN30),+IF($AJ$34=5,+AVERAGE(AN26:AN30),+IF($AJ$34=6,+AVERAGE(AN25:AN30),+IF($AJ$34=7,+AVERAGE(AN24:AN30),+IF($AJ$34=8,+AVERAGE(AN23:AN30),+IF($AJ$34=9,+AVERAGE(AN22:AN30),+IF($AJ$34=10,+AVERAGE(AN21:AN30),0))))))))))</f>
        <v>42046.616999999991</v>
      </c>
      <c r="AO34" s="193">
        <f>IF($AJ$34=1,+AVERAGE(AO30:AO30),+IF($AJ$34=2,+AVERAGE(AO29:AO30),+IF($AJ$34=3,+AVERAGE(AO28:AO30),+IF($AJ$34=4,+AVERAGE(AO27:AO30),+IF($AJ$34=5,+AVERAGE(AO26:AO30),+IF($AJ$34=6,+AVERAGE(AO25:AO30),+IF($AJ$34=7,+AVERAGE(AO24:AO30),+IF($AJ$34=8,+AVERAGE(AO23:AO30),+IF($AJ$34=9,+AVERAGE(AO22:AO30),+IF($AJ$34=10,+AVERAGE(AO21:AO30),0))))))))))</f>
        <v>2.4698408940631448E-3</v>
      </c>
      <c r="AQ34" s="232" t="s">
        <v>160</v>
      </c>
      <c r="AR34" s="495"/>
      <c r="AS34" s="495"/>
      <c r="AT34" s="743">
        <v>4</v>
      </c>
      <c r="AU34" s="191"/>
      <c r="AV34" s="191"/>
      <c r="AW34" s="334">
        <f>IF($AT$34=1,+AVERAGE(AW30:AW30),+IF($AT$34=2,+AVERAGE(AW29:AW30),+IF($AT$34=3,+AVERAGE(AW28:AW30),+IF($AT$34=4,+AVERAGE(AW27:AW30),+IF($AT$34=5,+AVERAGE(AW26:AW30),+IF($AT$34=6,+AVERAGE(AW25:AW30),+IF($AT$34=7,+AVERAGE(AW24:AW30),+IF($AT$34=8,+AVERAGE(AW23:AW30),+IF($AT$34=9,+AVERAGE(AW22:AW30),+IF($AT$34=10,+AVERAGE(AW21:AW30),0))))))))))</f>
        <v>6613.4008891663543</v>
      </c>
      <c r="AX34" s="379">
        <f>IF($AT$34=1,+AVERAGE(AX30:AX30),+IF($AT$34=2,+AVERAGE(AX29:AX30),+IF($AT$34=3,+AVERAGE(AX28:AX30),+IF($AT$34=4,+AVERAGE(AX27:AX30),+IF($AT$34=5,+AVERAGE(AX26:AX30),+IF($AT$34=6,+AVERAGE(AX25:AX30),+IF($AT$34=7,+AVERAGE(AX24:AX30),+IF($AT$34=8,+AVERAGE(AX23:AX30),+IF($AT$34=9,+AVERAGE(AX22:AX30),+IF($AT$34=10,+AVERAGE(AX21:AX30),0))))))))))</f>
        <v>0</v>
      </c>
      <c r="AY34" s="193">
        <f>IF($AT$34=1,+AVERAGE(AY30:AY30),+IF($AT$34=2,+AVERAGE(AY29:AY30),+IF($AT$34=3,+AVERAGE(AY28:AY30),+IF($AT$34=4,+AVERAGE(AY27:AY30),+IF($AT$34=5,+AVERAGE(AY26:AY30),+IF($AT$34=6,+AVERAGE(AY25:AY30),+IF($AT$34=7,+AVERAGE(AY24:AY30),+IF($AT$34=8,+AVERAGE(AY23:AY30),+IF($AT$34=9,+AVERAGE(AY22:AY30),+IF($AT$34=10,+AVERAGE(AY21:AY30),0))))))))))</f>
        <v>0</v>
      </c>
    </row>
    <row r="35" spans="2:51" ht="13.5" thickBot="1" x14ac:dyDescent="0.25">
      <c r="B35" s="194"/>
      <c r="C35" s="491"/>
      <c r="D35" s="491"/>
      <c r="E35" s="195"/>
      <c r="F35" s="195"/>
      <c r="G35" s="329"/>
      <c r="H35" s="329"/>
      <c r="I35" s="195"/>
      <c r="J35" s="378"/>
      <c r="M35" s="194"/>
      <c r="N35" s="491"/>
      <c r="O35" s="491"/>
      <c r="P35" s="195"/>
      <c r="Q35" s="90"/>
      <c r="R35" s="90"/>
      <c r="S35" s="90"/>
      <c r="T35" s="90"/>
      <c r="U35" s="196"/>
      <c r="W35" s="89"/>
      <c r="X35" s="467"/>
      <c r="Y35" s="467"/>
      <c r="Z35" s="90"/>
      <c r="AA35" s="90"/>
      <c r="AB35" s="90"/>
      <c r="AC35" s="90"/>
      <c r="AD35" s="90"/>
      <c r="AE35" s="196"/>
      <c r="AG35" s="89"/>
      <c r="AH35" s="467"/>
      <c r="AI35" s="467"/>
      <c r="AJ35" s="90"/>
      <c r="AK35" s="90"/>
      <c r="AL35" s="90"/>
      <c r="AM35" s="90"/>
      <c r="AN35" s="90"/>
      <c r="AO35" s="196"/>
      <c r="AQ35" s="89"/>
      <c r="AR35" s="467"/>
      <c r="AS35" s="467"/>
      <c r="AT35" s="90"/>
      <c r="AU35" s="90"/>
      <c r="AV35" s="90"/>
      <c r="AW35" s="90"/>
      <c r="AX35" s="90"/>
      <c r="AY35" s="196"/>
    </row>
    <row r="36" spans="2:51" x14ac:dyDescent="0.2">
      <c r="B36" s="945" t="s">
        <v>154</v>
      </c>
      <c r="C36" s="945"/>
      <c r="D36" s="945"/>
      <c r="E36" s="945"/>
      <c r="F36" s="945"/>
      <c r="G36" s="945"/>
      <c r="H36" s="945"/>
      <c r="I36" s="945"/>
      <c r="J36" s="945"/>
      <c r="M36" s="945" t="s">
        <v>154</v>
      </c>
      <c r="N36" s="945"/>
      <c r="O36" s="945"/>
      <c r="P36" s="945"/>
      <c r="Q36" s="945"/>
      <c r="R36" s="945"/>
      <c r="S36" s="945"/>
      <c r="T36" s="945"/>
      <c r="U36" s="945"/>
      <c r="W36" s="933" t="s">
        <v>154</v>
      </c>
      <c r="X36" s="933"/>
      <c r="Y36" s="933"/>
      <c r="Z36" s="933"/>
      <c r="AA36" s="933"/>
      <c r="AB36" s="933"/>
      <c r="AC36" s="933"/>
      <c r="AD36" s="933"/>
      <c r="AE36" s="933"/>
      <c r="AG36" s="945" t="s">
        <v>154</v>
      </c>
      <c r="AH36" s="945"/>
      <c r="AI36" s="945"/>
      <c r="AJ36" s="945"/>
      <c r="AK36" s="945"/>
      <c r="AL36" s="945"/>
      <c r="AM36" s="945"/>
      <c r="AN36" s="945"/>
      <c r="AO36" s="945"/>
      <c r="AQ36" s="945" t="s">
        <v>154</v>
      </c>
      <c r="AR36" s="945"/>
      <c r="AS36" s="945"/>
      <c r="AT36" s="945"/>
      <c r="AU36" s="945"/>
      <c r="AV36" s="945"/>
      <c r="AW36" s="945"/>
      <c r="AX36" s="945"/>
      <c r="AY36" s="945"/>
    </row>
    <row r="37" spans="2:51" x14ac:dyDescent="0.2">
      <c r="B37" s="148"/>
      <c r="C37" s="148"/>
      <c r="D37" s="148"/>
      <c r="E37" s="148"/>
      <c r="F37" s="148"/>
      <c r="G37" s="149"/>
      <c r="H37" s="150"/>
      <c r="I37" s="151"/>
      <c r="J37" s="153"/>
      <c r="M37" s="148"/>
      <c r="N37" s="148"/>
      <c r="O37" s="148"/>
      <c r="P37" s="148"/>
      <c r="Q37" s="148"/>
      <c r="R37" s="149"/>
      <c r="S37" s="150"/>
      <c r="T37" s="151"/>
      <c r="U37" s="153"/>
      <c r="W37" s="148"/>
      <c r="X37" s="148"/>
      <c r="Y37" s="148"/>
      <c r="Z37" s="148"/>
      <c r="AA37" s="148"/>
      <c r="AB37" s="149"/>
      <c r="AC37" s="150"/>
      <c r="AD37" s="151"/>
      <c r="AE37" s="153"/>
      <c r="AG37" s="148"/>
      <c r="AH37" s="148"/>
      <c r="AI37" s="148"/>
      <c r="AJ37" s="148"/>
      <c r="AK37" s="148"/>
      <c r="AL37" s="149"/>
      <c r="AM37" s="150"/>
      <c r="AN37" s="151"/>
      <c r="AO37" s="153"/>
      <c r="AQ37" s="148"/>
      <c r="AR37" s="148"/>
      <c r="AS37" s="148"/>
      <c r="AT37" s="148"/>
      <c r="AU37" s="148"/>
      <c r="AV37" s="149"/>
      <c r="AW37" s="150"/>
      <c r="AX37" s="151"/>
      <c r="AY37" s="153"/>
    </row>
    <row r="38" spans="2:51" x14ac:dyDescent="0.2">
      <c r="B38" s="148"/>
      <c r="C38" s="148"/>
      <c r="D38" s="148"/>
      <c r="E38" s="148"/>
      <c r="F38" s="148"/>
      <c r="G38" s="149"/>
      <c r="H38" s="150"/>
      <c r="I38" s="151"/>
      <c r="J38" s="153"/>
      <c r="M38" s="148"/>
      <c r="N38" s="148"/>
      <c r="O38" s="148"/>
      <c r="P38" s="148"/>
      <c r="Q38" s="148"/>
      <c r="R38" s="149"/>
      <c r="S38" s="150"/>
      <c r="T38" s="151"/>
      <c r="U38" s="153"/>
      <c r="W38" s="148"/>
      <c r="X38" s="148"/>
      <c r="Y38" s="148"/>
      <c r="Z38" s="148"/>
      <c r="AA38" s="148"/>
      <c r="AB38" s="149"/>
      <c r="AC38" s="150"/>
      <c r="AD38" s="151"/>
      <c r="AE38" s="153"/>
      <c r="AG38" s="148"/>
      <c r="AH38" s="148"/>
      <c r="AI38" s="148"/>
      <c r="AJ38" s="148"/>
      <c r="AK38" s="148"/>
      <c r="AL38" s="149"/>
      <c r="AM38" s="150"/>
      <c r="AN38" s="151"/>
      <c r="AO38" s="153"/>
      <c r="AQ38" s="148"/>
      <c r="AR38" s="148"/>
      <c r="AS38" s="148"/>
      <c r="AT38" s="148"/>
      <c r="AU38" s="148"/>
      <c r="AV38" s="149"/>
      <c r="AW38" s="150"/>
      <c r="AX38" s="151"/>
      <c r="AY38" s="153"/>
    </row>
    <row r="39" spans="2:51" x14ac:dyDescent="0.2">
      <c r="B39" s="148"/>
      <c r="C39" s="148"/>
      <c r="D39" s="148"/>
      <c r="E39" s="148"/>
      <c r="F39" s="148"/>
      <c r="G39" s="149"/>
      <c r="H39" s="150"/>
      <c r="I39" s="151"/>
      <c r="J39" s="153"/>
      <c r="M39" s="148"/>
      <c r="N39" s="148"/>
      <c r="O39" s="148"/>
      <c r="P39" s="148"/>
      <c r="Q39" s="148"/>
      <c r="R39" s="149"/>
      <c r="S39" s="150"/>
      <c r="T39" s="151"/>
      <c r="U39" s="153"/>
      <c r="W39" s="148"/>
      <c r="X39" s="148"/>
      <c r="Y39" s="148"/>
      <c r="Z39" s="148"/>
      <c r="AA39" s="148"/>
      <c r="AB39" s="149"/>
      <c r="AC39" s="150"/>
      <c r="AD39" s="151"/>
      <c r="AE39" s="153"/>
      <c r="AG39" s="148"/>
      <c r="AH39" s="148"/>
      <c r="AI39" s="148"/>
      <c r="AJ39" s="148"/>
      <c r="AK39" s="148"/>
      <c r="AL39" s="149"/>
      <c r="AM39" s="150"/>
      <c r="AN39" s="151"/>
      <c r="AO39" s="153"/>
      <c r="AQ39" s="148"/>
      <c r="AR39" s="148"/>
      <c r="AS39" s="148"/>
      <c r="AT39" s="148"/>
      <c r="AU39" s="148"/>
      <c r="AV39" s="149"/>
      <c r="AW39" s="150"/>
      <c r="AX39" s="151"/>
      <c r="AY39" s="153"/>
    </row>
    <row r="40" spans="2:51" x14ac:dyDescent="0.2">
      <c r="B40" s="148"/>
      <c r="C40" s="148"/>
      <c r="D40" s="148"/>
      <c r="E40" s="148"/>
      <c r="F40" s="148"/>
      <c r="G40" s="149"/>
      <c r="H40" s="150"/>
      <c r="I40" s="151"/>
      <c r="J40" s="153"/>
      <c r="M40" s="148"/>
      <c r="N40" s="148"/>
      <c r="O40" s="148"/>
      <c r="P40" s="148"/>
      <c r="Q40" s="148"/>
      <c r="R40" s="149"/>
      <c r="S40" s="150"/>
      <c r="T40" s="151"/>
      <c r="U40" s="153"/>
      <c r="W40" s="148"/>
      <c r="X40" s="148"/>
      <c r="Y40" s="148"/>
      <c r="Z40" s="148"/>
      <c r="AA40" s="148"/>
      <c r="AB40" s="149"/>
      <c r="AC40" s="150"/>
      <c r="AD40" s="151"/>
      <c r="AE40" s="153"/>
      <c r="AG40" s="148"/>
      <c r="AH40" s="148"/>
      <c r="AI40" s="148"/>
      <c r="AJ40" s="148"/>
      <c r="AK40" s="148"/>
      <c r="AL40" s="149"/>
      <c r="AM40" s="150"/>
      <c r="AN40" s="151"/>
      <c r="AO40" s="153"/>
      <c r="AQ40" s="148"/>
      <c r="AR40" s="148"/>
      <c r="AS40" s="148"/>
      <c r="AT40" s="148"/>
      <c r="AU40" s="148"/>
      <c r="AV40" s="149"/>
      <c r="AW40" s="150"/>
      <c r="AX40" s="151"/>
      <c r="AY40" s="153"/>
    </row>
    <row r="41" spans="2:51" ht="15" x14ac:dyDescent="0.2">
      <c r="B41" s="932" t="s">
        <v>174</v>
      </c>
      <c r="C41" s="932"/>
      <c r="D41" s="932"/>
      <c r="E41" s="932"/>
      <c r="F41" s="932"/>
      <c r="G41" s="932"/>
      <c r="H41" s="932"/>
      <c r="I41" s="932"/>
      <c r="J41" s="932"/>
      <c r="M41" s="932" t="s">
        <v>174</v>
      </c>
      <c r="N41" s="932"/>
      <c r="O41" s="932"/>
      <c r="P41" s="932"/>
      <c r="Q41" s="932"/>
      <c r="R41" s="932"/>
      <c r="S41" s="932"/>
      <c r="T41" s="932"/>
      <c r="U41" s="932"/>
      <c r="W41" s="932" t="s">
        <v>174</v>
      </c>
      <c r="X41" s="932"/>
      <c r="Y41" s="932"/>
      <c r="Z41" s="932"/>
      <c r="AA41" s="932"/>
      <c r="AB41" s="932"/>
      <c r="AC41" s="932"/>
      <c r="AD41" s="932"/>
      <c r="AE41" s="932"/>
      <c r="AG41" s="932" t="s">
        <v>174</v>
      </c>
      <c r="AH41" s="932"/>
      <c r="AI41" s="932"/>
      <c r="AJ41" s="932"/>
      <c r="AK41" s="932"/>
      <c r="AL41" s="932"/>
      <c r="AM41" s="932"/>
      <c r="AN41" s="932"/>
      <c r="AO41" s="932"/>
      <c r="AQ41" s="932" t="s">
        <v>174</v>
      </c>
      <c r="AR41" s="932"/>
      <c r="AS41" s="932"/>
      <c r="AT41" s="932"/>
      <c r="AU41" s="932"/>
      <c r="AV41" s="932"/>
      <c r="AW41" s="932"/>
      <c r="AX41" s="932"/>
      <c r="AY41" s="932"/>
    </row>
    <row r="42" spans="2:51" x14ac:dyDescent="0.2">
      <c r="J42" s="316"/>
    </row>
    <row r="43" spans="2:51" x14ac:dyDescent="0.2">
      <c r="J43" s="316"/>
    </row>
    <row r="44" spans="2:51" x14ac:dyDescent="0.2">
      <c r="J44" s="316"/>
    </row>
    <row r="45" spans="2:51" x14ac:dyDescent="0.2">
      <c r="J45" s="316"/>
    </row>
    <row r="46" spans="2:51" ht="13.5" thickBot="1" x14ac:dyDescent="0.25">
      <c r="J46" s="316"/>
    </row>
    <row r="47" spans="2:51" ht="13.5" thickBot="1" x14ac:dyDescent="0.25">
      <c r="B47" s="937" t="str">
        <f>+B18</f>
        <v>General Service &gt; 50 kW - 2999 kW</v>
      </c>
      <c r="C47" s="938"/>
      <c r="D47" s="938"/>
      <c r="E47" s="938"/>
      <c r="F47" s="938"/>
      <c r="G47" s="938"/>
      <c r="H47" s="938"/>
      <c r="I47" s="938"/>
      <c r="J47" s="939"/>
      <c r="M47" s="937" t="str">
        <f>+M18</f>
        <v>Streetlighting</v>
      </c>
      <c r="N47" s="938"/>
      <c r="O47" s="938"/>
      <c r="P47" s="938"/>
      <c r="Q47" s="938"/>
      <c r="R47" s="938"/>
      <c r="S47" s="938"/>
      <c r="T47" s="938"/>
      <c r="U47" s="939"/>
      <c r="W47" s="937" t="str">
        <f>+W18</f>
        <v>Sentinel Lighting</v>
      </c>
      <c r="X47" s="938"/>
      <c r="Y47" s="938"/>
      <c r="Z47" s="938"/>
      <c r="AA47" s="938"/>
      <c r="AB47" s="938"/>
      <c r="AC47" s="938"/>
      <c r="AD47" s="938"/>
      <c r="AE47" s="939"/>
      <c r="AG47" s="937" t="str">
        <f>+AG18</f>
        <v>General Service 3000-4999 kW</v>
      </c>
      <c r="AH47" s="938"/>
      <c r="AI47" s="938"/>
      <c r="AJ47" s="938"/>
      <c r="AK47" s="938"/>
      <c r="AL47" s="938"/>
      <c r="AM47" s="938"/>
      <c r="AN47" s="938"/>
      <c r="AO47" s="939"/>
      <c r="AQ47" s="937" t="str">
        <f>+AQ18</f>
        <v>Unmetered Scattered Load</v>
      </c>
      <c r="AR47" s="938"/>
      <c r="AS47" s="938"/>
      <c r="AT47" s="938"/>
      <c r="AU47" s="938"/>
      <c r="AV47" s="938"/>
      <c r="AW47" s="938"/>
      <c r="AX47" s="938"/>
      <c r="AY47" s="939"/>
    </row>
    <row r="48" spans="2:51" ht="29.25" customHeight="1" thickBot="1" x14ac:dyDescent="0.25">
      <c r="B48" s="344" t="s">
        <v>33</v>
      </c>
      <c r="C48" s="492"/>
      <c r="D48" s="492"/>
      <c r="E48" s="345" t="s">
        <v>40</v>
      </c>
      <c r="F48" s="345" t="s">
        <v>182</v>
      </c>
      <c r="G48" s="345" t="s">
        <v>183</v>
      </c>
      <c r="H48" s="351" t="s">
        <v>186</v>
      </c>
      <c r="I48" s="345" t="s">
        <v>184</v>
      </c>
      <c r="J48" s="346" t="s">
        <v>185</v>
      </c>
      <c r="K48" s="314"/>
      <c r="L48" s="314"/>
      <c r="M48" s="344" t="s">
        <v>33</v>
      </c>
      <c r="N48" s="492"/>
      <c r="O48" s="492"/>
      <c r="P48" s="345" t="s">
        <v>40</v>
      </c>
      <c r="Q48" s="345" t="s">
        <v>182</v>
      </c>
      <c r="R48" s="345" t="s">
        <v>183</v>
      </c>
      <c r="S48" s="351" t="s">
        <v>186</v>
      </c>
      <c r="T48" s="345" t="s">
        <v>184</v>
      </c>
      <c r="U48" s="346" t="s">
        <v>185</v>
      </c>
      <c r="W48" s="344" t="s">
        <v>33</v>
      </c>
      <c r="X48" s="492"/>
      <c r="Y48" s="492"/>
      <c r="Z48" s="345" t="s">
        <v>40</v>
      </c>
      <c r="AA48" s="345" t="s">
        <v>182</v>
      </c>
      <c r="AB48" s="345" t="s">
        <v>183</v>
      </c>
      <c r="AC48" s="351" t="s">
        <v>186</v>
      </c>
      <c r="AD48" s="345" t="s">
        <v>184</v>
      </c>
      <c r="AE48" s="346" t="s">
        <v>185</v>
      </c>
      <c r="AG48" s="344" t="s">
        <v>33</v>
      </c>
      <c r="AH48" s="492"/>
      <c r="AI48" s="492"/>
      <c r="AJ48" s="345" t="s">
        <v>40</v>
      </c>
      <c r="AK48" s="345" t="s">
        <v>182</v>
      </c>
      <c r="AL48" s="345" t="s">
        <v>183</v>
      </c>
      <c r="AM48" s="351" t="s">
        <v>186</v>
      </c>
      <c r="AN48" s="345" t="s">
        <v>184</v>
      </c>
      <c r="AO48" s="346" t="s">
        <v>185</v>
      </c>
      <c r="AQ48" s="344" t="s">
        <v>33</v>
      </c>
      <c r="AR48" s="492"/>
      <c r="AS48" s="492"/>
      <c r="AT48" s="345" t="s">
        <v>40</v>
      </c>
      <c r="AU48" s="345" t="s">
        <v>182</v>
      </c>
      <c r="AV48" s="345" t="s">
        <v>183</v>
      </c>
      <c r="AW48" s="351" t="s">
        <v>186</v>
      </c>
      <c r="AX48" s="345" t="s">
        <v>184</v>
      </c>
      <c r="AY48" s="346" t="s">
        <v>185</v>
      </c>
    </row>
    <row r="49" spans="2:51" ht="12.75" customHeight="1" x14ac:dyDescent="0.2">
      <c r="B49" s="6" t="str">
        <f>+B31</f>
        <v>2016</v>
      </c>
      <c r="C49" s="493"/>
      <c r="D49" s="493"/>
      <c r="E49" s="340">
        <f>+G31-G30</f>
        <v>-1.2203053452808774</v>
      </c>
      <c r="F49" s="341">
        <f>+H34</f>
        <v>884758.91231086641</v>
      </c>
      <c r="G49" s="347">
        <f>+I34</f>
        <v>2234.3037975829343</v>
      </c>
      <c r="H49" s="943" t="s">
        <v>177</v>
      </c>
      <c r="I49" s="349">
        <f>IF(H49="Yes",+F49*E49+$E$31,$E$31)</f>
        <v>116816732.68110102</v>
      </c>
      <c r="J49" s="342">
        <f>IF(H49="Yes",+G49*E49+$F$31,$F$31)</f>
        <v>295034.71343124693</v>
      </c>
      <c r="M49" s="6" t="str">
        <f>+M31</f>
        <v>2016</v>
      </c>
      <c r="N49" s="493"/>
      <c r="O49" s="493"/>
      <c r="P49" s="340">
        <f>+R31-R30</f>
        <v>2.5677499934249681</v>
      </c>
      <c r="Q49" s="341">
        <f>+S34</f>
        <v>533.52574020888824</v>
      </c>
      <c r="R49" s="347">
        <f>+T34</f>
        <v>1.4326550710665307</v>
      </c>
      <c r="S49" s="943" t="s">
        <v>177</v>
      </c>
      <c r="T49" s="349">
        <f>IF(S49="Yes",+Q49*P49+$P$31,$P$31)</f>
        <v>1454007.8043680072</v>
      </c>
      <c r="U49" s="342">
        <f>IF(S49="Yes",+R49*P49+$Q$31,$Q$31)</f>
        <v>3905.6547356588153</v>
      </c>
      <c r="W49" s="6" t="str">
        <f>+W31</f>
        <v>2016</v>
      </c>
      <c r="X49" s="493"/>
      <c r="Y49" s="493"/>
      <c r="Z49" s="340">
        <f>+AB31-AB30</f>
        <v>-0.1099826779451476</v>
      </c>
      <c r="AA49" s="341">
        <f>+AC34</f>
        <v>1050.9041273483999</v>
      </c>
      <c r="AB49" s="347">
        <f>+AD34</f>
        <v>3.156813983961789</v>
      </c>
      <c r="AC49" s="943" t="s">
        <v>177</v>
      </c>
      <c r="AD49" s="349">
        <f>IF(AC49="Yes",+AA49*Z49+$Z$31,$Z$31)</f>
        <v>44246.304495971228</v>
      </c>
      <c r="AE49" s="342">
        <f>IF(AC49="Yes",+AB49*Z49+$AA$31,$AA$31)</f>
        <v>134.62335169787229</v>
      </c>
      <c r="AG49" s="6" t="str">
        <f>+AG31</f>
        <v>2016</v>
      </c>
      <c r="AH49" s="493"/>
      <c r="AI49" s="493"/>
      <c r="AJ49" s="340">
        <f>+AL31-AL30</f>
        <v>0</v>
      </c>
      <c r="AK49" s="341">
        <f>+AM34</f>
        <v>17314859.155999999</v>
      </c>
      <c r="AL49" s="347">
        <f>+AN34</f>
        <v>42046.616999999991</v>
      </c>
      <c r="AM49" s="943" t="s">
        <v>177</v>
      </c>
      <c r="AN49" s="349">
        <f>IF(AM49="Yes",+AK49*AJ49+$AJ$31,$AJ$31)</f>
        <v>15089930.619954463</v>
      </c>
      <c r="AO49" s="342">
        <f>IF(AM49="Yes",+AL49*AJ49+$AK$31,$AK$31)</f>
        <v>37269.727733739157</v>
      </c>
      <c r="AQ49" s="6" t="str">
        <f>+AQ31</f>
        <v>2016</v>
      </c>
      <c r="AR49" s="493"/>
      <c r="AS49" s="493"/>
      <c r="AT49" s="340">
        <f>+AV31-AV30</f>
        <v>2.7715786810153986</v>
      </c>
      <c r="AU49" s="341">
        <f>+AW34</f>
        <v>6613.4008891663543</v>
      </c>
      <c r="AV49" s="347">
        <f>+AX34</f>
        <v>0</v>
      </c>
      <c r="AW49" s="943" t="s">
        <v>177</v>
      </c>
      <c r="AX49" s="349">
        <f>IF(AW49="Yes",+AU49*AT49+$AT$31,$AT$31)</f>
        <v>608114.55255830393</v>
      </c>
      <c r="AY49" s="342">
        <f>IF(AW49="Yes",+AV49*AT49+$AU$31,$AU$31)</f>
        <v>0</v>
      </c>
    </row>
    <row r="50" spans="2:51" ht="13.5" customHeight="1" thickBot="1" x14ac:dyDescent="0.25">
      <c r="B50" s="17" t="str">
        <f>+B32</f>
        <v>2017</v>
      </c>
      <c r="C50" s="494"/>
      <c r="D50" s="494"/>
      <c r="E50" s="336">
        <f>+G32-G30</f>
        <v>-2.4294976671608595</v>
      </c>
      <c r="F50" s="375">
        <f>+H34</f>
        <v>884758.91231086641</v>
      </c>
      <c r="G50" s="348">
        <f>+I34</f>
        <v>2234.3037975829343</v>
      </c>
      <c r="H50" s="944"/>
      <c r="I50" s="350">
        <f>IF(H49="Yes",+F50*E50+$E$32,$E$32)</f>
        <v>117034027.49953394</v>
      </c>
      <c r="J50" s="343">
        <f>IF(H49="Yes",+G50*E50+$F$32,$F$32)</f>
        <v>295583.51763947163</v>
      </c>
      <c r="M50" s="17" t="str">
        <f>+M32</f>
        <v>2017</v>
      </c>
      <c r="N50" s="494"/>
      <c r="O50" s="494"/>
      <c r="P50" s="336">
        <f>+R32-R30</f>
        <v>5.1379474033415136</v>
      </c>
      <c r="Q50" s="375">
        <f>+S34</f>
        <v>533.52574020888824</v>
      </c>
      <c r="R50" s="348">
        <f>+T34</f>
        <v>1.4326550710665307</v>
      </c>
      <c r="S50" s="944"/>
      <c r="T50" s="350">
        <f>IF(S49="Yes",+Q50*P50+$P$32,$P$32)</f>
        <v>1456712.4542464858</v>
      </c>
      <c r="U50" s="343">
        <f>IF(S49="Yes",+R50*P50+$Q$32,$Q$32)</f>
        <v>3912.919778235922</v>
      </c>
      <c r="W50" s="17" t="str">
        <f>+W32</f>
        <v>2017</v>
      </c>
      <c r="X50" s="494"/>
      <c r="Y50" s="494"/>
      <c r="Z50" s="336">
        <f>+AB32-AB30</f>
        <v>-0.21974135238200176</v>
      </c>
      <c r="AA50" s="375">
        <f>+AC34</f>
        <v>1050.9041273483999</v>
      </c>
      <c r="AB50" s="348">
        <f>+AD34</f>
        <v>3.156813983961789</v>
      </c>
      <c r="AC50" s="944"/>
      <c r="AD50" s="350">
        <f>IF(AC49="Yes",+AA50*Z50+$Z$32,$Z$32)</f>
        <v>44328.608567323972</v>
      </c>
      <c r="AE50" s="343">
        <f>IF(AC49="Yes",+AB50*Z50+$AA$32,$AA$32)</f>
        <v>134.87376922019658</v>
      </c>
      <c r="AG50" s="17" t="str">
        <f>+AG32</f>
        <v>2017</v>
      </c>
      <c r="AH50" s="494"/>
      <c r="AI50" s="494"/>
      <c r="AJ50" s="336">
        <f>+AL32-AL30</f>
        <v>0</v>
      </c>
      <c r="AK50" s="375">
        <f>+AM34</f>
        <v>17314859.155999999</v>
      </c>
      <c r="AL50" s="348">
        <f>+AN34</f>
        <v>42046.616999999991</v>
      </c>
      <c r="AM50" s="944"/>
      <c r="AN50" s="350">
        <f>IF(AM49="Yes",+AK50*AJ50+$AJ$32,$AJ$32)</f>
        <v>15117999.918410014</v>
      </c>
      <c r="AO50" s="343">
        <f>IF(AM49="Yes",+AL50*AJ50+$AK$32,$AK$32)</f>
        <v>37339.054434932339</v>
      </c>
      <c r="AQ50" s="17" t="str">
        <f>+AQ32</f>
        <v>2017</v>
      </c>
      <c r="AR50" s="494"/>
      <c r="AS50" s="494"/>
      <c r="AT50" s="336">
        <f>+AV32-AV30</f>
        <v>5.6285090107536746</v>
      </c>
      <c r="AU50" s="375">
        <f>+AW34</f>
        <v>6613.4008891663543</v>
      </c>
      <c r="AV50" s="348">
        <f>+AX34</f>
        <v>0</v>
      </c>
      <c r="AW50" s="944"/>
      <c r="AX50" s="350">
        <f>IF(AW49="Yes",+AU50*AT50+$AT$32,$AT$32)</f>
        <v>609245.72733311378</v>
      </c>
      <c r="AY50" s="343">
        <f>IF(AW49="Yes",+AV50*AT50+$AU$32,$AU$32)</f>
        <v>0</v>
      </c>
    </row>
    <row r="51" spans="2:51" x14ac:dyDescent="0.2">
      <c r="J51" s="316"/>
    </row>
    <row r="52" spans="2:51" x14ac:dyDescent="0.2">
      <c r="B52" s="353" t="s">
        <v>188</v>
      </c>
      <c r="C52" s="353"/>
      <c r="D52" s="353"/>
    </row>
    <row r="54" spans="2:51" x14ac:dyDescent="0.2">
      <c r="H54" s="352"/>
    </row>
    <row r="57" spans="2:51" ht="26.25" hidden="1" thickBot="1" x14ac:dyDescent="0.25">
      <c r="B57" s="940" t="s">
        <v>161</v>
      </c>
      <c r="C57" s="941"/>
      <c r="D57" s="941"/>
      <c r="E57" s="942"/>
      <c r="H57" s="317" t="s">
        <v>149</v>
      </c>
      <c r="I57" s="318" t="s">
        <v>146</v>
      </c>
    </row>
    <row r="58" spans="2:51" hidden="1" x14ac:dyDescent="0.2">
      <c r="B58" s="312">
        <v>1</v>
      </c>
      <c r="C58" s="321"/>
      <c r="D58" s="321"/>
      <c r="E58" s="321"/>
      <c r="F58" s="326">
        <f>+B21</f>
        <v>2006</v>
      </c>
      <c r="G58" s="330"/>
      <c r="H58" s="323">
        <f>SUM('6. WS Regression Analysis'!J20:K31)</f>
        <v>240691332.09999999</v>
      </c>
      <c r="I58" s="319">
        <f>SUM('6. WS Regression Analysis'!R20:R31)</f>
        <v>244958698.73945877</v>
      </c>
    </row>
    <row r="59" spans="2:51" hidden="1" x14ac:dyDescent="0.2">
      <c r="B59" s="312">
        <v>2</v>
      </c>
      <c r="C59" s="321"/>
      <c r="D59" s="321"/>
      <c r="E59" s="321"/>
      <c r="F59" s="326">
        <f t="shared" ref="F59:F67" si="24">+B22</f>
        <v>2007</v>
      </c>
      <c r="G59" s="331"/>
      <c r="H59" s="324">
        <f>SUM('6. WS Regression Analysis'!J32:J43)</f>
        <v>248683053.34999996</v>
      </c>
      <c r="I59" s="320">
        <f>SUM('6. WS Regression Analysis'!R32:R43)</f>
        <v>248683575.31460232</v>
      </c>
    </row>
    <row r="60" spans="2:51" hidden="1" x14ac:dyDescent="0.2">
      <c r="B60" s="312">
        <v>3</v>
      </c>
      <c r="C60" s="321"/>
      <c r="D60" s="321"/>
      <c r="E60" s="321"/>
      <c r="F60" s="326">
        <f t="shared" si="24"/>
        <v>2008</v>
      </c>
      <c r="G60" s="331"/>
      <c r="H60" s="324">
        <f>SUM('6. WS Regression Analysis'!J44:J55)</f>
        <v>241507708</v>
      </c>
      <c r="I60" s="320">
        <f>SUM('6. WS Regression Analysis'!R44:R55)</f>
        <v>247069840.93236792</v>
      </c>
    </row>
    <row r="61" spans="2:51" hidden="1" x14ac:dyDescent="0.2">
      <c r="B61" s="312">
        <v>4</v>
      </c>
      <c r="C61" s="321"/>
      <c r="D61" s="321"/>
      <c r="E61" s="321"/>
      <c r="F61" s="326">
        <f t="shared" si="24"/>
        <v>2009</v>
      </c>
      <c r="G61" s="331"/>
      <c r="H61" s="324">
        <f>SUM('6. WS Regression Analysis'!J56:J67)</f>
        <v>236526800</v>
      </c>
      <c r="I61" s="320">
        <f>SUM('6. WS Regression Analysis'!R56:R67)</f>
        <v>245470671.7507762</v>
      </c>
    </row>
    <row r="62" spans="2:51" hidden="1" x14ac:dyDescent="0.2">
      <c r="B62" s="312">
        <v>5</v>
      </c>
      <c r="C62" s="321"/>
      <c r="D62" s="321"/>
      <c r="E62" s="321"/>
      <c r="F62" s="326">
        <f t="shared" si="24"/>
        <v>2010</v>
      </c>
      <c r="G62" s="331"/>
      <c r="H62" s="324">
        <f>SUM('6. WS Regression Analysis'!J68:J79)</f>
        <v>244543390.56</v>
      </c>
      <c r="I62" s="320">
        <f>SUM('6. WS Regression Analysis'!R68:R79)</f>
        <v>247205392.77313605</v>
      </c>
    </row>
    <row r="63" spans="2:51" hidden="1" x14ac:dyDescent="0.2">
      <c r="B63" s="312">
        <v>6</v>
      </c>
      <c r="C63" s="321"/>
      <c r="D63" s="321"/>
      <c r="E63" s="321"/>
      <c r="F63" s="326">
        <f t="shared" si="24"/>
        <v>2011</v>
      </c>
      <c r="G63" s="331"/>
      <c r="H63" s="324">
        <f>SUM('6. WS Regression Analysis'!J80:J91)</f>
        <v>248601682.74000001</v>
      </c>
      <c r="I63" s="320">
        <f>SUM('6. WS Regression Analysis'!R80:R91)</f>
        <v>248673994.55355757</v>
      </c>
    </row>
    <row r="64" spans="2:51" hidden="1" x14ac:dyDescent="0.2">
      <c r="B64" s="312">
        <v>7</v>
      </c>
      <c r="C64" s="321"/>
      <c r="D64" s="321"/>
      <c r="E64" s="321"/>
      <c r="F64" s="326">
        <f t="shared" si="24"/>
        <v>2012</v>
      </c>
      <c r="G64" s="331"/>
      <c r="H64" s="324">
        <f>SUM('6. WS Regression Analysis'!J92:J103)</f>
        <v>250144401.56999999</v>
      </c>
      <c r="I64" s="320">
        <f>SUM('6. WS Regression Analysis'!R92:R103)</f>
        <v>250342774.98395351</v>
      </c>
    </row>
    <row r="65" spans="2:10" hidden="1" x14ac:dyDescent="0.2">
      <c r="B65" s="312">
        <v>8</v>
      </c>
      <c r="C65" s="321"/>
      <c r="D65" s="321"/>
      <c r="E65" s="321"/>
      <c r="F65" s="326">
        <f t="shared" si="24"/>
        <v>2013</v>
      </c>
      <c r="G65" s="331"/>
      <c r="H65" s="324">
        <f>SUM('6. WS Regression Analysis'!J104:J115)</f>
        <v>246166626.33000001</v>
      </c>
      <c r="I65" s="338">
        <f>SUM('6. WS Regression Analysis'!R104:R115)</f>
        <v>249342246.0888707</v>
      </c>
      <c r="J65" s="310" t="s">
        <v>187</v>
      </c>
    </row>
    <row r="66" spans="2:10" hidden="1" x14ac:dyDescent="0.2">
      <c r="B66" s="312">
        <v>9</v>
      </c>
      <c r="C66" s="321"/>
      <c r="D66" s="321"/>
      <c r="E66" s="321"/>
      <c r="F66" s="326">
        <f t="shared" si="24"/>
        <v>2014</v>
      </c>
      <c r="G66" s="331"/>
      <c r="H66" s="324">
        <f>SUM('6. WS Regression Analysis'!J116:J127)</f>
        <v>242535263.39000002</v>
      </c>
      <c r="I66" s="338">
        <f>SUM('6. WS Regression Analysis'!R116:R117)</f>
        <v>45408216.045223445</v>
      </c>
      <c r="J66" s="310" t="s">
        <v>176</v>
      </c>
    </row>
    <row r="67" spans="2:10" ht="13.5" hidden="1" thickBot="1" x14ac:dyDescent="0.25">
      <c r="B67" s="313">
        <v>10</v>
      </c>
      <c r="C67" s="322"/>
      <c r="D67" s="322"/>
      <c r="E67" s="322"/>
      <c r="F67" s="326">
        <f t="shared" si="24"/>
        <v>2015</v>
      </c>
      <c r="G67" s="332"/>
      <c r="H67" s="325">
        <f>SUM('6. WS Regression Analysis'!J128:J139)</f>
        <v>239401282.51999998</v>
      </c>
      <c r="I67" s="337">
        <f>SUM('6. WS Regression Analysis'!R128:R139)</f>
        <v>247399736.29403827</v>
      </c>
      <c r="J67" s="310" t="s">
        <v>177</v>
      </c>
    </row>
    <row r="68" spans="2:10" hidden="1" x14ac:dyDescent="0.2"/>
  </sheetData>
  <mergeCells count="26">
    <mergeCell ref="AQ18:AY18"/>
    <mergeCell ref="AQ36:AY36"/>
    <mergeCell ref="AQ41:AY41"/>
    <mergeCell ref="AQ47:AY47"/>
    <mergeCell ref="AW49:AW50"/>
    <mergeCell ref="B18:J18"/>
    <mergeCell ref="M18:U18"/>
    <mergeCell ref="W18:AE18"/>
    <mergeCell ref="AG18:AO18"/>
    <mergeCell ref="B57:E57"/>
    <mergeCell ref="H49:H50"/>
    <mergeCell ref="S49:S50"/>
    <mergeCell ref="AC49:AC50"/>
    <mergeCell ref="AM49:AM50"/>
    <mergeCell ref="B36:J36"/>
    <mergeCell ref="B41:J41"/>
    <mergeCell ref="M36:U36"/>
    <mergeCell ref="M41:U41"/>
    <mergeCell ref="W36:AE36"/>
    <mergeCell ref="W41:AE41"/>
    <mergeCell ref="AG36:AO36"/>
    <mergeCell ref="AG41:AO41"/>
    <mergeCell ref="B47:J47"/>
    <mergeCell ref="M47:U47"/>
    <mergeCell ref="W47:AE47"/>
    <mergeCell ref="AG47:AO47"/>
  </mergeCells>
  <dataValidations count="2">
    <dataValidation type="list" allowBlank="1" showInputMessage="1" showErrorMessage="1" sqref="E34 Z34 P34 AJ34 AT34">
      <formula1>$B$58:$B$67</formula1>
    </dataValidation>
    <dataValidation type="list" allowBlank="1" showInputMessage="1" showErrorMessage="1" sqref="H49 AW49 S49 AC49 AM49">
      <formula1>$J$66:$J$67</formula1>
    </dataValidation>
  </dataValidations>
  <pageMargins left="0.70866141732283472" right="0.70866141732283472" top="0.74803149606299213" bottom="0.74803149606299213" header="0.31496062992125984" footer="0.31496062992125984"/>
  <pageSetup scale="45"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B18:J18 M18:U18 W18:AE18 AG18:AO18 AQ18:AY18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3"/>
  <sheetViews>
    <sheetView showGridLines="0" topLeftCell="A13" zoomScaleNormal="100" workbookViewId="0">
      <selection activeCell="B15" sqref="B15:P57"/>
    </sheetView>
  </sheetViews>
  <sheetFormatPr defaultColWidth="10.5" defaultRowHeight="12.75" x14ac:dyDescent="0.2"/>
  <cols>
    <col min="1" max="1" width="13.6640625" style="775" customWidth="1"/>
    <col min="2" max="3" width="50.1640625" style="1" customWidth="1"/>
    <col min="4" max="4" width="11.83203125" style="1" bestFit="1" customWidth="1"/>
    <col min="5" max="5" width="17.6640625" style="1" hidden="1" customWidth="1"/>
    <col min="6" max="6" width="21.1640625" style="1" hidden="1" customWidth="1"/>
    <col min="7" max="10" width="14.5" style="1" hidden="1" customWidth="1"/>
    <col min="11" max="16" width="16.33203125" style="1" bestFit="1" customWidth="1"/>
    <col min="17" max="18" width="10.5" style="1"/>
    <col min="19" max="20" width="1.83203125" style="1" bestFit="1" customWidth="1"/>
    <col min="21" max="16384" width="10.5" style="1"/>
  </cols>
  <sheetData>
    <row r="1" spans="1:16" s="532" customFormat="1" x14ac:dyDescent="0.2">
      <c r="A1" s="726" t="s">
        <v>266</v>
      </c>
    </row>
    <row r="2" spans="1:16" s="532" customFormat="1" x14ac:dyDescent="0.2">
      <c r="A2" s="775"/>
    </row>
    <row r="3" spans="1:16" s="532" customFormat="1" x14ac:dyDescent="0.2">
      <c r="A3" s="775"/>
    </row>
    <row r="4" spans="1:16" s="532" customFormat="1" x14ac:dyDescent="0.2">
      <c r="A4" s="775"/>
    </row>
    <row r="5" spans="1:16" s="532" customFormat="1" x14ac:dyDescent="0.2">
      <c r="A5" s="775"/>
    </row>
    <row r="6" spans="1:16" s="532" customFormat="1" x14ac:dyDescent="0.2">
      <c r="A6" s="775"/>
    </row>
    <row r="7" spans="1:16" s="532" customFormat="1" x14ac:dyDescent="0.2">
      <c r="A7" s="775"/>
    </row>
    <row r="8" spans="1:16" s="532" customFormat="1" x14ac:dyDescent="0.2">
      <c r="A8" s="775"/>
    </row>
    <row r="9" spans="1:16" s="532" customFormat="1" x14ac:dyDescent="0.2">
      <c r="A9" s="775"/>
    </row>
    <row r="11" spans="1:16" ht="23.25" x14ac:dyDescent="0.2">
      <c r="B11" s="132" t="s">
        <v>101</v>
      </c>
      <c r="C11" s="132"/>
    </row>
    <row r="12" spans="1:16" ht="13.5" customHeight="1" x14ac:dyDescent="0.2">
      <c r="B12" s="57" t="s">
        <v>63</v>
      </c>
      <c r="C12" s="132"/>
    </row>
    <row r="13" spans="1:16" ht="13.5" customHeight="1" x14ac:dyDescent="0.2">
      <c r="B13" s="99" t="s">
        <v>258</v>
      </c>
      <c r="C13" s="132"/>
    </row>
    <row r="14" spans="1:16" ht="13.5" customHeight="1" thickBot="1" x14ac:dyDescent="0.25"/>
    <row r="15" spans="1:16" ht="13.5" thickBot="1" x14ac:dyDescent="0.25">
      <c r="B15" s="877"/>
      <c r="C15" s="831"/>
      <c r="D15" s="832" t="s">
        <v>33</v>
      </c>
      <c r="E15" s="833">
        <f>'4. Customer Growth'!B17</f>
        <v>2006</v>
      </c>
      <c r="F15" s="833">
        <f>'4. Customer Growth'!B18</f>
        <v>2007</v>
      </c>
      <c r="G15" s="833">
        <f>'4. Customer Growth'!B19</f>
        <v>2008</v>
      </c>
      <c r="H15" s="833">
        <f>'4. Customer Growth'!B20</f>
        <v>2009</v>
      </c>
      <c r="I15" s="833">
        <f>'4. Customer Growth'!B21</f>
        <v>2010</v>
      </c>
      <c r="J15" s="833">
        <f>'4. Customer Growth'!B22</f>
        <v>2011</v>
      </c>
      <c r="K15" s="833">
        <f>'4. Customer Growth'!B23</f>
        <v>2012</v>
      </c>
      <c r="L15" s="833">
        <f>'4. Customer Growth'!B24</f>
        <v>2013</v>
      </c>
      <c r="M15" s="833">
        <f>'4. Customer Growth'!B25</f>
        <v>2014</v>
      </c>
      <c r="N15" s="833">
        <f>'4. Customer Growth'!B26</f>
        <v>2015</v>
      </c>
      <c r="O15" s="833" t="str">
        <f>'4. Customer Growth'!B30</f>
        <v>2016</v>
      </c>
      <c r="P15" s="834" t="str">
        <f>'4. Customer Growth'!B31</f>
        <v>2017</v>
      </c>
    </row>
    <row r="16" spans="1:16" x14ac:dyDescent="0.2">
      <c r="B16" s="728" t="s">
        <v>193</v>
      </c>
      <c r="C16" s="729" t="str">
        <f>IF($B16=$F$64,+$B$64,+IF($B16=$F$65,+$B$65,+IF($B16=$F$66,+$B$66,+IF($B16=$F$66,$B$66,+IF($B16=$F$67,+$B$67,+IF($B16=$F$68,+$B$68,+IF($B16=$F$69,+$B$69,+IF($B16=$F$70,+$B$70,+IF($B16=$F$71,+$B$71,+IF($B16=$F$72,+$B$72,+IF($B16=$F$73,+$B$73)))))))))))</f>
        <v>Residential</v>
      </c>
      <c r="D16" s="398" t="s">
        <v>129</v>
      </c>
      <c r="E16" s="506">
        <f>IF($C16='4. Customer Growth'!$C$15,+'4. Customer Growth'!$C$17,+IF($C16='4. Customer Growth'!$E$15,+'4. Customer Growth'!$E$17,+IF($C16='4. Customer Growth'!$G$15,+'4. Customer Growth'!$G$17,+IF($C16='4. Customer Growth'!$I$15,+'4. Customer Growth'!$I$17,+IF($C16='4. Customer Growth'!$K$15,+'4. Customer Growth'!$K$17,+IF($C16='4. Customer Growth'!$M$15,+'4. Customer Growth'!$M$17,IF($C16='4. Customer Growth'!$O$15,+'4. Customer Growth'!$O$17)))))))</f>
        <v>7704</v>
      </c>
      <c r="F16" s="506">
        <f>IF($C16='4. Customer Growth'!$C$15,+'4. Customer Growth'!$C$18,+IF($C16='4. Customer Growth'!$E$15,+'4. Customer Growth'!$E$18,+IF($C16='4. Customer Growth'!$G$15,+'4. Customer Growth'!$G$18,+IF($C16='4. Customer Growth'!$I$15,+'4. Customer Growth'!$I$18,+IF($C16='4. Customer Growth'!$K$15,+'4. Customer Growth'!$K$18,+IF($C16='4. Customer Growth'!$M$15,+'4. Customer Growth'!$M$18,IF($C16='4. Customer Growth'!$O$15,+'4. Customer Growth'!$O$18)))))))</f>
        <v>7842</v>
      </c>
      <c r="G16" s="506">
        <f>IF($C16='4. Customer Growth'!$C$15,+'4. Customer Growth'!$C$19,+IF($C16='4. Customer Growth'!$E$15,+'4. Customer Growth'!$E$19,+IF($C16='4. Customer Growth'!$G$15,+'4. Customer Growth'!$G$19,+IF($C16='4. Customer Growth'!$I$15,+'4. Customer Growth'!$I$19,+IF($C16='4. Customer Growth'!$K$15,+'4. Customer Growth'!$K$19,+IF($C16='4. Customer Growth'!$M$15,+'4. Customer Growth'!$M$19,IF($C16='4. Customer Growth'!$O$15,+'4. Customer Growth'!$O$19)))))))</f>
        <v>7956</v>
      </c>
      <c r="H16" s="506">
        <f>IF($C16='4. Customer Growth'!$C$15,+'4. Customer Growth'!$C$20,+IF($C16='4. Customer Growth'!$E$15,+'4. Customer Growth'!$E$20,+IF($C16='4. Customer Growth'!$G$15,+'4. Customer Growth'!$G$20,+IF($C16='4. Customer Growth'!$I$15,+'4. Customer Growth'!$I$20,+IF($C16='4. Customer Growth'!$K$15,+'4. Customer Growth'!$K$20,+IF($C16='4. Customer Growth'!$M$15,+'4. Customer Growth'!$M$20,IF($C16='4. Customer Growth'!$O$15,+'4. Customer Growth'!$O$20)))))))</f>
        <v>8187.5</v>
      </c>
      <c r="I16" s="506">
        <f>IF($C16='4. Customer Growth'!$C$15,+'4. Customer Growth'!$C$21,+IF($C16='4. Customer Growth'!$E$15,+'4. Customer Growth'!$E$21,+IF($C16='4. Customer Growth'!$G$15,+'4. Customer Growth'!$G$21,+IF($C16='4. Customer Growth'!$I$15,+'4. Customer Growth'!$I$21,+IF($C16='4. Customer Growth'!$K$15,+'4. Customer Growth'!$K$21,+IF($C16='4. Customer Growth'!$M$15,+'4. Customer Growth'!$M$21,IF($C16='4. Customer Growth'!$O$15,+'4. Customer Growth'!$O$21)))))))</f>
        <v>8296.5</v>
      </c>
      <c r="J16" s="506">
        <f>IF($C16='4. Customer Growth'!$C$15,+'4. Customer Growth'!$C$22,+IF($C16='4. Customer Growth'!$E$15,+'4. Customer Growth'!$E$22,+IF($C16='4. Customer Growth'!$G$15,+'4. Customer Growth'!$G$22,+IF($C16='4. Customer Growth'!$I$15,+'4. Customer Growth'!$I$22,+IF($C16='4. Customer Growth'!$K$15,+'4. Customer Growth'!$K$22,+IF($C16='4. Customer Growth'!$M$15,+'4. Customer Growth'!$M$22,IF($C16='4. Customer Growth'!$O$15,+'4. Customer Growth'!$O$22)))))))</f>
        <v>8425</v>
      </c>
      <c r="K16" s="506">
        <f>IF($C16='4. Customer Growth'!$C$15,+'4. Customer Growth'!$C$23,+IF($C16='4. Customer Growth'!$E$15,+'4. Customer Growth'!$E$23,+IF($C16='4. Customer Growth'!$G$15,+'4. Customer Growth'!$G$23,+IF($C16='4. Customer Growth'!$I$15,+'4. Customer Growth'!$I$23,+IF($C16='4. Customer Growth'!$K$15,+'4. Customer Growth'!$K$23,+IF($C16='4. Customer Growth'!$M$15,+'4. Customer Growth'!$M$23,IF($C16='4. Customer Growth'!$O$15,+'4. Customer Growth'!$O$23)))))))</f>
        <v>8525</v>
      </c>
      <c r="L16" s="506">
        <f>IF($C16='4. Customer Growth'!$C$15,+'4. Customer Growth'!$C$24,+IF($C16='4. Customer Growth'!$E$15,+'4. Customer Growth'!$E$24,+IF($C16='4. Customer Growth'!$G$15,+'4. Customer Growth'!$G$24,+IF($C16='4. Customer Growth'!$I$15,+'4. Customer Growth'!$I$24,+IF($C16='4. Customer Growth'!$K$15,+'4. Customer Growth'!$K$24,+IF($C16='4. Customer Growth'!$M$15,+'4. Customer Growth'!$M$24,IF($C16='4. Customer Growth'!$O$15,+'4. Customer Growth'!$O$24)))))))</f>
        <v>8627</v>
      </c>
      <c r="M16" s="506">
        <f>IF($C16='4. Customer Growth'!$C$15,+'4. Customer Growth'!$C$25,+IF($C16='4. Customer Growth'!$E$15,+'4. Customer Growth'!$E$25,+IF($C16='4. Customer Growth'!$G$15,+'4. Customer Growth'!$G$25,+IF($C16='4. Customer Growth'!$I$15,+'4. Customer Growth'!$I$25,+IF($C16='4. Customer Growth'!$K$15,+'4. Customer Growth'!$K$25,+IF($C16='4. Customer Growth'!$M$15,+'4. Customer Growth'!$M$25,IF($C16='4. Customer Growth'!$O$15,+'4. Customer Growth'!$O$25)))))))</f>
        <v>8760.5</v>
      </c>
      <c r="N16" s="506">
        <f>IF($C16='4. Customer Growth'!$C$15,+'4. Customer Growth'!$C$26,+IF($C16='4. Customer Growth'!$E$15,+'4. Customer Growth'!$E$26,+IF($C16='4. Customer Growth'!$G$15,+'4. Customer Growth'!$G$26,+IF($C16='4. Customer Growth'!$I$15,+'4. Customer Growth'!$I$26,+IF($C16='4. Customer Growth'!$K$15,+'4. Customer Growth'!$K$26,+IF($C16='4. Customer Growth'!$M$15,+'4. Customer Growth'!$M$26,IF($C16='4. Customer Growth'!$O$15,+'4. Customer Growth'!$O$26)))))))</f>
        <v>8885</v>
      </c>
      <c r="O16" s="506">
        <f>IF($C16='4. Customer Growth'!$C$15,+'4. Customer Growth'!$C$42,+IF($C16='4. Customer Growth'!$E$15,+'4. Customer Growth'!$E$42,+IF($C16='4. Customer Growth'!$G$15,+'4. Customer Growth'!$G$42,+IF($C16='4. Customer Growth'!$I$15,+'4. Customer Growth'!$I$42,+IF($C16='4. Customer Growth'!$K$15,+'4. Customer Growth'!$K$42,+IF($C16='4. Customer Growth'!$M$15,+'4. Customer Growth'!$M$42,IF($C16='4. Customer Growth'!$O$15,+'4. Customer Growth'!$O$42)))))))</f>
        <v>9026.923937540796</v>
      </c>
      <c r="P16" s="507">
        <f>IF($C16='4. Customer Growth'!$C$15,+'4. Customer Growth'!$C$43,+IF($C16='4. Customer Growth'!$E$15,+'4. Customer Growth'!$E$43,+IF($C16='4. Customer Growth'!$G$15,+'4. Customer Growth'!$G$43,+IF($C16='4. Customer Growth'!$I$15,+'4. Customer Growth'!$I$43,+IF($C16='4. Customer Growth'!$K$15,+'4. Customer Growth'!$K$43,+IF($C16='4. Customer Growth'!$M$15,+'4. Customer Growth'!$M$43,IF($C16='4. Customer Growth'!$O$15,+'4. Customer Growth'!$O$43)))))))</f>
        <v>9171.114887354759</v>
      </c>
    </row>
    <row r="17" spans="1:16" x14ac:dyDescent="0.2">
      <c r="B17" s="88"/>
      <c r="C17" s="830"/>
      <c r="D17" s="53" t="s">
        <v>36</v>
      </c>
      <c r="E17" s="506">
        <f>IF($B16=$F$64,+'7. Weather Senstive Class'!$G$21,IF($B16=$F$65,+'7. Weather Senstive Class'!$O$21,IF($B16=$F$66,+'7. Weather Senstive Class'!$W$21,IF($B16=$F$67,+'7. Weather Senstive Class'!$AE$21,IF($B16=$F$68,+'7. Weather Senstive Class'!$AM$21,IF($B16=$F$69,+'8. KW and Non-Weather Sensitive'!$E$21,IF($B16=$F$70,+'8. KW and Non-Weather Sensitive'!$P$21,IF($B16=$F$71,+'8. KW and Non-Weather Sensitive'!$Z$21,IF($B16=$F$72,+'8. KW and Non-Weather Sensitive'!$AJ$21,IF($B16=$F$73,+'8. KW and Non-Weather Sensitive'!$AT$21))))))))))</f>
        <v>71590902.776568398</v>
      </c>
      <c r="F17" s="506">
        <f>IF($B16=$F$64,+'7. Weather Senstive Class'!$G$22,IF($B16=$F$65,+'7. Weather Senstive Class'!$O$22,IF($B16=$F$66,+'7. Weather Senstive Class'!$W$22,IF($B16=$F$67,+'7. Weather Senstive Class'!$AE$22,IF($B16=$F$68,+'7. Weather Senstive Class'!$AM$22,IF($B16=$F$69,+'8. KW and Non-Weather Sensitive'!$E$22,IF($B16=$F$70,+'8. KW and Non-Weather Sensitive'!$P$22,IF($B16=$F$71,+'8. KW and Non-Weather Sensitive'!$Z$22,IF($B16=$F$72,+'8. KW and Non-Weather Sensitive'!$AJ$22,IF($B16=$F$73,+'8. KW and Non-Weather Sensitive'!$AT$22))))))))))</f>
        <v>72101506.334618852</v>
      </c>
      <c r="G17" s="506">
        <f>IF($B16=$F$64,+'7. Weather Senstive Class'!$G$23,IF($B16=$F$65,+'7. Weather Senstive Class'!$O$23,IF($B16=$F$66,+'7. Weather Senstive Class'!$W$23,IF($B16=$F$67,+'7. Weather Senstive Class'!$AE$23,IF($B16=$F$68,+'7. Weather Senstive Class'!$AM$23,IF($B16=$F$69,+'8. KW and Non-Weather Sensitive'!$E$23,IF($B16=$F$70,+'8. KW and Non-Weather Sensitive'!$P$23,IF($B16=$F$71,+'8. KW and Non-Weather Sensitive'!$Z$23,IF($B16=$F$72,+'8. KW and Non-Weather Sensitive'!$AJ$23,IF($B16=$F$73,+'8. KW and Non-Weather Sensitive'!$AT$23))))))))))</f>
        <v>73848510.565233275</v>
      </c>
      <c r="H17" s="506">
        <f>IF($B16=$F$64,+'7. Weather Senstive Class'!$G$24,IF($B16=$F$65,+'7. Weather Senstive Class'!$O$24,IF($B16=$F$66,+'7. Weather Senstive Class'!$W$24,IF($B16=$F$67,+'7. Weather Senstive Class'!$AE$24,IF($B16=$F$68,+'7. Weather Senstive Class'!$AM$24,IF($B16=$F$69,+'8. KW and Non-Weather Sensitive'!$E$24,IF($B16=$F$70,+'8. KW and Non-Weather Sensitive'!$P$24,IF($B16=$F$71,+'8. KW and Non-Weather Sensitive'!$Z$24,IF($B16=$F$72,+'8. KW and Non-Weather Sensitive'!$AJ$24,IF($B16=$F$73,+'8. KW and Non-Weather Sensitive'!$AT$24))))))))))</f>
        <v>74657177.211183861</v>
      </c>
      <c r="I17" s="506">
        <f>IF($B16=$F$64,+'7. Weather Senstive Class'!$G$25,IF($B16=$F$65,+'7. Weather Senstive Class'!$O$25,IF($B16=$F$66,+'7. Weather Senstive Class'!$W$25,IF($B16=$F$67,+'7. Weather Senstive Class'!$AE$25,IF($B16=$F$68,+'7. Weather Senstive Class'!$AM$25,IF($B16=$F$69,+'8. KW and Non-Weather Sensitive'!$E$25,IF($B16=$F$70,+'8. KW and Non-Weather Sensitive'!$P$25,IF($B16=$F$71,+'8. KW and Non-Weather Sensitive'!$Z$25,IF($B16=$F$72,+'8. KW and Non-Weather Sensitive'!$AJ$25,IF($B16=$F$73,+'8. KW and Non-Weather Sensitive'!$AT$25))))))))))</f>
        <v>73436594.333625555</v>
      </c>
      <c r="J17" s="506">
        <f>IF($B16=$F$64,+'7. Weather Senstive Class'!$G$26,IF($B16=$F$65,+'7. Weather Senstive Class'!$O$26,IF($B16=$F$66,+'7. Weather Senstive Class'!$M$26,IF($B16=$F$67,+'7. Weather Senstive Class'!$AE$26,IF($B16=$F$68,+'7. Weather Senstive Class'!$AM$26,IF($B16=$F$69,+'8. KW and Non-Weather Sensitive'!$E$26,IF($B16=$F$70,+'8. KW and Non-Weather Sensitive'!$P$26,IF($B16=$F$71,+'8. KW and Non-Weather Sensitive'!$Z$26,IF($B16=$F$72,+'8. KW and Non-Weather Sensitive'!$AJ$26,IF($B16=$F$73,+'8. KW and Non-Weather Sensitive'!$AT$26))))))))))</f>
        <v>73193400.880397737</v>
      </c>
      <c r="K17" s="506">
        <f>IF($B16=$F$64,+'7. Weather Senstive Class'!$G$27,IF($B16=$F$65,+'7. Weather Senstive Class'!$O$27,IF($B16=$F$66,+'7. Weather Senstive Class'!$W$27,IF($B16=$F$67,+'7. Weather Senstive Class'!$AE$27,IF($B16=$F$68,+'7. Weather Senstive Class'!$AM$27,IF($B16=$F$69,+'8. KW and Non-Weather Sensitive'!$E$27,IF($B16=$F$70,+'8. KW and Non-Weather Sensitive'!$P$27,IF($B16=$F$71,+'8. KW and Non-Weather Sensitive'!$Z$27,IF($B16=$F$72,+'8. KW and Non-Weather Sensitive'!$AJ$27,IF($B16=$F$73,+'8. KW and Non-Weather Sensitive'!$AT$27))))))))))</f>
        <v>70966505.368845955</v>
      </c>
      <c r="L17" s="506">
        <f>IF($B16=$F$64,+'7. Weather Senstive Class'!$G$28,IF($B16=$F$65,+'7. Weather Senstive Class'!$O$28,IF($B16=$F$66,+'7. Weather Senstive Class'!$W$28,IF($B16=$F$67,+'7. Weather Senstive Class'!$AE$28,IF($B16=$F$68,+'7. Weather Senstive Class'!$AM$28,IF($B16=$F$69,+'8. KW and Non-Weather Sensitive'!$E$28,IF($B16=$F$70,+'8. KW and Non-Weather Sensitive'!$P$28,IF($B16=$F$71,+'8. KW and Non-Weather Sensitive'!$Z$28,IF($B16=$F$72,+'8. KW and Non-Weather Sensitive'!$AJ$28,IF($B16=$F$73,+'8. KW and Non-Weather Sensitive'!$AT$28))))))))))</f>
        <v>74334017.121669263</v>
      </c>
      <c r="M17" s="506">
        <f>IF($B16=$F$64,+'7. Weather Senstive Class'!$G$29,IF($B16=$F$65,+'7. Weather Senstive Class'!$O$29,IF($B16=$F$66,+'7. Weather Senstive Class'!$W$29,IF($B16=$F$67,+'7. Weather Senstive Class'!$AE$29,IF($B16=$F$68,+'7. Weather Senstive Class'!$AM$29,IF($B16=$F$69,+'8. KW and Non-Weather Sensitive'!$E$29,IF($B16=$F$70,+'8. KW and Non-Weather Sensitive'!$P$29,IF($B16=$F$71,+'8. KW and Non-Weather Sensitive'!$Z$29,IF($B16=$F$72,+'8. KW and Non-Weather Sensitive'!$AJ$29,IF($B16=$F$73,+'8. KW and Non-Weather Sensitive'!$AT$29))))))))))</f>
        <v>75761820.187371373</v>
      </c>
      <c r="N17" s="506">
        <f>IF($B16=$F$64,+'7. Weather Senstive Class'!$G$30,IF($B16=$F$65,+'7. Weather Senstive Class'!$O$30,IF($B16=$F$66,+'7. Weather Senstive Class'!$W$30,IF($B16=$F$67,+'7. Weather Senstive Class'!$AE$30,IF($B16=$F$68,+'7. Weather Senstive Class'!$AM$30,IF($B16=$F$69,+'8. KW and Non-Weather Sensitive'!$E$30,IF($B16=$F$70,+'8. KW and Non-Weather Sensitive'!$P$30,IF($B16=$F$71,+'8. KW and Non-Weather Sensitive'!$Z$30,IF($B16=$F$72,+'8. KW and Non-Weather Sensitive'!$AJ$30,IF($B16=$F$73,+'8. KW and Non-Weather Sensitive'!$AT$30))))))))))</f>
        <v>79671289.320937395</v>
      </c>
      <c r="O17" s="506">
        <f>IF($B16=$F$64,+'7. Weather Senstive Class'!$H$42,IF($B16=$F$65,+'7. Weather Senstive Class'!$P$42,IF($B16=$F$66,+'7. Weather Senstive Class'!$X$42,IF($B16=$F$67,+'7. Weather Senstive Class'!$AF$42,IF($B16=$F$68,+'7. Weather Senstive Class'!$AN$42,IF($B16=$F$69,+'8. KW and Non-Weather Sensitive'!$I$49,IF($B16=$F$70,+'8. KW and Non-Weather Sensitive'!$T$49,IF($B16=$F$71,+'8. KW and Non-Weather Sensitive'!$AD$49,IF($B16=$F$72,+'8. KW and Non-Weather Sensitive'!$AN$49,IF($B16=$F$73,+'8. KW and Non-Weather Sensitive'!$AX$49))))))))))</f>
        <v>80450046.256808087</v>
      </c>
      <c r="P17" s="507">
        <f>IF($B16=$F$64,+'7. Weather Senstive Class'!$H$43,IF($B16=$F$65,+'7. Weather Senstive Class'!$P$43,IF($B16=$F$66,+'7. Weather Senstive Class'!$X$43,IF($B16=$F$67,+'7. Weather Senstive Class'!$AF$43,IF($B16=$F$68,+'7. Weather Senstive Class'!$AN$43,IF($B16=$F$69,+'8. KW and Non-Weather Sensitive'!$I$50,IF($B16=$F$70,+'8. KW and Non-Weather Sensitive'!$T$50,IF($B16=$F$71,+'8. KW and Non-Weather Sensitive'!$AD$50,IF($B16=$F$72,+'8. KW and Non-Weather Sensitive'!$AN$50,IF($B16=$F$73,+'8. KW and Non-Weather Sensitive'!$AX$50))))))))))</f>
        <v>80599694.152217165</v>
      </c>
    </row>
    <row r="18" spans="1:16" x14ac:dyDescent="0.2">
      <c r="B18" s="88"/>
      <c r="C18" s="830"/>
      <c r="D18" s="53" t="s">
        <v>37</v>
      </c>
      <c r="E18" s="404">
        <f>IF(B$16=$F$69,+'8. KW and Non-Weather Sensitive'!$F$21,IF($B16=$F$70,+'8. KW and Non-Weather Sensitive'!$Q$21,IF($B16=$F$71,+'8. KW and Non-Weather Sensitive'!$AA$21,IF($B16=$F$72,+'8. KW and Non-Weather Sensitive'!$AK$21,+IF($B16=$F$73,+'8. KW and Non-Weather Sensitive'!$AU$21,0)))))</f>
        <v>0</v>
      </c>
      <c r="F18" s="404">
        <f>IF($B16=$F$69,+'8. KW and Non-Weather Sensitive'!$F$22,IF($B16=$F$70,+'8. KW and Non-Weather Sensitive'!$Q$22,IF($B16=$F$71,+'8. KW and Non-Weather Sensitive'!$AA$22,IF($B16=$F$72,+'8. KW and Non-Weather Sensitive'!$AK$22,+IF($B16=$F$73,+'8. KW and Non-Weather Sensitive'!$AU$22,0)))))</f>
        <v>0</v>
      </c>
      <c r="G18" s="404">
        <f>IF($B16=$F$69,+'8. KW and Non-Weather Sensitive'!$F$23,IF($B16=$F$70,+'8. KW and Non-Weather Sensitive'!$Q$23,IF($B16=$F$71,+'8. KW and Non-Weather Sensitive'!$AA$23,IF($B16=$F$72,+'8. KW and Non-Weather Sensitive'!$AK$23,+IF($B16=$F$73,+'8. KW and Non-Weather Sensitive'!$AU$23,0)))))</f>
        <v>0</v>
      </c>
      <c r="H18" s="404">
        <f>IF($B16=$F$69,+'8. KW and Non-Weather Sensitive'!$F$24,IF($B16=$F$70,+'8. KW and Non-Weather Sensitive'!$Q$24,IF($B16=$F$71,+'8. KW and Non-Weather Sensitive'!$AA$24,IF($B16=$F$72,+'8. KW and Non-Weather Sensitive'!$AK$24,+IF($B16=$F$73,+'8. KW and Non-Weather Sensitive'!$AU$24,0)))))</f>
        <v>0</v>
      </c>
      <c r="I18" s="404">
        <f>IF($B16=$F$69,+'8. KW and Non-Weather Sensitive'!$F$25,IF($B16=$F$70,+'8. KW and Non-Weather Sensitive'!$Q$25,IF($B16=$F$71,+'8. KW and Non-Weather Sensitive'!$AA$25,IF($B16=$F$72,+'8. KW and Non-Weather Sensitive'!$AK$25,+IF($B16=$F$73,+'8. KW and Non-Weather Sensitive'!$AU$25,0)))))</f>
        <v>0</v>
      </c>
      <c r="J18" s="404">
        <f>IF($B16=$F$69,+'8. KW and Non-Weather Sensitive'!$F$26,IF($B16=$F$70,+'8. KW and Non-Weather Sensitive'!$Q$26,IF($B16=$F$71,+'8. KW and Non-Weather Sensitive'!$AA$26,IF($B16=$F$72,+'8. KW and Non-Weather Sensitive'!$AK$26,+IF($B16=$F$73,+'8. KW and Non-Weather Sensitive'!$AU$26,0)))))</f>
        <v>0</v>
      </c>
      <c r="K18" s="404">
        <f>IF($B16=$F$69,+'8. KW and Non-Weather Sensitive'!$F$27,IF($B16=$F$70,+'8. KW and Non-Weather Sensitive'!$Q$27,IF($B16=$F$71,+'8. KW and Non-Weather Sensitive'!$AA$27,IF($B16=$F$72,+'8. KW and Non-Weather Sensitive'!$AK$27,+IF($B16=$F$73,+'8. KW and Non-Weather Sensitive'!$AU$27,0)))))</f>
        <v>0</v>
      </c>
      <c r="L18" s="404">
        <f>IF($B16=$F$69,+'8. KW and Non-Weather Sensitive'!$F$28,IF($B16=$F$70,+'8. KW and Non-Weather Sensitive'!$Q$28,IF($B16=$F$71,+'8. KW and Non-Weather Sensitive'!$AA$28,IF($B16=$F$72,+'8. KW and Non-Weather Sensitive'!$AK$28,+IF($B16=$F$73,+'8. KW and Non-Weather Sensitive'!$AU$28,0)))))</f>
        <v>0</v>
      </c>
      <c r="M18" s="404">
        <f>IF($B16=$F$69,+'8. KW and Non-Weather Sensitive'!$F$29,IF($B16=$F$70,+'8. KW and Non-Weather Sensitive'!$Q$29,IF($B16=$F$71,+'8. KW and Non-Weather Sensitive'!$AA$29,IF($B16=$F$72,+'8. KW and Non-Weather Sensitive'!$AK$29,+IF($B16=$F$73,+'8. KW and Non-Weather Sensitive'!$AU$29,0)))))</f>
        <v>0</v>
      </c>
      <c r="N18" s="404">
        <f>IF($B16=$F$69,+'8. KW and Non-Weather Sensitive'!$F$30,IF($B16=$F$70,+'8. KW and Non-Weather Sensitive'!$Q$30,IF($B16=$F$71,+'8. KW and Non-Weather Sensitive'!$AA$30,IF($B16=$F$72,+'8. KW and Non-Weather Sensitive'!$AK$30,+IF($B16=$F$73,+'8. KW and Non-Weather Sensitive'!$AU$30,0)))))</f>
        <v>0</v>
      </c>
      <c r="O18" s="404">
        <f>IF($B16=$F$69,+'8. KW and Non-Weather Sensitive'!$J$49,IF($B16=$F$70,+'8. KW and Non-Weather Sensitive'!$U$49,IF($B16=$F$71,+'8. KW and Non-Weather Sensitive'!$AE$49,IF($B16=$F$72,+'8. KW and Non-Weather Sensitive'!$AO$49,+IF($B16=$F$73,+'8. KW and Non-Weather Sensitive'!$AY$49,0)))))</f>
        <v>0</v>
      </c>
      <c r="P18" s="508">
        <f>IF($B16=$F$69,+'8. KW and Non-Weather Sensitive'!$J$50,IF($B16=$F$70,+'8. KW and Non-Weather Sensitive'!$U$50,IF($B16=$F$71,+'8. KW and Non-Weather Sensitive'!$AE$50,IF($B16=$F$72,+'8. KW and Non-Weather Sensitive'!$AO$50,+IF($B16=$F$73,+'8. KW and Non-Weather Sensitive'!$AY$50,0)))))</f>
        <v>0</v>
      </c>
    </row>
    <row r="19" spans="1:16" x14ac:dyDescent="0.2">
      <c r="A19" s="775" t="s">
        <v>285</v>
      </c>
      <c r="B19" s="88"/>
      <c r="C19" s="830"/>
      <c r="D19" s="53"/>
      <c r="E19" s="404"/>
      <c r="F19" s="404"/>
      <c r="G19" s="404"/>
      <c r="H19" s="404"/>
      <c r="I19" s="404"/>
      <c r="J19" s="404"/>
      <c r="K19" s="404"/>
      <c r="L19" s="404"/>
      <c r="M19" s="404"/>
      <c r="N19" s="404"/>
      <c r="O19" s="405"/>
      <c r="P19" s="406"/>
    </row>
    <row r="20" spans="1:16" x14ac:dyDescent="0.2">
      <c r="A20" s="775" t="s">
        <v>286</v>
      </c>
      <c r="B20" s="730" t="s">
        <v>192</v>
      </c>
      <c r="C20" s="729" t="str">
        <f>IF($B20=$F$64,+$B$64,+IF($B20=$F$65,+$B$65,+IF($B20=$F$66,+$B$66,+IF($B20=$F$66,$B$66,+IF($B20=$F$67,+$B$67,+IF($B20=$F$68,+$B$68,+IF($B20=$F$69,+$B$69,+IF($B20=$F$70,+$B$70,+IF($B20=$F$71,+$B$71,+IF($B20=$F$72,+$B$72,+IF($B20=$F$73,+$B$73)))))))))))</f>
        <v>General Service &lt; 50 kW</v>
      </c>
      <c r="D20" s="87" t="s">
        <v>129</v>
      </c>
      <c r="E20" s="506">
        <f>IF($C20='4. Customer Growth'!$C$15,+'4. Customer Growth'!$C$17,+IF($C20='4. Customer Growth'!$E$15,+'4. Customer Growth'!$E$17,+IF($C20='4. Customer Growth'!$G$15,+'4. Customer Growth'!$G$17,+IF($C20='4. Customer Growth'!$I$15,+'4. Customer Growth'!$I$17,+IF($C20='4. Customer Growth'!$K$15,+'4. Customer Growth'!$K$17,+IF($C20='4. Customer Growth'!$M$15,+'4. Customer Growth'!$M$17,IF($C20='4. Customer Growth'!$O$15,+'4. Customer Growth'!$O$17)))))))</f>
        <v>1036.5</v>
      </c>
      <c r="F20" s="506">
        <f>IF($C20='4. Customer Growth'!$C$15,+'4. Customer Growth'!$C$18,+IF($C20='4. Customer Growth'!$E$15,+'4. Customer Growth'!$E$18,+IF($C20='4. Customer Growth'!$G$15,+'4. Customer Growth'!$G$18,+IF($C20='4. Customer Growth'!$I$15,+'4. Customer Growth'!$I$18,+IF($C20='4. Customer Growth'!$K$15,+'4. Customer Growth'!$K$18,+IF($C20='4. Customer Growth'!$M$15,+'4. Customer Growth'!$M$18,IF($C20='4. Customer Growth'!$O$15,+'4. Customer Growth'!$O$18)))))))</f>
        <v>1043</v>
      </c>
      <c r="G20" s="506">
        <f>IF($C20='4. Customer Growth'!$C$15,+'4. Customer Growth'!$C$19,+IF($C20='4. Customer Growth'!$E$15,+'4. Customer Growth'!$E$19,+IF($C20='4. Customer Growth'!$G$15,+'4. Customer Growth'!$G$19,+IF($C20='4. Customer Growth'!$I$15,+'4. Customer Growth'!$I$19,+IF($C20='4. Customer Growth'!$K$15,+'4. Customer Growth'!$K$19,+IF($C20='4. Customer Growth'!$M$15,+'4. Customer Growth'!$M$19,IF($C20='4. Customer Growth'!$O$15,+'4. Customer Growth'!$O$19)))))))</f>
        <v>1047.5</v>
      </c>
      <c r="H20" s="506">
        <f>IF($C20='4. Customer Growth'!$C$15,+'4. Customer Growth'!$C$20,+IF($C20='4. Customer Growth'!$E$15,+'4. Customer Growth'!$E$20,+IF($C20='4. Customer Growth'!$G$15,+'4. Customer Growth'!$G$20,+IF($C20='4. Customer Growth'!$I$15,+'4. Customer Growth'!$I$20,+IF($C20='4. Customer Growth'!$K$15,+'4. Customer Growth'!$K$20,+IF($C20='4. Customer Growth'!$M$15,+'4. Customer Growth'!$M$20,IF($C20='4. Customer Growth'!$O$15,+'4. Customer Growth'!$O$20)))))))</f>
        <v>1062.5</v>
      </c>
      <c r="I20" s="506">
        <f>IF($C20='4. Customer Growth'!$C$15,+'4. Customer Growth'!$C$21,+IF($C20='4. Customer Growth'!$E$15,+'4. Customer Growth'!$E$21,+IF($C20='4. Customer Growth'!$G$15,+'4. Customer Growth'!$G$21,+IF($C20='4. Customer Growth'!$I$15,+'4. Customer Growth'!$I$21,+IF($C20='4. Customer Growth'!$K$15,+'4. Customer Growth'!$K$21,+IF($C20='4. Customer Growth'!$M$15,+'4. Customer Growth'!$M$21,IF($C20='4. Customer Growth'!$O$15,+'4. Customer Growth'!$O$21)))))))</f>
        <v>1068.5</v>
      </c>
      <c r="J20" s="506">
        <f>IF($C20='4. Customer Growth'!$C$15,+'4. Customer Growth'!$C$22,+IF($C20='4. Customer Growth'!$E$15,+'4. Customer Growth'!$E$22,+IF($C20='4. Customer Growth'!$G$15,+'4. Customer Growth'!$G$22,+IF($C20='4. Customer Growth'!$I$15,+'4. Customer Growth'!$I$22,+IF($C20='4. Customer Growth'!$K$15,+'4. Customer Growth'!$K$22,+IF($C20='4. Customer Growth'!$M$15,+'4. Customer Growth'!$M$22,IF($C20='4. Customer Growth'!$O$15,+'4. Customer Growth'!$O$22)))))))</f>
        <v>1072.5</v>
      </c>
      <c r="K20" s="506">
        <f>IF($C20='4. Customer Growth'!$C$15,+'4. Customer Growth'!$C$23,+IF($C20='4. Customer Growth'!$E$15,+'4. Customer Growth'!$E$23,+IF($C20='4. Customer Growth'!$G$15,+'4. Customer Growth'!$G$23,+IF($C20='4. Customer Growth'!$I$15,+'4. Customer Growth'!$I$23,+IF($C20='4. Customer Growth'!$K$15,+'4. Customer Growth'!$K$23,+IF($C20='4. Customer Growth'!$M$15,+'4. Customer Growth'!$M$23,IF($C20='4. Customer Growth'!$O$15,+'4. Customer Growth'!$O$23)))))))</f>
        <v>1067</v>
      </c>
      <c r="L20" s="506">
        <f>IF($C20='4. Customer Growth'!$C$15,+'4. Customer Growth'!$C$24,+IF($C20='4. Customer Growth'!$E$15,+'4. Customer Growth'!$E$24,+IF($C20='4. Customer Growth'!$G$15,+'4. Customer Growth'!$G$24,+IF($C20='4. Customer Growth'!$I$15,+'4. Customer Growth'!$I$24,+IF($C20='4. Customer Growth'!$K$15,+'4. Customer Growth'!$K$24,+IF($C20='4. Customer Growth'!$M$15,+'4. Customer Growth'!$M$24,IF($C20='4. Customer Growth'!$O$15,+'4. Customer Growth'!$O$24)))))))</f>
        <v>1058</v>
      </c>
      <c r="M20" s="506">
        <f>IF($C20='4. Customer Growth'!$C$15,+'4. Customer Growth'!$C$25,+IF($C20='4. Customer Growth'!$E$15,+'4. Customer Growth'!$E$25,+IF($C20='4. Customer Growth'!$G$15,+'4. Customer Growth'!$G$25,+IF($C20='4. Customer Growth'!$I$15,+'4. Customer Growth'!$I$25,+IF($C20='4. Customer Growth'!$K$15,+'4. Customer Growth'!$K$25,+IF($C20='4. Customer Growth'!$M$15,+'4. Customer Growth'!$M$25,IF($C20='4. Customer Growth'!$O$15,+'4. Customer Growth'!$O$25)))))))</f>
        <v>1068.5</v>
      </c>
      <c r="N20" s="506">
        <f>IF($C20='4. Customer Growth'!$C$15,+'4. Customer Growth'!$C$26,+IF($C20='4. Customer Growth'!$E$15,+'4. Customer Growth'!$E$26,+IF($C20='4. Customer Growth'!$G$15,+'4. Customer Growth'!$G$26,+IF($C20='4. Customer Growth'!$I$15,+'4. Customer Growth'!$I$26,+IF($C20='4. Customer Growth'!$K$15,+'4. Customer Growth'!$K$26,+IF($C20='4. Customer Growth'!$M$15,+'4. Customer Growth'!$M$26,IF($C20='4. Customer Growth'!$O$15,+'4. Customer Growth'!$O$26)))))))</f>
        <v>1077.5</v>
      </c>
      <c r="O20" s="506">
        <f>IF($C20='4. Customer Growth'!$C$15,+'4. Customer Growth'!$C$42,+IF($C20='4. Customer Growth'!$E$15,+'4. Customer Growth'!$E$42,+IF($C20='4. Customer Growth'!$G$15,+'4. Customer Growth'!$G$42,+IF($C20='4. Customer Growth'!$I$15,+'4. Customer Growth'!$I$42,+IF($C20='4. Customer Growth'!$K$15,+'4. Customer Growth'!$K$42,+IF($C20='4. Customer Growth'!$M$15,+'4. Customer Growth'!$M$42,IF($C20='4. Customer Growth'!$O$15,+'4. Customer Growth'!$O$42)))))))</f>
        <v>1082.1545150107602</v>
      </c>
      <c r="P20" s="507">
        <f>IF($C20='4. Customer Growth'!$C$15,+'4. Customer Growth'!$C$43,+IF($C20='4. Customer Growth'!$E$15,+'4. Customer Growth'!$E$43,+IF($C20='4. Customer Growth'!$G$15,+'4. Customer Growth'!$G$43,+IF($C20='4. Customer Growth'!$I$15,+'4. Customer Growth'!$I$43,+IF($C20='4. Customer Growth'!$K$15,+'4. Customer Growth'!$K$43,+IF($C20='4. Customer Growth'!$M$15,+'4. Customer Growth'!$M$43,IF($C20='4. Customer Growth'!$O$15,+'4. Customer Growth'!$O$43)))))))</f>
        <v>1086.8291362952889</v>
      </c>
    </row>
    <row r="21" spans="1:16" x14ac:dyDescent="0.2">
      <c r="B21" s="88"/>
      <c r="C21" s="830"/>
      <c r="D21" s="53" t="s">
        <v>36</v>
      </c>
      <c r="E21" s="506">
        <f>IF($B20=$F$64,+'7. Weather Senstive Class'!$G$21,IF($B20=$F$65,+'7. Weather Senstive Class'!$O$21,IF($B20=$F$66,+'7. Weather Senstive Class'!$W$21,IF($B20=$F$67,+'7. Weather Senstive Class'!$AE$21,IF($B20=$F$68,+'7. Weather Senstive Class'!$AM$21,IF($B20=$F$69,+'8. KW and Non-Weather Sensitive'!$E$21,IF($B20=$F$70,+'8. KW and Non-Weather Sensitive'!$P$21,IF($B20=$F$71,+'8. KW and Non-Weather Sensitive'!$Z$21,IF($B20=$F$72,+'8. KW and Non-Weather Sensitive'!$AJ$21,IF($B20=$F$73,+'8. KW and Non-Weather Sensitive'!$AT$21))))))))))</f>
        <v>32947635.677251581</v>
      </c>
      <c r="F21" s="506">
        <f>IF($B20=$F$64,+'7. Weather Senstive Class'!$G$22,IF($B20=$F$65,+'7. Weather Senstive Class'!$O$22,IF($B20=$F$66,+'7. Weather Senstive Class'!$W$22,IF($B20=$F$67,+'7. Weather Senstive Class'!$AE$22,IF($B20=$F$68,+'7. Weather Senstive Class'!$AM$22,IF($B20=$F$69,+'8. KW and Non-Weather Sensitive'!$E$22,IF($B20=$F$70,+'8. KW and Non-Weather Sensitive'!$P$22,IF($B20=$F$71,+'8. KW and Non-Weather Sensitive'!$Z$22,IF($B20=$F$72,+'8. KW and Non-Weather Sensitive'!$AJ$22,IF($B20=$F$73,+'8. KW and Non-Weather Sensitive'!$AT$22))))))))))</f>
        <v>34123002.621133283</v>
      </c>
      <c r="G21" s="506">
        <f>IF($B20=$F$64,+'7. Weather Senstive Class'!$G$23,IF($B20=$F$65,+'7. Weather Senstive Class'!$O$23,IF($B20=$F$66,+'7. Weather Senstive Class'!$W$23,IF($B20=$F$67,+'7. Weather Senstive Class'!$AE$23,IF($B20=$F$68,+'7. Weather Senstive Class'!$AM$23,IF($B20=$F$69,+'8. KW and Non-Weather Sensitive'!$E$23,IF($B20=$F$70,+'8. KW and Non-Weather Sensitive'!$P$23,IF($B20=$F$71,+'8. KW and Non-Weather Sensitive'!$Z$23,IF($B20=$F$72,+'8. KW and Non-Weather Sensitive'!$AJ$23,IF($B20=$F$73,+'8. KW and Non-Weather Sensitive'!$AT$23))))))))))</f>
        <v>35250366.032868199</v>
      </c>
      <c r="H21" s="506">
        <f>IF($B20=$F$64,+'7. Weather Senstive Class'!$G$24,IF($B20=$F$65,+'7. Weather Senstive Class'!$O$24,IF($B20=$F$66,+'7. Weather Senstive Class'!$W$24,IF($B20=$F$67,+'7. Weather Senstive Class'!$AE$24,IF($B20=$F$68,+'7. Weather Senstive Class'!$AM$24,IF($B20=$F$69,+'8. KW and Non-Weather Sensitive'!$E$24,IF($B20=$F$70,+'8. KW and Non-Weather Sensitive'!$P$24,IF($B20=$F$71,+'8. KW and Non-Weather Sensitive'!$Z$24,IF($B20=$F$72,+'8. KW and Non-Weather Sensitive'!$AJ$24,IF($B20=$F$73,+'8. KW and Non-Weather Sensitive'!$AT$24))))))))))</f>
        <v>35803467.043011874</v>
      </c>
      <c r="I21" s="506">
        <f>IF($B20=$F$64,+'7. Weather Senstive Class'!$G$25,IF($B20=$F$65,+'7. Weather Senstive Class'!$O$25,IF($B20=$F$66,+'7. Weather Senstive Class'!$W$25,IF($B20=$F$67,+'7. Weather Senstive Class'!$AE$25,IF($B20=$F$68,+'7. Weather Senstive Class'!$AM$25,IF($B20=$F$69,+'8. KW and Non-Weather Sensitive'!$E$25,IF($B20=$F$70,+'8. KW and Non-Weather Sensitive'!$P$25,IF($B20=$F$71,+'8. KW and Non-Weather Sensitive'!$Z$25,IF($B20=$F$72,+'8. KW and Non-Weather Sensitive'!$AJ$25,IF($B20=$F$73,+'8. KW and Non-Weather Sensitive'!$AT$25))))))))))</f>
        <v>34496063.808112673</v>
      </c>
      <c r="J21" s="506">
        <f>IF($B20=$F$64,+'7. Weather Senstive Class'!$G$26,IF($B20=$F$65,+'7. Weather Senstive Class'!$O$26,IF($B20=$F$66,+'7. Weather Senstive Class'!$M$26,IF($B20=$F$67,+'7. Weather Senstive Class'!$AE$26,IF($B20=$F$68,+'7. Weather Senstive Class'!$AM$26,IF($B20=$F$69,+'8. KW and Non-Weather Sensitive'!$E$26,IF($B20=$F$70,+'8. KW and Non-Weather Sensitive'!$P$26,IF($B20=$F$71,+'8. KW and Non-Weather Sensitive'!$Z$26,IF($B20=$F$72,+'8. KW and Non-Weather Sensitive'!$AJ$26,IF($B20=$F$73,+'8. KW and Non-Weather Sensitive'!$AT$26))))))))))</f>
        <v>38814986.994877979</v>
      </c>
      <c r="K21" s="506">
        <f>IF($B20=$F$64,+'7. Weather Senstive Class'!$G$27,IF($B20=$F$65,+'7. Weather Senstive Class'!$O$27,IF($B20=$F$66,+'7. Weather Senstive Class'!$W$27,IF($B20=$F$67,+'7. Weather Senstive Class'!$AE$27,IF($B20=$F$68,+'7. Weather Senstive Class'!$AM$27,IF($B20=$F$69,+'8. KW and Non-Weather Sensitive'!$E$27,IF($B20=$F$70,+'8. KW and Non-Weather Sensitive'!$P$27,IF($B20=$F$71,+'8. KW and Non-Weather Sensitive'!$Z$27,IF($B20=$F$72,+'8. KW and Non-Weather Sensitive'!$AJ$27,IF($B20=$F$73,+'8. KW and Non-Weather Sensitive'!$AT$27))))))))))</f>
        <v>33200382.221462574</v>
      </c>
      <c r="L21" s="506">
        <f>IF($B20=$F$64,+'7. Weather Senstive Class'!$G$28,IF($B20=$F$65,+'7. Weather Senstive Class'!$O$28,IF($B20=$F$66,+'7. Weather Senstive Class'!$W$28,IF($B20=$F$67,+'7. Weather Senstive Class'!$AE$28,IF($B20=$F$68,+'7. Weather Senstive Class'!$AM$28,IF($B20=$F$69,+'8. KW and Non-Weather Sensitive'!$E$28,IF($B20=$F$70,+'8. KW and Non-Weather Sensitive'!$P$28,IF($B20=$F$71,+'8. KW and Non-Weather Sensitive'!$Z$28,IF($B20=$F$72,+'8. KW and Non-Weather Sensitive'!$AJ$28,IF($B20=$F$73,+'8. KW and Non-Weather Sensitive'!$AT$28))))))))))</f>
        <v>33337507.077357363</v>
      </c>
      <c r="M21" s="506">
        <f>IF($B20=$F$64,+'7. Weather Senstive Class'!$G$29,IF($B20=$F$65,+'7. Weather Senstive Class'!$O$29,IF($B20=$F$66,+'7. Weather Senstive Class'!$W$29,IF($B20=$F$67,+'7. Weather Senstive Class'!$AE$29,IF($B20=$F$68,+'7. Weather Senstive Class'!$AM$29,IF($B20=$F$69,+'8. KW and Non-Weather Sensitive'!$E$29,IF($B20=$F$70,+'8. KW and Non-Weather Sensitive'!$P$29,IF($B20=$F$71,+'8. KW and Non-Weather Sensitive'!$Z$29,IF($B20=$F$72,+'8. KW and Non-Weather Sensitive'!$AJ$29,IF($B20=$F$73,+'8. KW and Non-Weather Sensitive'!$AT$29))))))))))</f>
        <v>32425865.201663207</v>
      </c>
      <c r="N21" s="506">
        <f>IF($B20=$F$64,+'7. Weather Senstive Class'!$G$30,IF($B20=$F$65,+'7. Weather Senstive Class'!$O$30,IF($B20=$F$66,+'7. Weather Senstive Class'!$W$30,IF($B20=$F$67,+'7. Weather Senstive Class'!$AE$30,IF($B20=$F$68,+'7. Weather Senstive Class'!$AM$30,IF($B20=$F$69,+'8. KW and Non-Weather Sensitive'!$E$30,IF($B20=$F$70,+'8. KW and Non-Weather Sensitive'!$P$30,IF($B20=$F$71,+'8. KW and Non-Weather Sensitive'!$Z$30,IF($B20=$F$72,+'8. KW and Non-Weather Sensitive'!$AJ$30,IF($B20=$F$73,+'8. KW and Non-Weather Sensitive'!$AT$30))))))))))</f>
        <v>32930701.274226837</v>
      </c>
      <c r="O21" s="506">
        <f>IF($B20=$F$64,+'7. Weather Senstive Class'!$H$42,IF($B20=$F$65,+'7. Weather Senstive Class'!$P$42,IF($B20=$F$66,+'7. Weather Senstive Class'!$X$42,IF($B20=$F$67,+'7. Weather Senstive Class'!$AF$42,IF($B20=$F$68,+'7. Weather Senstive Class'!$AN$42,IF($B20=$F$69,+'8. KW and Non-Weather Sensitive'!$I$49,IF($B20=$F$70,+'8. KW and Non-Weather Sensitive'!$T$49,IF($B20=$F$71,+'8. KW and Non-Weather Sensitive'!$AD$49,IF($B20=$F$72,+'8. KW and Non-Weather Sensitive'!$AN$49,IF($B20=$F$73,+'8. KW and Non-Weather Sensitive'!$AX$49))))))))))</f>
        <v>33252586.513426181</v>
      </c>
      <c r="P21" s="507">
        <f>IF($B20=$F$64,+'7. Weather Senstive Class'!$H$43,IF($B20=$F$65,+'7. Weather Senstive Class'!$P$43,IF($B20=$F$66,+'7. Weather Senstive Class'!$X$43,IF($B20=$F$67,+'7. Weather Senstive Class'!$AF$43,IF($B20=$F$68,+'7. Weather Senstive Class'!$AN$43,IF($B20=$F$69,+'8. KW and Non-Weather Sensitive'!$I$50,IF($B20=$F$70,+'8. KW and Non-Weather Sensitive'!$T$50,IF($B20=$F$71,+'8. KW and Non-Weather Sensitive'!$AD$50,IF($B20=$F$72,+'8. KW and Non-Weather Sensitive'!$AN$50,IF($B20=$F$73,+'8. KW and Non-Weather Sensitive'!$AX$50))))))))))</f>
        <v>33314440.792201336</v>
      </c>
    </row>
    <row r="22" spans="1:16" x14ac:dyDescent="0.2">
      <c r="B22" s="88"/>
      <c r="C22" s="830"/>
      <c r="D22" s="53" t="s">
        <v>37</v>
      </c>
      <c r="E22" s="404">
        <f>IF(B$16=$F$69,+'8. KW and Non-Weather Sensitive'!$F$21,IF($B20=$F$70,+'8. KW and Non-Weather Sensitive'!$Q$21,IF($B20=$F$71,+'8. KW and Non-Weather Sensitive'!$AA$21,IF($B20=$F$72,+'8. KW and Non-Weather Sensitive'!$AK$21,+IF($B20=$F$73,+'8. KW and Non-Weather Sensitive'!$AU$21,0)))))</f>
        <v>0</v>
      </c>
      <c r="F22" s="404">
        <f>IF($B20=$F$69,+'8. KW and Non-Weather Sensitive'!$F$22,IF($B20=$F$70,+'8. KW and Non-Weather Sensitive'!$Q$22,IF($B20=$F$71,+'8. KW and Non-Weather Sensitive'!$AA$22,IF($B20=$F$72,+'8. KW and Non-Weather Sensitive'!$AK$22,+IF($B20=$F$73,+'8. KW and Non-Weather Sensitive'!$AU$22,0)))))</f>
        <v>0</v>
      </c>
      <c r="G22" s="404">
        <f>IF($B20=$F$69,+'8. KW and Non-Weather Sensitive'!$F$23,IF($B20=$F$70,+'8. KW and Non-Weather Sensitive'!$Q$23,IF($B20=$F$71,+'8. KW and Non-Weather Sensitive'!$AA$23,IF($B20=$F$72,+'8. KW and Non-Weather Sensitive'!$AK$23,+IF($B20=$F$73,+'8. KW and Non-Weather Sensitive'!$AU$23,0)))))</f>
        <v>0</v>
      </c>
      <c r="H22" s="404">
        <f>IF($B20=$F$69,+'8. KW and Non-Weather Sensitive'!$F$24,IF($B20=$F$70,+'8. KW and Non-Weather Sensitive'!$Q$24,IF($B20=$F$71,+'8. KW and Non-Weather Sensitive'!$AA$24,IF($B20=$F$72,+'8. KW and Non-Weather Sensitive'!$AK$24,+IF($B20=$F$73,+'8. KW and Non-Weather Sensitive'!$AU$24,0)))))</f>
        <v>0</v>
      </c>
      <c r="I22" s="404">
        <f>IF($B20=$F$69,+'8. KW and Non-Weather Sensitive'!$F$25,IF($B20=$F$70,+'8. KW and Non-Weather Sensitive'!$Q$25,IF($B20=$F$71,+'8. KW and Non-Weather Sensitive'!$AA$25,IF($B20=$F$72,+'8. KW and Non-Weather Sensitive'!$AK$25,+IF($B20=$F$73,+'8. KW and Non-Weather Sensitive'!$AU$25,0)))))</f>
        <v>0</v>
      </c>
      <c r="J22" s="404">
        <f>IF($B20=$F$69,+'8. KW and Non-Weather Sensitive'!$F$26,IF($B20=$F$70,+'8. KW and Non-Weather Sensitive'!$Q$26,IF($B20=$F$71,+'8. KW and Non-Weather Sensitive'!$AA$26,IF($B20=$F$72,+'8. KW and Non-Weather Sensitive'!$AK$26,+IF($B20=$F$73,+'8. KW and Non-Weather Sensitive'!$AU$26,0)))))</f>
        <v>0</v>
      </c>
      <c r="K22" s="404">
        <f>IF($B20=$F$69,+'8. KW and Non-Weather Sensitive'!$F$27,IF($B20=$F$70,+'8. KW and Non-Weather Sensitive'!$Q$27,IF($B20=$F$71,+'8. KW and Non-Weather Sensitive'!$AA$27,IF($B20=$F$72,+'8. KW and Non-Weather Sensitive'!$AK$27,+IF($B20=$F$73,+'8. KW and Non-Weather Sensitive'!$AU$27,0)))))</f>
        <v>0</v>
      </c>
      <c r="L22" s="404">
        <f>IF($B20=$F$69,+'8. KW and Non-Weather Sensitive'!$F$28,IF($B20=$F$70,+'8. KW and Non-Weather Sensitive'!$Q$28,IF($B20=$F$71,+'8. KW and Non-Weather Sensitive'!$AA$28,IF($B20=$F$72,+'8. KW and Non-Weather Sensitive'!$AK$28,+IF($B20=$F$73,+'8. KW and Non-Weather Sensitive'!$AU$28,0)))))</f>
        <v>0</v>
      </c>
      <c r="M22" s="404">
        <f>IF($B20=$F$69,+'8. KW and Non-Weather Sensitive'!$F$29,IF($B20=$F$70,+'8. KW and Non-Weather Sensitive'!$Q$29,IF($B20=$F$71,+'8. KW and Non-Weather Sensitive'!$AA$29,IF($B20=$F$72,+'8. KW and Non-Weather Sensitive'!$AK$29,+IF($B20=$F$73,+'8. KW and Non-Weather Sensitive'!$AU$29,0)))))</f>
        <v>0</v>
      </c>
      <c r="N22" s="404">
        <f>IF($B20=$F$69,+'8. KW and Non-Weather Sensitive'!$F$30,IF($B20=$F$70,+'8. KW and Non-Weather Sensitive'!$Q$30,IF($B20=$F$71,+'8. KW and Non-Weather Sensitive'!$AA$30,IF($B20=$F$72,+'8. KW and Non-Weather Sensitive'!$AK$30,+IF($B20=$F$73,+'8. KW and Non-Weather Sensitive'!$AU$30,0)))))</f>
        <v>0</v>
      </c>
      <c r="O22" s="404">
        <f>IF($B20=$F$69,+'8. KW and Non-Weather Sensitive'!$J$49,IF($B20=$F$70,+'8. KW and Non-Weather Sensitive'!$U$49,IF($B20=$F$71,+'8. KW and Non-Weather Sensitive'!$AE$49,IF($B20=$F$72,+'8. KW and Non-Weather Sensitive'!$AO$49,+IF($B20=$F$73,+'8. KW and Non-Weather Sensitive'!$AY$49,0)))))</f>
        <v>0</v>
      </c>
      <c r="P22" s="508">
        <f>IF($B20=$F$69,+'8. KW and Non-Weather Sensitive'!$J$50,IF($B20=$F$70,+'8. KW and Non-Weather Sensitive'!$U$50,IF($B20=$F$71,+'8. KW and Non-Weather Sensitive'!$AE$50,IF($B20=$F$72,+'8. KW and Non-Weather Sensitive'!$AO$50,+IF($B20=$F$73,+'8. KW and Non-Weather Sensitive'!$AY$50,0)))))</f>
        <v>0</v>
      </c>
    </row>
    <row r="23" spans="1:16" x14ac:dyDescent="0.2">
      <c r="B23" s="88"/>
      <c r="C23" s="830"/>
      <c r="D23" s="53"/>
      <c r="E23" s="404"/>
      <c r="F23" s="404"/>
      <c r="G23" s="404"/>
      <c r="H23" s="404"/>
      <c r="I23" s="404"/>
      <c r="J23" s="404"/>
      <c r="K23" s="404"/>
      <c r="L23" s="404"/>
      <c r="M23" s="404"/>
      <c r="N23" s="404"/>
      <c r="O23" s="405"/>
      <c r="P23" s="406"/>
    </row>
    <row r="24" spans="1:16" x14ac:dyDescent="0.2">
      <c r="B24" s="730" t="s">
        <v>282</v>
      </c>
      <c r="C24" s="729" t="str">
        <f>IF($B24=$F$64,+$B$64,+IF($B24=$F$65,+$B$65,+IF($B24=$F$66,+$B$66,+IF($B24=$F$66,$B$66,+IF($B24=$F$67,+$B$67,+IF($B24=$F$68,+$B$68,+IF($B24=$F$69,+$B$69,+IF($B24=$F$70,+$B$70,+IF($B24=$F$71,+$B$71,+IF($B24=$F$72,+$B$72,+IF($B24=$F$73,+$B$73)))))))))))</f>
        <v>General Service &gt; 50 kW - 2999 kW</v>
      </c>
      <c r="D24" s="87" t="s">
        <v>129</v>
      </c>
      <c r="E24" s="506">
        <f>IF($C24='4. Customer Growth'!$C$15,+'4. Customer Growth'!$C$17,+IF($C24='4. Customer Growth'!$E$15,+'4. Customer Growth'!$E$17,+IF($C24='4. Customer Growth'!$G$15,+'4. Customer Growth'!$G$17,+IF($C24='4. Customer Growth'!$I$15,+'4. Customer Growth'!$I$17,+IF($C24='4. Customer Growth'!$K$15,+'4. Customer Growth'!$K$17,+IF($C24='4. Customer Growth'!$M$15,+'4. Customer Growth'!$M$17,IF($C24='4. Customer Growth'!$O$15,+'4. Customer Growth'!$O$17)))))))</f>
        <v>145.5</v>
      </c>
      <c r="F24" s="506">
        <f>IF($C24='4. Customer Growth'!$C$15,+'4. Customer Growth'!$C$18,+IF($C24='4. Customer Growth'!$E$15,+'4. Customer Growth'!$E$18,+IF($C24='4. Customer Growth'!$G$15,+'4. Customer Growth'!$G$18,+IF($C24='4. Customer Growth'!$I$15,+'4. Customer Growth'!$I$18,+IF($C24='4. Customer Growth'!$K$15,+'4. Customer Growth'!$K$18,+IF($C24='4. Customer Growth'!$M$15,+'4. Customer Growth'!$M$18,IF($C24='4. Customer Growth'!$O$15,+'4. Customer Growth'!$O$18)))))))</f>
        <v>147.5</v>
      </c>
      <c r="G24" s="506">
        <f>IF($C24='4. Customer Growth'!$C$15,+'4. Customer Growth'!$C$19,+IF($C24='4. Customer Growth'!$E$15,+'4. Customer Growth'!$E$19,+IF($C24='4. Customer Growth'!$G$15,+'4. Customer Growth'!$G$19,+IF($C24='4. Customer Growth'!$I$15,+'4. Customer Growth'!$I$19,+IF($C24='4. Customer Growth'!$K$15,+'4. Customer Growth'!$K$19,+IF($C24='4. Customer Growth'!$M$15,+'4. Customer Growth'!$M$19,IF($C24='4. Customer Growth'!$O$15,+'4. Customer Growth'!$O$19)))))))</f>
        <v>133</v>
      </c>
      <c r="H24" s="506">
        <f>IF($C24='4. Customer Growth'!$C$15,+'4. Customer Growth'!$C$20,+IF($C24='4. Customer Growth'!$E$15,+'4. Customer Growth'!$E$20,+IF($C24='4. Customer Growth'!$G$15,+'4. Customer Growth'!$G$20,+IF($C24='4. Customer Growth'!$I$15,+'4. Customer Growth'!$I$20,+IF($C24='4. Customer Growth'!$K$15,+'4. Customer Growth'!$K$20,+IF($C24='4. Customer Growth'!$M$15,+'4. Customer Growth'!$M$20,IF($C24='4. Customer Growth'!$O$15,+'4. Customer Growth'!$O$20)))))))</f>
        <v>129.5</v>
      </c>
      <c r="I24" s="506">
        <f>IF($C24='4. Customer Growth'!$C$15,+'4. Customer Growth'!$C$21,+IF($C24='4. Customer Growth'!$E$15,+'4. Customer Growth'!$E$21,+IF($C24='4. Customer Growth'!$G$15,+'4. Customer Growth'!$G$21,+IF($C24='4. Customer Growth'!$I$15,+'4. Customer Growth'!$I$21,+IF($C24='4. Customer Growth'!$K$15,+'4. Customer Growth'!$K$21,+IF($C24='4. Customer Growth'!$M$15,+'4. Customer Growth'!$M$21,IF($C24='4. Customer Growth'!$O$15,+'4. Customer Growth'!$O$21)))))))</f>
        <v>131</v>
      </c>
      <c r="J24" s="506">
        <f>IF($C24='4. Customer Growth'!$C$15,+'4. Customer Growth'!$C$22,+IF($C24='4. Customer Growth'!$E$15,+'4. Customer Growth'!$E$22,+IF($C24='4. Customer Growth'!$G$15,+'4. Customer Growth'!$G$22,+IF($C24='4. Customer Growth'!$I$15,+'4. Customer Growth'!$I$22,+IF($C24='4. Customer Growth'!$K$15,+'4. Customer Growth'!$K$22,+IF($C24='4. Customer Growth'!$M$15,+'4. Customer Growth'!$M$22,IF($C24='4. Customer Growth'!$O$15,+'4. Customer Growth'!$O$22)))))))</f>
        <v>131.5</v>
      </c>
      <c r="K24" s="506">
        <f>IF($C24='4. Customer Growth'!$C$15,+'4. Customer Growth'!$C$23,+IF($C24='4. Customer Growth'!$E$15,+'4. Customer Growth'!$E$23,+IF($C24='4. Customer Growth'!$G$15,+'4. Customer Growth'!$G$23,+IF($C24='4. Customer Growth'!$I$15,+'4. Customer Growth'!$I$23,+IF($C24='4. Customer Growth'!$K$15,+'4. Customer Growth'!$K$23,+IF($C24='4. Customer Growth'!$M$15,+'4. Customer Growth'!$M$23,IF($C24='4. Customer Growth'!$O$15,+'4. Customer Growth'!$O$23)))))))</f>
        <v>137</v>
      </c>
      <c r="L24" s="506">
        <f>IF($C24='4. Customer Growth'!$C$15,+'4. Customer Growth'!$C$24,+IF($C24='4. Customer Growth'!$E$15,+'4. Customer Growth'!$E$24,+IF($C24='4. Customer Growth'!$G$15,+'4. Customer Growth'!$G$24,+IF($C24='4. Customer Growth'!$I$15,+'4. Customer Growth'!$I$24,+IF($C24='4. Customer Growth'!$K$15,+'4. Customer Growth'!$K$24,+IF($C24='4. Customer Growth'!$M$15,+'4. Customer Growth'!$M$24,IF($C24='4. Customer Growth'!$O$15,+'4. Customer Growth'!$O$24)))))))</f>
        <v>141.5</v>
      </c>
      <c r="M24" s="506">
        <f>IF($C24='4. Customer Growth'!$C$15,+'4. Customer Growth'!$C$25,+IF($C24='4. Customer Growth'!$E$15,+'4. Customer Growth'!$E$25,+IF($C24='4. Customer Growth'!$G$15,+'4. Customer Growth'!$G$25,+IF($C24='4. Customer Growth'!$I$15,+'4. Customer Growth'!$I$25,+IF($C24='4. Customer Growth'!$K$15,+'4. Customer Growth'!$K$25,+IF($C24='4. Customer Growth'!$M$15,+'4. Customer Growth'!$M$25,IF($C24='4. Customer Growth'!$O$15,+'4. Customer Growth'!$O$25)))))))</f>
        <v>138</v>
      </c>
      <c r="N24" s="506">
        <f>IF($C24='4. Customer Growth'!$C$15,+'4. Customer Growth'!$C$26,+IF($C24='4. Customer Growth'!$E$15,+'4. Customer Growth'!$E$26,+IF($C24='4. Customer Growth'!$G$15,+'4. Customer Growth'!$G$26,+IF($C24='4. Customer Growth'!$I$15,+'4. Customer Growth'!$I$26,+IF($C24='4. Customer Growth'!$K$15,+'4. Customer Growth'!$K$26,+IF($C24='4. Customer Growth'!$M$15,+'4. Customer Growth'!$M$26,IF($C24='4. Customer Growth'!$O$15,+'4. Customer Growth'!$O$26)))))))</f>
        <v>134</v>
      </c>
      <c r="O24" s="506">
        <f>IF($C24='4. Customer Growth'!$C$15,+'4. Customer Growth'!$C$42,+IF($C24='4. Customer Growth'!$E$15,+'4. Customer Growth'!$E$42,+IF($C24='4. Customer Growth'!$G$15,+'4. Customer Growth'!$G$42,+IF($C24='4. Customer Growth'!$I$15,+'4. Customer Growth'!$I$42,+IF($C24='4. Customer Growth'!$K$15,+'4. Customer Growth'!$K$42,+IF($C24='4. Customer Growth'!$M$15,+'4. Customer Growth'!$M$42,IF($C24='4. Customer Growth'!$O$15,+'4. Customer Growth'!$O$42)))))))</f>
        <v>132.77969465471912</v>
      </c>
      <c r="P24" s="507">
        <f>IF($C24='4. Customer Growth'!$C$15,+'4. Customer Growth'!$C$43,+IF($C24='4. Customer Growth'!$E$15,+'4. Customer Growth'!$E$43,+IF($C24='4. Customer Growth'!$G$15,+'4. Customer Growth'!$G$43,+IF($C24='4. Customer Growth'!$I$15,+'4. Customer Growth'!$I$43,+IF($C24='4. Customer Growth'!$K$15,+'4. Customer Growth'!$K$43,+IF($C24='4. Customer Growth'!$M$15,+'4. Customer Growth'!$M$43,IF($C24='4. Customer Growth'!$O$15,+'4. Customer Growth'!$O$43)))))))</f>
        <v>131.57050233283914</v>
      </c>
    </row>
    <row r="25" spans="1:16" x14ac:dyDescent="0.2">
      <c r="B25" s="88"/>
      <c r="C25" s="830"/>
      <c r="D25" s="53" t="s">
        <v>36</v>
      </c>
      <c r="E25" s="506">
        <f>IF($B24=$F$64,+'7. Weather Senstive Class'!$G$21,IF($B24=$F$65,+'7. Weather Senstive Class'!$O$21,IF($B24=$F$66,+'7. Weather Senstive Class'!$W$21,IF($B24=$F$67,+'7. Weather Senstive Class'!$AE$21,IF($B24=$F$68,+'7. Weather Senstive Class'!$AM$21,IF($B24=$F$69,+'8. KW and Non-Weather Sensitive'!$E$21,IF($B24=$F$70,+'8. KW and Non-Weather Sensitive'!$P$21,IF($B24=$F$71,+'8. KW and Non-Weather Sensitive'!$Z$21,IF($B24=$F$72,+'8. KW and Non-Weather Sensitive'!$AJ$21,IF($B24=$F$73,+'8. KW and Non-Weather Sensitive'!$AT$21))))))))))</f>
        <v>120975702</v>
      </c>
      <c r="F25" s="506">
        <f>IF($B24=$F$64,+'7. Weather Senstive Class'!$G$22,IF($B24=$F$65,+'7. Weather Senstive Class'!$O$22,IF($B24=$F$66,+'7. Weather Senstive Class'!$W$22,IF($B24=$F$67,+'7. Weather Senstive Class'!$AE$22,IF($B24=$F$68,+'7. Weather Senstive Class'!$AM$22,IF($B24=$F$69,+'8. KW and Non-Weather Sensitive'!$E$22,IF($B24=$F$70,+'8. KW and Non-Weather Sensitive'!$P$22,IF($B24=$F$71,+'8. KW and Non-Weather Sensitive'!$Z$22,IF($B24=$F$72,+'8. KW and Non-Weather Sensitive'!$AJ$22,IF($B24=$F$73,+'8. KW and Non-Weather Sensitive'!$AT$22))))))))))</f>
        <v>122417181</v>
      </c>
      <c r="G25" s="506">
        <f>IF($B24=$F$64,+'7. Weather Senstive Class'!$G$23,IF($B24=$F$65,+'7. Weather Senstive Class'!$O$23,IF($B24=$F$66,+'7. Weather Senstive Class'!$W$23,IF($B24=$F$67,+'7. Weather Senstive Class'!$AE$23,IF($B24=$F$68,+'7. Weather Senstive Class'!$AM$23,IF($B24=$F$69,+'8. KW and Non-Weather Sensitive'!$E$23,IF($B24=$F$70,+'8. KW and Non-Weather Sensitive'!$P$23,IF($B24=$F$71,+'8. KW and Non-Weather Sensitive'!$Z$23,IF($B24=$F$72,+'8. KW and Non-Weather Sensitive'!$AJ$23,IF($B24=$F$73,+'8. KW and Non-Weather Sensitive'!$AT$23))))))))))</f>
        <v>121003376</v>
      </c>
      <c r="H25" s="506">
        <f>IF($B24=$F$64,+'7. Weather Senstive Class'!$G$24,IF($B24=$F$65,+'7. Weather Senstive Class'!$O$24,IF($B24=$F$66,+'7. Weather Senstive Class'!$W$24,IF($B24=$F$67,+'7. Weather Senstive Class'!$AE$24,IF($B24=$F$68,+'7. Weather Senstive Class'!$AM$24,IF($B24=$F$69,+'8. KW and Non-Weather Sensitive'!$E$24,IF($B24=$F$70,+'8. KW and Non-Weather Sensitive'!$P$24,IF($B24=$F$71,+'8. KW and Non-Weather Sensitive'!$Z$24,IF($B24=$F$72,+'8. KW and Non-Weather Sensitive'!$AJ$24,IF($B24=$F$73,+'8. KW and Non-Weather Sensitive'!$AT$24))))))))))</f>
        <v>114875960</v>
      </c>
      <c r="I25" s="506">
        <f>IF($B24=$F$64,+'7. Weather Senstive Class'!$G$25,IF($B24=$F$65,+'7. Weather Senstive Class'!$O$25,IF($B24=$F$66,+'7. Weather Senstive Class'!$W$25,IF($B24=$F$67,+'7. Weather Senstive Class'!$AE$25,IF($B24=$F$68,+'7. Weather Senstive Class'!$AM$25,IF($B24=$F$69,+'8. KW and Non-Weather Sensitive'!$E$25,IF($B24=$F$70,+'8. KW and Non-Weather Sensitive'!$P$25,IF($B24=$F$71,+'8. KW and Non-Weather Sensitive'!$Z$25,IF($B24=$F$72,+'8. KW and Non-Weather Sensitive'!$AJ$25,IF($B24=$F$73,+'8. KW and Non-Weather Sensitive'!$AT$25))))))))))</f>
        <v>120290733</v>
      </c>
      <c r="J25" s="506">
        <f>IF($B24=$F$64,+'7. Weather Senstive Class'!$G$26,IF($B24=$F$65,+'7. Weather Senstive Class'!$O$26,IF($B24=$F$66,+'7. Weather Senstive Class'!$M$26,IF($B24=$F$67,+'7. Weather Senstive Class'!$AE$26,IF($B24=$F$68,+'7. Weather Senstive Class'!$AM$26,IF($B24=$F$69,+'8. KW and Non-Weather Sensitive'!$E$26,IF($B24=$F$70,+'8. KW and Non-Weather Sensitive'!$P$26,IF($B24=$F$71,+'8. KW and Non-Weather Sensitive'!$Z$26,IF($B24=$F$72,+'8. KW and Non-Weather Sensitive'!$AJ$26,IF($B24=$F$73,+'8. KW and Non-Weather Sensitive'!$AT$26))))))))))</f>
        <v>120834914</v>
      </c>
      <c r="K25" s="506">
        <f>IF($B24=$F$64,+'7. Weather Senstive Class'!$G$27,IF($B24=$F$65,+'7. Weather Senstive Class'!$O$27,IF($B24=$F$66,+'7. Weather Senstive Class'!$W$27,IF($B24=$F$67,+'7. Weather Senstive Class'!$AE$27,IF($B24=$F$68,+'7. Weather Senstive Class'!$AM$27,IF($B24=$F$69,+'8. KW and Non-Weather Sensitive'!$E$27,IF($B24=$F$70,+'8. KW and Non-Weather Sensitive'!$P$27,IF($B24=$F$71,+'8. KW and Non-Weather Sensitive'!$Z$27,IF($B24=$F$72,+'8. KW and Non-Weather Sensitive'!$AJ$27,IF($B24=$F$73,+'8. KW and Non-Weather Sensitive'!$AT$27))))))))))</f>
        <v>128532327</v>
      </c>
      <c r="L25" s="506">
        <f>IF($B24=$F$64,+'7. Weather Senstive Class'!$G$28,IF($B24=$F$65,+'7. Weather Senstive Class'!$O$28,IF($B24=$F$66,+'7. Weather Senstive Class'!$W$28,IF($B24=$F$67,+'7. Weather Senstive Class'!$AE$28,IF($B24=$F$68,+'7. Weather Senstive Class'!$AM$28,IF($B24=$F$69,+'8. KW and Non-Weather Sensitive'!$E$28,IF($B24=$F$70,+'8. KW and Non-Weather Sensitive'!$P$28,IF($B24=$F$71,+'8. KW and Non-Weather Sensitive'!$Z$28,IF($B24=$F$72,+'8. KW and Non-Weather Sensitive'!$AJ$28,IF($B24=$F$73,+'8. KW and Non-Weather Sensitive'!$AT$28))))))))))</f>
        <v>125354819</v>
      </c>
      <c r="M25" s="506">
        <f>IF($B24=$F$64,+'7. Weather Senstive Class'!$G$29,IF($B24=$F$65,+'7. Weather Senstive Class'!$O$29,IF($B24=$F$66,+'7. Weather Senstive Class'!$W$29,IF($B24=$F$67,+'7. Weather Senstive Class'!$AE$29,IF($B24=$F$68,+'7. Weather Senstive Class'!$AM$29,IF($B24=$F$69,+'8. KW and Non-Weather Sensitive'!$E$29,IF($B24=$F$70,+'8. KW and Non-Weather Sensitive'!$P$29,IF($B24=$F$71,+'8. KW and Non-Weather Sensitive'!$Z$29,IF($B24=$F$72,+'8. KW and Non-Weather Sensitive'!$AJ$29,IF($B24=$F$73,+'8. KW and Non-Weather Sensitive'!$AT$29))))))))))</f>
        <v>119336146</v>
      </c>
      <c r="N25" s="506">
        <f>IF($B24=$F$64,+'7. Weather Senstive Class'!$G$30,IF($B24=$F$65,+'7. Weather Senstive Class'!$O$30,IF($B24=$F$66,+'7. Weather Senstive Class'!$W$30,IF($B24=$F$67,+'7. Weather Senstive Class'!$AE$30,IF($B24=$F$68,+'7. Weather Senstive Class'!$AM$30,IF($B24=$F$69,+'8. KW and Non-Weather Sensitive'!$E$30,IF($B24=$F$70,+'8. KW and Non-Weather Sensitive'!$P$30,IF($B24=$F$71,+'8. KW and Non-Weather Sensitive'!$Z$30,IF($B24=$F$72,+'8. KW and Non-Weather Sensitive'!$AJ$30,IF($B24=$F$73,+'8. KW and Non-Weather Sensitive'!$AT$30))))))))))</f>
        <v>115685946</v>
      </c>
      <c r="O25" s="506">
        <f>IF($B24=$F$64,+'7. Weather Senstive Class'!$H$42,IF($B24=$F$65,+'7. Weather Senstive Class'!$P$42,IF($B24=$F$66,+'7. Weather Senstive Class'!$X$42,IF($B24=$F$67,+'7. Weather Senstive Class'!$AF$42,IF($B24=$F$68,+'7. Weather Senstive Class'!$AN$42,IF($B24=$F$69,+'8. KW and Non-Weather Sensitive'!$I$49,IF($B24=$F$70,+'8. KW and Non-Weather Sensitive'!$T$49,IF($B24=$F$71,+'8. KW and Non-Weather Sensitive'!$AD$49,IF($B24=$F$72,+'8. KW and Non-Weather Sensitive'!$AN$49,IF($B24=$F$73,+'8. KW and Non-Weather Sensitive'!$AX$49))))))))))</f>
        <v>116816732.68110102</v>
      </c>
      <c r="P25" s="507">
        <f>IF($B24=$F$64,+'7. Weather Senstive Class'!$H$43,IF($B24=$F$65,+'7. Weather Senstive Class'!$P$43,IF($B24=$F$66,+'7. Weather Senstive Class'!$X$43,IF($B24=$F$67,+'7. Weather Senstive Class'!$AF$43,IF($B24=$F$68,+'7. Weather Senstive Class'!$AN$43,IF($B24=$F$69,+'8. KW and Non-Weather Sensitive'!$I$50,IF($B24=$F$70,+'8. KW and Non-Weather Sensitive'!$T$50,IF($B24=$F$71,+'8. KW and Non-Weather Sensitive'!$AD$50,IF($B24=$F$72,+'8. KW and Non-Weather Sensitive'!$AN$50,IF($B24=$F$73,+'8. KW and Non-Weather Sensitive'!$AX$50))))))))))</f>
        <v>117034027.49953394</v>
      </c>
    </row>
    <row r="26" spans="1:16" x14ac:dyDescent="0.2">
      <c r="B26" s="88"/>
      <c r="C26" s="830"/>
      <c r="D26" s="53" t="s">
        <v>37</v>
      </c>
      <c r="E26" s="404">
        <f>IF(B$24=$F$69,+'8. KW and Non-Weather Sensitive'!$F$21,IF($B24=$F$70,+'8. KW and Non-Weather Sensitive'!$Q$21,IF($B24=$F$71,+'8. KW and Non-Weather Sensitive'!$AA$21,IF($B24=$F$72,+'8. KW and Non-Weather Sensitive'!$AK$21,+IF($B24=$F$73,+'8. KW and Non-Weather Sensitive'!$AU$21,0)))))</f>
        <v>297477.3</v>
      </c>
      <c r="F26" s="404">
        <f>IF($B24=$F$69,+'8. KW and Non-Weather Sensitive'!$F$22,IF($B24=$F$70,+'8. KW and Non-Weather Sensitive'!$Q$22,IF($B24=$F$71,+'8. KW and Non-Weather Sensitive'!$AA$22,IF($B24=$F$72,+'8. KW and Non-Weather Sensitive'!$AK$22,+IF($B24=$F$73,+'8. KW and Non-Weather Sensitive'!$AU$22,0)))))</f>
        <v>300809.10000000003</v>
      </c>
      <c r="G26" s="404">
        <f>IF($B24=$F$69,+'8. KW and Non-Weather Sensitive'!$F$23,IF($B24=$F$70,+'8. KW and Non-Weather Sensitive'!$Q$23,IF($B24=$F$71,+'8. KW and Non-Weather Sensitive'!$AA$23,IF($B24=$F$72,+'8. KW and Non-Weather Sensitive'!$AK$23,+IF($B24=$F$73,+'8. KW and Non-Weather Sensitive'!$AU$23,0)))))</f>
        <v>298912.40000000002</v>
      </c>
      <c r="H26" s="404">
        <f>IF($B24=$F$69,+'8. KW and Non-Weather Sensitive'!$F$24,IF($B24=$F$70,+'8. KW and Non-Weather Sensitive'!$Q$24,IF($B24=$F$71,+'8. KW and Non-Weather Sensitive'!$AA$24,IF($B24=$F$72,+'8. KW and Non-Weather Sensitive'!$AK$24,+IF($B24=$F$73,+'8. KW and Non-Weather Sensitive'!$AU$24,0)))))</f>
        <v>290142.59999999992</v>
      </c>
      <c r="I26" s="404">
        <f>IF($B24=$F$69,+'8. KW and Non-Weather Sensitive'!$F$25,IF($B24=$F$70,+'8. KW and Non-Weather Sensitive'!$Q$25,IF($B24=$F$71,+'8. KW and Non-Weather Sensitive'!$AA$25,IF($B24=$F$72,+'8. KW and Non-Weather Sensitive'!$AK$25,+IF($B24=$F$73,+'8. KW and Non-Weather Sensitive'!$AU$25,0)))))</f>
        <v>299040.51</v>
      </c>
      <c r="J26" s="404">
        <f>IF($B24=$F$69,+'8. KW and Non-Weather Sensitive'!$F$26,IF($B24=$F$70,+'8. KW and Non-Weather Sensitive'!$Q$26,IF($B24=$F$71,+'8. KW and Non-Weather Sensitive'!$AA$26,IF($B24=$F$72,+'8. KW and Non-Weather Sensitive'!$AK$26,+IF($B24=$F$73,+'8. KW and Non-Weather Sensitive'!$AU$26,0)))))</f>
        <v>300129.30000000005</v>
      </c>
      <c r="K26" s="404">
        <f>IF($B24=$F$69,+'8. KW and Non-Weather Sensitive'!$F$27,IF($B24=$F$70,+'8. KW and Non-Weather Sensitive'!$Q$27,IF($B24=$F$71,+'8. KW and Non-Weather Sensitive'!$AA$27,IF($B24=$F$72,+'8. KW and Non-Weather Sensitive'!$AK$27,+IF($B24=$F$73,+'8. KW and Non-Weather Sensitive'!$AU$27,0)))))</f>
        <v>322335</v>
      </c>
      <c r="L26" s="404">
        <f>IF($B24=$F$69,+'8. KW and Non-Weather Sensitive'!$F$28,IF($B24=$F$70,+'8. KW and Non-Weather Sensitive'!$Q$28,IF($B24=$F$71,+'8. KW and Non-Weather Sensitive'!$AA$28,IF($B24=$F$72,+'8. KW and Non-Weather Sensitive'!$AK$28,+IF($B24=$F$73,+'8. KW and Non-Weather Sensitive'!$AU$28,0)))))</f>
        <v>323427</v>
      </c>
      <c r="M26" s="404">
        <f>IF($B24=$F$69,+'8. KW and Non-Weather Sensitive'!$F$29,IF($B24=$F$70,+'8. KW and Non-Weather Sensitive'!$Q$29,IF($B24=$F$71,+'8. KW and Non-Weather Sensitive'!$AA$29,IF($B24=$F$72,+'8. KW and Non-Weather Sensitive'!$AK$29,+IF($B24=$F$73,+'8. KW and Non-Weather Sensitive'!$AU$29,0)))))</f>
        <v>314352.19999999995</v>
      </c>
      <c r="N26" s="404">
        <f>IF($B24=$F$69,+'8. KW and Non-Weather Sensitive'!$F$30,IF($B24=$F$70,+'8. KW and Non-Weather Sensitive'!$Q$30,IF($B24=$F$71,+'8. KW and Non-Weather Sensitive'!$AA$30,IF($B24=$F$72,+'8. KW and Non-Weather Sensitive'!$AK$30,+IF($B24=$F$73,+'8. KW and Non-Weather Sensitive'!$AU$30,0)))))</f>
        <v>306814.40000000002</v>
      </c>
      <c r="O26" s="404">
        <f>IF($B24=$F$69,+'8. KW and Non-Weather Sensitive'!$J$49,IF($B24=$F$70,+'8. KW and Non-Weather Sensitive'!$U$49,IF($B24=$F$71,+'8. KW and Non-Weather Sensitive'!$AE$49,IF($B24=$F$72,+'8. KW and Non-Weather Sensitive'!$AO$49,+IF($B24=$F$73,+'8. KW and Non-Weather Sensitive'!$AY$49,0)))))</f>
        <v>295034.71343124693</v>
      </c>
      <c r="P26" s="508">
        <f>IF($B24=$F$69,+'8. KW and Non-Weather Sensitive'!$J$50,IF($B24=$F$70,+'8. KW and Non-Weather Sensitive'!$U$50,IF($B24=$F$71,+'8. KW and Non-Weather Sensitive'!$AE$50,IF($B24=$F$72,+'8. KW and Non-Weather Sensitive'!$AO$50,+IF($B24=$F$73,+'8. KW and Non-Weather Sensitive'!$AY$50,0)))))</f>
        <v>295583.51763947163</v>
      </c>
    </row>
    <row r="27" spans="1:16" x14ac:dyDescent="0.2">
      <c r="B27" s="88"/>
      <c r="C27" s="830"/>
      <c r="D27" s="53"/>
      <c r="E27" s="404"/>
      <c r="F27" s="404"/>
      <c r="G27" s="404"/>
      <c r="H27" s="404"/>
      <c r="I27" s="404"/>
      <c r="J27" s="404"/>
      <c r="K27" s="404"/>
      <c r="L27" s="404"/>
      <c r="M27" s="404"/>
      <c r="N27" s="404"/>
      <c r="O27" s="405"/>
      <c r="P27" s="406"/>
    </row>
    <row r="28" spans="1:16" x14ac:dyDescent="0.2">
      <c r="B28" s="730" t="s">
        <v>238</v>
      </c>
      <c r="C28" s="729" t="str">
        <f>IF($B28=$F$64,+$B$64,+IF($B28=$F$65,+$B$65,+IF($B28=$F$66,+$B$66,+IF($B28=$F$66,$B$66,+IF($B28=$F$67,+$B$67,+IF($B28=$F$68,+$B$68,+IF($B28=$F$69,+$B$69,+IF($B28=$F$70,+$B$70,+IF($B28=$F$71,+$B$71,+IF($B28=$F$72,+$B$72,+IF($B28=$F$73,+$B$73)))))))))))</f>
        <v>Streetlighting</v>
      </c>
      <c r="D28" s="53" t="s">
        <v>129</v>
      </c>
      <c r="E28" s="506">
        <f>IF($C28='4. Customer Growth'!$C$15,+'4. Customer Growth'!$C$17,+IF($C28='4. Customer Growth'!$E$15,+'4. Customer Growth'!$E$17,+IF($C28='4. Customer Growth'!$G$15,+'4. Customer Growth'!$G$17,+IF($C28='4. Customer Growth'!$I$15,+'4. Customer Growth'!$I$17,+IF($C28='4. Customer Growth'!$K$15,+'4. Customer Growth'!$K$17,+IF($C28='4. Customer Growth'!$M$15,+'4. Customer Growth'!$M$17,IF($C28='4. Customer Growth'!$O$15,+'4. Customer Growth'!$O$17)))))))</f>
        <v>2671</v>
      </c>
      <c r="F28" s="506">
        <f>IF($C28='4. Customer Growth'!$C$15,+'4. Customer Growth'!$C$18,+IF($C28='4. Customer Growth'!$E$15,+'4. Customer Growth'!$E$18,+IF($C28='4. Customer Growth'!$G$15,+'4. Customer Growth'!$G$18,+IF($C28='4. Customer Growth'!$I$15,+'4. Customer Growth'!$I$18,+IF($C28='4. Customer Growth'!$K$15,+'4. Customer Growth'!$K$18,+IF($C28='4. Customer Growth'!$M$15,+'4. Customer Growth'!$M$18,IF($C28='4. Customer Growth'!$O$15,+'4. Customer Growth'!$O$18)))))))</f>
        <v>2743</v>
      </c>
      <c r="G28" s="506">
        <f>IF($C28='4. Customer Growth'!$C$15,+'4. Customer Growth'!$C$19,+IF($C28='4. Customer Growth'!$E$15,+'4. Customer Growth'!$E$19,+IF($C28='4. Customer Growth'!$G$15,+'4. Customer Growth'!$G$19,+IF($C28='4. Customer Growth'!$I$15,+'4. Customer Growth'!$I$19,+IF($C28='4. Customer Growth'!$K$15,+'4. Customer Growth'!$K$19,+IF($C28='4. Customer Growth'!$M$15,+'4. Customer Growth'!$M$19,IF($C28='4. Customer Growth'!$O$15,+'4. Customer Growth'!$O$19)))))))</f>
        <v>2793</v>
      </c>
      <c r="H28" s="506">
        <f>IF($C28='4. Customer Growth'!$C$15,+'4. Customer Growth'!$C$20,+IF($C28='4. Customer Growth'!$E$15,+'4. Customer Growth'!$E$20,+IF($C28='4. Customer Growth'!$G$15,+'4. Customer Growth'!$G$20,+IF($C28='4. Customer Growth'!$I$15,+'4. Customer Growth'!$I$20,+IF($C28='4. Customer Growth'!$K$15,+'4. Customer Growth'!$K$20,+IF($C28='4. Customer Growth'!$M$15,+'4. Customer Growth'!$M$20,IF($C28='4. Customer Growth'!$O$15,+'4. Customer Growth'!$O$20)))))))</f>
        <v>2815.5</v>
      </c>
      <c r="I28" s="506">
        <f>IF($C28='4. Customer Growth'!$C$15,+'4. Customer Growth'!$C$21,+IF($C28='4. Customer Growth'!$E$15,+'4. Customer Growth'!$E$21,+IF($C28='4. Customer Growth'!$G$15,+'4. Customer Growth'!$G$21,+IF($C28='4. Customer Growth'!$I$15,+'4. Customer Growth'!$I$21,+IF($C28='4. Customer Growth'!$K$15,+'4. Customer Growth'!$K$21,+IF($C28='4. Customer Growth'!$M$15,+'4. Customer Growth'!$M$21,IF($C28='4. Customer Growth'!$O$15,+'4. Customer Growth'!$O$21)))))))</f>
        <v>2752</v>
      </c>
      <c r="J28" s="506">
        <f>IF($C28='4. Customer Growth'!$C$15,+'4. Customer Growth'!$C$22,+IF($C28='4. Customer Growth'!$E$15,+'4. Customer Growth'!$E$22,+IF($C28='4. Customer Growth'!$G$15,+'4. Customer Growth'!$G$22,+IF($C28='4. Customer Growth'!$I$15,+'4. Customer Growth'!$I$22,+IF($C28='4. Customer Growth'!$K$15,+'4. Customer Growth'!$K$22,+IF($C28='4. Customer Growth'!$M$15,+'4. Customer Growth'!$M$22,IF($C28='4. Customer Growth'!$O$15,+'4. Customer Growth'!$O$22)))))))</f>
        <v>2759</v>
      </c>
      <c r="K28" s="506">
        <f>IF($C28='4. Customer Growth'!$C$15,+'4. Customer Growth'!$C$23,+IF($C28='4. Customer Growth'!$E$15,+'4. Customer Growth'!$E$23,+IF($C28='4. Customer Growth'!$G$15,+'4. Customer Growth'!$G$23,+IF($C28='4. Customer Growth'!$I$15,+'4. Customer Growth'!$I$23,+IF($C28='4. Customer Growth'!$K$15,+'4. Customer Growth'!$K$23,+IF($C28='4. Customer Growth'!$M$15,+'4. Customer Growth'!$M$23,IF($C28='4. Customer Growth'!$O$15,+'4. Customer Growth'!$O$23)))))))</f>
        <v>2802</v>
      </c>
      <c r="L28" s="506">
        <f>IF($C28='4. Customer Growth'!$C$15,+'4. Customer Growth'!$C$24,+IF($C28='4. Customer Growth'!$E$15,+'4. Customer Growth'!$E$24,+IF($C28='4. Customer Growth'!$G$15,+'4. Customer Growth'!$G$24,+IF($C28='4. Customer Growth'!$I$15,+'4. Customer Growth'!$I$24,+IF($C28='4. Customer Growth'!$K$15,+'4. Customer Growth'!$K$24,+IF($C28='4. Customer Growth'!$M$15,+'4. Customer Growth'!$M$24,IF($C28='4. Customer Growth'!$O$15,+'4. Customer Growth'!$O$24)))))))</f>
        <v>2862</v>
      </c>
      <c r="M28" s="506">
        <f>IF($C28='4. Customer Growth'!$C$15,+'4. Customer Growth'!$C$25,+IF($C28='4. Customer Growth'!$E$15,+'4. Customer Growth'!$E$25,+IF($C28='4. Customer Growth'!$G$15,+'4. Customer Growth'!$G$25,+IF($C28='4. Customer Growth'!$I$15,+'4. Customer Growth'!$I$25,+IF($C28='4. Customer Growth'!$K$15,+'4. Customer Growth'!$K$25,+IF($C28='4. Customer Growth'!$M$15,+'4. Customer Growth'!$M$25,IF($C28='4. Customer Growth'!$O$15,+'4. Customer Growth'!$O$25)))))))</f>
        <v>2634</v>
      </c>
      <c r="N28" s="506">
        <f>IF($C28='4. Customer Growth'!$C$15,+'4. Customer Growth'!$C$26,+IF($C28='4. Customer Growth'!$E$15,+'4. Customer Growth'!$E$26,+IF($C28='4. Customer Growth'!$G$15,+'4. Customer Growth'!$G$26,+IF($C28='4. Customer Growth'!$I$15,+'4. Customer Growth'!$I$26,+IF($C28='4. Customer Growth'!$K$15,+'4. Customer Growth'!$K$26,+IF($C28='4. Customer Growth'!$M$15,+'4. Customer Growth'!$M$26,IF($C28='4. Customer Growth'!$O$15,+'4. Customer Growth'!$O$26)))))))</f>
        <v>2694</v>
      </c>
      <c r="O28" s="506">
        <f>IF($C28='4. Customer Growth'!$C$15,+'4. Customer Growth'!$C$42,+IF($C28='4. Customer Growth'!$E$15,+'4. Customer Growth'!$E$42,+IF($C28='4. Customer Growth'!$G$15,+'4. Customer Growth'!$G$42,+IF($C28='4. Customer Growth'!$I$15,+'4. Customer Growth'!$I$42,+IF($C28='4. Customer Growth'!$K$15,+'4. Customer Growth'!$K$42,+IF($C28='4. Customer Growth'!$M$15,+'4. Customer Growth'!$M$42,IF($C28='4. Customer Growth'!$O$15,+'4. Customer Growth'!$O$42)))))))</f>
        <v>2696.567749993425</v>
      </c>
      <c r="P28" s="507">
        <f>IF($C28='4. Customer Growth'!$C$15,+'4. Customer Growth'!$C$43,+IF($C28='4. Customer Growth'!$E$15,+'4. Customer Growth'!$E$43,+IF($C28='4. Customer Growth'!$G$15,+'4. Customer Growth'!$G$43,+IF($C28='4. Customer Growth'!$I$15,+'4. Customer Growth'!$I$43,+IF($C28='4. Customer Growth'!$K$15,+'4. Customer Growth'!$K$43,+IF($C28='4. Customer Growth'!$M$15,+'4. Customer Growth'!$M$43,IF($C28='4. Customer Growth'!$O$15,+'4. Customer Growth'!$O$43)))))))</f>
        <v>2699.1379474033415</v>
      </c>
    </row>
    <row r="29" spans="1:16" x14ac:dyDescent="0.2">
      <c r="B29" s="88"/>
      <c r="C29" s="830"/>
      <c r="D29" s="53" t="s">
        <v>36</v>
      </c>
      <c r="E29" s="506">
        <f>IF($B28=$F$64,+'7. Weather Senstive Class'!$G$21,IF($B28=$F$65,+'7. Weather Senstive Class'!$O$21,IF($B28=$F$66,+'7. Weather Senstive Class'!$W$21,IF($B28=$F$67,+'7. Weather Senstive Class'!$AE$21,IF($B28=$F$68,+'7. Weather Senstive Class'!$AM$21,IF($B28=$F$69,+'8. KW and Non-Weather Sensitive'!$E$21,IF($B28=$F$70,+'8. KW and Non-Weather Sensitive'!$P$21,IF($B28=$F$71,+'8. KW and Non-Weather Sensitive'!$Z$21,IF($B28=$F$72,+'8. KW and Non-Weather Sensitive'!$AJ$21,IF($B28=$F$73,+'8. KW and Non-Weather Sensitive'!$AT$21))))))))))</f>
        <v>1923289.8225330669</v>
      </c>
      <c r="F29" s="506">
        <f>IF($B28=$F$64,+'7. Weather Senstive Class'!$G$22,IF($B28=$F$65,+'7. Weather Senstive Class'!$O$22,IF($B28=$F$66,+'7. Weather Senstive Class'!$W$22,IF($B28=$F$67,+'7. Weather Senstive Class'!$AE$22,IF($B28=$F$68,+'7. Weather Senstive Class'!$AM$22,IF($B28=$F$69,+'8. KW and Non-Weather Sensitive'!$E$22,IF($B28=$F$70,+'8. KW and Non-Weather Sensitive'!$P$22,IF($B28=$F$71,+'8. KW and Non-Weather Sensitive'!$Z$22,IF($B28=$F$72,+'8. KW and Non-Weather Sensitive'!$AJ$22,IF($B28=$F$73,+'8. KW and Non-Weather Sensitive'!$AT$22))))))))))</f>
        <v>1931928</v>
      </c>
      <c r="G29" s="506">
        <f>IF($B28=$F$64,+'7. Weather Senstive Class'!$G$23,IF($B28=$F$65,+'7. Weather Senstive Class'!$O$23,IF($B28=$F$66,+'7. Weather Senstive Class'!$W$23,IF($B28=$F$67,+'7. Weather Senstive Class'!$AE$23,IF($B28=$F$68,+'7. Weather Senstive Class'!$AM$23,IF($B28=$F$69,+'8. KW and Non-Weather Sensitive'!$E$23,IF($B28=$F$70,+'8. KW and Non-Weather Sensitive'!$P$23,IF($B28=$F$71,+'8. KW and Non-Weather Sensitive'!$Z$23,IF($B28=$F$72,+'8. KW and Non-Weather Sensitive'!$AJ$23,IF($B28=$F$73,+'8. KW and Non-Weather Sensitive'!$AT$23))))))))))</f>
        <v>1867799.5215356699</v>
      </c>
      <c r="H29" s="506">
        <f>IF($B28=$F$64,+'7. Weather Senstive Class'!$G$24,IF($B28=$F$65,+'7. Weather Senstive Class'!$O$24,IF($B28=$F$66,+'7. Weather Senstive Class'!$W$24,IF($B28=$F$67,+'7. Weather Senstive Class'!$AE$24,IF($B28=$F$68,+'7. Weather Senstive Class'!$AM$24,IF($B28=$F$69,+'8. KW and Non-Weather Sensitive'!$E$24,IF($B28=$F$70,+'8. KW and Non-Weather Sensitive'!$P$24,IF($B28=$F$71,+'8. KW and Non-Weather Sensitive'!$Z$24,IF($B28=$F$72,+'8. KW and Non-Weather Sensitive'!$AJ$24,IF($B28=$F$73,+'8. KW and Non-Weather Sensitive'!$AT$24))))))))))</f>
        <v>1350901.1708566549</v>
      </c>
      <c r="I29" s="506">
        <f>IF($B28=$F$64,+'7. Weather Senstive Class'!$G$25,IF($B28=$F$65,+'7. Weather Senstive Class'!$O$25,IF($B28=$F$66,+'7. Weather Senstive Class'!$W$25,IF($B28=$F$67,+'7. Weather Senstive Class'!$AE$25,IF($B28=$F$68,+'7. Weather Senstive Class'!$AM$25,IF($B28=$F$69,+'8. KW and Non-Weather Sensitive'!$E$25,IF($B28=$F$70,+'8. KW and Non-Weather Sensitive'!$P$25,IF($B28=$F$71,+'8. KW and Non-Weather Sensitive'!$Z$25,IF($B28=$F$72,+'8. KW and Non-Weather Sensitive'!$AJ$25,IF($B28=$F$73,+'8. KW and Non-Weather Sensitive'!$AT$25))))))))))</f>
        <v>1194281.7307655821</v>
      </c>
      <c r="J29" s="506">
        <f>IF($B28=$F$64,+'7. Weather Senstive Class'!$G$26,IF($B28=$F$65,+'7. Weather Senstive Class'!$O$26,IF($B28=$F$66,+'7. Weather Senstive Class'!$M$26,IF($B28=$F$67,+'7. Weather Senstive Class'!$AE$26,IF($B28=$F$68,+'7. Weather Senstive Class'!$AM$26,IF($B28=$F$69,+'8. KW and Non-Weather Sensitive'!$E$26,IF($B28=$F$70,+'8. KW and Non-Weather Sensitive'!$P$26,IF($B28=$F$71,+'8. KW and Non-Weather Sensitive'!$Z$26,IF($B28=$F$72,+'8. KW and Non-Weather Sensitive'!$AJ$26,IF($B28=$F$73,+'8. KW and Non-Weather Sensitive'!$AT$26))))))))))</f>
        <v>1222967</v>
      </c>
      <c r="K29" s="506">
        <f>IF($B28=$F$64,+'7. Weather Senstive Class'!$G$27,IF($B28=$F$65,+'7. Weather Senstive Class'!$O$27,IF($B28=$F$66,+'7. Weather Senstive Class'!$W$27,IF($B28=$F$67,+'7. Weather Senstive Class'!$AE$27,IF($B28=$F$68,+'7. Weather Senstive Class'!$AM$27,IF($B28=$F$69,+'8. KW and Non-Weather Sensitive'!$E$27,IF($B28=$F$70,+'8. KW and Non-Weather Sensitive'!$P$27,IF($B28=$F$71,+'8. KW and Non-Weather Sensitive'!$Z$27,IF($B28=$F$72,+'8. KW and Non-Weather Sensitive'!$AJ$27,IF($B28=$F$73,+'8. KW and Non-Weather Sensitive'!$AT$27))))))))))</f>
        <v>1222128</v>
      </c>
      <c r="L29" s="506">
        <f>IF($B28=$F$64,+'7. Weather Senstive Class'!$G$28,IF($B28=$F$65,+'7. Weather Senstive Class'!$O$28,IF($B28=$F$66,+'7. Weather Senstive Class'!$W$28,IF($B28=$F$67,+'7. Weather Senstive Class'!$AE$28,IF($B28=$F$68,+'7. Weather Senstive Class'!$AM$28,IF($B28=$F$69,+'8. KW and Non-Weather Sensitive'!$E$28,IF($B28=$F$70,+'8. KW and Non-Weather Sensitive'!$P$28,IF($B28=$F$71,+'8. KW and Non-Weather Sensitive'!$Z$28,IF($B28=$F$72,+'8. KW and Non-Weather Sensitive'!$AJ$28,IF($B28=$F$73,+'8. KW and Non-Weather Sensitive'!$AT$28))))))))))</f>
        <v>1249953</v>
      </c>
      <c r="M29" s="506">
        <f>IF($B28=$F$64,+'7. Weather Senstive Class'!$G$29,IF($B28=$F$65,+'7. Weather Senstive Class'!$O$29,IF($B28=$F$66,+'7. Weather Senstive Class'!$W$29,IF($B28=$F$67,+'7. Weather Senstive Class'!$AE$29,IF($B28=$F$68,+'7. Weather Senstive Class'!$AM$29,IF($B28=$F$69,+'8. KW and Non-Weather Sensitive'!$E$29,IF($B28=$F$70,+'8. KW and Non-Weather Sensitive'!$P$29,IF($B28=$F$71,+'8. KW and Non-Weather Sensitive'!$Z$29,IF($B28=$F$72,+'8. KW and Non-Weather Sensitive'!$AJ$29,IF($B28=$F$73,+'8. KW and Non-Weather Sensitive'!$AT$29))))))))))</f>
        <v>1258253</v>
      </c>
      <c r="N29" s="506">
        <f>IF($B28=$F$64,+'7. Weather Senstive Class'!$G$30,IF($B28=$F$65,+'7. Weather Senstive Class'!$O$30,IF($B28=$F$66,+'7. Weather Senstive Class'!$W$30,IF($B28=$F$67,+'7. Weather Senstive Class'!$AE$30,IF($B28=$F$68,+'7. Weather Senstive Class'!$AM$30,IF($B28=$F$69,+'8. KW and Non-Weather Sensitive'!$E$30,IF($B28=$F$70,+'8. KW and Non-Weather Sensitive'!$P$30,IF($B28=$F$71,+'8. KW and Non-Weather Sensitive'!$Z$30,IF($B28=$F$72,+'8. KW and Non-Weather Sensitive'!$AJ$30,IF($B28=$F$73,+'8. KW and Non-Weather Sensitive'!$AT$30))))))))))</f>
        <v>1439933</v>
      </c>
      <c r="O29" s="506">
        <f>IF($B28=$F$64,+'7. Weather Senstive Class'!$H$42,IF($B28=$F$65,+'7. Weather Senstive Class'!$P$42,IF($B28=$F$66,+'7. Weather Senstive Class'!$X$42,IF($B28=$F$67,+'7. Weather Senstive Class'!$AF$42,IF($B28=$F$68,+'7. Weather Senstive Class'!$AN$42,IF($B28=$F$69,+'8. KW and Non-Weather Sensitive'!$I$49,IF($B28=$F$70,+'8. KW and Non-Weather Sensitive'!$T$49,IF($B28=$F$71,+'8. KW and Non-Weather Sensitive'!$AD$49,IF($B28=$F$72,+'8. KW and Non-Weather Sensitive'!$AN$49,IF($B28=$F$73,+'8. KW and Non-Weather Sensitive'!$AX$49))))))))))</f>
        <v>1454007.8043680072</v>
      </c>
      <c r="P29" s="507">
        <f>IF($B28=$F$64,+'7. Weather Senstive Class'!$H$43,IF($B28=$F$65,+'7. Weather Senstive Class'!$P$43,IF($B28=$F$66,+'7. Weather Senstive Class'!$X$43,IF($B28=$F$67,+'7. Weather Senstive Class'!$AF$43,IF($B28=$F$68,+'7. Weather Senstive Class'!$AN$43,IF($B28=$F$69,+'8. KW and Non-Weather Sensitive'!$I$50,IF($B28=$F$70,+'8. KW and Non-Weather Sensitive'!$T$50,IF($B28=$F$71,+'8. KW and Non-Weather Sensitive'!$AD$50,IF($B28=$F$72,+'8. KW and Non-Weather Sensitive'!$AN$50,IF($B28=$F$73,+'8. KW and Non-Weather Sensitive'!$AX$50))))))))))</f>
        <v>1456712.4542464858</v>
      </c>
    </row>
    <row r="30" spans="1:16" x14ac:dyDescent="0.2">
      <c r="B30" s="88"/>
      <c r="C30" s="830"/>
      <c r="D30" s="53" t="s">
        <v>37</v>
      </c>
      <c r="E30" s="404">
        <f>IF(B$16=$F$69,+'8. KW and Non-Weather Sensitive'!$F$21,IF($B28=$F$70,+'8. KW and Non-Weather Sensitive'!$Q$21,IF($B28=$F$71,+'8. KW and Non-Weather Sensitive'!$AA$21,IF($B28=$F$72,+'8. KW and Non-Weather Sensitive'!$AK$21,+IF($B28=$F$73,+'8. KW and Non-Weather Sensitive'!$AU$21,0)))))</f>
        <v>5221.5</v>
      </c>
      <c r="F30" s="404">
        <f>IF($B28=$F$69,+'8. KW and Non-Weather Sensitive'!$F$22,IF($B28=$F$70,+'8. KW and Non-Weather Sensitive'!$Q$22,IF($B28=$F$71,+'8. KW and Non-Weather Sensitive'!$AA$22,IF($B28=$F$72,+'8. KW and Non-Weather Sensitive'!$AK$22,+IF($B28=$F$73,+'8. KW and Non-Weather Sensitive'!$AU$22,0)))))</f>
        <v>5239.8999999999996</v>
      </c>
      <c r="G30" s="404">
        <f>IF($B28=$F$69,+'8. KW and Non-Weather Sensitive'!$F$23,IF($B28=$F$70,+'8. KW and Non-Weather Sensitive'!$Q$23,IF($B28=$F$71,+'8. KW and Non-Weather Sensitive'!$AA$23,IF($B28=$F$72,+'8. KW and Non-Weather Sensitive'!$AK$23,+IF($B28=$F$73,+'8. KW and Non-Weather Sensitive'!$AU$23,0)))))</f>
        <v>5091.2000000000007</v>
      </c>
      <c r="H30" s="404">
        <f>IF($B28=$F$69,+'8. KW and Non-Weather Sensitive'!$F$24,IF($B28=$F$70,+'8. KW and Non-Weather Sensitive'!$Q$24,IF($B28=$F$71,+'8. KW and Non-Weather Sensitive'!$AA$24,IF($B28=$F$72,+'8. KW and Non-Weather Sensitive'!$AK$24,+IF($B28=$F$73,+'8. KW and Non-Weather Sensitive'!$AU$24,0)))))</f>
        <v>3654.0999999999995</v>
      </c>
      <c r="I30" s="404">
        <f>IF($B28=$F$69,+'8. KW and Non-Weather Sensitive'!$F$25,IF($B28=$F$70,+'8. KW and Non-Weather Sensitive'!$Q$25,IF($B28=$F$71,+'8. KW and Non-Weather Sensitive'!$AA$25,IF($B28=$F$72,+'8. KW and Non-Weather Sensitive'!$AK$25,+IF($B28=$F$73,+'8. KW and Non-Weather Sensitive'!$AU$25,0)))))</f>
        <v>3301.8999999999992</v>
      </c>
      <c r="J30" s="404">
        <f>IF($B28=$F$69,+'8. KW and Non-Weather Sensitive'!$F$26,IF($B28=$F$70,+'8. KW and Non-Weather Sensitive'!$Q$26,IF($B28=$F$71,+'8. KW and Non-Weather Sensitive'!$AA$26,IF($B28=$F$72,+'8. KW and Non-Weather Sensitive'!$AK$26,+IF($B28=$F$73,+'8. KW and Non-Weather Sensitive'!$AU$26,0)))))</f>
        <v>3321</v>
      </c>
      <c r="K30" s="404">
        <f>IF($B28=$F$69,+'8. KW and Non-Weather Sensitive'!$F$27,IF($B28=$F$70,+'8. KW and Non-Weather Sensitive'!$Q$27,IF($B28=$F$71,+'8. KW and Non-Weather Sensitive'!$AA$27,IF($B28=$F$72,+'8. KW and Non-Weather Sensitive'!$AK$27,+IF($B28=$F$73,+'8. KW and Non-Weather Sensitive'!$AU$27,0)))))</f>
        <v>3340</v>
      </c>
      <c r="L30" s="404">
        <f>IF($B28=$F$69,+'8. KW and Non-Weather Sensitive'!$F$28,IF($B28=$F$70,+'8. KW and Non-Weather Sensitive'!$Q$28,IF($B28=$F$71,+'8. KW and Non-Weather Sensitive'!$AA$28,IF($B28=$F$72,+'8. KW and Non-Weather Sensitive'!$AK$28,+IF($B28=$F$73,+'8. KW and Non-Weather Sensitive'!$AU$28,0)))))</f>
        <v>3386</v>
      </c>
      <c r="M30" s="404">
        <f>IF($B28=$F$69,+'8. KW and Non-Weather Sensitive'!$F$29,IF($B28=$F$70,+'8. KW and Non-Weather Sensitive'!$Q$29,IF($B28=$F$71,+'8. KW and Non-Weather Sensitive'!$AA$29,IF($B28=$F$72,+'8. KW and Non-Weather Sensitive'!$AK$29,+IF($B28=$F$73,+'8. KW and Non-Weather Sensitive'!$AU$29,0)))))</f>
        <v>3408.5999999999995</v>
      </c>
      <c r="N30" s="404">
        <f>IF($B28=$F$69,+'8. KW and Non-Weather Sensitive'!$F$30,IF($B28=$F$70,+'8. KW and Non-Weather Sensitive'!$Q$30,IF($B28=$F$71,+'8. KW and Non-Weather Sensitive'!$AA$30,IF($B28=$F$72,+'8. KW and Non-Weather Sensitive'!$AK$30,+IF($B28=$F$73,+'8. KW and Non-Weather Sensitive'!$AU$30,0)))))</f>
        <v>3416</v>
      </c>
      <c r="O30" s="404">
        <f>IF($B28=$F$69,+'8. KW and Non-Weather Sensitive'!$J$49,IF($B28=$F$70,+'8. KW and Non-Weather Sensitive'!$U$49,IF($B28=$F$71,+'8. KW and Non-Weather Sensitive'!$AE$49,IF($B28=$F$72,+'8. KW and Non-Weather Sensitive'!$AO$49,+IF($B28=$F$73,+'8. KW and Non-Weather Sensitive'!$AY$49,0)))))</f>
        <v>3905.6547356588153</v>
      </c>
      <c r="P30" s="508">
        <f>IF($B28=$F$69,+'8. KW and Non-Weather Sensitive'!$J$50,IF($B28=$F$70,+'8. KW and Non-Weather Sensitive'!$U$50,IF($B28=$F$71,+'8. KW and Non-Weather Sensitive'!$AE$50,IF($B28=$F$72,+'8. KW and Non-Weather Sensitive'!$AO$50,+IF($B28=$F$73,+'8. KW and Non-Weather Sensitive'!$AY$50,0)))))</f>
        <v>3912.919778235922</v>
      </c>
    </row>
    <row r="31" spans="1:16" x14ac:dyDescent="0.2">
      <c r="B31" s="88"/>
      <c r="C31" s="830"/>
      <c r="D31" s="53"/>
      <c r="E31" s="404"/>
      <c r="F31" s="404"/>
      <c r="G31" s="404"/>
      <c r="H31" s="404"/>
      <c r="I31" s="404"/>
      <c r="J31" s="404"/>
      <c r="K31" s="404"/>
      <c r="L31" s="404"/>
      <c r="M31" s="404"/>
      <c r="N31" s="404"/>
      <c r="O31" s="405"/>
      <c r="P31" s="406"/>
    </row>
    <row r="32" spans="1:16" x14ac:dyDescent="0.2">
      <c r="B32" s="730" t="s">
        <v>239</v>
      </c>
      <c r="C32" s="729" t="str">
        <f>IF($B32=$F$64,+$B$64,+IF($B32=$F$65,+$B$65,+IF($B32=$F$66,+$B$66,+IF($B32=$F$66,$B$66,+IF($B32=$F$67,+$B$67,+IF($B32=$F$68,+$B$68,+IF($B32=$F$69,+$B$69,+IF($B32=$F$70,+$B$70,+IF($B32=$F$71,+$B$71,+IF($B32=$F$72,+$B$72,+IF($B32=$F$73,+$B$73)))))))))))</f>
        <v>Sentinel Lighting</v>
      </c>
      <c r="D32" s="53" t="s">
        <v>129</v>
      </c>
      <c r="E32" s="506">
        <f>IF($C32='4. Customer Growth'!$C$15,+'4. Customer Growth'!$C$17,+IF($C32='4. Customer Growth'!$E$15,+'4. Customer Growth'!$E$17,+IF($C32='4. Customer Growth'!$G$15,+'4. Customer Growth'!$G$17,+IF($C32='4. Customer Growth'!$I$15,+'4. Customer Growth'!$I$17,+IF($C32='4. Customer Growth'!$K$15,+'4. Customer Growth'!$K$17,+IF($C32='4. Customer Growth'!$M$15,+'4. Customer Growth'!$M$17,IF($C32='4. Customer Growth'!$O$15,+'4. Customer Growth'!$O$17)))))))</f>
        <v>55</v>
      </c>
      <c r="F32" s="506">
        <f>IF($C32='4. Customer Growth'!$C$15,+'4. Customer Growth'!$C$18,+IF($C32='4. Customer Growth'!$E$15,+'4. Customer Growth'!$E$18,+IF($C32='4. Customer Growth'!$G$15,+'4. Customer Growth'!$G$18,+IF($C32='4. Customer Growth'!$I$15,+'4. Customer Growth'!$I$18,+IF($C32='4. Customer Growth'!$K$15,+'4. Customer Growth'!$K$18,+IF($C32='4. Customer Growth'!$M$15,+'4. Customer Growth'!$M$18,IF($C32='4. Customer Growth'!$O$15,+'4. Customer Growth'!$O$18)))))))</f>
        <v>55</v>
      </c>
      <c r="G32" s="506">
        <f>IF($C32='4. Customer Growth'!$C$15,+'4. Customer Growth'!$C$19,+IF($C32='4. Customer Growth'!$E$15,+'4. Customer Growth'!$E$19,+IF($C32='4. Customer Growth'!$G$15,+'4. Customer Growth'!$G$19,+IF($C32='4. Customer Growth'!$I$15,+'4. Customer Growth'!$I$19,+IF($C32='4. Customer Growth'!$K$15,+'4. Customer Growth'!$K$19,+IF($C32='4. Customer Growth'!$M$15,+'4. Customer Growth'!$M$19,IF($C32='4. Customer Growth'!$O$15,+'4. Customer Growth'!$O$19)))))))</f>
        <v>58</v>
      </c>
      <c r="H32" s="506">
        <f>IF($C32='4. Customer Growth'!$C$15,+'4. Customer Growth'!$C$20,+IF($C32='4. Customer Growth'!$E$15,+'4. Customer Growth'!$E$20,+IF($C32='4. Customer Growth'!$G$15,+'4. Customer Growth'!$G$20,+IF($C32='4. Customer Growth'!$I$15,+'4. Customer Growth'!$I$20,+IF($C32='4. Customer Growth'!$K$15,+'4. Customer Growth'!$K$20,+IF($C32='4. Customer Growth'!$M$15,+'4. Customer Growth'!$M$20,IF($C32='4. Customer Growth'!$O$15,+'4. Customer Growth'!$O$20)))))))</f>
        <v>59.5</v>
      </c>
      <c r="I32" s="506">
        <f>IF($C32='4. Customer Growth'!$C$15,+'4. Customer Growth'!$C$21,+IF($C32='4. Customer Growth'!$E$15,+'4. Customer Growth'!$E$21,+IF($C32='4. Customer Growth'!$G$15,+'4. Customer Growth'!$G$21,+IF($C32='4. Customer Growth'!$I$15,+'4. Customer Growth'!$I$21,+IF($C32='4. Customer Growth'!$K$15,+'4. Customer Growth'!$K$21,+IF($C32='4. Customer Growth'!$M$15,+'4. Customer Growth'!$M$21,IF($C32='4. Customer Growth'!$O$15,+'4. Customer Growth'!$O$21)))))))</f>
        <v>55</v>
      </c>
      <c r="J32" s="506">
        <f>IF($C32='4. Customer Growth'!$C$15,+'4. Customer Growth'!$C$22,+IF($C32='4. Customer Growth'!$E$15,+'4. Customer Growth'!$E$22,+IF($C32='4. Customer Growth'!$G$15,+'4. Customer Growth'!$G$22,+IF($C32='4. Customer Growth'!$I$15,+'4. Customer Growth'!$I$22,+IF($C32='4. Customer Growth'!$K$15,+'4. Customer Growth'!$K$22,+IF($C32='4. Customer Growth'!$M$15,+'4. Customer Growth'!$M$22,IF($C32='4. Customer Growth'!$O$15,+'4. Customer Growth'!$O$22)))))))</f>
        <v>53</v>
      </c>
      <c r="K32" s="506">
        <f>IF($C32='4. Customer Growth'!$C$15,+'4. Customer Growth'!$C$23,+IF($C32='4. Customer Growth'!$E$15,+'4. Customer Growth'!$E$23,+IF($C32='4. Customer Growth'!$G$15,+'4. Customer Growth'!$G$23,+IF($C32='4. Customer Growth'!$I$15,+'4. Customer Growth'!$I$23,+IF($C32='4. Customer Growth'!$K$15,+'4. Customer Growth'!$K$23,+IF($C32='4. Customer Growth'!$M$15,+'4. Customer Growth'!$M$23,IF($C32='4. Customer Growth'!$O$15,+'4. Customer Growth'!$O$23)))))))</f>
        <v>54</v>
      </c>
      <c r="L32" s="506">
        <f>IF($C32='4. Customer Growth'!$C$15,+'4. Customer Growth'!$C$24,+IF($C32='4. Customer Growth'!$E$15,+'4. Customer Growth'!$E$24,+IF($C32='4. Customer Growth'!$G$15,+'4. Customer Growth'!$G$24,+IF($C32='4. Customer Growth'!$I$15,+'4. Customer Growth'!$I$24,+IF($C32='4. Customer Growth'!$K$15,+'4. Customer Growth'!$K$24,+IF($C32='4. Customer Growth'!$M$15,+'4. Customer Growth'!$M$24,IF($C32='4. Customer Growth'!$O$15,+'4. Customer Growth'!$O$24)))))))</f>
        <v>54</v>
      </c>
      <c r="M32" s="506">
        <f>IF($C32='4. Customer Growth'!$C$15,+'4. Customer Growth'!$C$25,+IF($C32='4. Customer Growth'!$E$15,+'4. Customer Growth'!$E$25,+IF($C32='4. Customer Growth'!$G$15,+'4. Customer Growth'!$G$25,+IF($C32='4. Customer Growth'!$I$15,+'4. Customer Growth'!$I$25,+IF($C32='4. Customer Growth'!$K$15,+'4. Customer Growth'!$K$25,+IF($C32='4. Customer Growth'!$M$15,+'4. Customer Growth'!$M$25,IF($C32='4. Customer Growth'!$O$15,+'4. Customer Growth'!$O$25)))))))</f>
        <v>54</v>
      </c>
      <c r="N32" s="506">
        <f>IF($C32='4. Customer Growth'!$C$15,+'4. Customer Growth'!$C$26,+IF($C32='4. Customer Growth'!$E$15,+'4. Customer Growth'!$E$26,+IF($C32='4. Customer Growth'!$G$15,+'4. Customer Growth'!$G$26,+IF($C32='4. Customer Growth'!$I$15,+'4. Customer Growth'!$I$26,+IF($C32='4. Customer Growth'!$K$15,+'4. Customer Growth'!$K$26,+IF($C32='4. Customer Growth'!$M$15,+'4. Customer Growth'!$M$26,IF($C32='4. Customer Growth'!$O$15,+'4. Customer Growth'!$O$26)))))))</f>
        <v>54</v>
      </c>
      <c r="O32" s="506">
        <f>IF($C32='4. Customer Growth'!$C$15,+'4. Customer Growth'!$C$42,+IF($C32='4. Customer Growth'!$E$15,+'4. Customer Growth'!$E$42,+IF($C32='4. Customer Growth'!$G$15,+'4. Customer Growth'!$G$42,+IF($C32='4. Customer Growth'!$I$15,+'4. Customer Growth'!$I$42,+IF($C32='4. Customer Growth'!$K$15,+'4. Customer Growth'!$K$42,+IF($C32='4. Customer Growth'!$M$15,+'4. Customer Growth'!$M$42,IF($C32='4. Customer Growth'!$O$15,+'4. Customer Growth'!$O$42)))))))</f>
        <v>53.890017322054852</v>
      </c>
      <c r="P32" s="507">
        <f>IF($C32='4. Customer Growth'!$C$15,+'4. Customer Growth'!$C$43,+IF($C32='4. Customer Growth'!$E$15,+'4. Customer Growth'!$E$43,+IF($C32='4. Customer Growth'!$G$15,+'4. Customer Growth'!$G$43,+IF($C32='4. Customer Growth'!$I$15,+'4. Customer Growth'!$I$43,+IF($C32='4. Customer Growth'!$K$15,+'4. Customer Growth'!$K$43,+IF($C32='4. Customer Growth'!$M$15,+'4. Customer Growth'!$M$43,IF($C32='4. Customer Growth'!$O$15,+'4. Customer Growth'!$O$43)))))))</f>
        <v>53.780258647617998</v>
      </c>
    </row>
    <row r="33" spans="1:16" x14ac:dyDescent="0.2">
      <c r="B33" s="88"/>
      <c r="C33" s="830"/>
      <c r="D33" s="53" t="s">
        <v>36</v>
      </c>
      <c r="E33" s="506">
        <f>IF($B32=$F$64,+'7. Weather Senstive Class'!$G$21,IF($B32=$F$65,+'7. Weather Senstive Class'!$O$21,IF($B32=$F$66,+'7. Weather Senstive Class'!$W$21,IF($B32=$F$67,+'7. Weather Senstive Class'!$AE$21,IF($B32=$F$68,+'7. Weather Senstive Class'!$AM$21,IF($B32=$F$69,+'8. KW and Non-Weather Sensitive'!$E$21,IF($B32=$F$70,+'8. KW and Non-Weather Sensitive'!$P$21,IF($B32=$F$71,+'8. KW and Non-Weather Sensitive'!$Z$21,IF($B32=$F$72,+'8. KW and Non-Weather Sensitive'!$AJ$21,IF($B32=$F$73,+'8. KW and Non-Weather Sensitive'!$AT$21))))))))))</f>
        <v>76063.696059073991</v>
      </c>
      <c r="F33" s="506">
        <f>IF($B32=$F$64,+'7. Weather Senstive Class'!$G$22,IF($B32=$F$65,+'7. Weather Senstive Class'!$O$22,IF($B32=$F$66,+'7. Weather Senstive Class'!$W$22,IF($B32=$F$67,+'7. Weather Senstive Class'!$AE$22,IF($B32=$F$68,+'7. Weather Senstive Class'!$AM$22,IF($B32=$F$69,+'8. KW and Non-Weather Sensitive'!$E$22,IF($B32=$F$70,+'8. KW and Non-Weather Sensitive'!$P$22,IF($B32=$F$71,+'8. KW and Non-Weather Sensitive'!$Z$22,IF($B32=$F$72,+'8. KW and Non-Weather Sensitive'!$AJ$22,IF($B32=$F$73,+'8. KW and Non-Weather Sensitive'!$AT$22))))))))))</f>
        <v>76442.150921409208</v>
      </c>
      <c r="G33" s="506">
        <f>IF($B32=$F$64,+'7. Weather Senstive Class'!$G$23,IF($B32=$F$65,+'7. Weather Senstive Class'!$O$23,IF($B32=$F$66,+'7. Weather Senstive Class'!$W$23,IF($B32=$F$67,+'7. Weather Senstive Class'!$AE$23,IF($B32=$F$68,+'7. Weather Senstive Class'!$AM$23,IF($B32=$F$69,+'8. KW and Non-Weather Sensitive'!$E$23,IF($B32=$F$70,+'8. KW and Non-Weather Sensitive'!$P$23,IF($B32=$F$71,+'8. KW and Non-Weather Sensitive'!$Z$23,IF($B32=$F$72,+'8. KW and Non-Weather Sensitive'!$AJ$23,IF($B32=$F$73,+'8. KW and Non-Weather Sensitive'!$AT$23))))))))))</f>
        <v>81053.799492218415</v>
      </c>
      <c r="H33" s="506">
        <f>IF($B32=$F$64,+'7. Weather Senstive Class'!$G$24,IF($B32=$F$65,+'7. Weather Senstive Class'!$O$24,IF($B32=$F$66,+'7. Weather Senstive Class'!$W$24,IF($B32=$F$67,+'7. Weather Senstive Class'!$AE$24,IF($B32=$F$68,+'7. Weather Senstive Class'!$AM$24,IF($B32=$F$69,+'8. KW and Non-Weather Sensitive'!$E$24,IF($B32=$F$70,+'8. KW and Non-Weather Sensitive'!$P$24,IF($B32=$F$71,+'8. KW and Non-Weather Sensitive'!$Z$24,IF($B32=$F$72,+'8. KW and Non-Weather Sensitive'!$AJ$24,IF($B32=$F$73,+'8. KW and Non-Weather Sensitive'!$AT$24))))))))))</f>
        <v>78799.687128734338</v>
      </c>
      <c r="I33" s="506">
        <f>IF($B32=$F$64,+'7. Weather Senstive Class'!$G$25,IF($B32=$F$65,+'7. Weather Senstive Class'!$O$25,IF($B32=$F$66,+'7. Weather Senstive Class'!$W$25,IF($B32=$F$67,+'7. Weather Senstive Class'!$AE$25,IF($B32=$F$68,+'7. Weather Senstive Class'!$AM$25,IF($B32=$F$69,+'8. KW and Non-Weather Sensitive'!$E$25,IF($B32=$F$70,+'8. KW and Non-Weather Sensitive'!$P$25,IF($B32=$F$71,+'8. KW and Non-Weather Sensitive'!$Z$25,IF($B32=$F$72,+'8. KW and Non-Weather Sensitive'!$AJ$25,IF($B32=$F$73,+'8. KW and Non-Weather Sensitive'!$AT$25))))))))))</f>
        <v>54122.065561244759</v>
      </c>
      <c r="J33" s="506">
        <f>IF($B32=$F$64,+'7. Weather Senstive Class'!$G$26,IF($B32=$F$65,+'7. Weather Senstive Class'!$O$26,IF($B32=$F$66,+'7. Weather Senstive Class'!$M$26,IF($B32=$F$67,+'7. Weather Senstive Class'!$AE$26,IF($B32=$F$68,+'7. Weather Senstive Class'!$AM$26,IF($B32=$F$69,+'8. KW and Non-Weather Sensitive'!$E$26,IF($B32=$F$70,+'8. KW and Non-Weather Sensitive'!$P$26,IF($B32=$F$71,+'8. KW and Non-Weather Sensitive'!$Z$26,IF($B32=$F$72,+'8. KW and Non-Weather Sensitive'!$AJ$26,IF($B32=$F$73,+'8. KW and Non-Weather Sensitive'!$AT$26))))))))))</f>
        <v>43758</v>
      </c>
      <c r="K33" s="506">
        <f>IF($B32=$F$64,+'7. Weather Senstive Class'!$G$27,IF($B32=$F$65,+'7. Weather Senstive Class'!$O$27,IF($B32=$F$66,+'7. Weather Senstive Class'!$W$27,IF($B32=$F$67,+'7. Weather Senstive Class'!$AE$27,IF($B32=$F$68,+'7. Weather Senstive Class'!$AM$27,IF($B32=$F$69,+'8. KW and Non-Weather Sensitive'!$E$27,IF($B32=$F$70,+'8. KW and Non-Weather Sensitive'!$P$27,IF($B32=$F$71,+'8. KW and Non-Weather Sensitive'!$Z$27,IF($B32=$F$72,+'8. KW and Non-Weather Sensitive'!$AJ$27,IF($B32=$F$73,+'8. KW and Non-Weather Sensitive'!$AT$27))))))))))</f>
        <v>41938</v>
      </c>
      <c r="L33" s="506">
        <f>IF($B32=$F$64,+'7. Weather Senstive Class'!$G$28,IF($B32=$F$65,+'7. Weather Senstive Class'!$O$28,IF($B32=$F$66,+'7. Weather Senstive Class'!$W$28,IF($B32=$F$67,+'7. Weather Senstive Class'!$AE$28,IF($B32=$F$68,+'7. Weather Senstive Class'!$AM$28,IF($B32=$F$69,+'8. KW and Non-Weather Sensitive'!$E$28,IF($B32=$F$70,+'8. KW and Non-Weather Sensitive'!$P$28,IF($B32=$F$71,+'8. KW and Non-Weather Sensitive'!$Z$28,IF($B32=$F$72,+'8. KW and Non-Weather Sensitive'!$AJ$28,IF($B32=$F$73,+'8. KW and Non-Weather Sensitive'!$AT$28))))))))))</f>
        <v>44355</v>
      </c>
      <c r="M33" s="506">
        <f>IF($B32=$F$64,+'7. Weather Senstive Class'!$G$29,IF($B32=$F$65,+'7. Weather Senstive Class'!$O$29,IF($B32=$F$66,+'7. Weather Senstive Class'!$W$29,IF($B32=$F$67,+'7. Weather Senstive Class'!$AE$29,IF($B32=$F$68,+'7. Weather Senstive Class'!$AM$29,IF($B32=$F$69,+'8. KW and Non-Weather Sensitive'!$E$29,IF($B32=$F$70,+'8. KW and Non-Weather Sensitive'!$P$29,IF($B32=$F$71,+'8. KW and Non-Weather Sensitive'!$Z$29,IF($B32=$F$72,+'8. KW and Non-Weather Sensitive'!$AJ$29,IF($B32=$F$73,+'8. KW and Non-Weather Sensitive'!$AT$29))))))))))</f>
        <v>42943</v>
      </c>
      <c r="N33" s="506">
        <f>IF($B32=$F$64,+'7. Weather Senstive Class'!$G$30,IF($B32=$F$65,+'7. Weather Senstive Class'!$O$30,IF($B32=$F$66,+'7. Weather Senstive Class'!$W$30,IF($B32=$F$67,+'7. Weather Senstive Class'!$AE$30,IF($B32=$F$68,+'7. Weather Senstive Class'!$AM$30,IF($B32=$F$69,+'8. KW and Non-Weather Sensitive'!$E$30,IF($B32=$F$70,+'8. KW and Non-Weather Sensitive'!$P$30,IF($B32=$F$71,+'8. KW and Non-Weather Sensitive'!$Z$30,IF($B32=$F$72,+'8. KW and Non-Weather Sensitive'!$AJ$30,IF($B32=$F$73,+'8. KW and Non-Weather Sensitive'!$AT$30))))))))))</f>
        <v>43818</v>
      </c>
      <c r="O33" s="506">
        <f>IF($B32=$F$64,+'7. Weather Senstive Class'!$H$42,IF($B32=$F$65,+'7. Weather Senstive Class'!$P$42,IF($B32=$F$66,+'7. Weather Senstive Class'!$X$42,IF($B32=$F$67,+'7. Weather Senstive Class'!$AF$42,IF($B32=$F$68,+'7. Weather Senstive Class'!$AN$42,IF($B32=$F$69,+'8. KW and Non-Weather Sensitive'!$I$49,IF($B32=$F$70,+'8. KW and Non-Weather Sensitive'!$T$49,IF($B32=$F$71,+'8. KW and Non-Weather Sensitive'!$AD$49,IF($B32=$F$72,+'8. KW and Non-Weather Sensitive'!$AN$49,IF($B32=$F$73,+'8. KW and Non-Weather Sensitive'!$AX$49))))))))))</f>
        <v>44246.304495971228</v>
      </c>
      <c r="P33" s="507">
        <f>IF($B32=$F$64,+'7. Weather Senstive Class'!$H$43,IF($B32=$F$65,+'7. Weather Senstive Class'!$P$43,IF($B32=$F$66,+'7. Weather Senstive Class'!$X$43,IF($B32=$F$67,+'7. Weather Senstive Class'!$AF$43,IF($B32=$F$68,+'7. Weather Senstive Class'!$AN$43,IF($B32=$F$69,+'8. KW and Non-Weather Sensitive'!$I$50,IF($B32=$F$70,+'8. KW and Non-Weather Sensitive'!$T$50,IF($B32=$F$71,+'8. KW and Non-Weather Sensitive'!$AD$50,IF($B32=$F$72,+'8. KW and Non-Weather Sensitive'!$AN$50,IF($B32=$F$73,+'8. KW and Non-Weather Sensitive'!$AX$50))))))))))</f>
        <v>44328.608567323972</v>
      </c>
    </row>
    <row r="34" spans="1:16" x14ac:dyDescent="0.2">
      <c r="A34" s="775" t="s">
        <v>287</v>
      </c>
      <c r="B34" s="88"/>
      <c r="C34" s="830"/>
      <c r="D34" s="53" t="s">
        <v>37</v>
      </c>
      <c r="E34" s="404">
        <f>IF(B$16=$F$69,+'8. KW and Non-Weather Sensitive'!$F$21,IF($B32=$F$70,+'8. KW and Non-Weather Sensitive'!$Q$21,IF($B32=$F$71,+'8. KW and Non-Weather Sensitive'!$AA$21,IF($B32=$F$72,+'8. KW and Non-Weather Sensitive'!$AK$21,+IF($B32=$F$73,+'8. KW and Non-Weather Sensitive'!$AU$21,0)))))</f>
        <v>211.35349632855065</v>
      </c>
      <c r="F34" s="404">
        <f>IF($B32=$F$69,+'8. KW and Non-Weather Sensitive'!$F$22,IF($B32=$F$70,+'8. KW and Non-Weather Sensitive'!$Q$22,IF($B32=$F$71,+'8. KW and Non-Weather Sensitive'!$AA$22,IF($B32=$F$72,+'8. KW and Non-Weather Sensitive'!$AK$22,+IF($B32=$F$73,+'8. KW and Non-Weather Sensitive'!$AU$22,0)))))</f>
        <v>212.33930811502557</v>
      </c>
      <c r="G34" s="404">
        <f>IF($B32=$F$69,+'8. KW and Non-Weather Sensitive'!$F$23,IF($B32=$F$70,+'8. KW and Non-Weather Sensitive'!$Q$23,IF($B32=$F$71,+'8. KW and Non-Weather Sensitive'!$AA$23,IF($B32=$F$72,+'8. KW and Non-Weather Sensitive'!$AK$23,+IF($B32=$F$73,+'8. KW and Non-Weather Sensitive'!$AU$23,0)))))</f>
        <v>225.03441398199672</v>
      </c>
      <c r="H34" s="404">
        <f>IF($B32=$F$69,+'8. KW and Non-Weather Sensitive'!$F$24,IF($B32=$F$70,+'8. KW and Non-Weather Sensitive'!$Q$24,IF($B32=$F$71,+'8. KW and Non-Weather Sensitive'!$AA$24,IF($B32=$F$72,+'8. KW and Non-Weather Sensitive'!$AK$24,+IF($B32=$F$73,+'8. KW and Non-Weather Sensitive'!$AU$24,0)))))</f>
        <v>222.10830015479695</v>
      </c>
      <c r="I34" s="404">
        <f>IF($B32=$F$69,+'8. KW and Non-Weather Sensitive'!$F$25,IF($B32=$F$70,+'8. KW and Non-Weather Sensitive'!$Q$25,IF($B32=$F$71,+'8. KW and Non-Weather Sensitive'!$AA$25,IF($B32=$F$72,+'8. KW and Non-Weather Sensitive'!$AK$25,+IF($B32=$F$73,+'8. KW and Non-Weather Sensitive'!$AU$25,0)))))</f>
        <v>219.09108054779566</v>
      </c>
      <c r="J34" s="404">
        <f>IF($B32=$F$69,+'8. KW and Non-Weather Sensitive'!$F$26,IF($B32=$F$70,+'8. KW and Non-Weather Sensitive'!$Q$26,IF($B32=$F$71,+'8. KW and Non-Weather Sensitive'!$AA$26,IF($B32=$F$72,+'8. KW and Non-Weather Sensitive'!$AK$26,+IF($B32=$F$73,+'8. KW and Non-Weather Sensitive'!$AU$26,0)))))</f>
        <v>132</v>
      </c>
      <c r="K34" s="404">
        <f>IF($B32=$F$69,+'8. KW and Non-Weather Sensitive'!$F$27,IF($B32=$F$70,+'8. KW and Non-Weather Sensitive'!$Q$27,IF($B32=$F$71,+'8. KW and Non-Weather Sensitive'!$AA$27,IF($B32=$F$72,+'8. KW and Non-Weather Sensitive'!$AK$27,+IF($B32=$F$73,+'8. KW and Non-Weather Sensitive'!$AU$27,0)))))</f>
        <v>132</v>
      </c>
      <c r="L34" s="404">
        <f>IF($B32=$F$69,+'8. KW and Non-Weather Sensitive'!$F$28,IF($B32=$F$70,+'8. KW and Non-Weather Sensitive'!$Q$28,IF($B32=$F$71,+'8. KW and Non-Weather Sensitive'!$AA$28,IF($B32=$F$72,+'8. KW and Non-Weather Sensitive'!$AK$28,+IF($B32=$F$73,+'8. KW and Non-Weather Sensitive'!$AU$28,0)))))</f>
        <v>132</v>
      </c>
      <c r="M34" s="404">
        <f>IF($B32=$F$69,+'8. KW and Non-Weather Sensitive'!$F$29,IF($B32=$F$70,+'8. KW and Non-Weather Sensitive'!$Q$29,IF($B32=$F$71,+'8. KW and Non-Weather Sensitive'!$AA$29,IF($B32=$F$72,+'8. KW and Non-Weather Sensitive'!$AK$29,+IF($B32=$F$73,+'8. KW and Non-Weather Sensitive'!$AU$29,0)))))</f>
        <v>132</v>
      </c>
      <c r="N34" s="404">
        <f>IF($B32=$F$69,+'8. KW and Non-Weather Sensitive'!$F$30,IF($B32=$F$70,+'8. KW and Non-Weather Sensitive'!$Q$30,IF($B32=$F$71,+'8. KW and Non-Weather Sensitive'!$AA$30,IF($B32=$F$72,+'8. KW and Non-Weather Sensitive'!$AK$30,+IF($B32=$F$73,+'8. KW and Non-Weather Sensitive'!$AU$30,0)))))</f>
        <v>132</v>
      </c>
      <c r="O34" s="404">
        <f>IF($B32=$F$69,+'8. KW and Non-Weather Sensitive'!$J$49,IF($B32=$F$70,+'8. KW and Non-Weather Sensitive'!$U$49,IF($B32=$F$71,+'8. KW and Non-Weather Sensitive'!$AE$49,IF($B32=$F$72,+'8. KW and Non-Weather Sensitive'!$AO$49,+IF($B32=$F$73,+'8. KW and Non-Weather Sensitive'!$AY$49,0)))))</f>
        <v>134.62335169787229</v>
      </c>
      <c r="P34" s="508">
        <f>IF($B32=$F$69,+'8. KW and Non-Weather Sensitive'!$J$50,IF($B32=$F$70,+'8. KW and Non-Weather Sensitive'!$U$50,IF($B32=$F$71,+'8. KW and Non-Weather Sensitive'!$AE$50,IF($B32=$F$72,+'8. KW and Non-Weather Sensitive'!$AO$50,+IF($B32=$F$73,+'8. KW and Non-Weather Sensitive'!$AY$50,0)))))</f>
        <v>134.87376922019658</v>
      </c>
    </row>
    <row r="35" spans="1:16" x14ac:dyDescent="0.2">
      <c r="A35" s="775" t="s">
        <v>286</v>
      </c>
      <c r="B35" s="88"/>
      <c r="C35" s="830"/>
      <c r="D35" s="53"/>
      <c r="E35" s="404"/>
      <c r="F35" s="404"/>
      <c r="G35" s="404"/>
      <c r="H35" s="404"/>
      <c r="I35" s="404"/>
      <c r="J35" s="404"/>
      <c r="K35" s="404"/>
      <c r="L35" s="404"/>
      <c r="M35" s="404"/>
      <c r="N35" s="404"/>
      <c r="O35" s="405"/>
      <c r="P35" s="406"/>
    </row>
    <row r="36" spans="1:16" x14ac:dyDescent="0.2">
      <c r="B36" s="730" t="s">
        <v>283</v>
      </c>
      <c r="C36" s="729" t="str">
        <f>IF($B36=$F$64,+$B$64,+IF($B36=$F$65,+$B$65,+IF($B36=$F$66,+$B$66,+IF($B36=$F$66,$B$66,+IF($B36=$F$67,+$B$67,+IF($B36=$F$68,+$B$68,+IF($B36=$F$69,+$B$69,+IF($B36=$F$70,+$B$70,+IF($B36=$F$71,+$B$71,+IF($B36=$F$72,+$B$72,+IF($B36=$F$73,+$B$73)))))))))))</f>
        <v>General Service 3000-4999 kW</v>
      </c>
      <c r="D36" s="53" t="s">
        <v>129</v>
      </c>
      <c r="E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F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G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H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I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J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K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L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M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N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O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P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row>
    <row r="37" spans="1:16" x14ac:dyDescent="0.2">
      <c r="B37" s="88"/>
      <c r="C37" s="830"/>
      <c r="D37" s="53" t="s">
        <v>36</v>
      </c>
      <c r="E37" s="506">
        <f>IF($B36=$F$64,+'7. Weather Senstive Class'!$G$21,IF($B36=$F$65,+'7. Weather Senstive Class'!$O$21,IF($B36=$F$66,+'7. Weather Senstive Class'!$W$21,IF($B36=$F$67,+'7. Weather Senstive Class'!$AE$21,IF($B36=$F$68,+'7. Weather Senstive Class'!$AM$21,IF($B36=$F$69,+'8. KW and Non-Weather Sensitive'!$E$21,IF($B36=$F$70,+'8. KW and Non-Weather Sensitive'!$P$21,IF($B36=$F$71,+'8. KW and Non-Weather Sensitive'!$Z$21,IF($B36=$F$72,+'8. KW and Non-Weather Sensitive'!$AJ$21,IF($B36=$F$73,+'8. KW and Non-Weather Sensitive'!$AT$21))))))))))</f>
        <v>23443190</v>
      </c>
      <c r="F37" s="506">
        <f>IF($B36=$F$64,+'7. Weather Senstive Class'!$G$22,IF($B36=$F$65,+'7. Weather Senstive Class'!$O$22,IF($B36=$F$66,+'7. Weather Senstive Class'!$W$22,IF($B36=$F$67,+'7. Weather Senstive Class'!$AE$22,IF($B36=$F$68,+'7. Weather Senstive Class'!$AM$22,IF($B36=$F$69,+'8. KW and Non-Weather Sensitive'!$E$22,IF($B36=$F$70,+'8. KW and Non-Weather Sensitive'!$P$22,IF($B36=$F$71,+'8. KW and Non-Weather Sensitive'!$Z$22,IF($B36=$F$72,+'8. KW and Non-Weather Sensitive'!$AJ$22,IF($B36=$F$73,+'8. KW and Non-Weather Sensitive'!$AT$22))))))))))</f>
        <v>20583615.100000001</v>
      </c>
      <c r="G37" s="506">
        <f>IF($B36=$F$64,+'7. Weather Senstive Class'!$G$23,IF($B36=$F$65,+'7. Weather Senstive Class'!$O$23,IF($B36=$F$66,+'7. Weather Senstive Class'!$W$23,IF($B36=$F$67,+'7. Weather Senstive Class'!$AE$23,IF($B36=$F$68,+'7. Weather Senstive Class'!$AM$23,IF($B36=$F$69,+'8. KW and Non-Weather Sensitive'!$E$23,IF($B36=$F$70,+'8. KW and Non-Weather Sensitive'!$P$23,IF($B36=$F$71,+'8. KW and Non-Weather Sensitive'!$Z$23,IF($B36=$F$72,+'8. KW and Non-Weather Sensitive'!$AJ$23,IF($B36=$F$73,+'8. KW and Non-Weather Sensitive'!$AT$23))))))))))</f>
        <v>18805505.400000002</v>
      </c>
      <c r="H37" s="506">
        <f>IF($B36=$F$64,+'7. Weather Senstive Class'!$G$24,IF($B36=$F$65,+'7. Weather Senstive Class'!$O$24,IF($B36=$F$66,+'7. Weather Senstive Class'!$W$24,IF($B36=$F$67,+'7. Weather Senstive Class'!$AE$24,IF($B36=$F$68,+'7. Weather Senstive Class'!$AM$24,IF($B36=$F$69,+'8. KW and Non-Weather Sensitive'!$E$24,IF($B36=$F$70,+'8. KW and Non-Weather Sensitive'!$P$24,IF($B36=$F$71,+'8. KW and Non-Weather Sensitive'!$Z$24,IF($B36=$F$72,+'8. KW and Non-Weather Sensitive'!$AJ$24,IF($B36=$F$73,+'8. KW and Non-Weather Sensitive'!$AT$24))))))))))</f>
        <v>19554366.59</v>
      </c>
      <c r="I37" s="506">
        <f>IF($B36=$F$64,+'7. Weather Senstive Class'!$G$25,IF($B36=$F$65,+'7. Weather Senstive Class'!$O$25,IF($B36=$F$66,+'7. Weather Senstive Class'!$W$25,IF($B36=$F$67,+'7. Weather Senstive Class'!$AE$25,IF($B36=$F$68,+'7. Weather Senstive Class'!$AM$25,IF($B36=$F$69,+'8. KW and Non-Weather Sensitive'!$E$25,IF($B36=$F$70,+'8. KW and Non-Weather Sensitive'!$P$25,IF($B36=$F$71,+'8. KW and Non-Weather Sensitive'!$Z$25,IF($B36=$F$72,+'8. KW and Non-Weather Sensitive'!$AJ$25,IF($B36=$F$73,+'8. KW and Non-Weather Sensitive'!$AT$25))))))))))</f>
        <v>19036344.470000003</v>
      </c>
      <c r="J37" s="506">
        <f>IF($B36=$F$64,+'7. Weather Senstive Class'!$G$26,IF($B36=$F$65,+'7. Weather Senstive Class'!$O$26,IF($B36=$F$66,+'7. Weather Senstive Class'!$M$26,IF($B36=$F$67,+'7. Weather Senstive Class'!$AE$26,IF($B36=$F$68,+'7. Weather Senstive Class'!$AM$26,IF($B36=$F$69,+'8. KW and Non-Weather Sensitive'!$E$26,IF($B36=$F$70,+'8. KW and Non-Weather Sensitive'!$P$26,IF($B36=$F$71,+'8. KW and Non-Weather Sensitive'!$Z$26,IF($B36=$F$72,+'8. KW and Non-Weather Sensitive'!$AJ$26,IF($B36=$F$73,+'8. KW and Non-Weather Sensitive'!$AT$26))))))))))</f>
        <v>15051682</v>
      </c>
      <c r="K37" s="506">
        <f>IF($B36=$F$64,+'7. Weather Senstive Class'!$G$27,IF($B36=$F$65,+'7. Weather Senstive Class'!$O$27,IF($B36=$F$66,+'7. Weather Senstive Class'!$W$27,IF($B36=$F$67,+'7. Weather Senstive Class'!$AE$27,IF($B36=$F$68,+'7. Weather Senstive Class'!$AM$27,IF($B36=$F$69,+'8. KW and Non-Weather Sensitive'!$E$27,IF($B36=$F$70,+'8. KW and Non-Weather Sensitive'!$P$27,IF($B36=$F$71,+'8. KW and Non-Weather Sensitive'!$Z$27,IF($B36=$F$72,+'8. KW and Non-Weather Sensitive'!$AJ$27,IF($B36=$F$73,+'8. KW and Non-Weather Sensitive'!$AT$27))))))))))</f>
        <v>15193348</v>
      </c>
      <c r="L37" s="506">
        <f>IF($B36=$F$64,+'7. Weather Senstive Class'!$G$28,IF($B36=$F$65,+'7. Weather Senstive Class'!$O$28,IF($B36=$F$66,+'7. Weather Senstive Class'!$W$28,IF($B36=$F$67,+'7. Weather Senstive Class'!$AE$28,IF($B36=$F$68,+'7. Weather Senstive Class'!$AM$28,IF($B36=$F$69,+'8. KW and Non-Weather Sensitive'!$E$28,IF($B36=$F$70,+'8. KW and Non-Weather Sensitive'!$P$28,IF($B36=$F$71,+'8. KW and Non-Weather Sensitive'!$Z$28,IF($B36=$F$72,+'8. KW and Non-Weather Sensitive'!$AJ$28,IF($B36=$F$73,+'8. KW and Non-Weather Sensitive'!$AT$28))))))))))</f>
        <v>13952451</v>
      </c>
      <c r="M37" s="506">
        <f>IF($B36=$F$64,+'7. Weather Senstive Class'!$G$29,IF($B36=$F$65,+'7. Weather Senstive Class'!$O$29,IF($B36=$F$66,+'7. Weather Senstive Class'!$W$29,IF($B36=$F$67,+'7. Weather Senstive Class'!$AE$29,IF($B36=$F$68,+'7. Weather Senstive Class'!$AM$29,IF($B36=$F$69,+'8. KW and Non-Weather Sensitive'!$E$29,IF($B36=$F$70,+'8. KW and Non-Weather Sensitive'!$P$29,IF($B36=$F$71,+'8. KW and Non-Weather Sensitive'!$Z$29,IF($B36=$F$72,+'8. KW and Non-Weather Sensitive'!$AJ$29,IF($B36=$F$73,+'8. KW and Non-Weather Sensitive'!$AT$29))))))))))</f>
        <v>12584229</v>
      </c>
      <c r="N37" s="506">
        <f>IF($B36=$F$64,+'7. Weather Senstive Class'!$G$30,IF($B36=$F$65,+'7. Weather Senstive Class'!$O$30,IF($B36=$F$66,+'7. Weather Senstive Class'!$W$30,IF($B36=$F$67,+'7. Weather Senstive Class'!$AE$30,IF($B36=$F$68,+'7. Weather Senstive Class'!$AM$30,IF($B36=$F$69,+'8. KW and Non-Weather Sensitive'!$E$30,IF($B36=$F$70,+'8. KW and Non-Weather Sensitive'!$P$30,IF($B36=$F$71,+'8. KW and Non-Weather Sensitive'!$Z$30,IF($B36=$F$72,+'8. KW and Non-Weather Sensitive'!$AJ$30,IF($B36=$F$73,+'8. KW and Non-Weather Sensitive'!$AT$30))))))))))</f>
        <v>14943860</v>
      </c>
      <c r="O37" s="506">
        <f>IF($B36=$F$64,+'7. Weather Senstive Class'!$H$42,IF($B36=$F$65,+'7. Weather Senstive Class'!$P$42,IF($B36=$F$66,+'7. Weather Senstive Class'!$X$42,IF($B36=$F$67,+'7. Weather Senstive Class'!$AF$42,IF($B36=$F$68,+'7. Weather Senstive Class'!$AN$42,IF($B36=$F$69,+'8. KW and Non-Weather Sensitive'!$I$49,IF($B36=$F$70,+'8. KW and Non-Weather Sensitive'!$T$49,IF($B36=$F$71,+'8. KW and Non-Weather Sensitive'!$AD$49,IF($B36=$F$72,+'8. KW and Non-Weather Sensitive'!$AN$49,IF($B36=$F$73,+'8. KW and Non-Weather Sensitive'!$AX$49))))))))))</f>
        <v>15089930.619954463</v>
      </c>
      <c r="P37" s="507">
        <f>IF($B36=$F$64,+'7. Weather Senstive Class'!$H$43,IF($B36=$F$65,+'7. Weather Senstive Class'!$P$43,IF($B36=$F$66,+'7. Weather Senstive Class'!$X$43,IF($B36=$F$67,+'7. Weather Senstive Class'!$AF$43,IF($B36=$F$68,+'7. Weather Senstive Class'!$AN$43,IF($B36=$F$69,+'8. KW and Non-Weather Sensitive'!$I$50,IF($B36=$F$70,+'8. KW and Non-Weather Sensitive'!$T$50,IF($B36=$F$71,+'8. KW and Non-Weather Sensitive'!$AD$50,IF($B36=$F$72,+'8. KW and Non-Weather Sensitive'!$AN$50,IF($B36=$F$73,+'8. KW and Non-Weather Sensitive'!$AX$50))))))))))</f>
        <v>15117999.918410014</v>
      </c>
    </row>
    <row r="38" spans="1:16" x14ac:dyDescent="0.2">
      <c r="B38" s="88"/>
      <c r="C38" s="830"/>
      <c r="D38" s="53" t="s">
        <v>37</v>
      </c>
      <c r="E38" s="404">
        <f>IF(B$16=$F$69,+'8. KW and Non-Weather Sensitive'!$F$21,IF($B36=$F$70,+'8. KW and Non-Weather Sensitive'!$Q$21,IF($B36=$F$71,+'8. KW and Non-Weather Sensitive'!$AA$21,IF($B36=$F$72,+'8. KW and Non-Weather Sensitive'!$AK$21,+IF($B36=$F$73,+'8. KW and Non-Weather Sensitive'!$AU$21,0)))))</f>
        <v>48478.95</v>
      </c>
      <c r="F38" s="404">
        <f>IF($B36=$F$69,+'8. KW and Non-Weather Sensitive'!$F$22,IF($B36=$F$70,+'8. KW and Non-Weather Sensitive'!$Q$22,IF($B36=$F$71,+'8. KW and Non-Weather Sensitive'!$AA$22,IF($B36=$F$72,+'8. KW and Non-Weather Sensitive'!$AK$22,+IF($B36=$F$73,+'8. KW and Non-Weather Sensitive'!$AU$22,0)))))</f>
        <v>46226.600000000006</v>
      </c>
      <c r="G38" s="404">
        <f>IF($B36=$F$69,+'8. KW and Non-Weather Sensitive'!$F$23,IF($B36=$F$70,+'8. KW and Non-Weather Sensitive'!$Q$23,IF($B36=$F$71,+'8. KW and Non-Weather Sensitive'!$AA$23,IF($B36=$F$72,+'8. KW and Non-Weather Sensitive'!$AK$23,+IF($B36=$F$73,+'8. KW and Non-Weather Sensitive'!$AU$23,0)))))</f>
        <v>40463.800000000003</v>
      </c>
      <c r="H38" s="404">
        <f>IF($B36=$F$69,+'8. KW and Non-Weather Sensitive'!$F$24,IF($B36=$F$70,+'8. KW and Non-Weather Sensitive'!$Q$24,IF($B36=$F$71,+'8. KW and Non-Weather Sensitive'!$AA$24,IF($B36=$F$72,+'8. KW and Non-Weather Sensitive'!$AK$24,+IF($B36=$F$73,+'8. KW and Non-Weather Sensitive'!$AU$24,0)))))</f>
        <v>49628.899999999994</v>
      </c>
      <c r="I38" s="404">
        <f>IF($B36=$F$69,+'8. KW and Non-Weather Sensitive'!$F$25,IF($B36=$F$70,+'8. KW and Non-Weather Sensitive'!$Q$25,IF($B36=$F$71,+'8. KW and Non-Weather Sensitive'!$AA$25,IF($B36=$F$72,+'8. KW and Non-Weather Sensitive'!$AK$25,+IF($B36=$F$73,+'8. KW and Non-Weather Sensitive'!$AU$25,0)))))</f>
        <v>45255.720000000008</v>
      </c>
      <c r="J38" s="404">
        <f>IF($B36=$F$69,+'8. KW and Non-Weather Sensitive'!$F$26,IF($B36=$F$70,+'8. KW and Non-Weather Sensitive'!$Q$26,IF($B36=$F$71,+'8. KW and Non-Weather Sensitive'!$AA$26,IF($B36=$F$72,+'8. KW and Non-Weather Sensitive'!$AK$26,+IF($B36=$F$73,+'8. KW and Non-Weather Sensitive'!$AU$26,0)))))</f>
        <v>42335.9</v>
      </c>
      <c r="K38" s="404">
        <f>IF($B36=$F$69,+'8. KW and Non-Weather Sensitive'!$F$27,IF($B36=$F$70,+'8. KW and Non-Weather Sensitive'!$Q$27,IF($B36=$F$71,+'8. KW and Non-Weather Sensitive'!$AA$27,IF($B36=$F$72,+'8. KW and Non-Weather Sensitive'!$AK$27,+IF($B36=$F$73,+'8. KW and Non-Weather Sensitive'!$AU$27,0)))))</f>
        <v>39662.6</v>
      </c>
      <c r="L38" s="404">
        <f>IF($B36=$F$69,+'8. KW and Non-Weather Sensitive'!$F$28,IF($B36=$F$70,+'8. KW and Non-Weather Sensitive'!$Q$28,IF($B36=$F$71,+'8. KW and Non-Weather Sensitive'!$AA$28,IF($B36=$F$72,+'8. KW and Non-Weather Sensitive'!$AK$28,+IF($B36=$F$73,+'8. KW and Non-Weather Sensitive'!$AU$28,0)))))</f>
        <v>37942.600000000006</v>
      </c>
      <c r="M38" s="404">
        <f>IF($B36=$F$69,+'8. KW and Non-Weather Sensitive'!$F$29,IF($B36=$F$70,+'8. KW and Non-Weather Sensitive'!$Q$29,IF($B36=$F$71,+'8. KW and Non-Weather Sensitive'!$AA$29,IF($B36=$F$72,+'8. KW and Non-Weather Sensitive'!$AK$29,+IF($B36=$F$73,+'8. KW and Non-Weather Sensitive'!$AU$29,0)))))</f>
        <v>36603.599999999999</v>
      </c>
      <c r="N38" s="404">
        <f>IF($B36=$F$69,+'8. KW and Non-Weather Sensitive'!$F$30,IF($B36=$F$70,+'8. KW and Non-Weather Sensitive'!$Q$30,IF($B36=$F$71,+'8. KW and Non-Weather Sensitive'!$AA$30,IF($B36=$F$72,+'8. KW and Non-Weather Sensitive'!$AK$30,+IF($B36=$F$73,+'8. KW and Non-Weather Sensitive'!$AU$30,0)))))</f>
        <v>33867.5</v>
      </c>
      <c r="O38" s="404">
        <f>IF($B36=$F$69,+'8. KW and Non-Weather Sensitive'!$J$49,IF($B36=$F$70,+'8. KW and Non-Weather Sensitive'!$U$49,IF($B36=$F$71,+'8. KW and Non-Weather Sensitive'!$AE$49,IF($B36=$F$72,+'8. KW and Non-Weather Sensitive'!$AO$49,+IF($B36=$F$73,+'8. KW and Non-Weather Sensitive'!$AY$49,0)))))</f>
        <v>37269.727733739157</v>
      </c>
      <c r="P38" s="508">
        <f>IF($B36=$F$69,+'8. KW and Non-Weather Sensitive'!$J$50,IF($B36=$F$70,+'8. KW and Non-Weather Sensitive'!$U$50,IF($B36=$F$71,+'8. KW and Non-Weather Sensitive'!$AE$50,IF($B36=$F$72,+'8. KW and Non-Weather Sensitive'!$AO$50,+IF($B36=$F$73,+'8. KW and Non-Weather Sensitive'!$AY$50,0)))))</f>
        <v>37339.054434932339</v>
      </c>
    </row>
    <row r="39" spans="1:16" x14ac:dyDescent="0.2">
      <c r="B39" s="88"/>
      <c r="C39" s="830"/>
      <c r="D39" s="53"/>
      <c r="E39" s="404"/>
      <c r="F39" s="404"/>
      <c r="G39" s="404"/>
      <c r="H39" s="404"/>
      <c r="I39" s="404"/>
      <c r="J39" s="404"/>
      <c r="K39" s="404"/>
      <c r="L39" s="404"/>
      <c r="M39" s="404"/>
      <c r="N39" s="404"/>
      <c r="O39" s="405"/>
      <c r="P39" s="406"/>
    </row>
    <row r="40" spans="1:16" x14ac:dyDescent="0.2">
      <c r="B40" s="730" t="s">
        <v>284</v>
      </c>
      <c r="C40" s="729" t="str">
        <f>IF($B40=$F$64,+$B$64,+IF($B40=$F$65,+$B$65,+IF($B40=$F$66,+$B$66,+IF($B40=$F$66,$B$66,+IF($B40=$F$67,+$B$67,+IF($B40=$F$68,+$B$68,+IF($B40=$F$69,+$B$69,+IF($B40=$F$70,+$B$70,+IF($B40=$F$71,+$B$71,+IF($B40=$F$72,+$B$72,+IF($B40=$F$73,+$B$73)))))))))))</f>
        <v>Unmetered Scattered Load</v>
      </c>
      <c r="D40" s="53" t="s">
        <v>129</v>
      </c>
      <c r="E40" s="509">
        <f>IF($C40='4. Customer Growth'!$C$15,+'4. Customer Growth'!$C$17,+IF($C40='4. Customer Growth'!$E$15,+'4. Customer Growth'!$E$17,+IF($C40='4. Customer Growth'!$G$15,+'4. Customer Growth'!$G$17,+IF($C40='4. Customer Growth'!$I$15,+'4. Customer Growth'!$I$17,+IF($C40='4. Customer Growth'!$K$15,+'4. Customer Growth'!$K$17,+IF($C40='4. Customer Growth'!$M$15,+'4. Customer Growth'!$M$17,IF($C40='4. Customer Growth'!$O$15,+'4. Customer Growth'!$O$17,IF($C40='4. Customer Growth'!$Q$15,+'4. Customer Growth'!$Q$17))))))))</f>
        <v>68.5</v>
      </c>
      <c r="F40" s="509">
        <f>IF($C40='4. Customer Growth'!$C$15,+'4. Customer Growth'!$C$18,+IF($C40='4. Customer Growth'!$E$15,+'4. Customer Growth'!$E$18,+IF($C40='4. Customer Growth'!$G$15,+'4. Customer Growth'!$G$18,+IF($C40='4. Customer Growth'!$I$15,+'4. Customer Growth'!$I$18,+IF($C40='4. Customer Growth'!$K$15,+'4. Customer Growth'!$K$18,+IF($C40='4. Customer Growth'!$M$15,+'4. Customer Growth'!$M$18,IF($C40='4. Customer Growth'!$O$15,+'4. Customer Growth'!$O$18,IF($C40='4. Customer Growth'!$Q$15,+'4. Customer Growth'!$Q$18))))))))</f>
        <v>80.5</v>
      </c>
      <c r="G40" s="509">
        <f>IF($C40='4. Customer Growth'!$C$15,+'4. Customer Growth'!$C$19,+IF($C40='4. Customer Growth'!$E$15,+'4. Customer Growth'!$E$19,+IF($C40='4. Customer Growth'!$G$15,+'4. Customer Growth'!$G$19,+IF($C40='4. Customer Growth'!$I$15,+'4. Customer Growth'!$I$19,+IF($C40='4. Customer Growth'!$K$15,+'4. Customer Growth'!$K$19,+IF($C40='4. Customer Growth'!$M$15,+'4. Customer Growth'!$M$19,IF($C40='4. Customer Growth'!$O$15,+'4. Customer Growth'!$O$19,IF($C40='4. Customer Growth'!$Q$15,+'4. Customer Growth'!$Q$19))))))))</f>
        <v>90</v>
      </c>
      <c r="H40" s="509">
        <f>IF($C40='4. Customer Growth'!$C$15,+'4. Customer Growth'!$C$20,+IF($C40='4. Customer Growth'!$E$15,+'4. Customer Growth'!$E$20,+IF($C40='4. Customer Growth'!$G$15,+'4. Customer Growth'!$G$20,+IF($C40='4. Customer Growth'!$I$15,+'4. Customer Growth'!$I$20,+IF($C40='4. Customer Growth'!$K$15,+'4. Customer Growth'!$K$20,+IF($C40='4. Customer Growth'!$M$15,+'4. Customer Growth'!$M$20,IF($C40='4. Customer Growth'!$O$15,+'4. Customer Growth'!$O$20,IF($C40='4. Customer Growth'!$Q$15,+'4. Customer Growth'!$Q$20))))))))</f>
        <v>95.5</v>
      </c>
      <c r="I40" s="509">
        <f>IF($C40='4. Customer Growth'!$C$15,+'4. Customer Growth'!$C$21,+IF($C40='4. Customer Growth'!$E$15,+'4. Customer Growth'!$E$21,+IF($C40='4. Customer Growth'!$G$15,+'4. Customer Growth'!$G$21,+IF($C40='4. Customer Growth'!$I$15,+'4. Customer Growth'!$I$21,+IF($C40='4. Customer Growth'!$K$15,+'4. Customer Growth'!$K$21,+IF($C40='4. Customer Growth'!$M$15,+'4. Customer Growth'!$M$21,IF($C40='4. Customer Growth'!$O$15,+'4. Customer Growth'!$O$21,IF($C40='4. Customer Growth'!$Q$15,+'4. Customer Growth'!$Q$21))))))))</f>
        <v>95</v>
      </c>
      <c r="J40" s="509">
        <f>IF($C40='4. Customer Growth'!$C$15,+'4. Customer Growth'!$C$22,+IF($C40='4. Customer Growth'!$E$15,+'4. Customer Growth'!$E$22,+IF($C40='4. Customer Growth'!$G$15,+'4. Customer Growth'!$G$22,+IF($C40='4. Customer Growth'!$I$15,+'4. Customer Growth'!$I$22,+IF($C40='4. Customer Growth'!$K$15,+'4. Customer Growth'!$K$22,+IF($C40='4. Customer Growth'!$M$15,+'4. Customer Growth'!$M$22,IF($C40='4. Customer Growth'!$O$15,+'4. Customer Growth'!$O$22,IF($C40='4. Customer Growth'!$Q$15,+'4. Customer Growth'!$Q$22))))))))</f>
        <v>96</v>
      </c>
      <c r="K40" s="509">
        <f>IF($C40='4. Customer Growth'!$C$15,+'4. Customer Growth'!$C$23,+IF($C40='4. Customer Growth'!$E$15,+'4. Customer Growth'!$E$23,+IF($C40='4. Customer Growth'!$G$15,+'4. Customer Growth'!$G$23,+IF($C40='4. Customer Growth'!$I$15,+'4. Customer Growth'!$I$23,+IF($C40='4. Customer Growth'!$K$15,+'4. Customer Growth'!$K$23,+IF($C40='4. Customer Growth'!$M$15,+'4. Customer Growth'!$M$23,IF($C40='4. Customer Growth'!$O$15,+'4. Customer Growth'!$O$23,IF($C40='4. Customer Growth'!$Q$15,+'4. Customer Growth'!$Q$23))))))))</f>
        <v>94.5</v>
      </c>
      <c r="L40" s="509">
        <f>IF($C40='4. Customer Growth'!$C$15,+'4. Customer Growth'!$C$24,+IF($C40='4. Customer Growth'!$E$15,+'4. Customer Growth'!$E$24,+IF($C40='4. Customer Growth'!$G$15,+'4. Customer Growth'!$G$24,+IF($C40='4. Customer Growth'!$I$15,+'4. Customer Growth'!$I$24,+IF($C40='4. Customer Growth'!$K$15,+'4. Customer Growth'!$K$24,+IF($C40='4. Customer Growth'!$M$15,+'4. Customer Growth'!$M$24,IF($C40='4. Customer Growth'!$O$15,+'4. Customer Growth'!$O$24,IF($C40='4. Customer Growth'!$Q$15,+'4. Customer Growth'!$Q$24))))))))</f>
        <v>93.5</v>
      </c>
      <c r="M40" s="509">
        <f>IF($C40='4. Customer Growth'!$C$15,+'4. Customer Growth'!$C$25,+IF($C40='4. Customer Growth'!$E$15,+'4. Customer Growth'!$E$25,+IF($C40='4. Customer Growth'!$G$15,+'4. Customer Growth'!$G$25,+IF($C40='4. Customer Growth'!$I$15,+'4. Customer Growth'!$I$25,+IF($C40='4. Customer Growth'!$K$15,+'4. Customer Growth'!$K$25,+IF($C40='4. Customer Growth'!$M$15,+'4. Customer Growth'!$M$25,IF($C40='4. Customer Growth'!$O$15,+'4. Customer Growth'!$O$25,IF($C40='4. Customer Growth'!$Q$15,+'4. Customer Growth'!$Q$25))))))))</f>
        <v>93</v>
      </c>
      <c r="N40" s="509">
        <f>IF($C40='4. Customer Growth'!$C$15,+'4. Customer Growth'!$C$26,+IF($C40='4. Customer Growth'!$E$15,+'4. Customer Growth'!$E$26,+IF($C40='4. Customer Growth'!$G$15,+'4. Customer Growth'!$G$26,+IF($C40='4. Customer Growth'!$I$15,+'4. Customer Growth'!$I$26,+IF($C40='4. Customer Growth'!$K$15,+'4. Customer Growth'!$K$26,+IF($C40='4. Customer Growth'!$M$15,+'4. Customer Growth'!$M$26,IF($C40='4. Customer Growth'!$O$15,+'4. Customer Growth'!$O$26,IF($C40='4. Customer Growth'!$Q$15,+'4. Customer Growth'!$Q$26))))))))</f>
        <v>90</v>
      </c>
      <c r="O40" s="509">
        <f>IF($C40='4. Customer Growth'!$C$15,+'4. Customer Growth'!$C$42,+IF($C40='4. Customer Growth'!$E$15,+'4. Customer Growth'!$E$42,+IF($C40='4. Customer Growth'!$G$15,+'4. Customer Growth'!$G$42,+IF($C40='4. Customer Growth'!$I$15,+'4. Customer Growth'!$I$42,+IF($C40='4. Customer Growth'!$K$15,+'4. Customer Growth'!$K$42,+IF($C40='4. Customer Growth'!$M$15,+'4. Customer Growth'!$M$42,IF($C40='4. Customer Growth'!$O$15,+'4. Customer Growth'!$O$42,IF($C40='4. Customer Growth'!$Q$15,+'4. Customer Growth'!$Q$42))))))))</f>
        <v>92.771578681015399</v>
      </c>
      <c r="P40" s="510">
        <f>IF($C40='4. Customer Growth'!$C$15,+'4. Customer Growth'!$C$43,+IF($C40='4. Customer Growth'!$E$15,+'4. Customer Growth'!$E$43,+IF($C40='4. Customer Growth'!$G$15,+'4. Customer Growth'!$G$43,+IF($C40='4. Customer Growth'!$I$15,+'4. Customer Growth'!$I$43,+IF($C40='4. Customer Growth'!$K$15,+'4. Customer Growth'!$K$43,+IF($C40='4. Customer Growth'!$M$15,+'4. Customer Growth'!$M$43,IF($C40='4. Customer Growth'!$O$15,+'4. Customer Growth'!$O$43,IF($C40='4. Customer Growth'!$Q$15,+'4. Customer Growth'!$Q$43))))))))</f>
        <v>95.628509010753675</v>
      </c>
    </row>
    <row r="41" spans="1:16" x14ac:dyDescent="0.2">
      <c r="B41" s="88"/>
      <c r="C41" s="830"/>
      <c r="D41" s="53" t="s">
        <v>36</v>
      </c>
      <c r="E41" s="506">
        <f>IF($B40=$F$64,+'7. Weather Senstive Class'!$G$21,IF($B40=$F$65,+'7. Weather Senstive Class'!$O$21,IF($B40=$F$66,+'7. Weather Senstive Class'!$W$21,IF($B40=$F$67,+'7. Weather Senstive Class'!$AE$21,IF($B40=$F$68,+'7. Weather Senstive Class'!$AM$21,IF($B40=$F$69,+'8. KW and Non-Weather Sensitive'!$E$21,IF($B40=$F$70,+'8. KW and Non-Weather Sensitive'!$P$21,IF($B40=$F$71,+'8. KW and Non-Weather Sensitive'!$Z$21,IF($B40=$F$72,+'8. KW and Non-Weather Sensitive'!$AJ$21,IF($B40=$F$73,+'8. KW and Non-Weather Sensitive'!$AT$21))))))))))</f>
        <v>595250.77752402704</v>
      </c>
      <c r="F41" s="506">
        <f>IF($B40=$F$64,+'7. Weather Senstive Class'!$G$22,IF($B40=$F$65,+'7. Weather Senstive Class'!$O$22,IF($B40=$F$66,+'7. Weather Senstive Class'!$W$22,IF($B40=$F$67,+'7. Weather Senstive Class'!$AE$22,IF($B40=$F$68,+'7. Weather Senstive Class'!$AM$22,IF($B40=$F$69,+'8. KW and Non-Weather Sensitive'!$E$22,IF($B40=$F$70,+'8. KW and Non-Weather Sensitive'!$P$22,IF($B40=$F$71,+'8. KW and Non-Weather Sensitive'!$Z$22,IF($B40=$F$72,+'8. KW and Non-Weather Sensitive'!$AJ$22,IF($B40=$F$73,+'8. KW and Non-Weather Sensitive'!$AT$22))))))))))</f>
        <v>605328</v>
      </c>
      <c r="G41" s="506">
        <f>IF($B40=$F$64,+'7. Weather Senstive Class'!$G$23,IF($B40=$F$65,+'7. Weather Senstive Class'!$O$23,IF($B40=$F$66,+'7. Weather Senstive Class'!$W$23,IF($B40=$F$67,+'7. Weather Senstive Class'!$AE$23,IF($B40=$F$68,+'7. Weather Senstive Class'!$AM$23,IF($B40=$F$69,+'8. KW and Non-Weather Sensitive'!$E$23,IF($B40=$F$70,+'8. KW and Non-Weather Sensitive'!$P$23,IF($B40=$F$71,+'8. KW and Non-Weather Sensitive'!$Z$23,IF($B40=$F$72,+'8. KW and Non-Weather Sensitive'!$AJ$23,IF($B40=$F$73,+'8. KW and Non-Weather Sensitive'!$AT$23))))))))))</f>
        <v>720399.74271798297</v>
      </c>
      <c r="H41" s="506">
        <f>IF($B40=$F$64,+'7. Weather Senstive Class'!$G$24,IF($B40=$F$65,+'7. Weather Senstive Class'!$O$24,IF($B40=$F$66,+'7. Weather Senstive Class'!$W$24,IF($B40=$F$67,+'7. Weather Senstive Class'!$AE$24,IF($B40=$F$68,+'7. Weather Senstive Class'!$AM$24,IF($B40=$F$69,+'8. KW and Non-Weather Sensitive'!$E$24,IF($B40=$F$70,+'8. KW and Non-Weather Sensitive'!$P$24,IF($B40=$F$71,+'8. KW and Non-Weather Sensitive'!$Z$24,IF($B40=$F$72,+'8. KW and Non-Weather Sensitive'!$AJ$24,IF($B40=$F$73,+'8. KW and Non-Weather Sensitive'!$AT$24))))))))))</f>
        <v>747874.03424722515</v>
      </c>
      <c r="I41" s="506">
        <f>IF($B40=$F$64,+'7. Weather Senstive Class'!$G$25,IF($B40=$F$65,+'7. Weather Senstive Class'!$O$25,IF($B40=$F$66,+'7. Weather Senstive Class'!$W$25,IF($B40=$F$67,+'7. Weather Senstive Class'!$AE$25,IF($B40=$F$68,+'7. Weather Senstive Class'!$AM$25,IF($B40=$F$69,+'8. KW and Non-Weather Sensitive'!$E$25,IF($B40=$F$70,+'8. KW and Non-Weather Sensitive'!$P$25,IF($B40=$F$71,+'8. KW and Non-Weather Sensitive'!$Z$25,IF($B40=$F$72,+'8. KW and Non-Weather Sensitive'!$AJ$25,IF($B40=$F$73,+'8. KW and Non-Weather Sensitive'!$AT$25))))))))))</f>
        <v>716622.84621952369</v>
      </c>
      <c r="J41" s="506">
        <f>IF($B40=$F$64,+'7. Weather Senstive Class'!$G$26,IF($B40=$F$65,+'7. Weather Senstive Class'!$O$26,IF($B40=$F$66,+'7. Weather Senstive Class'!$M$26,IF($B40=$F$67,+'7. Weather Senstive Class'!$AE$26,IF($B40=$F$68,+'7. Weather Senstive Class'!$AM$26,IF($B40=$F$69,+'8. KW and Non-Weather Sensitive'!$E$26,IF($B40=$F$70,+'8. KW and Non-Weather Sensitive'!$P$26,IF($B40=$F$71,+'8. KW and Non-Weather Sensitive'!$Z$26,IF($B40=$F$72,+'8. KW and Non-Weather Sensitive'!$AJ$26,IF($B40=$F$73,+'8. KW and Non-Weather Sensitive'!$AT$26))))))))))</f>
        <v>659574</v>
      </c>
      <c r="K41" s="506">
        <f>IF($B40=$F$64,+'7. Weather Senstive Class'!$G$27,IF($B40=$F$65,+'7. Weather Senstive Class'!$O$27,IF($B40=$F$66,+'7. Weather Senstive Class'!$W$27,IF($B40=$F$67,+'7. Weather Senstive Class'!$AE$27,IF($B40=$F$68,+'7. Weather Senstive Class'!$AM$27,IF($B40=$F$69,+'8. KW and Non-Weather Sensitive'!$E$27,IF($B40=$F$70,+'8. KW and Non-Weather Sensitive'!$P$27,IF($B40=$F$71,+'8. KW and Non-Weather Sensitive'!$Z$27,IF($B40=$F$72,+'8. KW and Non-Weather Sensitive'!$AJ$27,IF($B40=$F$73,+'8. KW and Non-Weather Sensitive'!$AT$27))))))))))</f>
        <v>627467</v>
      </c>
      <c r="L41" s="506">
        <f>IF($B40=$F$64,+'7. Weather Senstive Class'!$G$28,IF($B40=$F$65,+'7. Weather Senstive Class'!$O$28,IF($B40=$F$66,+'7. Weather Senstive Class'!$W$28,IF($B40=$F$67,+'7. Weather Senstive Class'!$AE$28,IF($B40=$F$68,+'7. Weather Senstive Class'!$AM$28,IF($B40=$F$69,+'8. KW and Non-Weather Sensitive'!$E$28,IF($B40=$F$70,+'8. KW and Non-Weather Sensitive'!$P$28,IF($B40=$F$71,+'8. KW and Non-Weather Sensitive'!$Z$28,IF($B40=$F$72,+'8. KW and Non-Weather Sensitive'!$AJ$28,IF($B40=$F$73,+'8. KW and Non-Weather Sensitive'!$AT$28))))))))))</f>
        <v>668402</v>
      </c>
      <c r="M41" s="506">
        <f>IF($B40=$F$64,+'7. Weather Senstive Class'!$G$29,IF($B40=$F$65,+'7. Weather Senstive Class'!$O$29,IF($B40=$F$66,+'7. Weather Senstive Class'!$W$29,IF($B40=$F$67,+'7. Weather Senstive Class'!$AE$29,IF($B40=$F$68,+'7. Weather Senstive Class'!$AM$29,IF($B40=$F$69,+'8. KW and Non-Weather Sensitive'!$E$29,IF($B40=$F$70,+'8. KW and Non-Weather Sensitive'!$P$29,IF($B40=$F$71,+'8. KW and Non-Weather Sensitive'!$Z$29,IF($B40=$F$72,+'8. KW and Non-Weather Sensitive'!$AJ$29,IF($B40=$F$73,+'8. KW and Non-Weather Sensitive'!$AT$29))))))))))</f>
        <v>555548</v>
      </c>
      <c r="N41" s="506">
        <f>IF($B40=$F$64,+'7. Weather Senstive Class'!$G$30,IF($B40=$F$65,+'7. Weather Senstive Class'!$O$30,IF($B40=$F$66,+'7. Weather Senstive Class'!$W$30,IF($B40=$F$67,+'7. Weather Senstive Class'!$AE$30,IF($B40=$F$68,+'7. Weather Senstive Class'!$AM$30,IF($B40=$F$69,+'8. KW and Non-Weather Sensitive'!$E$30,IF($B40=$F$70,+'8. KW and Non-Weather Sensitive'!$P$30,IF($B40=$F$71,+'8. KW and Non-Weather Sensitive'!$Z$30,IF($B40=$F$72,+'8. KW and Non-Weather Sensitive'!$AJ$30,IF($B40=$F$73,+'8. KW and Non-Weather Sensitive'!$AT$30))))))))))</f>
        <v>602228</v>
      </c>
      <c r="O41" s="509">
        <f>IF($B40=$F$64,+'7. Weather Senstive Class'!$H$42,IF($B40=$F$65,+'7. Weather Senstive Class'!$P$42,IF($B40=$F$66,+'7. Weather Senstive Class'!$X$42,IF($B40=$F$67,+'7. Weather Senstive Class'!$AF$42,IF($B40=$F$68,+'7. Weather Senstive Class'!$AN$42,IF($B40=$F$69,+'8. KW and Non-Weather Sensitive'!$I$49,IF($B40=$F$70,+'8. KW and Non-Weather Sensitive'!$T$49,IF($B40=$F$71,+'8. KW and Non-Weather Sensitive'!$AD$49,IF($B40=$F$72,+'8. KW and Non-Weather Sensitive'!$AN$49,IF($B40=$F$73,+'8. KW and Non-Weather Sensitive'!$AX$49))))))))))</f>
        <v>608114.55255830393</v>
      </c>
      <c r="P41" s="510">
        <f>IF($B40=$F$64,+'7. Weather Senstive Class'!$H$43,IF($B40=$F$65,+'7. Weather Senstive Class'!$P$43,IF($B40=$F$66,+'7. Weather Senstive Class'!$X$43,IF($B40=$F$67,+'7. Weather Senstive Class'!$AF$43,IF($B40=$F$68,+'7. Weather Senstive Class'!$AN$43,IF($B40=$F$69,+'8. KW and Non-Weather Sensitive'!$I$50,IF($B40=$F$70,+'8. KW and Non-Weather Sensitive'!$T$50,IF($B40=$F$71,+'8. KW and Non-Weather Sensitive'!$AD$50,IF($B40=$F$72,+'8. KW and Non-Weather Sensitive'!$AN$50,IF($B40=$F$73,+'8. KW and Non-Weather Sensitive'!$AX$50))))))))))</f>
        <v>609245.72733311378</v>
      </c>
    </row>
    <row r="42" spans="1:16" x14ac:dyDescent="0.2">
      <c r="B42" s="88"/>
      <c r="C42" s="830"/>
      <c r="D42" s="53" t="s">
        <v>37</v>
      </c>
      <c r="E42" s="404">
        <f>IF(B$16=$F$69,+'8. KW and Non-Weather Sensitive'!$F$21,IF($B40=$F$70,+'8. KW and Non-Weather Sensitive'!$Q$21,IF($B40=$F$71,+'8. KW and Non-Weather Sensitive'!$AA$21,IF($B40=$F$72,+'8. KW and Non-Weather Sensitive'!$AK$21,+IF($B40=$F$73,+'8. KW and Non-Weather Sensitive'!$AU$21,0)))))</f>
        <v>0</v>
      </c>
      <c r="F42" s="404">
        <f>IF($B40=$F$69,+'8. KW and Non-Weather Sensitive'!$F$22,IF($B40=$F$70,+'8. KW and Non-Weather Sensitive'!$Q$22,IF($B40=$F$71,+'8. KW and Non-Weather Sensitive'!$AA$22,IF($B40=$F$72,+'8. KW and Non-Weather Sensitive'!$AK$22,+IF($B40=$F$73,+'8. KW and Non-Weather Sensitive'!$AU$22,0)))))</f>
        <v>0</v>
      </c>
      <c r="G42" s="404">
        <f>IF($B40=$F$69,+'8. KW and Non-Weather Sensitive'!$F$23,IF($B40=$F$70,+'8. KW and Non-Weather Sensitive'!$Q$23,IF($B40=$F$71,+'8. KW and Non-Weather Sensitive'!$AA$23,IF($B40=$F$72,+'8. KW and Non-Weather Sensitive'!$AK$23,+IF($B40=$F$73,+'8. KW and Non-Weather Sensitive'!$AU$23,0)))))</f>
        <v>0</v>
      </c>
      <c r="H42" s="404">
        <f>IF($B40=$F$69,+'8. KW and Non-Weather Sensitive'!$F$24,IF($B40=$F$70,+'8. KW and Non-Weather Sensitive'!$Q$24,IF($B40=$F$71,+'8. KW and Non-Weather Sensitive'!$AA$24,IF($B40=$F$72,+'8. KW and Non-Weather Sensitive'!$AK$24,+IF($B40=$F$73,+'8. KW and Non-Weather Sensitive'!$AU$24,0)))))</f>
        <v>0</v>
      </c>
      <c r="I42" s="404">
        <f>IF($B40=$F$69,+'8. KW and Non-Weather Sensitive'!$F$25,IF($B40=$F$70,+'8. KW and Non-Weather Sensitive'!$Q$25,IF($B40=$F$71,+'8. KW and Non-Weather Sensitive'!$AA$25,IF($B40=$F$72,+'8. KW and Non-Weather Sensitive'!$AK$25,+IF($B40=$F$73,+'8. KW and Non-Weather Sensitive'!$AU$25,0)))))</f>
        <v>0</v>
      </c>
      <c r="J42" s="404">
        <f>IF($B40=$F$69,+'8. KW and Non-Weather Sensitive'!$F$26,IF($B40=$F$70,+'8. KW and Non-Weather Sensitive'!$Q$26,IF($B40=$F$71,+'8. KW and Non-Weather Sensitive'!$AA$26,IF($B40=$F$72,+'8. KW and Non-Weather Sensitive'!$AK$26,+IF($B40=$F$73,+'8. KW and Non-Weather Sensitive'!$AU$26,0)))))</f>
        <v>0</v>
      </c>
      <c r="K42" s="404">
        <f>IF($B40=$F$69,+'8. KW and Non-Weather Sensitive'!$F$27,IF($B40=$F$70,+'8. KW and Non-Weather Sensitive'!$Q$27,IF($B40=$F$71,+'8. KW and Non-Weather Sensitive'!$AA$27,IF($B40=$F$72,+'8. KW and Non-Weather Sensitive'!$AK$27,+IF($B40=$F$73,+'8. KW and Non-Weather Sensitive'!$AU$27,0)))))</f>
        <v>0</v>
      </c>
      <c r="L42" s="404">
        <f>IF($B40=$F$69,+'8. KW and Non-Weather Sensitive'!$F$28,IF($B40=$F$70,+'8. KW and Non-Weather Sensitive'!$Q$28,IF($B40=$F$71,+'8. KW and Non-Weather Sensitive'!$AA$28,IF($B40=$F$72,+'8. KW and Non-Weather Sensitive'!$AK$28,+IF($B40=$F$73,+'8. KW and Non-Weather Sensitive'!$AU$28,0)))))</f>
        <v>0</v>
      </c>
      <c r="M42" s="404">
        <f>IF($B40=$F$69,+'8. KW and Non-Weather Sensitive'!$F$29,IF($B40=$F$70,+'8. KW and Non-Weather Sensitive'!$Q$29,IF($B40=$F$71,+'8. KW and Non-Weather Sensitive'!$AA$29,IF($B40=$F$72,+'8. KW and Non-Weather Sensitive'!$AK$29,+IF($B40=$F$73,+'8. KW and Non-Weather Sensitive'!$AU$29,0)))))</f>
        <v>0</v>
      </c>
      <c r="N42" s="404">
        <f>IF($B40=$F$69,+'8. KW and Non-Weather Sensitive'!$F$30,IF($B40=$F$70,+'8. KW and Non-Weather Sensitive'!$Q$30,IF($B40=$F$71,+'8. KW and Non-Weather Sensitive'!$AA$30,IF($B40=$F$72,+'8. KW and Non-Weather Sensitive'!$AK$30,+IF($B40=$F$73,+'8. KW and Non-Weather Sensitive'!$AU$30,0)))))</f>
        <v>0</v>
      </c>
      <c r="O42" s="404">
        <f>IF($B40=$F$69,+'8. KW and Non-Weather Sensitive'!$J$49,IF($B40=$F$70,+'8. KW and Non-Weather Sensitive'!$U$49,IF($B40=$F$71,+'8. KW and Non-Weather Sensitive'!$AE$49,IF($B40=$F$72,+'8. KW and Non-Weather Sensitive'!$AO$49,+IF($B40=$F$73,+'8. KW and Non-Weather Sensitive'!$AY$49,0)))))</f>
        <v>0</v>
      </c>
      <c r="P42" s="508">
        <f>IF($B40=$F$69,+'8. KW and Non-Weather Sensitive'!$J$50,IF($B40=$F$70,+'8. KW and Non-Weather Sensitive'!$U$50,IF($B40=$F$71,+'8. KW and Non-Weather Sensitive'!$AE$50,IF($B40=$F$72,+'8. KW and Non-Weather Sensitive'!$AO$50,+IF($B40=$F$73,+'8. KW and Non-Weather Sensitive'!$AY$50,0)))))</f>
        <v>0</v>
      </c>
    </row>
    <row r="43" spans="1:16" hidden="1" x14ac:dyDescent="0.2">
      <c r="B43" s="199" t="str">
        <f>'2. Customer Classes'!B21</f>
        <v>General Service 3000-4999 kW</v>
      </c>
      <c r="C43" s="745"/>
      <c r="D43" s="53" t="s">
        <v>129</v>
      </c>
      <c r="E43" s="407"/>
      <c r="F43" s="407"/>
      <c r="G43" s="407"/>
      <c r="H43" s="407"/>
      <c r="I43" s="407"/>
      <c r="J43" s="407"/>
      <c r="K43" s="407"/>
      <c r="L43" s="407"/>
      <c r="M43" s="407"/>
      <c r="N43" s="407"/>
      <c r="O43" s="408"/>
      <c r="P43" s="409"/>
    </row>
    <row r="44" spans="1:16" hidden="1" x14ac:dyDescent="0.2">
      <c r="B44" s="197"/>
      <c r="C44" s="746"/>
      <c r="D44" s="53" t="s">
        <v>36</v>
      </c>
      <c r="E44" s="407"/>
      <c r="F44" s="407"/>
      <c r="G44" s="407"/>
      <c r="H44" s="407"/>
      <c r="I44" s="407"/>
      <c r="J44" s="407"/>
      <c r="K44" s="407"/>
      <c r="L44" s="407"/>
      <c r="M44" s="407"/>
      <c r="N44" s="407"/>
      <c r="O44" s="408"/>
      <c r="P44" s="409"/>
    </row>
    <row r="45" spans="1:16" hidden="1" x14ac:dyDescent="0.2">
      <c r="B45" s="197"/>
      <c r="C45" s="746"/>
      <c r="D45" s="53" t="s">
        <v>37</v>
      </c>
      <c r="E45" s="407"/>
      <c r="F45" s="407"/>
      <c r="G45" s="407"/>
      <c r="H45" s="407"/>
      <c r="I45" s="407"/>
      <c r="J45" s="407"/>
      <c r="K45" s="407"/>
      <c r="L45" s="407"/>
      <c r="M45" s="407"/>
      <c r="N45" s="407"/>
      <c r="O45" s="408"/>
      <c r="P45" s="409"/>
    </row>
    <row r="46" spans="1:16" hidden="1" x14ac:dyDescent="0.2">
      <c r="B46" s="197"/>
      <c r="C46" s="746"/>
      <c r="D46" s="53"/>
      <c r="E46" s="407"/>
      <c r="F46" s="407"/>
      <c r="G46" s="407"/>
      <c r="H46" s="407"/>
      <c r="I46" s="407"/>
      <c r="J46" s="407"/>
      <c r="K46" s="407"/>
      <c r="L46" s="407"/>
      <c r="M46" s="407"/>
      <c r="N46" s="407"/>
      <c r="O46" s="408"/>
      <c r="P46" s="409"/>
    </row>
    <row r="47" spans="1:16" hidden="1" x14ac:dyDescent="0.2">
      <c r="B47" s="199" t="str">
        <f>'2. Customer Classes'!B22</f>
        <v>other</v>
      </c>
      <c r="C47" s="745"/>
      <c r="D47" s="53" t="s">
        <v>129</v>
      </c>
      <c r="E47" s="407"/>
      <c r="F47" s="407"/>
      <c r="G47" s="407"/>
      <c r="H47" s="407"/>
      <c r="I47" s="407"/>
      <c r="J47" s="407"/>
      <c r="K47" s="407"/>
      <c r="L47" s="407"/>
      <c r="M47" s="407"/>
      <c r="N47" s="407"/>
      <c r="O47" s="408"/>
      <c r="P47" s="409"/>
    </row>
    <row r="48" spans="1:16" hidden="1" x14ac:dyDescent="0.2">
      <c r="B48" s="197"/>
      <c r="C48" s="746"/>
      <c r="D48" s="53" t="s">
        <v>36</v>
      </c>
      <c r="E48" s="407"/>
      <c r="F48" s="407"/>
      <c r="G48" s="407"/>
      <c r="H48" s="407"/>
      <c r="I48" s="407"/>
      <c r="J48" s="407"/>
      <c r="K48" s="407"/>
      <c r="L48" s="407"/>
      <c r="M48" s="407"/>
      <c r="N48" s="407"/>
      <c r="O48" s="408"/>
      <c r="P48" s="409"/>
    </row>
    <row r="49" spans="2:16" hidden="1" x14ac:dyDescent="0.2">
      <c r="B49" s="197"/>
      <c r="C49" s="746"/>
      <c r="D49" s="53" t="s">
        <v>37</v>
      </c>
      <c r="E49" s="407"/>
      <c r="F49" s="407"/>
      <c r="G49" s="407"/>
      <c r="H49" s="407"/>
      <c r="I49" s="407"/>
      <c r="J49" s="407"/>
      <c r="K49" s="407"/>
      <c r="L49" s="407"/>
      <c r="M49" s="407"/>
      <c r="N49" s="407"/>
      <c r="O49" s="408"/>
      <c r="P49" s="409"/>
    </row>
    <row r="50" spans="2:16" hidden="1" x14ac:dyDescent="0.2">
      <c r="B50" s="197"/>
      <c r="C50" s="746"/>
      <c r="D50" s="53"/>
      <c r="E50" s="407"/>
      <c r="F50" s="407"/>
      <c r="G50" s="407"/>
      <c r="H50" s="407"/>
      <c r="I50" s="407"/>
      <c r="J50" s="407"/>
      <c r="K50" s="407"/>
      <c r="L50" s="407"/>
      <c r="M50" s="407"/>
      <c r="N50" s="407"/>
      <c r="O50" s="408"/>
      <c r="P50" s="409"/>
    </row>
    <row r="51" spans="2:16" hidden="1" x14ac:dyDescent="0.2">
      <c r="B51" s="199" t="str">
        <f>'2. Customer Classes'!B23</f>
        <v>other</v>
      </c>
      <c r="C51" s="745"/>
      <c r="D51" s="53" t="s">
        <v>129</v>
      </c>
      <c r="E51" s="407"/>
      <c r="F51" s="407"/>
      <c r="G51" s="407"/>
      <c r="H51" s="407"/>
      <c r="I51" s="407"/>
      <c r="J51" s="407"/>
      <c r="K51" s="407"/>
      <c r="L51" s="407"/>
      <c r="M51" s="407"/>
      <c r="N51" s="407"/>
      <c r="O51" s="408"/>
      <c r="P51" s="409"/>
    </row>
    <row r="52" spans="2:16" hidden="1" x14ac:dyDescent="0.2">
      <c r="B52" s="197"/>
      <c r="C52" s="746"/>
      <c r="D52" s="53" t="s">
        <v>36</v>
      </c>
      <c r="E52" s="404"/>
      <c r="F52" s="404"/>
      <c r="G52" s="404"/>
      <c r="H52" s="404"/>
      <c r="I52" s="404"/>
      <c r="J52" s="404"/>
      <c r="K52" s="404"/>
      <c r="L52" s="404"/>
      <c r="M52" s="404"/>
      <c r="N52" s="404"/>
      <c r="O52" s="405"/>
      <c r="P52" s="406"/>
    </row>
    <row r="53" spans="2:16" hidden="1" x14ac:dyDescent="0.2">
      <c r="B53" s="197"/>
      <c r="C53" s="746"/>
      <c r="D53" s="53" t="s">
        <v>37</v>
      </c>
      <c r="E53" s="407"/>
      <c r="F53" s="407"/>
      <c r="G53" s="407"/>
      <c r="H53" s="407"/>
      <c r="I53" s="407"/>
      <c r="J53" s="407"/>
      <c r="K53" s="407"/>
      <c r="L53" s="407"/>
      <c r="M53" s="407"/>
      <c r="N53" s="407"/>
      <c r="O53" s="408"/>
      <c r="P53" s="409"/>
    </row>
    <row r="54" spans="2:16" ht="13.5" thickBot="1" x14ac:dyDescent="0.25">
      <c r="B54" s="89"/>
      <c r="C54" s="747"/>
      <c r="D54" s="90"/>
      <c r="E54" s="468"/>
      <c r="F54" s="468"/>
      <c r="G54" s="468"/>
      <c r="H54" s="468"/>
      <c r="I54" s="468"/>
      <c r="J54" s="468"/>
      <c r="K54" s="468"/>
      <c r="L54" s="468"/>
      <c r="M54" s="468"/>
      <c r="N54" s="468"/>
      <c r="O54" s="469"/>
      <c r="P54" s="470"/>
    </row>
    <row r="55" spans="2:16" x14ac:dyDescent="0.2">
      <c r="B55" s="462" t="s">
        <v>16</v>
      </c>
      <c r="C55" s="463"/>
      <c r="D55" s="464" t="s">
        <v>129</v>
      </c>
      <c r="E55" s="465">
        <f t="shared" ref="E55:P55" si="0">E16+E20+E24+E28+E32+E36+E40+E43+E47+E51</f>
        <v>11681.5</v>
      </c>
      <c r="F55" s="465">
        <f t="shared" si="0"/>
        <v>11912</v>
      </c>
      <c r="G55" s="465">
        <f t="shared" si="0"/>
        <v>12078.5</v>
      </c>
      <c r="H55" s="465">
        <f t="shared" si="0"/>
        <v>12351</v>
      </c>
      <c r="I55" s="465">
        <f t="shared" si="0"/>
        <v>12399</v>
      </c>
      <c r="J55" s="465">
        <f t="shared" si="0"/>
        <v>12538</v>
      </c>
      <c r="K55" s="465">
        <f t="shared" si="0"/>
        <v>12680.5</v>
      </c>
      <c r="L55" s="465">
        <f t="shared" si="0"/>
        <v>12837</v>
      </c>
      <c r="M55" s="465">
        <f t="shared" si="0"/>
        <v>12749</v>
      </c>
      <c r="N55" s="465">
        <f t="shared" si="0"/>
        <v>12935.5</v>
      </c>
      <c r="O55" s="465">
        <f t="shared" si="0"/>
        <v>13086.087493202769</v>
      </c>
      <c r="P55" s="466">
        <f t="shared" si="0"/>
        <v>13239.061241044601</v>
      </c>
    </row>
    <row r="56" spans="2:16" x14ac:dyDescent="0.2">
      <c r="B56" s="211"/>
      <c r="C56" s="402"/>
      <c r="D56" s="212" t="s">
        <v>36</v>
      </c>
      <c r="E56" s="412">
        <f t="shared" ref="E56:O56" si="1">E17+E21+E25+E29+E33+E37+E41+E44+E48+E52</f>
        <v>251552034.74993616</v>
      </c>
      <c r="F56" s="410">
        <f t="shared" si="1"/>
        <v>251839003.20667353</v>
      </c>
      <c r="G56" s="410">
        <f t="shared" si="1"/>
        <v>251577011.06184733</v>
      </c>
      <c r="H56" s="410">
        <f t="shared" si="1"/>
        <v>247068545.73642835</v>
      </c>
      <c r="I56" s="410">
        <f t="shared" si="1"/>
        <v>249224762.25428456</v>
      </c>
      <c r="J56" s="410">
        <f t="shared" si="1"/>
        <v>249821282.87527573</v>
      </c>
      <c r="K56" s="410">
        <f t="shared" si="1"/>
        <v>249784095.59030855</v>
      </c>
      <c r="L56" s="410">
        <f t="shared" si="1"/>
        <v>248941504.19902664</v>
      </c>
      <c r="M56" s="410">
        <f t="shared" si="1"/>
        <v>241964804.38903457</v>
      </c>
      <c r="N56" s="410">
        <f t="shared" si="1"/>
        <v>245317775.59516424</v>
      </c>
      <c r="O56" s="410">
        <f t="shared" si="1"/>
        <v>247715664.73271206</v>
      </c>
      <c r="P56" s="411">
        <f>P17+P21+P25+P29+P33+P37+P41+P44+P48+P52</f>
        <v>248176449.15250939</v>
      </c>
    </row>
    <row r="57" spans="2:16" ht="13.5" thickBot="1" x14ac:dyDescent="0.25">
      <c r="B57" s="213"/>
      <c r="C57" s="403"/>
      <c r="D57" s="214" t="s">
        <v>37</v>
      </c>
      <c r="E57" s="413">
        <f t="shared" ref="E57:P57" si="2">E18+E22+E26+E30+E34+E38+E42+E45+E49+E53</f>
        <v>351389.10349632858</v>
      </c>
      <c r="F57" s="413">
        <f t="shared" si="2"/>
        <v>352487.93930811505</v>
      </c>
      <c r="G57" s="413">
        <f t="shared" si="2"/>
        <v>344692.43441398203</v>
      </c>
      <c r="H57" s="413">
        <f t="shared" si="2"/>
        <v>343647.70830015466</v>
      </c>
      <c r="I57" s="413">
        <f t="shared" si="2"/>
        <v>347817.22108054784</v>
      </c>
      <c r="J57" s="413">
        <f t="shared" si="2"/>
        <v>345918.20000000007</v>
      </c>
      <c r="K57" s="413">
        <f t="shared" si="2"/>
        <v>365469.6</v>
      </c>
      <c r="L57" s="413">
        <f t="shared" si="2"/>
        <v>364887.6</v>
      </c>
      <c r="M57" s="413">
        <f t="shared" si="2"/>
        <v>354496.39999999991</v>
      </c>
      <c r="N57" s="413">
        <f t="shared" si="2"/>
        <v>344229.9</v>
      </c>
      <c r="O57" s="413">
        <f t="shared" si="2"/>
        <v>336344.71925234282</v>
      </c>
      <c r="P57" s="414">
        <f t="shared" si="2"/>
        <v>336970.36562186008</v>
      </c>
    </row>
    <row r="63" spans="2:16" x14ac:dyDescent="0.2">
      <c r="B63" s="946" t="s">
        <v>191</v>
      </c>
      <c r="C63" s="947"/>
      <c r="D63" s="947"/>
      <c r="E63" s="947"/>
      <c r="F63" s="947"/>
      <c r="G63" s="947"/>
      <c r="H63" s="948"/>
    </row>
    <row r="64" spans="2:16" x14ac:dyDescent="0.2">
      <c r="B64" s="357" t="str">
        <f>+'7. Weather Senstive Class'!B19</f>
        <v>Residential</v>
      </c>
      <c r="C64" s="359"/>
      <c r="D64" s="358" t="s">
        <v>190</v>
      </c>
      <c r="E64" s="359" t="s">
        <v>189</v>
      </c>
      <c r="F64" s="359" t="str">
        <f t="shared" ref="F64:F72" si="3">+CONCATENATE(B64,D64,E64)</f>
        <v>Residential-WN</v>
      </c>
      <c r="G64" s="360"/>
      <c r="H64" s="361"/>
    </row>
    <row r="65" spans="2:8" x14ac:dyDescent="0.2">
      <c r="B65" s="362" t="str">
        <f>+'7. Weather Senstive Class'!J19</f>
        <v>General Service &lt; 50 kW</v>
      </c>
      <c r="C65" s="364"/>
      <c r="D65" s="363" t="s">
        <v>190</v>
      </c>
      <c r="E65" s="364" t="s">
        <v>189</v>
      </c>
      <c r="F65" s="364" t="str">
        <f t="shared" si="3"/>
        <v>General Service &lt; 50 kW-WN</v>
      </c>
      <c r="G65" s="365"/>
      <c r="H65" s="366"/>
    </row>
    <row r="66" spans="2:8" x14ac:dyDescent="0.2">
      <c r="B66" s="362" t="str">
        <f>+'7. Weather Senstive Class'!R19</f>
        <v>Unmetered Scattered Load</v>
      </c>
      <c r="C66" s="364"/>
      <c r="D66" s="363" t="s">
        <v>190</v>
      </c>
      <c r="E66" s="364" t="s">
        <v>189</v>
      </c>
      <c r="F66" s="364" t="str">
        <f t="shared" si="3"/>
        <v>Unmetered Scattered Load-WN</v>
      </c>
      <c r="G66" s="365"/>
      <c r="H66" s="366"/>
    </row>
    <row r="67" spans="2:8" x14ac:dyDescent="0.2">
      <c r="B67" s="362">
        <f>+'7. Weather Senstive Class'!Z19</f>
        <v>0</v>
      </c>
      <c r="C67" s="364"/>
      <c r="D67" s="363" t="s">
        <v>190</v>
      </c>
      <c r="E67" s="364" t="s">
        <v>189</v>
      </c>
      <c r="F67" s="364" t="str">
        <f t="shared" si="3"/>
        <v>0-WN</v>
      </c>
      <c r="G67" s="365"/>
      <c r="H67" s="366"/>
    </row>
    <row r="68" spans="2:8" x14ac:dyDescent="0.2">
      <c r="B68" s="362">
        <f>+'7. Weather Senstive Class'!AH19</f>
        <v>0</v>
      </c>
      <c r="C68" s="364"/>
      <c r="D68" s="363" t="s">
        <v>190</v>
      </c>
      <c r="E68" s="364" t="s">
        <v>189</v>
      </c>
      <c r="F68" s="364" t="str">
        <f t="shared" si="3"/>
        <v>0-WN</v>
      </c>
      <c r="G68" s="365"/>
      <c r="H68" s="366"/>
    </row>
    <row r="69" spans="2:8" x14ac:dyDescent="0.2">
      <c r="B69" s="362" t="str">
        <f>+'8. KW and Non-Weather Sensitive'!B18</f>
        <v>General Service &gt; 50 kW - 2999 kW</v>
      </c>
      <c r="C69" s="364"/>
      <c r="D69" s="363" t="s">
        <v>190</v>
      </c>
      <c r="E69" s="364" t="s">
        <v>237</v>
      </c>
      <c r="F69" s="364" t="str">
        <f t="shared" si="3"/>
        <v>General Service &gt; 50 kW - 2999 kW-Non-WN/kW</v>
      </c>
      <c r="G69" s="365"/>
      <c r="H69" s="366"/>
    </row>
    <row r="70" spans="2:8" x14ac:dyDescent="0.2">
      <c r="B70" s="362" t="str">
        <f>+'8. KW and Non-Weather Sensitive'!M18</f>
        <v>Streetlighting</v>
      </c>
      <c r="C70" s="364"/>
      <c r="D70" s="363" t="s">
        <v>190</v>
      </c>
      <c r="E70" s="364" t="s">
        <v>237</v>
      </c>
      <c r="F70" s="364" t="str">
        <f t="shared" si="3"/>
        <v>Streetlighting-Non-WN/kW</v>
      </c>
      <c r="G70" s="365"/>
      <c r="H70" s="366"/>
    </row>
    <row r="71" spans="2:8" x14ac:dyDescent="0.2">
      <c r="B71" s="362" t="str">
        <f>+'8. KW and Non-Weather Sensitive'!W18</f>
        <v>Sentinel Lighting</v>
      </c>
      <c r="C71" s="364"/>
      <c r="D71" s="363" t="s">
        <v>190</v>
      </c>
      <c r="E71" s="364" t="s">
        <v>237</v>
      </c>
      <c r="F71" s="364" t="str">
        <f t="shared" si="3"/>
        <v>Sentinel Lighting-Non-WN/kW</v>
      </c>
      <c r="G71" s="365"/>
      <c r="H71" s="366"/>
    </row>
    <row r="72" spans="2:8" x14ac:dyDescent="0.2">
      <c r="B72" s="362" t="str">
        <f>+'8. KW and Non-Weather Sensitive'!AG18</f>
        <v>General Service 3000-4999 kW</v>
      </c>
      <c r="C72" s="364"/>
      <c r="D72" s="363" t="s">
        <v>190</v>
      </c>
      <c r="E72" s="364" t="s">
        <v>237</v>
      </c>
      <c r="F72" s="364" t="str">
        <f t="shared" si="3"/>
        <v>General Service 3000-4999 kW-Non-WN/kW</v>
      </c>
      <c r="G72" s="365"/>
      <c r="H72" s="366"/>
    </row>
    <row r="73" spans="2:8" x14ac:dyDescent="0.2">
      <c r="B73" s="367" t="str">
        <f>+'8. KW and Non-Weather Sensitive'!AQ18</f>
        <v>Unmetered Scattered Load</v>
      </c>
      <c r="C73" s="369"/>
      <c r="D73" s="368" t="s">
        <v>190</v>
      </c>
      <c r="E73" s="369" t="s">
        <v>237</v>
      </c>
      <c r="F73" s="369" t="str">
        <f t="shared" ref="F73" si="4">+CONCATENATE(B73,D73,E73)</f>
        <v>Unmetered Scattered Load-Non-WN/kW</v>
      </c>
      <c r="G73" s="370"/>
      <c r="H73" s="371"/>
    </row>
  </sheetData>
  <mergeCells count="1">
    <mergeCell ref="B63:H63"/>
  </mergeCells>
  <dataValidations count="1">
    <dataValidation type="list" allowBlank="1" showInputMessage="1" showErrorMessage="1" sqref="B16 B40 B20 B24 B28 B32 B36">
      <formula1>$F$64:$F$73</formula1>
    </dataValidation>
  </dataValidations>
  <pageMargins left="0.70866141732283472" right="0.70866141732283472" top="0.74803149606299213" bottom="0.74803149606299213" header="0.31496062992125984" footer="0.31496062992125984"/>
  <pageSetup scale="42" orientation="landscape" horizontalDpi="4294967293" verticalDpi="4294967293" r:id="rId1"/>
  <colBreaks count="1" manualBreakCount="1">
    <brk id="1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showGridLines="0" tabSelected="1" topLeftCell="A32" workbookViewId="0">
      <selection activeCell="B36" sqref="B36:I54"/>
    </sheetView>
  </sheetViews>
  <sheetFormatPr defaultColWidth="17.5" defaultRowHeight="12.75" x14ac:dyDescent="0.2"/>
  <cols>
    <col min="1" max="1" width="13.6640625" style="381" customWidth="1"/>
    <col min="2" max="2" width="30.83203125" style="381" bestFit="1" customWidth="1"/>
    <col min="3" max="9" width="19.83203125" style="381" customWidth="1"/>
    <col min="10" max="10" width="17" style="381" bestFit="1" customWidth="1"/>
    <col min="11" max="13" width="17.5" style="381"/>
    <col min="14" max="14" width="21" style="381" bestFit="1" customWidth="1"/>
    <col min="15" max="16384" width="17.5" style="381"/>
  </cols>
  <sheetData>
    <row r="1" spans="1:13" x14ac:dyDescent="0.2">
      <c r="A1" s="726" t="s">
        <v>266</v>
      </c>
    </row>
    <row r="10" spans="1:13" s="101" customFormat="1" x14ac:dyDescent="0.2">
      <c r="H10" s="103"/>
    </row>
    <row r="11" spans="1:13" ht="23.25" x14ac:dyDescent="0.35">
      <c r="B11" s="949" t="s">
        <v>209</v>
      </c>
      <c r="C11" s="949"/>
      <c r="D11" s="949"/>
      <c r="E11" s="949"/>
      <c r="F11" s="949"/>
      <c r="G11" s="949"/>
      <c r="H11" s="949"/>
      <c r="I11" s="949"/>
    </row>
    <row r="12" spans="1:13" ht="14.25" x14ac:dyDescent="0.2">
      <c r="B12" s="559"/>
      <c r="C12" s="559"/>
      <c r="D12" s="559"/>
      <c r="E12" s="559"/>
      <c r="F12" s="559"/>
      <c r="G12" s="559"/>
      <c r="H12" s="559"/>
      <c r="I12" s="559"/>
    </row>
    <row r="13" spans="1:13" ht="75" customHeight="1" x14ac:dyDescent="0.2">
      <c r="B13" s="950" t="s">
        <v>224</v>
      </c>
      <c r="C13" s="950"/>
      <c r="D13" s="950"/>
      <c r="E13" s="950"/>
      <c r="F13" s="950"/>
      <c r="G13" s="950"/>
      <c r="H13" s="950"/>
      <c r="I13" s="950"/>
      <c r="J13" s="105"/>
      <c r="K13" s="106"/>
      <c r="L13" s="107"/>
      <c r="M13" s="107"/>
    </row>
    <row r="14" spans="1:13" ht="14.25" x14ac:dyDescent="0.2">
      <c r="B14" s="559"/>
      <c r="C14" s="559"/>
      <c r="D14" s="559"/>
      <c r="E14" s="559"/>
      <c r="F14" s="559"/>
      <c r="G14" s="559"/>
      <c r="H14" s="559"/>
      <c r="I14" s="559"/>
      <c r="J14" s="102"/>
      <c r="K14" s="106"/>
      <c r="L14" s="107"/>
      <c r="M14" s="107"/>
    </row>
    <row r="15" spans="1:13" ht="23.25" x14ac:dyDescent="0.2">
      <c r="B15" s="973" t="s">
        <v>210</v>
      </c>
      <c r="C15" s="973"/>
      <c r="D15" s="973"/>
      <c r="E15" s="973"/>
      <c r="F15" s="973"/>
      <c r="G15" s="973"/>
      <c r="H15" s="973"/>
      <c r="I15" s="973"/>
    </row>
    <row r="16" spans="1:13" ht="15" thickBot="1" x14ac:dyDescent="0.25">
      <c r="B16" s="560"/>
      <c r="C16" s="561"/>
      <c r="D16" s="561"/>
      <c r="E16" s="561"/>
      <c r="F16" s="561"/>
      <c r="G16" s="561"/>
      <c r="H16" s="559"/>
      <c r="I16" s="559"/>
    </row>
    <row r="17" spans="2:9" ht="15" x14ac:dyDescent="0.25">
      <c r="B17" s="980" t="s">
        <v>49</v>
      </c>
      <c r="C17" s="981"/>
      <c r="D17" s="981"/>
      <c r="E17" s="981"/>
      <c r="F17" s="981"/>
      <c r="G17" s="982"/>
      <c r="H17" s="559"/>
      <c r="I17" s="559"/>
    </row>
    <row r="18" spans="2:9" ht="12.75" customHeight="1" x14ac:dyDescent="0.2">
      <c r="B18" s="977">
        <f>13.6*1000000</f>
        <v>13600000</v>
      </c>
      <c r="C18" s="978"/>
      <c r="D18" s="978"/>
      <c r="E18" s="978"/>
      <c r="F18" s="978"/>
      <c r="G18" s="979"/>
      <c r="H18" s="559"/>
      <c r="I18" s="559"/>
    </row>
    <row r="19" spans="2:9" ht="15" x14ac:dyDescent="0.25">
      <c r="B19" s="562"/>
      <c r="C19" s="563">
        <v>2011</v>
      </c>
      <c r="D19" s="563">
        <v>2012</v>
      </c>
      <c r="E19" s="563">
        <v>2013</v>
      </c>
      <c r="F19" s="563">
        <v>2014</v>
      </c>
      <c r="G19" s="564" t="s">
        <v>16</v>
      </c>
      <c r="H19" s="559"/>
      <c r="I19" s="559"/>
    </row>
    <row r="20" spans="2:9" ht="14.25" x14ac:dyDescent="0.2">
      <c r="B20" s="565" t="s">
        <v>50</v>
      </c>
      <c r="C20" s="719">
        <f>C26/$G$30</f>
        <v>0.13220018885741266</v>
      </c>
      <c r="D20" s="566">
        <f>D26/$G$30</f>
        <v>0.13220018885741266</v>
      </c>
      <c r="E20" s="566">
        <f>E26/$G$30</f>
        <v>0.13220018885741266</v>
      </c>
      <c r="F20" s="567">
        <f>F26/$G$30</f>
        <v>0.12275731822474033</v>
      </c>
      <c r="G20" s="568">
        <f>SUM(C20:F20)</f>
        <v>0.51935788479697831</v>
      </c>
      <c r="H20" s="559"/>
      <c r="I20" s="559"/>
    </row>
    <row r="21" spans="2:9" ht="14.25" x14ac:dyDescent="0.2">
      <c r="B21" s="565" t="s">
        <v>51</v>
      </c>
      <c r="C21" s="569"/>
      <c r="D21" s="566">
        <f>D27/$G$30</f>
        <v>6.6100094428706332E-2</v>
      </c>
      <c r="E21" s="566">
        <f>E27/$G$30</f>
        <v>6.6100094428706332E-2</v>
      </c>
      <c r="F21" s="567">
        <f>F27/$G$30</f>
        <v>6.6100094428706332E-2</v>
      </c>
      <c r="G21" s="568">
        <f t="shared" ref="G21:G23" si="0">SUM(C21:F21)</f>
        <v>0.19830028328611898</v>
      </c>
      <c r="H21" s="559"/>
      <c r="I21" s="559"/>
    </row>
    <row r="22" spans="2:9" ht="14.25" x14ac:dyDescent="0.2">
      <c r="B22" s="565" t="s">
        <v>52</v>
      </c>
      <c r="C22" s="569"/>
      <c r="D22" s="569"/>
      <c r="E22" s="566">
        <f>E28/$G$30</f>
        <v>7.5542965061378656E-2</v>
      </c>
      <c r="F22" s="567">
        <f>F28/$G$30</f>
        <v>7.5542965061378656E-2</v>
      </c>
      <c r="G22" s="568">
        <f t="shared" si="0"/>
        <v>0.15108593012275731</v>
      </c>
      <c r="H22" s="559"/>
      <c r="I22" s="559"/>
    </row>
    <row r="23" spans="2:9" ht="15" thickBot="1" x14ac:dyDescent="0.25">
      <c r="B23" s="570" t="s">
        <v>53</v>
      </c>
      <c r="C23" s="571"/>
      <c r="D23" s="571"/>
      <c r="E23" s="571"/>
      <c r="F23" s="572">
        <f>F29/$G$30</f>
        <v>0.11331444759206799</v>
      </c>
      <c r="G23" s="573">
        <f t="shared" si="0"/>
        <v>0.11331444759206799</v>
      </c>
      <c r="H23" s="559"/>
      <c r="I23" s="559"/>
    </row>
    <row r="24" spans="2:9" ht="12.75" customHeight="1" thickTop="1" x14ac:dyDescent="0.25">
      <c r="B24" s="574" t="s">
        <v>54</v>
      </c>
      <c r="C24" s="575">
        <f>SUM(C20:C23)</f>
        <v>0.13220018885741266</v>
      </c>
      <c r="D24" s="575">
        <f t="shared" ref="D24:F24" si="1">SUM(D20:D23)</f>
        <v>0.19830028328611898</v>
      </c>
      <c r="E24" s="575">
        <f t="shared" si="1"/>
        <v>0.27384324834749763</v>
      </c>
      <c r="F24" s="576">
        <f t="shared" si="1"/>
        <v>0.37771482530689332</v>
      </c>
      <c r="G24" s="577">
        <f>SUM(C24:F24)</f>
        <v>0.98205854579792251</v>
      </c>
      <c r="H24" s="559"/>
      <c r="I24" s="559"/>
    </row>
    <row r="25" spans="2:9" ht="12.75" customHeight="1" x14ac:dyDescent="0.2">
      <c r="B25" s="956" t="s">
        <v>36</v>
      </c>
      <c r="C25" s="957"/>
      <c r="D25" s="957"/>
      <c r="E25" s="957"/>
      <c r="F25" s="957"/>
      <c r="G25" s="958"/>
      <c r="H25" s="559"/>
      <c r="I25" s="559"/>
    </row>
    <row r="26" spans="2:9" ht="14.25" x14ac:dyDescent="0.2">
      <c r="B26" s="565" t="s">
        <v>50</v>
      </c>
      <c r="C26" s="578">
        <f>1.4*1000000</f>
        <v>1400000</v>
      </c>
      <c r="D26" s="578">
        <f>1.4*1000000</f>
        <v>1400000</v>
      </c>
      <c r="E26" s="578">
        <f>1.4*1000000</f>
        <v>1400000</v>
      </c>
      <c r="F26" s="579">
        <f>1.3*1000000</f>
        <v>1300000</v>
      </c>
      <c r="G26" s="580">
        <f>SUM(C26:F26)</f>
        <v>5500000</v>
      </c>
      <c r="H26" s="559"/>
      <c r="I26" s="559"/>
    </row>
    <row r="27" spans="2:9" ht="14.25" x14ac:dyDescent="0.2">
      <c r="B27" s="565" t="s">
        <v>51</v>
      </c>
      <c r="C27" s="581">
        <f>0.01*1000000</f>
        <v>10000</v>
      </c>
      <c r="D27" s="582">
        <f>0.7*1000000</f>
        <v>700000</v>
      </c>
      <c r="E27" s="582">
        <f>0.7*1000000</f>
        <v>700000</v>
      </c>
      <c r="F27" s="583">
        <f>0.7*1000000</f>
        <v>700000</v>
      </c>
      <c r="G27" s="580">
        <f t="shared" ref="G27:G29" si="2">SUM(C27:F27)</f>
        <v>2110000</v>
      </c>
      <c r="H27" s="559"/>
      <c r="I27" s="559"/>
    </row>
    <row r="28" spans="2:9" ht="14.25" x14ac:dyDescent="0.2">
      <c r="B28" s="565" t="s">
        <v>52</v>
      </c>
      <c r="C28" s="581"/>
      <c r="D28" s="581"/>
      <c r="E28" s="582">
        <f>0.8*1000000</f>
        <v>800000</v>
      </c>
      <c r="F28" s="583">
        <f>0.8*1000000</f>
        <v>800000</v>
      </c>
      <c r="G28" s="580">
        <f t="shared" si="2"/>
        <v>1600000</v>
      </c>
      <c r="H28" s="559"/>
      <c r="I28" s="559"/>
    </row>
    <row r="29" spans="2:9" ht="15" thickBot="1" x14ac:dyDescent="0.25">
      <c r="B29" s="570" t="s">
        <v>53</v>
      </c>
      <c r="C29" s="584"/>
      <c r="D29" s="584"/>
      <c r="E29" s="584">
        <f>0.18*1000000</f>
        <v>180000</v>
      </c>
      <c r="F29" s="585">
        <f>1.2*1000000</f>
        <v>1200000</v>
      </c>
      <c r="G29" s="580">
        <f t="shared" si="2"/>
        <v>1380000</v>
      </c>
      <c r="H29" s="559"/>
      <c r="I29" s="559"/>
    </row>
    <row r="30" spans="2:9" ht="16.5" thickTop="1" thickBot="1" x14ac:dyDescent="0.3">
      <c r="B30" s="587" t="s">
        <v>54</v>
      </c>
      <c r="C30" s="588">
        <f>SUM(C26:C29)</f>
        <v>1410000</v>
      </c>
      <c r="D30" s="588">
        <f t="shared" ref="D30:F30" si="3">SUM(D26:D29)</f>
        <v>2100000</v>
      </c>
      <c r="E30" s="588">
        <f t="shared" si="3"/>
        <v>3080000</v>
      </c>
      <c r="F30" s="589">
        <f t="shared" si="3"/>
        <v>4000000</v>
      </c>
      <c r="G30" s="590">
        <f>SUM(G26:G29)</f>
        <v>10590000</v>
      </c>
      <c r="H30" s="559"/>
      <c r="I30" s="559"/>
    </row>
    <row r="31" spans="2:9" ht="15" x14ac:dyDescent="0.25">
      <c r="B31" s="591"/>
      <c r="C31" s="592"/>
      <c r="D31" s="592"/>
      <c r="E31" s="592"/>
      <c r="F31" s="592"/>
      <c r="G31" s="592"/>
      <c r="H31" s="559"/>
      <c r="I31" s="559"/>
    </row>
    <row r="32" spans="2:9" ht="23.25" x14ac:dyDescent="0.2">
      <c r="B32" s="973" t="s">
        <v>194</v>
      </c>
      <c r="C32" s="973"/>
      <c r="D32" s="973"/>
      <c r="E32" s="973"/>
      <c r="F32" s="973"/>
      <c r="G32" s="973"/>
      <c r="H32" s="559"/>
      <c r="I32" s="559"/>
    </row>
    <row r="33" spans="2:9" ht="15" x14ac:dyDescent="0.25">
      <c r="B33" s="591"/>
      <c r="C33" s="592"/>
      <c r="D33" s="592"/>
      <c r="E33" s="592"/>
      <c r="F33" s="592"/>
      <c r="G33" s="592"/>
      <c r="H33" s="559"/>
      <c r="I33" s="559"/>
    </row>
    <row r="34" spans="2:9" ht="86.25" customHeight="1" x14ac:dyDescent="0.2">
      <c r="B34" s="952" t="s">
        <v>195</v>
      </c>
      <c r="C34" s="952"/>
      <c r="D34" s="952"/>
      <c r="E34" s="952"/>
      <c r="F34" s="952"/>
      <c r="G34" s="952"/>
      <c r="H34" s="952"/>
      <c r="I34" s="952"/>
    </row>
    <row r="35" spans="2:9" ht="15.75" thickBot="1" x14ac:dyDescent="0.3">
      <c r="B35" s="591"/>
      <c r="C35" s="592"/>
      <c r="D35" s="592"/>
      <c r="E35" s="592"/>
      <c r="F35" s="592"/>
      <c r="G35" s="592"/>
      <c r="H35" s="559"/>
      <c r="I35" s="559"/>
    </row>
    <row r="36" spans="2:9" ht="15" x14ac:dyDescent="0.2">
      <c r="B36" s="974" t="s">
        <v>196</v>
      </c>
      <c r="C36" s="975"/>
      <c r="D36" s="975"/>
      <c r="E36" s="975"/>
      <c r="F36" s="975"/>
      <c r="G36" s="975"/>
      <c r="H36" s="975"/>
      <c r="I36" s="976"/>
    </row>
    <row r="37" spans="2:9" ht="14.25" x14ac:dyDescent="0.2">
      <c r="B37" s="970">
        <v>12170000</v>
      </c>
      <c r="C37" s="971"/>
      <c r="D37" s="971"/>
      <c r="E37" s="971"/>
      <c r="F37" s="971"/>
      <c r="G37" s="971"/>
      <c r="H37" s="971"/>
      <c r="I37" s="972"/>
    </row>
    <row r="38" spans="2:9" ht="15" x14ac:dyDescent="0.25">
      <c r="B38" s="593"/>
      <c r="C38" s="594">
        <v>2015</v>
      </c>
      <c r="D38" s="594">
        <v>2016</v>
      </c>
      <c r="E38" s="594">
        <v>2017</v>
      </c>
      <c r="F38" s="594">
        <v>2018</v>
      </c>
      <c r="G38" s="594">
        <v>2019</v>
      </c>
      <c r="H38" s="594">
        <v>2020</v>
      </c>
      <c r="I38" s="595" t="s">
        <v>16</v>
      </c>
    </row>
    <row r="39" spans="2:9" ht="15" customHeight="1" x14ac:dyDescent="0.2">
      <c r="B39" s="953" t="s">
        <v>197</v>
      </c>
      <c r="C39" s="954"/>
      <c r="D39" s="954"/>
      <c r="E39" s="954"/>
      <c r="F39" s="954"/>
      <c r="G39" s="954"/>
      <c r="H39" s="954"/>
      <c r="I39" s="955"/>
    </row>
    <row r="40" spans="2:9" ht="14.25" x14ac:dyDescent="0.2">
      <c r="B40" s="565" t="s">
        <v>198</v>
      </c>
      <c r="C40" s="566">
        <f>C48/$I$54</f>
        <v>0.16666666666666666</v>
      </c>
      <c r="D40" s="596"/>
      <c r="E40" s="596"/>
      <c r="F40" s="596"/>
      <c r="G40" s="596"/>
      <c r="H40" s="597"/>
      <c r="I40" s="568">
        <f>SUM(C40:H40)</f>
        <v>0.16666666666666666</v>
      </c>
    </row>
    <row r="41" spans="2:9" ht="15" customHeight="1" x14ac:dyDescent="0.2">
      <c r="B41" s="565" t="s">
        <v>199</v>
      </c>
      <c r="C41" s="569"/>
      <c r="D41" s="566">
        <f>D49/$I$54</f>
        <v>0.16666666666666666</v>
      </c>
      <c r="E41" s="596"/>
      <c r="F41" s="596"/>
      <c r="G41" s="596"/>
      <c r="H41" s="597"/>
      <c r="I41" s="568">
        <f>SUM(C41:H41)</f>
        <v>0.16666666666666666</v>
      </c>
    </row>
    <row r="42" spans="2:9" ht="14.25" x14ac:dyDescent="0.2">
      <c r="B42" s="565" t="s">
        <v>200</v>
      </c>
      <c r="C42" s="569"/>
      <c r="D42" s="569"/>
      <c r="E42" s="566">
        <f>E50/$I$54</f>
        <v>0.16666666666666666</v>
      </c>
      <c r="F42" s="596"/>
      <c r="G42" s="596"/>
      <c r="H42" s="597"/>
      <c r="I42" s="568">
        <f>SUM(C42:H42)</f>
        <v>0.16666666666666666</v>
      </c>
    </row>
    <row r="43" spans="2:9" ht="14.25" x14ac:dyDescent="0.2">
      <c r="B43" s="565" t="s">
        <v>201</v>
      </c>
      <c r="C43" s="569"/>
      <c r="D43" s="569"/>
      <c r="E43" s="566"/>
      <c r="F43" s="566">
        <f>F51/$I$54</f>
        <v>0.16666666666666666</v>
      </c>
      <c r="G43" s="596"/>
      <c r="H43" s="597"/>
      <c r="I43" s="568">
        <f>SUM(F43:H43)</f>
        <v>0.16666666666666666</v>
      </c>
    </row>
    <row r="44" spans="2:9" ht="14.25" x14ac:dyDescent="0.2">
      <c r="B44" s="565" t="s">
        <v>202</v>
      </c>
      <c r="C44" s="569"/>
      <c r="D44" s="569"/>
      <c r="E44" s="566"/>
      <c r="F44" s="566"/>
      <c r="G44" s="566">
        <f>G52/$I$54</f>
        <v>0.16666666666666666</v>
      </c>
      <c r="H44" s="597"/>
      <c r="I44" s="568">
        <f>SUM(G44:H44)</f>
        <v>0.16666666666666666</v>
      </c>
    </row>
    <row r="45" spans="2:9" ht="15" thickBot="1" x14ac:dyDescent="0.25">
      <c r="B45" s="570" t="s">
        <v>203</v>
      </c>
      <c r="C45" s="571"/>
      <c r="D45" s="571"/>
      <c r="E45" s="571"/>
      <c r="F45" s="571"/>
      <c r="G45" s="571"/>
      <c r="H45" s="572">
        <f>H53/$I$54</f>
        <v>0.16666666666666666</v>
      </c>
      <c r="I45" s="573">
        <f>SUM(C45:H45)</f>
        <v>0.16666666666666666</v>
      </c>
    </row>
    <row r="46" spans="2:9" ht="15.75" thickTop="1" x14ac:dyDescent="0.25">
      <c r="B46" s="598" t="s">
        <v>54</v>
      </c>
      <c r="C46" s="599">
        <f>SUM(C40:C45)</f>
        <v>0.16666666666666666</v>
      </c>
      <c r="D46" s="599">
        <f>SUM(D40:D45)</f>
        <v>0.16666666666666666</v>
      </c>
      <c r="E46" s="599">
        <f>SUM(E40:E45)</f>
        <v>0.16666666666666666</v>
      </c>
      <c r="F46" s="599">
        <f>SUM(F40:F43)</f>
        <v>0.16666666666666666</v>
      </c>
      <c r="G46" s="599">
        <f>SUM(G40:G44)</f>
        <v>0.16666666666666666</v>
      </c>
      <c r="H46" s="600">
        <f>SUM(H40:H45)</f>
        <v>0.16666666666666666</v>
      </c>
      <c r="I46" s="601">
        <f>SUM(C46:H46)</f>
        <v>0.99999999999999989</v>
      </c>
    </row>
    <row r="47" spans="2:9" ht="15" x14ac:dyDescent="0.2">
      <c r="B47" s="956" t="s">
        <v>36</v>
      </c>
      <c r="C47" s="957"/>
      <c r="D47" s="957"/>
      <c r="E47" s="957"/>
      <c r="F47" s="957"/>
      <c r="G47" s="957"/>
      <c r="H47" s="957"/>
      <c r="I47" s="958"/>
    </row>
    <row r="48" spans="2:9" ht="15" customHeight="1" x14ac:dyDescent="0.2">
      <c r="B48" s="565" t="str">
        <f t="shared" ref="B48:B53" si="4">B40</f>
        <v>2015 CDM Programs</v>
      </c>
      <c r="C48" s="578">
        <f>1/6*B37</f>
        <v>2028333.3333333333</v>
      </c>
      <c r="D48" s="602"/>
      <c r="E48" s="596"/>
      <c r="F48" s="602"/>
      <c r="G48" s="602"/>
      <c r="H48" s="603"/>
      <c r="I48" s="580">
        <f>SUM(C48:H48)</f>
        <v>2028333.3333333333</v>
      </c>
    </row>
    <row r="49" spans="2:9" ht="14.25" x14ac:dyDescent="0.2">
      <c r="B49" s="565" t="str">
        <f t="shared" si="4"/>
        <v>2016 CDM Programs</v>
      </c>
      <c r="C49" s="581"/>
      <c r="D49" s="582">
        <f>C48</f>
        <v>2028333.3333333333</v>
      </c>
      <c r="E49" s="604"/>
      <c r="F49" s="604"/>
      <c r="G49" s="604"/>
      <c r="H49" s="605"/>
      <c r="I49" s="580">
        <f>SUM(C49:H49)</f>
        <v>2028333.3333333333</v>
      </c>
    </row>
    <row r="50" spans="2:9" ht="14.25" x14ac:dyDescent="0.2">
      <c r="B50" s="565" t="str">
        <f t="shared" si="4"/>
        <v>2017 CDM Programs</v>
      </c>
      <c r="C50" s="581"/>
      <c r="D50" s="581"/>
      <c r="E50" s="582">
        <f>D49</f>
        <v>2028333.3333333333</v>
      </c>
      <c r="F50" s="604"/>
      <c r="G50" s="604"/>
      <c r="H50" s="605"/>
      <c r="I50" s="580">
        <f>SUM(C50:H50)</f>
        <v>2028333.3333333333</v>
      </c>
    </row>
    <row r="51" spans="2:9" ht="14.25" x14ac:dyDescent="0.2">
      <c r="B51" s="565" t="str">
        <f t="shared" si="4"/>
        <v>2018 CDM Programs</v>
      </c>
      <c r="C51" s="581"/>
      <c r="D51" s="581"/>
      <c r="E51" s="606"/>
      <c r="F51" s="578">
        <f>E50</f>
        <v>2028333.3333333333</v>
      </c>
      <c r="G51" s="602"/>
      <c r="H51" s="603"/>
      <c r="I51" s="580">
        <f>SUM(F51:H51)</f>
        <v>2028333.3333333333</v>
      </c>
    </row>
    <row r="52" spans="2:9" ht="14.25" x14ac:dyDescent="0.2">
      <c r="B52" s="565" t="str">
        <f t="shared" si="4"/>
        <v>2019 CDM Programs</v>
      </c>
      <c r="C52" s="581"/>
      <c r="D52" s="581"/>
      <c r="E52" s="606"/>
      <c r="F52" s="606"/>
      <c r="G52" s="578">
        <f>F51</f>
        <v>2028333.3333333333</v>
      </c>
      <c r="H52" s="603"/>
      <c r="I52" s="580">
        <f>SUM(G52:H52)</f>
        <v>2028333.3333333333</v>
      </c>
    </row>
    <row r="53" spans="2:9" ht="16.5" customHeight="1" thickBot="1" x14ac:dyDescent="0.25">
      <c r="B53" s="570" t="str">
        <f t="shared" si="4"/>
        <v>2020 CDM Programs</v>
      </c>
      <c r="C53" s="584"/>
      <c r="D53" s="584"/>
      <c r="E53" s="584"/>
      <c r="F53" s="584"/>
      <c r="G53" s="584"/>
      <c r="H53" s="607">
        <f>G52</f>
        <v>2028333.3333333333</v>
      </c>
      <c r="I53" s="586">
        <f>SUM(C53:H53)</f>
        <v>2028333.3333333333</v>
      </c>
    </row>
    <row r="54" spans="2:9" ht="16.5" thickTop="1" thickBot="1" x14ac:dyDescent="0.3">
      <c r="B54" s="587" t="s">
        <v>54</v>
      </c>
      <c r="C54" s="588">
        <f>SUM(C48:C53)</f>
        <v>2028333.3333333333</v>
      </c>
      <c r="D54" s="588">
        <f t="shared" ref="D54:E54" si="5">SUM(D48:D53)</f>
        <v>2028333.3333333333</v>
      </c>
      <c r="E54" s="588">
        <f t="shared" si="5"/>
        <v>2028333.3333333333</v>
      </c>
      <c r="F54" s="588">
        <f>SUM(F48:F51)</f>
        <v>2028333.3333333333</v>
      </c>
      <c r="G54" s="588">
        <f>SUM(G48:G52)</f>
        <v>2028333.3333333333</v>
      </c>
      <c r="H54" s="589">
        <f>SUM(H48:H53)</f>
        <v>2028333.3333333333</v>
      </c>
      <c r="I54" s="590">
        <f>B37</f>
        <v>12170000</v>
      </c>
    </row>
    <row r="55" spans="2:9" ht="15" x14ac:dyDescent="0.25">
      <c r="B55" s="591"/>
      <c r="C55" s="592"/>
      <c r="D55" s="592"/>
      <c r="E55" s="592"/>
      <c r="F55" s="592"/>
      <c r="G55" s="592"/>
      <c r="H55" s="559"/>
      <c r="I55" s="559"/>
    </row>
    <row r="56" spans="2:9" ht="23.25" x14ac:dyDescent="0.35">
      <c r="B56" s="959" t="s">
        <v>204</v>
      </c>
      <c r="C56" s="959"/>
      <c r="D56" s="959"/>
      <c r="E56" s="959"/>
      <c r="F56" s="959"/>
      <c r="G56" s="959"/>
      <c r="H56" s="959"/>
      <c r="I56" s="959"/>
    </row>
    <row r="57" spans="2:9" ht="15" x14ac:dyDescent="0.25">
      <c r="B57" s="591"/>
      <c r="C57" s="592"/>
      <c r="D57" s="592"/>
      <c r="E57" s="592"/>
      <c r="F57" s="592"/>
      <c r="G57" s="592"/>
      <c r="H57" s="559"/>
      <c r="I57" s="559"/>
    </row>
    <row r="58" spans="2:9" ht="60" customHeight="1" x14ac:dyDescent="0.2">
      <c r="B58" s="952" t="s">
        <v>205</v>
      </c>
      <c r="C58" s="952"/>
      <c r="D58" s="952"/>
      <c r="E58" s="952"/>
      <c r="F58" s="952"/>
      <c r="G58" s="952"/>
      <c r="H58" s="952"/>
      <c r="I58" s="952"/>
    </row>
    <row r="59" spans="2:9" ht="15" customHeight="1" x14ac:dyDescent="0.2">
      <c r="B59" s="952" t="s">
        <v>206</v>
      </c>
      <c r="C59" s="952"/>
      <c r="D59" s="952"/>
      <c r="E59" s="952"/>
      <c r="F59" s="952"/>
      <c r="G59" s="952"/>
      <c r="H59" s="952"/>
      <c r="I59" s="952"/>
    </row>
    <row r="60" spans="2:9" ht="15" thickBot="1" x14ac:dyDescent="0.25">
      <c r="B60" s="608"/>
      <c r="C60" s="609"/>
      <c r="D60" s="609"/>
      <c r="E60" s="609"/>
      <c r="F60" s="609"/>
      <c r="G60" s="609"/>
      <c r="H60" s="559"/>
      <c r="I60" s="559"/>
    </row>
    <row r="61" spans="2:9" ht="15" x14ac:dyDescent="0.25">
      <c r="B61" s="961" t="s">
        <v>69</v>
      </c>
      <c r="C61" s="962"/>
      <c r="D61" s="962"/>
      <c r="E61" s="962"/>
      <c r="F61" s="962"/>
      <c r="G61" s="963"/>
      <c r="H61" s="559"/>
      <c r="I61" s="559"/>
    </row>
    <row r="62" spans="2:9" ht="15" x14ac:dyDescent="0.25">
      <c r="B62" s="610"/>
      <c r="C62" s="611"/>
      <c r="D62" s="611"/>
      <c r="E62" s="611"/>
      <c r="F62" s="611"/>
      <c r="G62" s="612"/>
      <c r="H62" s="559"/>
      <c r="I62" s="559"/>
    </row>
    <row r="63" spans="2:9" ht="15" x14ac:dyDescent="0.25">
      <c r="B63" s="964" t="s">
        <v>70</v>
      </c>
      <c r="C63" s="965"/>
      <c r="D63" s="965"/>
      <c r="E63" s="965"/>
      <c r="F63" s="965"/>
      <c r="G63" s="613" t="s">
        <v>71</v>
      </c>
      <c r="H63" s="559"/>
      <c r="I63" s="559"/>
    </row>
    <row r="64" spans="2:9" ht="15" x14ac:dyDescent="0.25">
      <c r="B64" s="614"/>
      <c r="C64" s="615"/>
      <c r="D64" s="615"/>
      <c r="E64" s="615"/>
      <c r="F64" s="615"/>
      <c r="G64" s="616"/>
      <c r="H64" s="559"/>
      <c r="I64" s="559"/>
    </row>
    <row r="65" spans="2:9" ht="45" x14ac:dyDescent="0.25">
      <c r="B65" s="617"/>
      <c r="C65" s="618"/>
      <c r="D65" s="611" t="s">
        <v>55</v>
      </c>
      <c r="E65" s="611" t="s">
        <v>56</v>
      </c>
      <c r="F65" s="611" t="s">
        <v>57</v>
      </c>
      <c r="G65" s="619" t="s">
        <v>72</v>
      </c>
      <c r="H65" s="559"/>
      <c r="I65" s="559"/>
    </row>
    <row r="66" spans="2:9" ht="15" customHeight="1" x14ac:dyDescent="0.2">
      <c r="B66" s="966" t="s">
        <v>73</v>
      </c>
      <c r="C66" s="967"/>
      <c r="D66" s="620" t="s">
        <v>36</v>
      </c>
      <c r="E66" s="620" t="s">
        <v>36</v>
      </c>
      <c r="F66" s="620" t="s">
        <v>36</v>
      </c>
      <c r="G66" s="621" t="s">
        <v>74</v>
      </c>
      <c r="H66" s="559"/>
      <c r="I66" s="559"/>
    </row>
    <row r="67" spans="2:9" ht="15" x14ac:dyDescent="0.2">
      <c r="B67" s="622" t="s">
        <v>75</v>
      </c>
      <c r="C67" s="623"/>
      <c r="D67" s="624"/>
      <c r="E67" s="624"/>
      <c r="F67" s="625"/>
      <c r="G67" s="626"/>
      <c r="H67" s="559"/>
      <c r="I67" s="559"/>
    </row>
    <row r="68" spans="2:9" ht="15" x14ac:dyDescent="0.2">
      <c r="B68" s="622" t="s">
        <v>76</v>
      </c>
      <c r="C68" s="623"/>
      <c r="D68" s="624"/>
      <c r="E68" s="624"/>
      <c r="F68" s="625"/>
      <c r="G68" s="626"/>
      <c r="H68" s="559"/>
      <c r="I68" s="559"/>
    </row>
    <row r="69" spans="2:9" ht="15" x14ac:dyDescent="0.2">
      <c r="B69" s="622" t="s">
        <v>77</v>
      </c>
      <c r="C69" s="623"/>
      <c r="D69" s="624"/>
      <c r="E69" s="624"/>
      <c r="F69" s="625"/>
      <c r="G69" s="626"/>
      <c r="H69" s="559"/>
      <c r="I69" s="559"/>
    </row>
    <row r="70" spans="2:9" ht="15.75" thickBot="1" x14ac:dyDescent="0.25">
      <c r="B70" s="627" t="s">
        <v>207</v>
      </c>
      <c r="C70" s="628"/>
      <c r="D70" s="629"/>
      <c r="E70" s="629"/>
      <c r="F70" s="625"/>
      <c r="G70" s="626"/>
      <c r="H70" s="559"/>
      <c r="I70" s="559"/>
    </row>
    <row r="71" spans="2:9" ht="16.5" customHeight="1" thickTop="1" thickBot="1" x14ac:dyDescent="0.25">
      <c r="B71" s="968" t="s">
        <v>208</v>
      </c>
      <c r="C71" s="969"/>
      <c r="D71" s="630">
        <f>SUM(D67:D70)</f>
        <v>0</v>
      </c>
      <c r="E71" s="630">
        <f>SUM(E67:E70)</f>
        <v>0</v>
      </c>
      <c r="F71" s="631">
        <f>D71-E71</f>
        <v>0</v>
      </c>
      <c r="G71" s="632">
        <f>IF(E71=0,0,IF(G63="net",0,F71/E71))</f>
        <v>0</v>
      </c>
      <c r="H71" s="559"/>
      <c r="I71" s="559"/>
    </row>
    <row r="72" spans="2:9" ht="15" x14ac:dyDescent="0.2">
      <c r="B72" s="633"/>
      <c r="C72" s="633"/>
      <c r="D72" s="634"/>
      <c r="E72" s="634"/>
      <c r="F72" s="569"/>
      <c r="G72" s="635"/>
      <c r="H72" s="559"/>
      <c r="I72" s="559"/>
    </row>
    <row r="73" spans="2:9" ht="38.25" customHeight="1" x14ac:dyDescent="0.2">
      <c r="B73" s="952" t="s">
        <v>78</v>
      </c>
      <c r="C73" s="952"/>
      <c r="D73" s="952"/>
      <c r="E73" s="952"/>
      <c r="F73" s="952"/>
      <c r="G73" s="952"/>
      <c r="H73" s="952"/>
      <c r="I73" s="952"/>
    </row>
    <row r="74" spans="2:9" ht="33.75" customHeight="1" x14ac:dyDescent="0.2">
      <c r="B74" s="952" t="s">
        <v>79</v>
      </c>
      <c r="C74" s="952"/>
      <c r="D74" s="952"/>
      <c r="E74" s="952"/>
      <c r="F74" s="952"/>
      <c r="G74" s="952"/>
      <c r="H74" s="952"/>
      <c r="I74" s="952"/>
    </row>
    <row r="75" spans="2:9" ht="15" x14ac:dyDescent="0.2">
      <c r="B75" s="633"/>
      <c r="C75" s="636"/>
      <c r="D75" s="634"/>
      <c r="E75" s="634"/>
      <c r="F75" s="634"/>
      <c r="G75" s="635"/>
      <c r="H75" s="559"/>
      <c r="I75" s="559"/>
    </row>
    <row r="76" spans="2:9" ht="15.75" customHeight="1" thickBot="1" x14ac:dyDescent="0.25">
      <c r="B76" s="960" t="s">
        <v>80</v>
      </c>
      <c r="C76" s="960"/>
      <c r="D76" s="960"/>
      <c r="E76" s="960"/>
      <c r="F76" s="960"/>
      <c r="G76" s="960"/>
      <c r="H76" s="569"/>
      <c r="I76" s="559"/>
    </row>
    <row r="77" spans="2:9" ht="15" x14ac:dyDescent="0.2">
      <c r="B77" s="637"/>
      <c r="C77" s="638">
        <v>2011</v>
      </c>
      <c r="D77" s="638">
        <v>2012</v>
      </c>
      <c r="E77" s="638">
        <v>2013</v>
      </c>
      <c r="F77" s="638">
        <v>2014</v>
      </c>
      <c r="G77" s="639">
        <v>2015</v>
      </c>
      <c r="H77" s="640"/>
      <c r="I77" s="559"/>
    </row>
    <row r="78" spans="2:9" ht="60" x14ac:dyDescent="0.2">
      <c r="B78" s="641" t="s">
        <v>81</v>
      </c>
      <c r="C78" s="642">
        <v>0</v>
      </c>
      <c r="D78" s="642">
        <v>0</v>
      </c>
      <c r="E78" s="642">
        <v>0</v>
      </c>
      <c r="F78" s="642">
        <v>0.5</v>
      </c>
      <c r="G78" s="642">
        <v>1</v>
      </c>
      <c r="H78" s="643" t="s">
        <v>211</v>
      </c>
      <c r="I78" s="559"/>
    </row>
    <row r="79" spans="2:9" ht="271.5" thickBot="1" x14ac:dyDescent="0.25">
      <c r="B79" s="644" t="s">
        <v>82</v>
      </c>
      <c r="C79" s="645" t="s">
        <v>212</v>
      </c>
      <c r="D79" s="645" t="s">
        <v>213</v>
      </c>
      <c r="E79" s="645" t="s">
        <v>214</v>
      </c>
      <c r="F79" s="645" t="s">
        <v>215</v>
      </c>
      <c r="G79" s="645" t="s">
        <v>216</v>
      </c>
      <c r="H79" s="632"/>
      <c r="I79" s="559"/>
    </row>
    <row r="80" spans="2:9" ht="14.25" x14ac:dyDescent="0.2">
      <c r="B80" s="646"/>
      <c r="C80" s="647"/>
      <c r="D80" s="647"/>
      <c r="E80" s="647"/>
      <c r="F80" s="647"/>
      <c r="G80" s="647"/>
      <c r="H80" s="635"/>
      <c r="I80" s="559"/>
    </row>
    <row r="81" spans="2:11" ht="23.25" x14ac:dyDescent="0.2">
      <c r="B81" s="951" t="s">
        <v>217</v>
      </c>
      <c r="C81" s="951"/>
      <c r="D81" s="951"/>
      <c r="E81" s="951"/>
      <c r="F81" s="951"/>
      <c r="G81" s="951"/>
      <c r="H81" s="951"/>
      <c r="I81" s="951"/>
    </row>
    <row r="82" spans="2:11" ht="18.75" x14ac:dyDescent="0.2">
      <c r="B82" s="648"/>
      <c r="C82" s="648"/>
      <c r="D82" s="648"/>
      <c r="E82" s="648"/>
      <c r="F82" s="648"/>
      <c r="G82" s="648"/>
      <c r="H82" s="648"/>
      <c r="I82" s="648"/>
    </row>
    <row r="83" spans="2:11" ht="34.5" customHeight="1" x14ac:dyDescent="0.2">
      <c r="B83" s="950" t="s">
        <v>218</v>
      </c>
      <c r="C83" s="950"/>
      <c r="D83" s="950"/>
      <c r="E83" s="950"/>
      <c r="F83" s="950"/>
      <c r="G83" s="950"/>
      <c r="H83" s="950"/>
      <c r="I83" s="950"/>
    </row>
    <row r="84" spans="2:11" ht="15.75" thickBot="1" x14ac:dyDescent="0.25">
      <c r="B84" s="633"/>
      <c r="C84" s="636"/>
      <c r="D84" s="634"/>
      <c r="E84" s="634"/>
      <c r="F84" s="634"/>
      <c r="G84" s="635"/>
      <c r="H84" s="559"/>
      <c r="I84" s="559"/>
    </row>
    <row r="85" spans="2:11" ht="15" x14ac:dyDescent="0.25">
      <c r="B85" s="649"/>
      <c r="C85" s="859">
        <v>2011</v>
      </c>
      <c r="D85" s="860">
        <v>2012</v>
      </c>
      <c r="E85" s="860">
        <v>2013</v>
      </c>
      <c r="F85" s="860">
        <v>2014</v>
      </c>
      <c r="G85" s="861">
        <v>2015</v>
      </c>
      <c r="H85" s="862">
        <v>2016</v>
      </c>
      <c r="I85" s="863" t="s">
        <v>159</v>
      </c>
    </row>
    <row r="86" spans="2:11" ht="15" x14ac:dyDescent="0.2">
      <c r="B86" s="650"/>
      <c r="C86" s="864" t="s">
        <v>36</v>
      </c>
      <c r="D86" s="865"/>
      <c r="E86" s="865"/>
      <c r="F86" s="865"/>
      <c r="G86" s="865"/>
      <c r="H86" s="866"/>
      <c r="I86" s="867"/>
    </row>
    <row r="87" spans="2:11" ht="42.75" x14ac:dyDescent="0.2">
      <c r="B87" s="651" t="s">
        <v>83</v>
      </c>
      <c r="C87" s="652">
        <f>F26</f>
        <v>1300000</v>
      </c>
      <c r="D87" s="652">
        <f>F27</f>
        <v>700000</v>
      </c>
      <c r="E87" s="652">
        <f>F28</f>
        <v>800000</v>
      </c>
      <c r="F87" s="652">
        <f>F29</f>
        <v>1200000</v>
      </c>
      <c r="G87" s="652"/>
      <c r="H87" s="855"/>
      <c r="I87" s="653"/>
    </row>
    <row r="88" spans="2:11" ht="14.25" x14ac:dyDescent="0.2">
      <c r="B88" s="651"/>
      <c r="C88" s="652"/>
      <c r="D88" s="652"/>
      <c r="E88" s="652"/>
      <c r="F88" s="652"/>
      <c r="G88" s="652"/>
      <c r="H88" s="855"/>
      <c r="I88" s="653"/>
    </row>
    <row r="89" spans="2:11" ht="57" x14ac:dyDescent="0.2">
      <c r="B89" s="654" t="s">
        <v>219</v>
      </c>
      <c r="C89" s="655"/>
      <c r="D89" s="656">
        <f>C89</f>
        <v>0</v>
      </c>
      <c r="E89" s="656">
        <f>C89</f>
        <v>0</v>
      </c>
      <c r="F89" s="656">
        <f>C89</f>
        <v>0</v>
      </c>
      <c r="G89" s="656"/>
      <c r="H89" s="858"/>
      <c r="I89" s="657"/>
    </row>
    <row r="90" spans="2:11" ht="14.25" x14ac:dyDescent="0.2">
      <c r="B90" s="658"/>
      <c r="C90" s="659"/>
      <c r="D90" s="659"/>
      <c r="E90" s="659"/>
      <c r="F90" s="659"/>
      <c r="G90" s="659"/>
      <c r="H90" s="856"/>
      <c r="I90" s="868"/>
    </row>
    <row r="91" spans="2:11" ht="43.5" thickBot="1" x14ac:dyDescent="0.25">
      <c r="B91" s="660" t="s">
        <v>220</v>
      </c>
      <c r="C91" s="661"/>
      <c r="D91" s="662"/>
      <c r="E91" s="662"/>
      <c r="F91" s="662"/>
      <c r="G91" s="662">
        <f>C48</f>
        <v>2028333.3333333333</v>
      </c>
      <c r="H91" s="662">
        <f>G91</f>
        <v>2028333.3333333333</v>
      </c>
      <c r="I91" s="663">
        <f>SUM(C91:G91)</f>
        <v>2028333.3333333333</v>
      </c>
    </row>
    <row r="92" spans="2:11" ht="15.75" thickTop="1" thickBot="1" x14ac:dyDescent="0.25">
      <c r="B92" s="664"/>
      <c r="C92" s="665"/>
      <c r="D92" s="665"/>
      <c r="E92" s="665"/>
      <c r="F92" s="665"/>
      <c r="G92" s="665"/>
      <c r="H92" s="857"/>
      <c r="I92" s="666"/>
    </row>
    <row r="93" spans="2:11" ht="15.75" thickTop="1" x14ac:dyDescent="0.25">
      <c r="B93" s="853" t="s">
        <v>359</v>
      </c>
      <c r="C93" s="870">
        <v>3.6900000000000002E-2</v>
      </c>
      <c r="D93" s="848"/>
      <c r="E93" s="848"/>
      <c r="F93" s="848"/>
      <c r="G93" s="848"/>
      <c r="H93" s="855"/>
      <c r="I93" s="851"/>
    </row>
    <row r="94" spans="2:11" ht="14.25" x14ac:dyDescent="0.2">
      <c r="B94" s="852"/>
      <c r="C94" s="848"/>
      <c r="D94" s="848"/>
      <c r="E94" s="848"/>
      <c r="F94" s="848"/>
      <c r="G94" s="848"/>
      <c r="H94" s="855"/>
      <c r="I94" s="851"/>
    </row>
    <row r="95" spans="2:11" ht="42.75" x14ac:dyDescent="0.2">
      <c r="B95" s="654" t="s">
        <v>221</v>
      </c>
      <c r="C95" s="849">
        <v>0</v>
      </c>
      <c r="D95" s="850">
        <f>D87*(1+G71)*D78</f>
        <v>0</v>
      </c>
      <c r="E95" s="850"/>
      <c r="F95" s="850">
        <f>F87*(1+G71)*F78*(1+C93)</f>
        <v>622140</v>
      </c>
      <c r="G95" s="850">
        <f>G91*(1+G71)*G78*(1+C93)</f>
        <v>2103178.833333333</v>
      </c>
      <c r="H95" s="850">
        <f>H91*(1+G71)*0.5*(1+C93)</f>
        <v>1051589.4166666665</v>
      </c>
      <c r="I95" s="854">
        <f>SUM(C95:H95)</f>
        <v>3776908.2499999995</v>
      </c>
      <c r="K95" s="415" t="s">
        <v>223</v>
      </c>
    </row>
    <row r="96" spans="2:11" ht="14.25" x14ac:dyDescent="0.2">
      <c r="B96" s="658"/>
      <c r="C96" s="667"/>
      <c r="D96" s="667"/>
      <c r="E96" s="667"/>
      <c r="F96" s="667"/>
      <c r="G96" s="869"/>
      <c r="H96" s="667"/>
      <c r="I96" s="668"/>
    </row>
    <row r="97" spans="1:15" x14ac:dyDescent="0.2">
      <c r="B97" s="383"/>
      <c r="C97" s="383"/>
      <c r="D97" s="384"/>
      <c r="E97" s="384"/>
      <c r="F97" s="384"/>
      <c r="G97" s="384"/>
      <c r="H97" s="382"/>
    </row>
    <row r="98" spans="1:15" x14ac:dyDescent="0.2">
      <c r="B98" s="383"/>
      <c r="C98" s="383"/>
      <c r="D98" s="384"/>
      <c r="E98" s="384"/>
      <c r="F98" s="384"/>
      <c r="G98" s="384"/>
      <c r="H98" s="382"/>
    </row>
    <row r="99" spans="1:15" ht="15" x14ac:dyDescent="0.25">
      <c r="A99" s="109"/>
    </row>
    <row r="100" spans="1:15" ht="14.25" x14ac:dyDescent="0.2">
      <c r="A100" s="108"/>
    </row>
    <row r="101" spans="1:15" ht="14.25" x14ac:dyDescent="0.2">
      <c r="A101" s="108"/>
    </row>
    <row r="102" spans="1:15" ht="14.25" x14ac:dyDescent="0.2">
      <c r="A102" s="108"/>
    </row>
    <row r="103" spans="1:15" ht="14.25" x14ac:dyDescent="0.2">
      <c r="A103" s="108"/>
      <c r="N103" s="224"/>
      <c r="O103" s="231"/>
    </row>
    <row r="104" spans="1:15" ht="14.25" x14ac:dyDescent="0.2">
      <c r="A104" s="108"/>
    </row>
    <row r="105" spans="1:15" ht="14.25" x14ac:dyDescent="0.2">
      <c r="A105" s="108"/>
    </row>
    <row r="106" spans="1:15" ht="14.25" x14ac:dyDescent="0.2">
      <c r="A106" s="108"/>
    </row>
    <row r="107" spans="1:15" ht="14.25" x14ac:dyDescent="0.2">
      <c r="A107" s="108"/>
    </row>
    <row r="108" spans="1:15" ht="14.25" x14ac:dyDescent="0.2">
      <c r="A108" s="108"/>
    </row>
    <row r="109" spans="1:15" ht="14.25" x14ac:dyDescent="0.2">
      <c r="A109" s="108"/>
    </row>
    <row r="110" spans="1:15" ht="14.25" x14ac:dyDescent="0.2">
      <c r="A110" s="108"/>
    </row>
    <row r="111" spans="1:15" ht="14.25" x14ac:dyDescent="0.2">
      <c r="A111" s="108"/>
    </row>
    <row r="112" spans="1:15" ht="14.25" x14ac:dyDescent="0.2">
      <c r="A112" s="108"/>
    </row>
    <row r="113" spans="1:14" ht="14.25" x14ac:dyDescent="0.2">
      <c r="A113" s="108"/>
    </row>
    <row r="115" spans="1:14" x14ac:dyDescent="0.2">
      <c r="N115" s="223"/>
    </row>
  </sheetData>
  <mergeCells count="24">
    <mergeCell ref="B59:I59"/>
    <mergeCell ref="B32:G32"/>
    <mergeCell ref="B15:I15"/>
    <mergeCell ref="B36:I36"/>
    <mergeCell ref="B34:I34"/>
    <mergeCell ref="B18:G18"/>
    <mergeCell ref="B17:G17"/>
    <mergeCell ref="B25:G25"/>
    <mergeCell ref="B11:I11"/>
    <mergeCell ref="B13:I13"/>
    <mergeCell ref="B83:I83"/>
    <mergeCell ref="B81:I81"/>
    <mergeCell ref="B74:I74"/>
    <mergeCell ref="B39:I39"/>
    <mergeCell ref="B47:I47"/>
    <mergeCell ref="B56:I56"/>
    <mergeCell ref="B76:G76"/>
    <mergeCell ref="B61:G61"/>
    <mergeCell ref="B63:F63"/>
    <mergeCell ref="B66:C66"/>
    <mergeCell ref="B71:C71"/>
    <mergeCell ref="B73:I73"/>
    <mergeCell ref="B37:I37"/>
    <mergeCell ref="B58:I58"/>
  </mergeCells>
  <dataValidations count="2">
    <dataValidation type="list" allowBlank="1" showInputMessage="1" showErrorMessage="1" sqref="G63">
      <formula1>"net,gross"</formula1>
    </dataValidation>
    <dataValidation type="list" allowBlank="1" showInputMessage="1" showErrorMessage="1" sqref="C78:G78">
      <formula1>"0, 0.5, 1"</formula1>
    </dataValidation>
  </dataValidations>
  <pageMargins left="0.23622047244094491" right="0.23622047244094491" top="0.74803149606299213" bottom="0.74803149606299213" header="0.31496062992125984" footer="0.31496062992125984"/>
  <pageSetup scale="50" orientation="portrait" horizontalDpi="4294967294" verticalDpi="4294967294"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showGridLines="0" topLeftCell="A10" workbookViewId="0">
      <selection activeCell="B19" sqref="B19:M34"/>
    </sheetView>
  </sheetViews>
  <sheetFormatPr defaultRowHeight="12.75" x14ac:dyDescent="0.2"/>
  <cols>
    <col min="1" max="1" width="13.6640625" customWidth="1"/>
    <col min="2" max="2" width="54.83203125" bestFit="1" customWidth="1"/>
    <col min="4" max="4" width="5.6640625" bestFit="1" customWidth="1"/>
    <col min="5" max="7" width="17.6640625" hidden="1" customWidth="1"/>
    <col min="8" max="9" width="17.6640625" bestFit="1" customWidth="1"/>
    <col min="10" max="10" width="5.5" customWidth="1"/>
    <col min="11" max="15" width="17.33203125" customWidth="1"/>
  </cols>
  <sheetData>
    <row r="1" spans="1:2" x14ac:dyDescent="0.2">
      <c r="A1" s="726" t="s">
        <v>266</v>
      </c>
    </row>
    <row r="11" spans="1:2" ht="23.25" x14ac:dyDescent="0.2">
      <c r="B11" s="132" t="s">
        <v>222</v>
      </c>
    </row>
    <row r="12" spans="1:2" ht="15" x14ac:dyDescent="0.2">
      <c r="B12" s="57" t="s">
        <v>63</v>
      </c>
    </row>
    <row r="13" spans="1:2" ht="14.25" x14ac:dyDescent="0.2">
      <c r="B13" s="99" t="s">
        <v>259</v>
      </c>
    </row>
    <row r="14" spans="1:2" ht="14.25" x14ac:dyDescent="0.2">
      <c r="B14" s="99" t="s">
        <v>260</v>
      </c>
    </row>
    <row r="15" spans="1:2" ht="14.25" x14ac:dyDescent="0.2">
      <c r="B15" s="99" t="s">
        <v>261</v>
      </c>
    </row>
    <row r="17" spans="2:15" x14ac:dyDescent="0.2">
      <c r="B17" s="127" t="s">
        <v>225</v>
      </c>
      <c r="C17" s="127"/>
      <c r="D17" s="101"/>
      <c r="E17" s="101"/>
      <c r="F17" s="101"/>
      <c r="G17" s="101"/>
      <c r="H17" s="101"/>
      <c r="I17" s="101"/>
      <c r="J17" s="101"/>
      <c r="K17" s="101"/>
      <c r="L17" s="101"/>
      <c r="M17" s="101"/>
    </row>
    <row r="18" spans="2:15" ht="13.5" thickBot="1" x14ac:dyDescent="0.25">
      <c r="B18" s="101"/>
      <c r="C18" s="101"/>
      <c r="D18" s="101"/>
      <c r="E18" s="101"/>
      <c r="F18" s="101"/>
      <c r="G18" s="101"/>
      <c r="H18" s="101"/>
      <c r="I18" s="101"/>
      <c r="J18" s="101"/>
      <c r="K18" s="101"/>
      <c r="L18" s="101"/>
      <c r="M18" s="101"/>
    </row>
    <row r="19" spans="2:15" ht="27.75" customHeight="1" thickBot="1" x14ac:dyDescent="0.25">
      <c r="B19" s="835" t="s">
        <v>36</v>
      </c>
      <c r="C19" s="836"/>
      <c r="D19" s="837" t="s">
        <v>33</v>
      </c>
      <c r="E19" s="838">
        <f>'1. LDC Info'!$F$25-3</f>
        <v>2013</v>
      </c>
      <c r="F19" s="838">
        <f>'1. LDC Info'!$F$25-2</f>
        <v>2014</v>
      </c>
      <c r="G19" s="839">
        <f>'1. LDC Info'!$F$25-1</f>
        <v>2015</v>
      </c>
      <c r="H19" s="840" t="str">
        <f>'1. LDC Info'!F25</f>
        <v>2016</v>
      </c>
      <c r="I19" s="841" t="str">
        <f>'1. LDC Info'!F27</f>
        <v>2017</v>
      </c>
      <c r="J19" s="101"/>
      <c r="K19" s="842" t="s">
        <v>59</v>
      </c>
      <c r="L19" s="843" t="s">
        <v>60</v>
      </c>
      <c r="M19" s="844" t="s">
        <v>226</v>
      </c>
      <c r="N19" s="843" t="s">
        <v>228</v>
      </c>
      <c r="O19" s="845" t="s">
        <v>229</v>
      </c>
    </row>
    <row r="20" spans="2:15" x14ac:dyDescent="0.2">
      <c r="B20" s="420" t="str">
        <f>+'9. Weather Adj LF'!C16</f>
        <v>Residential</v>
      </c>
      <c r="C20" s="421"/>
      <c r="D20" s="422" t="s">
        <v>36</v>
      </c>
      <c r="E20" s="447">
        <f>+'9. Weather Adj LF'!L17</f>
        <v>74334017.121669263</v>
      </c>
      <c r="F20" s="447">
        <f>+'9. Weather Adj LF'!M17</f>
        <v>75761820.187371373</v>
      </c>
      <c r="G20" s="447">
        <f>+'9. Weather Adj LF'!N17</f>
        <v>79671289.320937395</v>
      </c>
      <c r="H20" s="447">
        <f>+'9. Weather Adj LF'!O17</f>
        <v>80450046.256808087</v>
      </c>
      <c r="I20" s="448">
        <f>+'9. Weather Adj LF'!P17</f>
        <v>80599694.152217165</v>
      </c>
      <c r="J20" s="101"/>
      <c r="K20" s="433">
        <f>I20/$I$34</f>
        <v>0.32476769825442642</v>
      </c>
      <c r="L20" s="434">
        <f>K20*$L$34</f>
        <v>1226617.7988706536</v>
      </c>
      <c r="M20" s="873">
        <f>I20-L20</f>
        <v>79373076.353346512</v>
      </c>
      <c r="N20" s="441"/>
      <c r="O20" s="435">
        <f>+M20-N20</f>
        <v>79373076.353346512</v>
      </c>
    </row>
    <row r="21" spans="2:15" x14ac:dyDescent="0.2">
      <c r="B21" s="113"/>
      <c r="C21" s="227"/>
      <c r="D21" s="128"/>
      <c r="E21" s="387"/>
      <c r="F21" s="387"/>
      <c r="G21" s="387"/>
      <c r="H21" s="387"/>
      <c r="I21" s="388"/>
      <c r="J21" s="101"/>
      <c r="K21" s="115"/>
      <c r="L21" s="429"/>
      <c r="M21" s="874"/>
      <c r="N21" s="442"/>
      <c r="O21" s="239"/>
    </row>
    <row r="22" spans="2:15" x14ac:dyDescent="0.2">
      <c r="B22" s="417" t="str">
        <f>+'9. Weather Adj LF'!C20</f>
        <v>General Service &lt; 50 kW</v>
      </c>
      <c r="C22" s="227"/>
      <c r="D22" s="128" t="s">
        <v>36</v>
      </c>
      <c r="E22" s="387">
        <f>+'9. Weather Adj LF'!L21</f>
        <v>33337507.077357363</v>
      </c>
      <c r="F22" s="387">
        <f>+'9. Weather Adj LF'!M21</f>
        <v>32425865.201663207</v>
      </c>
      <c r="G22" s="387">
        <f>+'9. Weather Adj LF'!N21</f>
        <v>32930701.274226837</v>
      </c>
      <c r="H22" s="387">
        <f>+'9. Weather Adj LF'!O21</f>
        <v>33252586.513426181</v>
      </c>
      <c r="I22" s="388">
        <f>+'9. Weather Adj LF'!P21</f>
        <v>33314440.792201336</v>
      </c>
      <c r="J22" s="101"/>
      <c r="K22" s="116">
        <f>I22/$I$34</f>
        <v>0.13423691452579753</v>
      </c>
      <c r="L22" s="430">
        <f>K22*$L$34</f>
        <v>507000.50992702949</v>
      </c>
      <c r="M22" s="874">
        <f>I22-L22</f>
        <v>32807440.282274306</v>
      </c>
      <c r="N22" s="442"/>
      <c r="O22" s="436">
        <f>+M22-N22</f>
        <v>32807440.282274306</v>
      </c>
    </row>
    <row r="23" spans="2:15" x14ac:dyDescent="0.2">
      <c r="B23" s="113"/>
      <c r="C23" s="227"/>
      <c r="D23" s="128"/>
      <c r="E23" s="387"/>
      <c r="F23" s="387"/>
      <c r="G23" s="387"/>
      <c r="H23" s="387"/>
      <c r="I23" s="388"/>
      <c r="J23" s="101"/>
      <c r="K23" s="116"/>
      <c r="L23" s="429"/>
      <c r="M23" s="874"/>
      <c r="N23" s="442"/>
      <c r="O23" s="239"/>
    </row>
    <row r="24" spans="2:15" x14ac:dyDescent="0.2">
      <c r="B24" s="417" t="str">
        <f>+'9. Weather Adj LF'!C24</f>
        <v>General Service &gt; 50 kW - 2999 kW</v>
      </c>
      <c r="C24" s="227"/>
      <c r="D24" s="128" t="s">
        <v>36</v>
      </c>
      <c r="E24" s="387">
        <f>+'9. Weather Adj LF'!L25</f>
        <v>125354819</v>
      </c>
      <c r="F24" s="387">
        <f>+'9. Weather Adj LF'!M25</f>
        <v>119336146</v>
      </c>
      <c r="G24" s="387">
        <f>+'9. Weather Adj LF'!N25</f>
        <v>115685946</v>
      </c>
      <c r="H24" s="387">
        <f>+'9. Weather Adj LF'!O25</f>
        <v>116816732.68110102</v>
      </c>
      <c r="I24" s="388">
        <f>+'9. Weather Adj LF'!P25</f>
        <v>117034027.49953394</v>
      </c>
      <c r="J24" s="101"/>
      <c r="K24" s="116">
        <f>I24/$I$34</f>
        <v>0.47157588038345327</v>
      </c>
      <c r="L24" s="430">
        <f>K24*$L$34</f>
        <v>1781098.8331212776</v>
      </c>
      <c r="M24" s="874">
        <f>I24-L24</f>
        <v>115252928.66641265</v>
      </c>
      <c r="N24" s="442"/>
      <c r="O24" s="436">
        <f>+M24-N24</f>
        <v>115252928.66641265</v>
      </c>
    </row>
    <row r="25" spans="2:15" x14ac:dyDescent="0.2">
      <c r="B25" s="113"/>
      <c r="C25" s="227"/>
      <c r="D25" s="128"/>
      <c r="E25" s="387"/>
      <c r="F25" s="387"/>
      <c r="G25" s="387"/>
      <c r="H25" s="387"/>
      <c r="I25" s="388"/>
      <c r="J25" s="101"/>
      <c r="K25" s="116"/>
      <c r="L25" s="430"/>
      <c r="M25" s="874"/>
      <c r="N25" s="442"/>
      <c r="O25" s="239"/>
    </row>
    <row r="26" spans="2:15" x14ac:dyDescent="0.2">
      <c r="B26" s="417" t="str">
        <f>+'9. Weather Adj LF'!C28</f>
        <v>Streetlighting</v>
      </c>
      <c r="C26" s="227"/>
      <c r="D26" s="128" t="s">
        <v>36</v>
      </c>
      <c r="E26" s="387">
        <f>+'9. Weather Adj LF'!L29</f>
        <v>1249953</v>
      </c>
      <c r="F26" s="387">
        <f>+'9. Weather Adj LF'!M29</f>
        <v>1258253</v>
      </c>
      <c r="G26" s="387">
        <f>+'9. Weather Adj LF'!N29</f>
        <v>1439933</v>
      </c>
      <c r="H26" s="387">
        <f>+'9. Weather Adj LF'!O29</f>
        <v>1454007.8043680072</v>
      </c>
      <c r="I26" s="388">
        <f>+'9. Weather Adj LF'!P29</f>
        <v>1456712.4542464858</v>
      </c>
      <c r="J26" s="101"/>
      <c r="K26" s="116">
        <f>I26/$I$34</f>
        <v>5.8696643425311763E-3</v>
      </c>
      <c r="L26" s="430">
        <f>K26*$L$34</f>
        <v>22169.183680036822</v>
      </c>
      <c r="M26" s="874">
        <f>I26-L26</f>
        <v>1434543.270566449</v>
      </c>
      <c r="N26" s="442"/>
      <c r="O26" s="436">
        <f>+M26+N26</f>
        <v>1434543.270566449</v>
      </c>
    </row>
    <row r="27" spans="2:15" x14ac:dyDescent="0.2">
      <c r="B27" s="113"/>
      <c r="C27" s="227"/>
      <c r="D27" s="128"/>
      <c r="E27" s="387"/>
      <c r="F27" s="387"/>
      <c r="G27" s="387"/>
      <c r="H27" s="387"/>
      <c r="I27" s="388"/>
      <c r="J27" s="101"/>
      <c r="K27" s="116"/>
      <c r="L27" s="430"/>
      <c r="M27" s="874"/>
      <c r="N27" s="442"/>
      <c r="O27" s="239"/>
    </row>
    <row r="28" spans="2:15" x14ac:dyDescent="0.2">
      <c r="B28" s="417" t="str">
        <f>+'9. Weather Adj LF'!C32</f>
        <v>Sentinel Lighting</v>
      </c>
      <c r="C28" s="227"/>
      <c r="D28" s="128" t="s">
        <v>36</v>
      </c>
      <c r="E28" s="387">
        <f>+'9. Weather Adj LF'!L33</f>
        <v>44355</v>
      </c>
      <c r="F28" s="387">
        <f>+'9. Weather Adj LF'!M33</f>
        <v>42943</v>
      </c>
      <c r="G28" s="387">
        <f>+'9. Weather Adj LF'!N33</f>
        <v>43818</v>
      </c>
      <c r="H28" s="387">
        <f>+'9. Weather Adj LF'!O33</f>
        <v>44246.304495971228</v>
      </c>
      <c r="I28" s="388">
        <f>+'9. Weather Adj LF'!P33</f>
        <v>44328.608567323972</v>
      </c>
      <c r="J28" s="101"/>
      <c r="K28" s="116">
        <f>I28/$I$34</f>
        <v>1.7861730522255621E-4</v>
      </c>
      <c r="L28" s="430">
        <f>K28*$L$34</f>
        <v>674.62117368784061</v>
      </c>
      <c r="M28" s="874">
        <f>I28-L28</f>
        <v>43653.987393636133</v>
      </c>
      <c r="N28" s="442"/>
      <c r="O28" s="436">
        <f>+M28-N28</f>
        <v>43653.987393636133</v>
      </c>
    </row>
    <row r="29" spans="2:15" x14ac:dyDescent="0.2">
      <c r="B29" s="113"/>
      <c r="C29" s="227"/>
      <c r="D29" s="128"/>
      <c r="E29" s="387"/>
      <c r="F29" s="387"/>
      <c r="G29" s="387"/>
      <c r="H29" s="387"/>
      <c r="I29" s="388"/>
      <c r="J29" s="101"/>
      <c r="K29" s="116"/>
      <c r="L29" s="429"/>
      <c r="M29" s="874"/>
      <c r="N29" s="442"/>
      <c r="O29" s="239"/>
    </row>
    <row r="30" spans="2:15" x14ac:dyDescent="0.2">
      <c r="B30" s="417" t="str">
        <f>'9. Weather Adj LF'!C36</f>
        <v>General Service 3000-4999 kW</v>
      </c>
      <c r="C30" s="228"/>
      <c r="D30" s="128" t="s">
        <v>36</v>
      </c>
      <c r="E30" s="387">
        <f>+'9. Weather Adj LF'!L37</f>
        <v>13952451</v>
      </c>
      <c r="F30" s="387">
        <f>+'9. Weather Adj LF'!M37</f>
        <v>12584229</v>
      </c>
      <c r="G30" s="387">
        <f>+'9. Weather Adj LF'!N37</f>
        <v>14943860</v>
      </c>
      <c r="H30" s="387">
        <f>+'9. Weather Adj LF'!O37</f>
        <v>15089930.619954463</v>
      </c>
      <c r="I30" s="388">
        <f>+'9. Weather Adj LF'!P37</f>
        <v>15117999.918410014</v>
      </c>
      <c r="J30" s="101"/>
      <c r="K30" s="116">
        <f>I30/$I$34</f>
        <v>6.0916335816859485E-2</v>
      </c>
      <c r="L30" s="430">
        <f>K30*$L$34</f>
        <v>230075.41130646705</v>
      </c>
      <c r="M30" s="874">
        <f>I30-L30</f>
        <v>14887924.507103547</v>
      </c>
      <c r="N30" s="442"/>
      <c r="O30" s="436">
        <f>+M30-N30</f>
        <v>14887924.507103547</v>
      </c>
    </row>
    <row r="31" spans="2:15" x14ac:dyDescent="0.2">
      <c r="B31" s="117"/>
      <c r="C31" s="229"/>
      <c r="D31" s="207"/>
      <c r="E31" s="390"/>
      <c r="F31" s="390"/>
      <c r="G31" s="390"/>
      <c r="H31" s="390"/>
      <c r="I31" s="423"/>
      <c r="J31" s="101"/>
      <c r="K31" s="116"/>
      <c r="L31" s="429"/>
      <c r="M31" s="874"/>
      <c r="N31" s="442"/>
      <c r="O31" s="239"/>
    </row>
    <row r="32" spans="2:15" x14ac:dyDescent="0.2">
      <c r="B32" s="418" t="str">
        <f>+'9. Weather Adj LF'!C40</f>
        <v>Unmetered Scattered Load</v>
      </c>
      <c r="C32" s="229"/>
      <c r="D32" s="128" t="s">
        <v>36</v>
      </c>
      <c r="E32" s="390">
        <f>+'9. Weather Adj LF'!L41</f>
        <v>668402</v>
      </c>
      <c r="F32" s="390">
        <f>+'9. Weather Adj LF'!M41</f>
        <v>555548</v>
      </c>
      <c r="G32" s="390">
        <f>+'9. Weather Adj LF'!N41</f>
        <v>602228</v>
      </c>
      <c r="H32" s="390">
        <f>+'9. Weather Adj LF'!O41</f>
        <v>608114.55255830393</v>
      </c>
      <c r="I32" s="423">
        <f>+'9. Weather Adj LF'!P41</f>
        <v>609245.72733311378</v>
      </c>
      <c r="J32" s="101"/>
      <c r="K32" s="116">
        <f>I32/$I$34</f>
        <v>2.4548893717095616E-3</v>
      </c>
      <c r="L32" s="430">
        <f>K32*$L$34</f>
        <v>9271.891920847158</v>
      </c>
      <c r="M32" s="874">
        <f>I32-L32</f>
        <v>599973.83541226666</v>
      </c>
      <c r="N32" s="442"/>
      <c r="O32" s="436">
        <f>+M32-N32</f>
        <v>599973.83541226666</v>
      </c>
    </row>
    <row r="33" spans="2:18" ht="13.5" thickBot="1" x14ac:dyDescent="0.25">
      <c r="B33" s="118"/>
      <c r="C33" s="230"/>
      <c r="D33" s="208"/>
      <c r="E33" s="294"/>
      <c r="F33" s="294"/>
      <c r="G33" s="294"/>
      <c r="H33" s="294"/>
      <c r="I33" s="428"/>
      <c r="J33" s="101"/>
      <c r="K33" s="119"/>
      <c r="L33" s="431"/>
      <c r="M33" s="875"/>
      <c r="N33" s="459"/>
      <c r="O33" s="196"/>
    </row>
    <row r="34" spans="2:18" ht="20.25" thickTop="1" thickBot="1" x14ac:dyDescent="0.25">
      <c r="B34" s="449" t="s">
        <v>16</v>
      </c>
      <c r="C34" s="450"/>
      <c r="D34" s="451"/>
      <c r="E34" s="452">
        <f>SUM(E20:E33)</f>
        <v>248941504.19902664</v>
      </c>
      <c r="F34" s="452">
        <f t="shared" ref="F34:I34" si="0">SUM(F20:F33)</f>
        <v>241964804.38903457</v>
      </c>
      <c r="G34" s="452">
        <f t="shared" si="0"/>
        <v>245317775.59516424</v>
      </c>
      <c r="H34" s="452">
        <f t="shared" si="0"/>
        <v>247715664.73271206</v>
      </c>
      <c r="I34" s="453">
        <f t="shared" si="0"/>
        <v>248176449.15250939</v>
      </c>
      <c r="J34" s="101"/>
      <c r="K34" s="456">
        <f>I34/$I$34</f>
        <v>1</v>
      </c>
      <c r="L34" s="744">
        <f>+'10. CDM Adjustment'!I95</f>
        <v>3776908.2499999995</v>
      </c>
      <c r="M34" s="457">
        <f>I34-L34</f>
        <v>244399540.90250939</v>
      </c>
      <c r="N34" s="457">
        <f>SUM(N20:N33)</f>
        <v>0</v>
      </c>
      <c r="O34" s="458">
        <f>SUM(O20:O33)</f>
        <v>244399540.90250939</v>
      </c>
      <c r="Q34" s="443">
        <f>+M34-O34</f>
        <v>0</v>
      </c>
      <c r="R34" s="444" t="s">
        <v>230</v>
      </c>
    </row>
    <row r="35" spans="2:18" x14ac:dyDescent="0.2">
      <c r="B35" s="120"/>
      <c r="C35" s="120"/>
      <c r="D35" s="124"/>
      <c r="E35" s="121"/>
      <c r="F35" s="121"/>
      <c r="G35" s="121"/>
      <c r="H35" s="122"/>
      <c r="I35" s="122"/>
      <c r="J35" s="123"/>
      <c r="K35" s="123"/>
      <c r="L35" s="123"/>
      <c r="M35" s="123"/>
    </row>
    <row r="36" spans="2:18" ht="13.5" thickBot="1" x14ac:dyDescent="0.25">
      <c r="B36" s="101"/>
      <c r="C36" s="101"/>
      <c r="D36" s="209"/>
      <c r="E36" s="101"/>
      <c r="F36" s="101"/>
      <c r="G36" s="101"/>
      <c r="H36" s="101"/>
      <c r="I36" s="101"/>
      <c r="J36" s="101"/>
      <c r="K36" s="101"/>
      <c r="L36" s="101"/>
      <c r="M36" s="123"/>
    </row>
    <row r="37" spans="2:18" ht="26.25" thickBot="1" x14ac:dyDescent="0.25">
      <c r="B37" s="110"/>
      <c r="C37" s="225"/>
      <c r="D37" s="111" t="s">
        <v>33</v>
      </c>
      <c r="E37" s="210">
        <f>E19</f>
        <v>2013</v>
      </c>
      <c r="F37" s="210">
        <f>F19</f>
        <v>2014</v>
      </c>
      <c r="G37" s="210">
        <f>G19</f>
        <v>2015</v>
      </c>
      <c r="H37" s="210" t="str">
        <f>H19</f>
        <v>2016</v>
      </c>
      <c r="I37" s="419" t="str">
        <f>I19</f>
        <v>2017</v>
      </c>
      <c r="J37" s="101"/>
      <c r="K37" s="124"/>
      <c r="L37" s="124"/>
      <c r="M37" s="446" t="s">
        <v>227</v>
      </c>
      <c r="N37" s="432" t="s">
        <v>228</v>
      </c>
      <c r="O37" s="437" t="s">
        <v>229</v>
      </c>
    </row>
    <row r="38" spans="2:18" x14ac:dyDescent="0.2">
      <c r="B38" s="420" t="str">
        <f>+B20</f>
        <v>Residential</v>
      </c>
      <c r="C38" s="421"/>
      <c r="D38" s="422" t="s">
        <v>37</v>
      </c>
      <c r="E38" s="424">
        <f>+'9. Weather Adj LF'!L18</f>
        <v>0</v>
      </c>
      <c r="F38" s="424">
        <f>+'9. Weather Adj LF'!M18</f>
        <v>0</v>
      </c>
      <c r="G38" s="424">
        <f>+'9. Weather Adj LF'!N18</f>
        <v>0</v>
      </c>
      <c r="H38" s="424">
        <f>+'9. Weather Adj LF'!O18</f>
        <v>0</v>
      </c>
      <c r="I38" s="425">
        <f>+'9. Weather Adj LF'!P18</f>
        <v>0</v>
      </c>
      <c r="J38" s="101"/>
      <c r="K38" s="125"/>
      <c r="L38" s="126"/>
      <c r="M38" s="438">
        <f>IF(I38&gt;0,+M20/I20*I38,0)</f>
        <v>0</v>
      </c>
      <c r="N38" s="445">
        <f>IF(I38&gt;0,+N20/I20*I38,0)</f>
        <v>0</v>
      </c>
      <c r="O38" s="435">
        <f>+M38-N38</f>
        <v>0</v>
      </c>
    </row>
    <row r="39" spans="2:18" x14ac:dyDescent="0.2">
      <c r="B39" s="112" t="s">
        <v>30</v>
      </c>
      <c r="C39" s="226"/>
      <c r="D39" s="128"/>
      <c r="E39" s="426"/>
      <c r="F39" s="426"/>
      <c r="G39" s="426"/>
      <c r="H39" s="426"/>
      <c r="I39" s="427"/>
      <c r="J39" s="101"/>
      <c r="K39" s="125"/>
      <c r="L39" s="126"/>
      <c r="M39" s="439"/>
      <c r="N39" s="53"/>
      <c r="O39" s="239"/>
    </row>
    <row r="40" spans="2:18" x14ac:dyDescent="0.2">
      <c r="B40" s="416" t="str">
        <f>+B22</f>
        <v>General Service &lt; 50 kW</v>
      </c>
      <c r="C40" s="226"/>
      <c r="D40" s="129" t="s">
        <v>37</v>
      </c>
      <c r="E40" s="426">
        <f>+'9. Weather Adj LF'!L22</f>
        <v>0</v>
      </c>
      <c r="F40" s="426">
        <f>+'9. Weather Adj LF'!M22</f>
        <v>0</v>
      </c>
      <c r="G40" s="426">
        <f>+'9. Weather Adj LF'!N22</f>
        <v>0</v>
      </c>
      <c r="H40" s="426">
        <f>+'9. Weather Adj LF'!O22</f>
        <v>0</v>
      </c>
      <c r="I40" s="427">
        <f>+'9. Weather Adj LF'!P22</f>
        <v>0</v>
      </c>
      <c r="J40" s="101"/>
      <c r="K40" s="125"/>
      <c r="L40" s="126"/>
      <c r="M40" s="439">
        <f t="shared" ref="M40:M50" si="1">IF(I40&gt;0,+M22/I22*I40,0)</f>
        <v>0</v>
      </c>
      <c r="N40" s="114">
        <f>IF(I40&gt;0,+N22/I22*I40,0)</f>
        <v>0</v>
      </c>
      <c r="O40" s="436">
        <f>+M40-N40</f>
        <v>0</v>
      </c>
    </row>
    <row r="41" spans="2:18" x14ac:dyDescent="0.2">
      <c r="B41" s="112" t="s">
        <v>30</v>
      </c>
      <c r="C41" s="226"/>
      <c r="D41" s="128"/>
      <c r="E41" s="426"/>
      <c r="F41" s="426"/>
      <c r="G41" s="426"/>
      <c r="H41" s="426"/>
      <c r="I41" s="427"/>
      <c r="J41" s="101"/>
      <c r="K41" s="125"/>
      <c r="L41" s="126"/>
      <c r="M41" s="439"/>
      <c r="N41" s="53"/>
      <c r="O41" s="239"/>
    </row>
    <row r="42" spans="2:18" x14ac:dyDescent="0.2">
      <c r="B42" s="416" t="str">
        <f>+B24</f>
        <v>General Service &gt; 50 kW - 2999 kW</v>
      </c>
      <c r="C42" s="226"/>
      <c r="D42" s="129" t="s">
        <v>37</v>
      </c>
      <c r="E42" s="385">
        <f>+'9. Weather Adj LF'!L26</f>
        <v>323427</v>
      </c>
      <c r="F42" s="385">
        <f>+'9. Weather Adj LF'!M26</f>
        <v>314352.19999999995</v>
      </c>
      <c r="G42" s="385">
        <f>+'9. Weather Adj LF'!N26</f>
        <v>306814.40000000002</v>
      </c>
      <c r="H42" s="385">
        <f>+'9. Weather Adj LF'!O26</f>
        <v>295034.71343124693</v>
      </c>
      <c r="I42" s="386">
        <f>+'9. Weather Adj LF'!P26</f>
        <v>295583.51763947163</v>
      </c>
      <c r="J42" s="101"/>
      <c r="K42" s="125"/>
      <c r="L42" s="126"/>
      <c r="M42" s="439">
        <f>IF(I42&gt;0,+M24/I24*I42,0)</f>
        <v>291085.13823985943</v>
      </c>
      <c r="N42" s="114">
        <f>IF(I42&gt;0,+N24/I24*I42,0)</f>
        <v>0</v>
      </c>
      <c r="O42" s="436">
        <f>+M42-N42</f>
        <v>291085.13823985943</v>
      </c>
    </row>
    <row r="43" spans="2:18" x14ac:dyDescent="0.2">
      <c r="B43" s="112" t="s">
        <v>30</v>
      </c>
      <c r="C43" s="226"/>
      <c r="D43" s="128"/>
      <c r="E43" s="387"/>
      <c r="F43" s="387"/>
      <c r="G43" s="387"/>
      <c r="H43" s="387"/>
      <c r="I43" s="388"/>
      <c r="J43" s="101"/>
      <c r="K43" s="125"/>
      <c r="L43" s="126"/>
      <c r="M43" s="439"/>
      <c r="N43" s="53"/>
      <c r="O43" s="239"/>
    </row>
    <row r="44" spans="2:18" x14ac:dyDescent="0.2">
      <c r="B44" s="416" t="str">
        <f>+B26</f>
        <v>Streetlighting</v>
      </c>
      <c r="C44" s="226"/>
      <c r="D44" s="129" t="s">
        <v>37</v>
      </c>
      <c r="E44" s="387">
        <f>+'9. Weather Adj LF'!L30</f>
        <v>3386</v>
      </c>
      <c r="F44" s="387">
        <f>+'9. Weather Adj LF'!M30</f>
        <v>3408.5999999999995</v>
      </c>
      <c r="G44" s="387">
        <f>+'9. Weather Adj LF'!N30</f>
        <v>3416</v>
      </c>
      <c r="H44" s="387">
        <f>+'9. Weather Adj LF'!O30</f>
        <v>3905.6547356588153</v>
      </c>
      <c r="I44" s="388">
        <f>+'9. Weather Adj LF'!P30</f>
        <v>3912.919778235922</v>
      </c>
      <c r="J44" s="101"/>
      <c r="K44" s="125"/>
      <c r="L44" s="126"/>
      <c r="M44" s="439">
        <f t="shared" si="1"/>
        <v>3853.3704574100543</v>
      </c>
      <c r="N44" s="114">
        <f>IF(I44&gt;0,+N26/I26*I44,0)</f>
        <v>0</v>
      </c>
      <c r="O44" s="436">
        <f>+M44-N44</f>
        <v>3853.3704574100543</v>
      </c>
    </row>
    <row r="45" spans="2:18" x14ac:dyDescent="0.2">
      <c r="B45" s="112" t="s">
        <v>30</v>
      </c>
      <c r="C45" s="226"/>
      <c r="D45" s="128"/>
      <c r="E45" s="387"/>
      <c r="F45" s="387"/>
      <c r="G45" s="387"/>
      <c r="H45" s="387"/>
      <c r="I45" s="388"/>
      <c r="J45" s="101"/>
      <c r="K45" s="125"/>
      <c r="L45" s="126"/>
      <c r="M45" s="439"/>
      <c r="N45" s="53"/>
      <c r="O45" s="239"/>
    </row>
    <row r="46" spans="2:18" x14ac:dyDescent="0.2">
      <c r="B46" s="416" t="str">
        <f>+B28</f>
        <v>Sentinel Lighting</v>
      </c>
      <c r="C46" s="226"/>
      <c r="D46" s="129" t="s">
        <v>37</v>
      </c>
      <c r="E46" s="387">
        <f>+'9. Weather Adj LF'!L34</f>
        <v>132</v>
      </c>
      <c r="F46" s="387">
        <f>+'9. Weather Adj LF'!M34</f>
        <v>132</v>
      </c>
      <c r="G46" s="387">
        <f>+'9. Weather Adj LF'!N34</f>
        <v>132</v>
      </c>
      <c r="H46" s="387">
        <f>+'9. Weather Adj LF'!O34</f>
        <v>134.62335169787229</v>
      </c>
      <c r="I46" s="388">
        <f>+'9. Weather Adj LF'!P34</f>
        <v>134.87376922019658</v>
      </c>
      <c r="J46" s="101"/>
      <c r="K46" s="125"/>
      <c r="L46" s="126"/>
      <c r="M46" s="439">
        <f>IF(I46&gt;0,+M28/I28*I46,0)</f>
        <v>132.82117376476191</v>
      </c>
      <c r="N46" s="114">
        <f>IF(I46&gt;0,+N28/I28*I46,0)</f>
        <v>0</v>
      </c>
      <c r="O46" s="436">
        <f>+M46-N46</f>
        <v>132.82117376476191</v>
      </c>
    </row>
    <row r="47" spans="2:18" x14ac:dyDescent="0.2">
      <c r="B47" s="112" t="s">
        <v>30</v>
      </c>
      <c r="C47" s="226"/>
      <c r="D47" s="128"/>
      <c r="E47" s="387"/>
      <c r="F47" s="387"/>
      <c r="G47" s="387"/>
      <c r="H47" s="387"/>
      <c r="I47" s="388"/>
      <c r="J47" s="101"/>
      <c r="K47" s="125"/>
      <c r="L47" s="126"/>
      <c r="M47" s="439"/>
      <c r="N47" s="53"/>
      <c r="O47" s="239"/>
    </row>
    <row r="48" spans="2:18" x14ac:dyDescent="0.2">
      <c r="B48" s="416" t="str">
        <f>+B30</f>
        <v>General Service 3000-4999 kW</v>
      </c>
      <c r="C48" s="226"/>
      <c r="D48" s="129" t="s">
        <v>37</v>
      </c>
      <c r="E48" s="387">
        <f>+'9. Weather Adj LF'!L38</f>
        <v>37942.600000000006</v>
      </c>
      <c r="F48" s="387">
        <f>+'9. Weather Adj LF'!M38</f>
        <v>36603.599999999999</v>
      </c>
      <c r="G48" s="387">
        <f>+'9. Weather Adj LF'!N38</f>
        <v>33867.5</v>
      </c>
      <c r="H48" s="387">
        <f>+'9. Weather Adj LF'!O38</f>
        <v>37269.727733739157</v>
      </c>
      <c r="I48" s="388">
        <f>+'9. Weather Adj LF'!P38</f>
        <v>37339.054434932339</v>
      </c>
      <c r="J48" s="101"/>
      <c r="K48" s="125"/>
      <c r="L48" s="126"/>
      <c r="M48" s="439">
        <f t="shared" si="1"/>
        <v>36770.80477536923</v>
      </c>
      <c r="N48" s="114">
        <f>IF(I48&gt;0,+N30/I30*I48,0)</f>
        <v>0</v>
      </c>
      <c r="O48" s="436">
        <f>+M48-N48</f>
        <v>36770.80477536923</v>
      </c>
    </row>
    <row r="49" spans="2:15" x14ac:dyDescent="0.2">
      <c r="B49" s="416"/>
      <c r="C49" s="226"/>
      <c r="D49" s="129"/>
      <c r="E49" s="387"/>
      <c r="F49" s="387"/>
      <c r="G49" s="387"/>
      <c r="H49" s="387"/>
      <c r="I49" s="388"/>
      <c r="J49" s="101"/>
      <c r="K49" s="125"/>
      <c r="L49" s="126"/>
      <c r="M49" s="439"/>
      <c r="N49" s="53"/>
      <c r="O49" s="239"/>
    </row>
    <row r="50" spans="2:15" x14ac:dyDescent="0.2">
      <c r="B50" s="416" t="str">
        <f>+B32</f>
        <v>Unmetered Scattered Load</v>
      </c>
      <c r="C50" s="226"/>
      <c r="D50" s="129" t="s">
        <v>37</v>
      </c>
      <c r="E50" s="387">
        <f>+'9. Weather Adj LF'!L42</f>
        <v>0</v>
      </c>
      <c r="F50" s="387">
        <f>+'9. Weather Adj LF'!M42</f>
        <v>0</v>
      </c>
      <c r="G50" s="387">
        <f>+'9. Weather Adj LF'!N42</f>
        <v>0</v>
      </c>
      <c r="H50" s="387">
        <f>+'9. Weather Adj LF'!O42</f>
        <v>0</v>
      </c>
      <c r="I50" s="388">
        <f>+'9. Weather Adj LF'!P42</f>
        <v>0</v>
      </c>
      <c r="J50" s="101"/>
      <c r="K50" s="125"/>
      <c r="L50" s="126"/>
      <c r="M50" s="439">
        <f t="shared" si="1"/>
        <v>0</v>
      </c>
      <c r="N50" s="114">
        <f>IF(I50&gt;0,+N32/I32*I50,0)</f>
        <v>0</v>
      </c>
      <c r="O50" s="436">
        <f>+M50-N50</f>
        <v>0</v>
      </c>
    </row>
    <row r="51" spans="2:15" ht="13.5" thickBot="1" x14ac:dyDescent="0.25">
      <c r="B51" s="118" t="s">
        <v>30</v>
      </c>
      <c r="C51" s="230"/>
      <c r="D51" s="208"/>
      <c r="E51" s="294"/>
      <c r="F51" s="294"/>
      <c r="G51" s="294"/>
      <c r="H51" s="294"/>
      <c r="I51" s="428"/>
      <c r="J51" s="101"/>
      <c r="K51" s="125"/>
      <c r="L51" s="126"/>
      <c r="M51" s="440"/>
      <c r="N51" s="90"/>
      <c r="O51" s="196"/>
    </row>
    <row r="52" spans="2:15" ht="13.5" thickBot="1" x14ac:dyDescent="0.25">
      <c r="B52" s="449" t="s">
        <v>16</v>
      </c>
      <c r="C52" s="454"/>
      <c r="D52" s="455" t="s">
        <v>30</v>
      </c>
      <c r="E52" s="452">
        <f>SUM(E38:E51)</f>
        <v>364887.6</v>
      </c>
      <c r="F52" s="452">
        <f t="shared" ref="F52:H52" si="2">SUM(F38:F51)</f>
        <v>354496.39999999991</v>
      </c>
      <c r="G52" s="452">
        <f t="shared" si="2"/>
        <v>344229.9</v>
      </c>
      <c r="H52" s="452">
        <f t="shared" si="2"/>
        <v>336344.71925234282</v>
      </c>
      <c r="I52" s="453">
        <f>SUM(I38:I51)</f>
        <v>336970.36562186008</v>
      </c>
      <c r="J52" s="101"/>
      <c r="K52" s="125"/>
      <c r="L52" s="126"/>
      <c r="M52" s="460">
        <f>SUM(M38:M51)</f>
        <v>331842.13464640349</v>
      </c>
      <c r="N52" s="455">
        <f t="shared" ref="N52:O52" si="3">SUM(N38:N51)</f>
        <v>0</v>
      </c>
      <c r="O52" s="461">
        <f t="shared" si="3"/>
        <v>331842.13464640349</v>
      </c>
    </row>
    <row r="53" spans="2:15" x14ac:dyDescent="0.2">
      <c r="B53" s="104"/>
      <c r="C53" s="104"/>
      <c r="D53" s="104"/>
      <c r="E53" s="104"/>
      <c r="F53" s="104"/>
      <c r="G53" s="104"/>
      <c r="H53" s="104"/>
      <c r="I53" s="104"/>
      <c r="J53" s="104"/>
      <c r="K53" s="104"/>
      <c r="L53" s="104"/>
      <c r="M53" s="104"/>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O61"/>
  <sheetViews>
    <sheetView showGridLines="0" topLeftCell="A7" zoomScaleNormal="100" workbookViewId="0">
      <selection activeCell="B13" sqref="B13:O56"/>
    </sheetView>
  </sheetViews>
  <sheetFormatPr defaultColWidth="10.5" defaultRowHeight="12.75" x14ac:dyDescent="0.2"/>
  <cols>
    <col min="1" max="1" width="13.6640625" style="1" customWidth="1"/>
    <col min="2" max="2" width="42.6640625" style="1" customWidth="1"/>
    <col min="3" max="3" width="11.83203125" style="1" bestFit="1" customWidth="1"/>
    <col min="4" max="9" width="14.5" style="1" hidden="1" customWidth="1"/>
    <col min="10" max="10" width="14.5" style="1" bestFit="1" customWidth="1"/>
    <col min="11" max="14" width="17.1640625" style="1" customWidth="1"/>
    <col min="15" max="15" width="17.1640625" style="206" customWidth="1"/>
    <col min="16" max="17" width="10.5" style="1"/>
    <col min="18" max="19" width="1.83203125" style="1" bestFit="1" customWidth="1"/>
    <col min="20" max="16384" width="10.5" style="1"/>
  </cols>
  <sheetData>
    <row r="1" spans="1:15" s="532" customFormat="1" x14ac:dyDescent="0.2">
      <c r="A1" s="726" t="s">
        <v>266</v>
      </c>
      <c r="O1" s="206"/>
    </row>
    <row r="2" spans="1:15" s="532" customFormat="1" x14ac:dyDescent="0.2">
      <c r="O2" s="206"/>
    </row>
    <row r="3" spans="1:15" s="532" customFormat="1" x14ac:dyDescent="0.2">
      <c r="O3" s="206"/>
    </row>
    <row r="4" spans="1:15" s="532" customFormat="1" x14ac:dyDescent="0.2">
      <c r="O4" s="206"/>
    </row>
    <row r="5" spans="1:15" s="532" customFormat="1" x14ac:dyDescent="0.2">
      <c r="O5" s="206"/>
    </row>
    <row r="6" spans="1:15" s="532" customFormat="1" x14ac:dyDescent="0.2">
      <c r="O6" s="206"/>
    </row>
    <row r="7" spans="1:15" s="532" customFormat="1" x14ac:dyDescent="0.2">
      <c r="O7" s="206"/>
    </row>
    <row r="8" spans="1:15" s="532" customFormat="1" x14ac:dyDescent="0.2">
      <c r="O8" s="206"/>
    </row>
    <row r="9" spans="1:15" s="532" customFormat="1" x14ac:dyDescent="0.2">
      <c r="O9" s="206"/>
    </row>
    <row r="11" spans="1:15" ht="23.25" x14ac:dyDescent="0.2">
      <c r="B11" s="132" t="s">
        <v>231</v>
      </c>
      <c r="O11" s="314"/>
    </row>
    <row r="12" spans="1:15" ht="13.5" thickBot="1" x14ac:dyDescent="0.25"/>
    <row r="13" spans="1:15" ht="13.5" thickBot="1" x14ac:dyDescent="0.25">
      <c r="B13" s="799"/>
      <c r="C13" s="804" t="s">
        <v>33</v>
      </c>
      <c r="D13" s="805">
        <f>'4. Customer Growth'!B17</f>
        <v>2006</v>
      </c>
      <c r="E13" s="805">
        <f>'4. Customer Growth'!B18</f>
        <v>2007</v>
      </c>
      <c r="F13" s="805">
        <f>'4. Customer Growth'!B19</f>
        <v>2008</v>
      </c>
      <c r="G13" s="805">
        <f>'4. Customer Growth'!B20</f>
        <v>2009</v>
      </c>
      <c r="H13" s="805">
        <f>'4. Customer Growth'!B21</f>
        <v>2010</v>
      </c>
      <c r="I13" s="805">
        <f>'4. Customer Growth'!B22</f>
        <v>2011</v>
      </c>
      <c r="J13" s="805">
        <f>'4. Customer Growth'!B23</f>
        <v>2012</v>
      </c>
      <c r="K13" s="805">
        <f>'4. Customer Growth'!B24</f>
        <v>2013</v>
      </c>
      <c r="L13" s="805">
        <f>'4. Customer Growth'!B25</f>
        <v>2014</v>
      </c>
      <c r="M13" s="805">
        <f>'4. Customer Growth'!B26</f>
        <v>2015</v>
      </c>
      <c r="N13" s="805" t="str">
        <f>'4. Customer Growth'!B30</f>
        <v>2016</v>
      </c>
      <c r="O13" s="806" t="str">
        <f>'4. Customer Growth'!B31</f>
        <v>2017</v>
      </c>
    </row>
    <row r="14" spans="1:15" x14ac:dyDescent="0.2">
      <c r="B14" s="800" t="str">
        <f>+'9. Weather Adj LF'!C16</f>
        <v>Residential</v>
      </c>
      <c r="C14" s="87" t="s">
        <v>129</v>
      </c>
      <c r="D14" s="385">
        <f>+'9. Weather Adj LF'!E16</f>
        <v>7704</v>
      </c>
      <c r="E14" s="385">
        <f>+'9. Weather Adj LF'!F16</f>
        <v>7842</v>
      </c>
      <c r="F14" s="385">
        <f>+'9. Weather Adj LF'!G16</f>
        <v>7956</v>
      </c>
      <c r="G14" s="385">
        <f>+'9. Weather Adj LF'!H16</f>
        <v>8187.5</v>
      </c>
      <c r="H14" s="385">
        <f>+'9. Weather Adj LF'!I16</f>
        <v>8296.5</v>
      </c>
      <c r="I14" s="385">
        <f>+'9. Weather Adj LF'!J16</f>
        <v>8425</v>
      </c>
      <c r="J14" s="385">
        <f>+'9. Weather Adj LF'!K16</f>
        <v>8525</v>
      </c>
      <c r="K14" s="385">
        <f>+'9. Weather Adj LF'!L16</f>
        <v>8627</v>
      </c>
      <c r="L14" s="385">
        <f>+'9. Weather Adj LF'!M16</f>
        <v>8760.5</v>
      </c>
      <c r="M14" s="385">
        <f>+'9. Weather Adj LF'!N16</f>
        <v>8885</v>
      </c>
      <c r="N14" s="385">
        <f>+'9. Weather Adj LF'!O16</f>
        <v>9026.923937540796</v>
      </c>
      <c r="O14" s="386">
        <f>+'9. Weather Adj LF'!P16</f>
        <v>9171.114887354759</v>
      </c>
    </row>
    <row r="15" spans="1:15" x14ac:dyDescent="0.2">
      <c r="B15" s="801"/>
      <c r="C15" s="53" t="s">
        <v>36</v>
      </c>
      <c r="D15" s="385">
        <f>+'9. Weather Adj LF'!E17</f>
        <v>71590902.776568398</v>
      </c>
      <c r="E15" s="385">
        <f>+'9. Weather Adj LF'!F17</f>
        <v>72101506.334618852</v>
      </c>
      <c r="F15" s="385">
        <f>+'9. Weather Adj LF'!G17</f>
        <v>73848510.565233275</v>
      </c>
      <c r="G15" s="385">
        <f>+'9. Weather Adj LF'!H17</f>
        <v>74657177.211183861</v>
      </c>
      <c r="H15" s="385">
        <f>+'9. Weather Adj LF'!I17</f>
        <v>73436594.333625555</v>
      </c>
      <c r="I15" s="385">
        <f>+'9. Weather Adj LF'!J17</f>
        <v>73193400.880397737</v>
      </c>
      <c r="J15" s="385">
        <f>+'9. Weather Adj LF'!K17</f>
        <v>70966505.368845955</v>
      </c>
      <c r="K15" s="385">
        <f>+'9. Weather Adj LF'!L17</f>
        <v>74334017.121669263</v>
      </c>
      <c r="L15" s="385">
        <f>+'9. Weather Adj LF'!M17</f>
        <v>75761820.187371373</v>
      </c>
      <c r="M15" s="385">
        <f>+'9. Weather Adj LF'!N17</f>
        <v>79671289.320937395</v>
      </c>
      <c r="N15" s="385">
        <f>+'9. Weather Adj LF'!O17</f>
        <v>80450046.256808087</v>
      </c>
      <c r="O15" s="386">
        <f>+'10.1 CDM Allocation'!O20</f>
        <v>79373076.353346512</v>
      </c>
    </row>
    <row r="16" spans="1:15" x14ac:dyDescent="0.2">
      <c r="B16" s="801"/>
      <c r="C16" s="53" t="s">
        <v>37</v>
      </c>
      <c r="D16" s="387">
        <f>+'9. Weather Adj LF'!E18</f>
        <v>0</v>
      </c>
      <c r="E16" s="387">
        <f>+'9. Weather Adj LF'!F18</f>
        <v>0</v>
      </c>
      <c r="F16" s="387">
        <f>+'9. Weather Adj LF'!G18</f>
        <v>0</v>
      </c>
      <c r="G16" s="387">
        <f>+'9. Weather Adj LF'!H18</f>
        <v>0</v>
      </c>
      <c r="H16" s="387">
        <f>+'9. Weather Adj LF'!I18</f>
        <v>0</v>
      </c>
      <c r="I16" s="387">
        <f>+'9. Weather Adj LF'!J18</f>
        <v>0</v>
      </c>
      <c r="J16" s="387">
        <f>+'9. Weather Adj LF'!K18</f>
        <v>0</v>
      </c>
      <c r="K16" s="387">
        <f>+'9. Weather Adj LF'!L18</f>
        <v>0</v>
      </c>
      <c r="L16" s="387">
        <f>+'9. Weather Adj LF'!M18</f>
        <v>0</v>
      </c>
      <c r="M16" s="387">
        <f>+'9. Weather Adj LF'!N18</f>
        <v>0</v>
      </c>
      <c r="N16" s="387">
        <f>+'9. Weather Adj LF'!O18</f>
        <v>0</v>
      </c>
      <c r="O16" s="388">
        <f>+'10.1 CDM Allocation'!O38</f>
        <v>0</v>
      </c>
    </row>
    <row r="17" spans="2:15" x14ac:dyDescent="0.2">
      <c r="B17" s="801"/>
      <c r="C17" s="53"/>
      <c r="D17" s="387"/>
      <c r="E17" s="387"/>
      <c r="F17" s="387"/>
      <c r="G17" s="387"/>
      <c r="H17" s="387"/>
      <c r="I17" s="387"/>
      <c r="J17" s="387"/>
      <c r="K17" s="387"/>
      <c r="L17" s="387"/>
      <c r="M17" s="387"/>
      <c r="N17" s="387"/>
      <c r="O17" s="388"/>
    </row>
    <row r="18" spans="2:15" x14ac:dyDescent="0.2">
      <c r="B18" s="802" t="str">
        <f>+'9. Weather Adj LF'!C20</f>
        <v>General Service &lt; 50 kW</v>
      </c>
      <c r="C18" s="87" t="s">
        <v>129</v>
      </c>
      <c r="D18" s="385">
        <f>+'9. Weather Adj LF'!E20</f>
        <v>1036.5</v>
      </c>
      <c r="E18" s="385">
        <f>+'9. Weather Adj LF'!F20</f>
        <v>1043</v>
      </c>
      <c r="F18" s="385">
        <f>+'9. Weather Adj LF'!G20</f>
        <v>1047.5</v>
      </c>
      <c r="G18" s="385">
        <f>+'9. Weather Adj LF'!H20</f>
        <v>1062.5</v>
      </c>
      <c r="H18" s="385">
        <f>+'9. Weather Adj LF'!I20</f>
        <v>1068.5</v>
      </c>
      <c r="I18" s="385">
        <f>+'9. Weather Adj LF'!J20</f>
        <v>1072.5</v>
      </c>
      <c r="J18" s="385">
        <f>+'9. Weather Adj LF'!K20</f>
        <v>1067</v>
      </c>
      <c r="K18" s="385">
        <f>+'9. Weather Adj LF'!L20</f>
        <v>1058</v>
      </c>
      <c r="L18" s="385">
        <f>+'9. Weather Adj LF'!M20</f>
        <v>1068.5</v>
      </c>
      <c r="M18" s="385">
        <f>+'9. Weather Adj LF'!N20</f>
        <v>1077.5</v>
      </c>
      <c r="N18" s="385">
        <f>+'9. Weather Adj LF'!O20</f>
        <v>1082.1545150107602</v>
      </c>
      <c r="O18" s="386">
        <f>+'9. Weather Adj LF'!P20</f>
        <v>1086.8291362952889</v>
      </c>
    </row>
    <row r="19" spans="2:15" x14ac:dyDescent="0.2">
      <c r="B19" s="801"/>
      <c r="C19" s="53" t="s">
        <v>36</v>
      </c>
      <c r="D19" s="385">
        <f>+'9. Weather Adj LF'!E21</f>
        <v>32947635.677251581</v>
      </c>
      <c r="E19" s="385">
        <f>+'9. Weather Adj LF'!F21</f>
        <v>34123002.621133283</v>
      </c>
      <c r="F19" s="385">
        <f>+'9. Weather Adj LF'!G21</f>
        <v>35250366.032868199</v>
      </c>
      <c r="G19" s="385">
        <f>+'9. Weather Adj LF'!H21</f>
        <v>35803467.043011874</v>
      </c>
      <c r="H19" s="385">
        <f>+'9. Weather Adj LF'!I21</f>
        <v>34496063.808112673</v>
      </c>
      <c r="I19" s="385">
        <f>+'9. Weather Adj LF'!J21</f>
        <v>38814986.994877979</v>
      </c>
      <c r="J19" s="385">
        <f>+'9. Weather Adj LF'!K21</f>
        <v>33200382.221462574</v>
      </c>
      <c r="K19" s="385">
        <f>+'9. Weather Adj LF'!L21</f>
        <v>33337507.077357363</v>
      </c>
      <c r="L19" s="385">
        <f>+'9. Weather Adj LF'!M21</f>
        <v>32425865.201663207</v>
      </c>
      <c r="M19" s="385">
        <f>+'9. Weather Adj LF'!N21</f>
        <v>32930701.274226837</v>
      </c>
      <c r="N19" s="385">
        <f>+'9. Weather Adj LF'!O21</f>
        <v>33252586.513426181</v>
      </c>
      <c r="O19" s="386">
        <f>+'10.1 CDM Allocation'!O22</f>
        <v>32807440.282274306</v>
      </c>
    </row>
    <row r="20" spans="2:15" x14ac:dyDescent="0.2">
      <c r="B20" s="801"/>
      <c r="C20" s="53" t="s">
        <v>37</v>
      </c>
      <c r="D20" s="387">
        <f>+'9. Weather Adj LF'!E22</f>
        <v>0</v>
      </c>
      <c r="E20" s="387">
        <f>+'9. Weather Adj LF'!F22</f>
        <v>0</v>
      </c>
      <c r="F20" s="387">
        <f>+'9. Weather Adj LF'!G22</f>
        <v>0</v>
      </c>
      <c r="G20" s="387">
        <f>+'9. Weather Adj LF'!H22</f>
        <v>0</v>
      </c>
      <c r="H20" s="387">
        <f>+'9. Weather Adj LF'!I22</f>
        <v>0</v>
      </c>
      <c r="I20" s="387">
        <f>+'9. Weather Adj LF'!J22</f>
        <v>0</v>
      </c>
      <c r="J20" s="387">
        <f>+'9. Weather Adj LF'!K22</f>
        <v>0</v>
      </c>
      <c r="K20" s="387">
        <f>+'9. Weather Adj LF'!L22</f>
        <v>0</v>
      </c>
      <c r="L20" s="387">
        <f>+'9. Weather Adj LF'!M22</f>
        <v>0</v>
      </c>
      <c r="M20" s="387">
        <f>+'9. Weather Adj LF'!N22</f>
        <v>0</v>
      </c>
      <c r="N20" s="387">
        <f>+'9. Weather Adj LF'!O22</f>
        <v>0</v>
      </c>
      <c r="O20" s="388">
        <f>+'10.1 CDM Allocation'!O40</f>
        <v>0</v>
      </c>
    </row>
    <row r="21" spans="2:15" x14ac:dyDescent="0.2">
      <c r="B21" s="801"/>
      <c r="C21" s="53"/>
      <c r="D21" s="387"/>
      <c r="E21" s="387"/>
      <c r="F21" s="387"/>
      <c r="G21" s="387"/>
      <c r="H21" s="387"/>
      <c r="I21" s="387"/>
      <c r="J21" s="387"/>
      <c r="K21" s="387"/>
      <c r="L21" s="387"/>
      <c r="M21" s="387"/>
      <c r="N21" s="387"/>
      <c r="O21" s="388"/>
    </row>
    <row r="22" spans="2:15" x14ac:dyDescent="0.2">
      <c r="B22" s="802" t="str">
        <f>+'9. Weather Adj LF'!C24</f>
        <v>General Service &gt; 50 kW - 2999 kW</v>
      </c>
      <c r="C22" s="87" t="s">
        <v>129</v>
      </c>
      <c r="D22" s="385">
        <f>+'9. Weather Adj LF'!E24</f>
        <v>145.5</v>
      </c>
      <c r="E22" s="385">
        <f>+'9. Weather Adj LF'!F24</f>
        <v>147.5</v>
      </c>
      <c r="F22" s="385">
        <f>+'9. Weather Adj LF'!G24</f>
        <v>133</v>
      </c>
      <c r="G22" s="385">
        <f>+'9. Weather Adj LF'!H24</f>
        <v>129.5</v>
      </c>
      <c r="H22" s="385">
        <f>+'9. Weather Adj LF'!I24</f>
        <v>131</v>
      </c>
      <c r="I22" s="385">
        <f>+'9. Weather Adj LF'!J24</f>
        <v>131.5</v>
      </c>
      <c r="J22" s="385">
        <f>+'9. Weather Adj LF'!K24</f>
        <v>137</v>
      </c>
      <c r="K22" s="385">
        <f>+'9. Weather Adj LF'!L24</f>
        <v>141.5</v>
      </c>
      <c r="L22" s="385">
        <f>+'9. Weather Adj LF'!M24</f>
        <v>138</v>
      </c>
      <c r="M22" s="385">
        <f>+'9. Weather Adj LF'!N24</f>
        <v>134</v>
      </c>
      <c r="N22" s="385">
        <f>+'9. Weather Adj LF'!O24</f>
        <v>132.77969465471912</v>
      </c>
      <c r="O22" s="386">
        <f>+'9. Weather Adj LF'!P24</f>
        <v>131.57050233283914</v>
      </c>
    </row>
    <row r="23" spans="2:15" x14ac:dyDescent="0.2">
      <c r="B23" s="801"/>
      <c r="C23" s="53" t="s">
        <v>36</v>
      </c>
      <c r="D23" s="385">
        <f>+'9. Weather Adj LF'!E25</f>
        <v>120975702</v>
      </c>
      <c r="E23" s="385">
        <f>+'9. Weather Adj LF'!F25</f>
        <v>122417181</v>
      </c>
      <c r="F23" s="385">
        <f>+'9. Weather Adj LF'!G25</f>
        <v>121003376</v>
      </c>
      <c r="G23" s="385">
        <f>+'9. Weather Adj LF'!H25</f>
        <v>114875960</v>
      </c>
      <c r="H23" s="385">
        <f>+'9. Weather Adj LF'!I25</f>
        <v>120290733</v>
      </c>
      <c r="I23" s="385">
        <f>+'9. Weather Adj LF'!J25</f>
        <v>120834914</v>
      </c>
      <c r="J23" s="385">
        <f>+'9. Weather Adj LF'!K25</f>
        <v>128532327</v>
      </c>
      <c r="K23" s="385">
        <f>+'9. Weather Adj LF'!L25</f>
        <v>125354819</v>
      </c>
      <c r="L23" s="385">
        <f>+'9. Weather Adj LF'!M25</f>
        <v>119336146</v>
      </c>
      <c r="M23" s="385">
        <f>+'9. Weather Adj LF'!N25</f>
        <v>115685946</v>
      </c>
      <c r="N23" s="385">
        <f>+'9. Weather Adj LF'!O25</f>
        <v>116816732.68110102</v>
      </c>
      <c r="O23" s="386">
        <f>+'10.1 CDM Allocation'!O24</f>
        <v>115252928.66641265</v>
      </c>
    </row>
    <row r="24" spans="2:15" x14ac:dyDescent="0.2">
      <c r="B24" s="801"/>
      <c r="C24" s="53" t="s">
        <v>37</v>
      </c>
      <c r="D24" s="387">
        <f>+'9. Weather Adj LF'!E26</f>
        <v>297477.3</v>
      </c>
      <c r="E24" s="387">
        <f>+'9. Weather Adj LF'!F26</f>
        <v>300809.10000000003</v>
      </c>
      <c r="F24" s="387">
        <f>+'9. Weather Adj LF'!G26</f>
        <v>298912.40000000002</v>
      </c>
      <c r="G24" s="387">
        <f>+'9. Weather Adj LF'!H26</f>
        <v>290142.59999999992</v>
      </c>
      <c r="H24" s="387">
        <f>+'9. Weather Adj LF'!I26</f>
        <v>299040.51</v>
      </c>
      <c r="I24" s="387">
        <f>+'9. Weather Adj LF'!J26</f>
        <v>300129.30000000005</v>
      </c>
      <c r="J24" s="387">
        <f>+'9. Weather Adj LF'!K26</f>
        <v>322335</v>
      </c>
      <c r="K24" s="387">
        <f>+'9. Weather Adj LF'!L26</f>
        <v>323427</v>
      </c>
      <c r="L24" s="387">
        <f>+'9. Weather Adj LF'!M26</f>
        <v>314352.19999999995</v>
      </c>
      <c r="M24" s="387">
        <f>+'9. Weather Adj LF'!N26</f>
        <v>306814.40000000002</v>
      </c>
      <c r="N24" s="387">
        <f>+'9. Weather Adj LF'!O26</f>
        <v>295034.71343124693</v>
      </c>
      <c r="O24" s="388">
        <f>+'10.1 CDM Allocation'!O42</f>
        <v>291085.13823985943</v>
      </c>
    </row>
    <row r="25" spans="2:15" x14ac:dyDescent="0.2">
      <c r="B25" s="801"/>
      <c r="C25" s="53"/>
      <c r="D25" s="387"/>
      <c r="E25" s="387"/>
      <c r="F25" s="387"/>
      <c r="G25" s="387"/>
      <c r="H25" s="387"/>
      <c r="I25" s="387"/>
      <c r="J25" s="387"/>
      <c r="K25" s="387"/>
      <c r="L25" s="387"/>
      <c r="M25" s="387"/>
      <c r="N25" s="387"/>
      <c r="O25" s="388"/>
    </row>
    <row r="26" spans="2:15" x14ac:dyDescent="0.2">
      <c r="B26" s="802" t="str">
        <f>+'9. Weather Adj LF'!C28</f>
        <v>Streetlighting</v>
      </c>
      <c r="C26" s="87" t="s">
        <v>129</v>
      </c>
      <c r="D26" s="385">
        <f>+'9. Weather Adj LF'!E28</f>
        <v>2671</v>
      </c>
      <c r="E26" s="385">
        <f>+'9. Weather Adj LF'!F28</f>
        <v>2743</v>
      </c>
      <c r="F26" s="385">
        <f>+'9. Weather Adj LF'!G28</f>
        <v>2793</v>
      </c>
      <c r="G26" s="385">
        <f>+'9. Weather Adj LF'!H28</f>
        <v>2815.5</v>
      </c>
      <c r="H26" s="385">
        <f>+'9. Weather Adj LF'!I28</f>
        <v>2752</v>
      </c>
      <c r="I26" s="385">
        <f>+'9. Weather Adj LF'!J28</f>
        <v>2759</v>
      </c>
      <c r="J26" s="385">
        <f>+'9. Weather Adj LF'!K28</f>
        <v>2802</v>
      </c>
      <c r="K26" s="385">
        <f>+'9. Weather Adj LF'!L28</f>
        <v>2862</v>
      </c>
      <c r="L26" s="385">
        <f>+'9. Weather Adj LF'!M28</f>
        <v>2634</v>
      </c>
      <c r="M26" s="385">
        <f>+'9. Weather Adj LF'!N28</f>
        <v>2694</v>
      </c>
      <c r="N26" s="385">
        <f>+'9. Weather Adj LF'!O28</f>
        <v>2696.567749993425</v>
      </c>
      <c r="O26" s="386">
        <f>+'9. Weather Adj LF'!P28</f>
        <v>2699.1379474033415</v>
      </c>
    </row>
    <row r="27" spans="2:15" x14ac:dyDescent="0.2">
      <c r="B27" s="801"/>
      <c r="C27" s="53" t="s">
        <v>36</v>
      </c>
      <c r="D27" s="385">
        <f>+'9. Weather Adj LF'!E29</f>
        <v>1923289.8225330669</v>
      </c>
      <c r="E27" s="385">
        <f>+'9. Weather Adj LF'!F29</f>
        <v>1931928</v>
      </c>
      <c r="F27" s="385">
        <f>+'9. Weather Adj LF'!G29</f>
        <v>1867799.5215356699</v>
      </c>
      <c r="G27" s="385">
        <f>+'9. Weather Adj LF'!H29</f>
        <v>1350901.1708566549</v>
      </c>
      <c r="H27" s="385">
        <f>+'9. Weather Adj LF'!I29</f>
        <v>1194281.7307655821</v>
      </c>
      <c r="I27" s="385">
        <f>+'9. Weather Adj LF'!J29</f>
        <v>1222967</v>
      </c>
      <c r="J27" s="385">
        <f>+'9. Weather Adj LF'!K29</f>
        <v>1222128</v>
      </c>
      <c r="K27" s="385">
        <f>+'9. Weather Adj LF'!L29</f>
        <v>1249953</v>
      </c>
      <c r="L27" s="385">
        <f>+'9. Weather Adj LF'!M29</f>
        <v>1258253</v>
      </c>
      <c r="M27" s="385">
        <f>+'9. Weather Adj LF'!N29</f>
        <v>1439933</v>
      </c>
      <c r="N27" s="385">
        <f>+'9. Weather Adj LF'!O29</f>
        <v>1454007.8043680072</v>
      </c>
      <c r="O27" s="386">
        <f>+'10.1 CDM Allocation'!O26</f>
        <v>1434543.270566449</v>
      </c>
    </row>
    <row r="28" spans="2:15" x14ac:dyDescent="0.2">
      <c r="B28" s="801"/>
      <c r="C28" s="53" t="s">
        <v>37</v>
      </c>
      <c r="D28" s="387">
        <f>+'9. Weather Adj LF'!E30</f>
        <v>5221.5</v>
      </c>
      <c r="E28" s="387">
        <f>+'9. Weather Adj LF'!F30</f>
        <v>5239.8999999999996</v>
      </c>
      <c r="F28" s="387">
        <f>+'9. Weather Adj LF'!G30</f>
        <v>5091.2000000000007</v>
      </c>
      <c r="G28" s="387">
        <f>+'9. Weather Adj LF'!H30</f>
        <v>3654.0999999999995</v>
      </c>
      <c r="H28" s="387">
        <f>+'9. Weather Adj LF'!I30</f>
        <v>3301.8999999999992</v>
      </c>
      <c r="I28" s="387">
        <f>+'9. Weather Adj LF'!J30</f>
        <v>3321</v>
      </c>
      <c r="J28" s="387">
        <f>+'9. Weather Adj LF'!K30</f>
        <v>3340</v>
      </c>
      <c r="K28" s="387">
        <f>+'9. Weather Adj LF'!L30</f>
        <v>3386</v>
      </c>
      <c r="L28" s="387">
        <f>+'9. Weather Adj LF'!M30</f>
        <v>3408.5999999999995</v>
      </c>
      <c r="M28" s="387">
        <f>+'9. Weather Adj LF'!N30</f>
        <v>3416</v>
      </c>
      <c r="N28" s="387">
        <f>+'9. Weather Adj LF'!O30</f>
        <v>3905.6547356588153</v>
      </c>
      <c r="O28" s="388">
        <f>+'10.1 CDM Allocation'!O44</f>
        <v>3853.3704574100543</v>
      </c>
    </row>
    <row r="29" spans="2:15" x14ac:dyDescent="0.2">
      <c r="B29" s="801"/>
      <c r="C29" s="53"/>
      <c r="D29" s="387"/>
      <c r="E29" s="387"/>
      <c r="F29" s="387"/>
      <c r="G29" s="387"/>
      <c r="H29" s="387"/>
      <c r="I29" s="387"/>
      <c r="J29" s="387"/>
      <c r="K29" s="387"/>
      <c r="L29" s="387"/>
      <c r="M29" s="387"/>
      <c r="N29" s="387"/>
      <c r="O29" s="388"/>
    </row>
    <row r="30" spans="2:15" x14ac:dyDescent="0.2">
      <c r="B30" s="802" t="str">
        <f>+'9. Weather Adj LF'!C32</f>
        <v>Sentinel Lighting</v>
      </c>
      <c r="C30" s="87" t="s">
        <v>129</v>
      </c>
      <c r="D30" s="385">
        <f>+'9. Weather Adj LF'!E32</f>
        <v>55</v>
      </c>
      <c r="E30" s="385">
        <f>+'9. Weather Adj LF'!F32</f>
        <v>55</v>
      </c>
      <c r="F30" s="385">
        <f>+'9. Weather Adj LF'!G32</f>
        <v>58</v>
      </c>
      <c r="G30" s="385">
        <f>+'9. Weather Adj LF'!H32</f>
        <v>59.5</v>
      </c>
      <c r="H30" s="385">
        <f>+'9. Weather Adj LF'!I32</f>
        <v>55</v>
      </c>
      <c r="I30" s="385">
        <f>+'9. Weather Adj LF'!J32</f>
        <v>53</v>
      </c>
      <c r="J30" s="385">
        <f>+'9. Weather Adj LF'!K32</f>
        <v>54</v>
      </c>
      <c r="K30" s="385">
        <f>+'9. Weather Adj LF'!L32</f>
        <v>54</v>
      </c>
      <c r="L30" s="385">
        <f>+'9. Weather Adj LF'!M32</f>
        <v>54</v>
      </c>
      <c r="M30" s="385">
        <f>+'9. Weather Adj LF'!N32</f>
        <v>54</v>
      </c>
      <c r="N30" s="385">
        <f>+'9. Weather Adj LF'!O32</f>
        <v>53.890017322054852</v>
      </c>
      <c r="O30" s="386">
        <f>+'9. Weather Adj LF'!P32</f>
        <v>53.780258647617998</v>
      </c>
    </row>
    <row r="31" spans="2:15" x14ac:dyDescent="0.2">
      <c r="B31" s="801"/>
      <c r="C31" s="53" t="s">
        <v>36</v>
      </c>
      <c r="D31" s="385">
        <f>+'9. Weather Adj LF'!E33</f>
        <v>76063.696059073991</v>
      </c>
      <c r="E31" s="385">
        <f>+'9. Weather Adj LF'!F33</f>
        <v>76442.150921409208</v>
      </c>
      <c r="F31" s="385">
        <f>+'9. Weather Adj LF'!G33</f>
        <v>81053.799492218415</v>
      </c>
      <c r="G31" s="385">
        <f>+'9. Weather Adj LF'!H33</f>
        <v>78799.687128734338</v>
      </c>
      <c r="H31" s="385">
        <f>+'9. Weather Adj LF'!I33</f>
        <v>54122.065561244759</v>
      </c>
      <c r="I31" s="385">
        <f>+'9. Weather Adj LF'!J33</f>
        <v>43758</v>
      </c>
      <c r="J31" s="385">
        <f>+'9. Weather Adj LF'!K33</f>
        <v>41938</v>
      </c>
      <c r="K31" s="385">
        <f>+'9. Weather Adj LF'!L33</f>
        <v>44355</v>
      </c>
      <c r="L31" s="385">
        <f>+'9. Weather Adj LF'!M33</f>
        <v>42943</v>
      </c>
      <c r="M31" s="385">
        <f>+'9. Weather Adj LF'!N33</f>
        <v>43818</v>
      </c>
      <c r="N31" s="385">
        <f>+'9. Weather Adj LF'!O33</f>
        <v>44246.304495971228</v>
      </c>
      <c r="O31" s="386">
        <f>+'10.1 CDM Allocation'!O28</f>
        <v>43653.987393636133</v>
      </c>
    </row>
    <row r="32" spans="2:15" x14ac:dyDescent="0.2">
      <c r="B32" s="801"/>
      <c r="C32" s="53" t="s">
        <v>37</v>
      </c>
      <c r="D32" s="387">
        <f>+'9. Weather Adj LF'!E34</f>
        <v>211.35349632855065</v>
      </c>
      <c r="E32" s="387">
        <f>+'9. Weather Adj LF'!F34</f>
        <v>212.33930811502557</v>
      </c>
      <c r="F32" s="387">
        <f>+'9. Weather Adj LF'!G34</f>
        <v>225.03441398199672</v>
      </c>
      <c r="G32" s="387">
        <f>+'9. Weather Adj LF'!H34</f>
        <v>222.10830015479695</v>
      </c>
      <c r="H32" s="387">
        <f>+'9. Weather Adj LF'!I34</f>
        <v>219.09108054779566</v>
      </c>
      <c r="I32" s="387">
        <f>+'9. Weather Adj LF'!J34</f>
        <v>132</v>
      </c>
      <c r="J32" s="387">
        <f>+'9. Weather Adj LF'!K34</f>
        <v>132</v>
      </c>
      <c r="K32" s="387">
        <f>+'9. Weather Adj LF'!L34</f>
        <v>132</v>
      </c>
      <c r="L32" s="387">
        <f>+'9. Weather Adj LF'!M34</f>
        <v>132</v>
      </c>
      <c r="M32" s="387">
        <f>+'9. Weather Adj LF'!N34</f>
        <v>132</v>
      </c>
      <c r="N32" s="387">
        <f>+'9. Weather Adj LF'!O34</f>
        <v>134.62335169787229</v>
      </c>
      <c r="O32" s="388">
        <f>+'10.1 CDM Allocation'!O46</f>
        <v>132.82117376476191</v>
      </c>
    </row>
    <row r="33" spans="2:15" x14ac:dyDescent="0.2">
      <c r="B33" s="801"/>
      <c r="C33" s="53"/>
      <c r="D33" s="387"/>
      <c r="E33" s="387"/>
      <c r="F33" s="387"/>
      <c r="G33" s="387"/>
      <c r="H33" s="387"/>
      <c r="I33" s="387"/>
      <c r="J33" s="387"/>
      <c r="K33" s="387"/>
      <c r="L33" s="387"/>
      <c r="M33" s="387"/>
      <c r="N33" s="387"/>
      <c r="O33" s="388"/>
    </row>
    <row r="34" spans="2:15" x14ac:dyDescent="0.2">
      <c r="B34" s="802" t="str">
        <f>+'9. Weather Adj LF'!C36</f>
        <v>General Service 3000-4999 kW</v>
      </c>
      <c r="C34" s="87" t="s">
        <v>129</v>
      </c>
      <c r="D34" s="387">
        <f>+'9. Weather Adj LF'!E36</f>
        <v>1</v>
      </c>
      <c r="E34" s="387">
        <f>+'9. Weather Adj LF'!F36</f>
        <v>1</v>
      </c>
      <c r="F34" s="387">
        <f>+'9. Weather Adj LF'!G36</f>
        <v>1</v>
      </c>
      <c r="G34" s="387">
        <f>+'9. Weather Adj LF'!H36</f>
        <v>1</v>
      </c>
      <c r="H34" s="387">
        <f>+'9. Weather Adj LF'!I36</f>
        <v>1</v>
      </c>
      <c r="I34" s="387">
        <f>+'9. Weather Adj LF'!J36</f>
        <v>1</v>
      </c>
      <c r="J34" s="387">
        <f>+'9. Weather Adj LF'!K36</f>
        <v>1</v>
      </c>
      <c r="K34" s="387">
        <f>+'9. Weather Adj LF'!L36</f>
        <v>1</v>
      </c>
      <c r="L34" s="387">
        <f>+'9. Weather Adj LF'!M36</f>
        <v>1</v>
      </c>
      <c r="M34" s="387">
        <f>+'9. Weather Adj LF'!N36</f>
        <v>1</v>
      </c>
      <c r="N34" s="387">
        <f>+'9. Weather Adj LF'!O36</f>
        <v>1</v>
      </c>
      <c r="O34" s="388">
        <f>+'9. Weather Adj LF'!P36</f>
        <v>1</v>
      </c>
    </row>
    <row r="35" spans="2:15" x14ac:dyDescent="0.2">
      <c r="B35" s="211"/>
      <c r="C35" s="53" t="s">
        <v>36</v>
      </c>
      <c r="D35" s="385">
        <f>+'9. Weather Adj LF'!E37</f>
        <v>23443190</v>
      </c>
      <c r="E35" s="385">
        <f>+'9. Weather Adj LF'!F37</f>
        <v>20583615.100000001</v>
      </c>
      <c r="F35" s="385">
        <f>+'9. Weather Adj LF'!G37</f>
        <v>18805505.400000002</v>
      </c>
      <c r="G35" s="385">
        <f>+'9. Weather Adj LF'!H37</f>
        <v>19554366.59</v>
      </c>
      <c r="H35" s="385">
        <f>+'9. Weather Adj LF'!I37</f>
        <v>19036344.470000003</v>
      </c>
      <c r="I35" s="385">
        <f>+'9. Weather Adj LF'!J37</f>
        <v>15051682</v>
      </c>
      <c r="J35" s="385">
        <f>+'9. Weather Adj LF'!K37</f>
        <v>15193348</v>
      </c>
      <c r="K35" s="385">
        <f>+'9. Weather Adj LF'!L37</f>
        <v>13952451</v>
      </c>
      <c r="L35" s="385">
        <f>+'9. Weather Adj LF'!M37</f>
        <v>12584229</v>
      </c>
      <c r="M35" s="385">
        <f>+'9. Weather Adj LF'!N37</f>
        <v>14943860</v>
      </c>
      <c r="N35" s="385">
        <f>+'9. Weather Adj LF'!O37</f>
        <v>15089930.619954463</v>
      </c>
      <c r="O35" s="386">
        <f>+'10.1 CDM Allocation'!O30</f>
        <v>14887924.507103547</v>
      </c>
    </row>
    <row r="36" spans="2:15" x14ac:dyDescent="0.2">
      <c r="B36" s="211"/>
      <c r="C36" s="53" t="s">
        <v>37</v>
      </c>
      <c r="D36" s="389">
        <f>+'9. Weather Adj LF'!E38</f>
        <v>48478.95</v>
      </c>
      <c r="E36" s="389">
        <f>+'9. Weather Adj LF'!F38</f>
        <v>46226.600000000006</v>
      </c>
      <c r="F36" s="389">
        <f>+'9. Weather Adj LF'!G38</f>
        <v>40463.800000000003</v>
      </c>
      <c r="G36" s="389">
        <f>+'9. Weather Adj LF'!H38</f>
        <v>49628.899999999994</v>
      </c>
      <c r="H36" s="389">
        <f>+'9. Weather Adj LF'!I38</f>
        <v>45255.720000000008</v>
      </c>
      <c r="I36" s="389">
        <f>+'9. Weather Adj LF'!J38</f>
        <v>42335.9</v>
      </c>
      <c r="J36" s="389">
        <f>+'9. Weather Adj LF'!K38</f>
        <v>39662.6</v>
      </c>
      <c r="K36" s="389">
        <f>+'9. Weather Adj LF'!L38</f>
        <v>37942.600000000006</v>
      </c>
      <c r="L36" s="389">
        <f>+'9. Weather Adj LF'!M38</f>
        <v>36603.599999999999</v>
      </c>
      <c r="M36" s="389">
        <f>+'9. Weather Adj LF'!N38</f>
        <v>33867.5</v>
      </c>
      <c r="N36" s="389">
        <f>+'9. Weather Adj LF'!O38</f>
        <v>37269.727733739157</v>
      </c>
      <c r="O36" s="475">
        <f>+'10.1 CDM Allocation'!O48</f>
        <v>36770.80477536923</v>
      </c>
    </row>
    <row r="37" spans="2:15" x14ac:dyDescent="0.2">
      <c r="B37" s="211"/>
      <c r="C37" s="198"/>
      <c r="D37" s="390"/>
      <c r="E37" s="390"/>
      <c r="F37" s="390"/>
      <c r="G37" s="390"/>
      <c r="H37" s="390"/>
      <c r="I37" s="390"/>
      <c r="J37" s="390"/>
      <c r="K37" s="390"/>
      <c r="L37" s="390"/>
      <c r="M37" s="390"/>
      <c r="N37" s="390"/>
      <c r="O37" s="423"/>
    </row>
    <row r="38" spans="2:15" x14ac:dyDescent="0.2">
      <c r="B38" s="803" t="str">
        <f>'9. Weather Adj LF'!C40</f>
        <v>Unmetered Scattered Load</v>
      </c>
      <c r="C38" s="87" t="s">
        <v>129</v>
      </c>
      <c r="D38" s="390">
        <f>+'9. Weather Adj LF'!E40</f>
        <v>68.5</v>
      </c>
      <c r="E38" s="390">
        <f>+'9. Weather Adj LF'!F40</f>
        <v>80.5</v>
      </c>
      <c r="F38" s="390">
        <f>+'9. Weather Adj LF'!G40</f>
        <v>90</v>
      </c>
      <c r="G38" s="390">
        <f>+'9. Weather Adj LF'!H40</f>
        <v>95.5</v>
      </c>
      <c r="H38" s="390">
        <f>+'9. Weather Adj LF'!I40</f>
        <v>95</v>
      </c>
      <c r="I38" s="390">
        <f>+'9. Weather Adj LF'!J40</f>
        <v>96</v>
      </c>
      <c r="J38" s="390">
        <f>+'9. Weather Adj LF'!K40</f>
        <v>94.5</v>
      </c>
      <c r="K38" s="390">
        <f>+'9. Weather Adj LF'!L40</f>
        <v>93.5</v>
      </c>
      <c r="L38" s="390">
        <f>+'9. Weather Adj LF'!M40</f>
        <v>93</v>
      </c>
      <c r="M38" s="390">
        <f>+'9. Weather Adj LF'!N40</f>
        <v>90</v>
      </c>
      <c r="N38" s="390">
        <f>+'9. Weather Adj LF'!O40</f>
        <v>92.771578681015399</v>
      </c>
      <c r="O38" s="423">
        <f>+'9. Weather Adj LF'!P40</f>
        <v>95.628509010753675</v>
      </c>
    </row>
    <row r="39" spans="2:15" x14ac:dyDescent="0.2">
      <c r="B39" s="211"/>
      <c r="C39" s="53" t="s">
        <v>36</v>
      </c>
      <c r="D39" s="390">
        <f>+'9. Weather Adj LF'!E41</f>
        <v>595250.77752402704</v>
      </c>
      <c r="E39" s="390">
        <f>+'9. Weather Adj LF'!F41</f>
        <v>605328</v>
      </c>
      <c r="F39" s="390">
        <f>+'9. Weather Adj LF'!G41</f>
        <v>720399.74271798297</v>
      </c>
      <c r="G39" s="390">
        <f>+'9. Weather Adj LF'!H41</f>
        <v>747874.03424722515</v>
      </c>
      <c r="H39" s="390">
        <f>+'9. Weather Adj LF'!I41</f>
        <v>716622.84621952369</v>
      </c>
      <c r="I39" s="390">
        <f>+'9. Weather Adj LF'!J41</f>
        <v>659574</v>
      </c>
      <c r="J39" s="390">
        <f>+'9. Weather Adj LF'!K41</f>
        <v>627467</v>
      </c>
      <c r="K39" s="390">
        <f>+'9. Weather Adj LF'!L41</f>
        <v>668402</v>
      </c>
      <c r="L39" s="390">
        <f>+'9. Weather Adj LF'!M41</f>
        <v>555548</v>
      </c>
      <c r="M39" s="390">
        <f>+'9. Weather Adj LF'!N41</f>
        <v>602228</v>
      </c>
      <c r="N39" s="390">
        <f>+'9. Weather Adj LF'!O41</f>
        <v>608114.55255830393</v>
      </c>
      <c r="O39" s="423">
        <f>+'10.1 CDM Allocation'!O32</f>
        <v>599973.83541226666</v>
      </c>
    </row>
    <row r="40" spans="2:15" x14ac:dyDescent="0.2">
      <c r="B40" s="211"/>
      <c r="C40" s="53" t="s">
        <v>37</v>
      </c>
      <c r="D40" s="390">
        <f>+'9. Weather Adj LF'!E42</f>
        <v>0</v>
      </c>
      <c r="E40" s="390">
        <f>+'9. Weather Adj LF'!F42</f>
        <v>0</v>
      </c>
      <c r="F40" s="390">
        <f>+'9. Weather Adj LF'!G42</f>
        <v>0</v>
      </c>
      <c r="G40" s="390">
        <f>+'9. Weather Adj LF'!H42</f>
        <v>0</v>
      </c>
      <c r="H40" s="390">
        <f>+'9. Weather Adj LF'!I42</f>
        <v>0</v>
      </c>
      <c r="I40" s="390">
        <f>+'9. Weather Adj LF'!J42</f>
        <v>0</v>
      </c>
      <c r="J40" s="390">
        <f>+'9. Weather Adj LF'!K42</f>
        <v>0</v>
      </c>
      <c r="K40" s="390">
        <f>+'9. Weather Adj LF'!L42</f>
        <v>0</v>
      </c>
      <c r="L40" s="390">
        <f>+'9. Weather Adj LF'!M42</f>
        <v>0</v>
      </c>
      <c r="M40" s="390">
        <f>+'9. Weather Adj LF'!N42</f>
        <v>0</v>
      </c>
      <c r="N40" s="390">
        <f>+'9. Weather Adj LF'!O42</f>
        <v>0</v>
      </c>
      <c r="O40" s="423">
        <f>+'10.1 CDM Allocation'!O50</f>
        <v>0</v>
      </c>
    </row>
    <row r="41" spans="2:15" ht="13.5" thickBot="1" x14ac:dyDescent="0.25">
      <c r="B41" s="89"/>
      <c r="C41" s="90"/>
      <c r="D41" s="294"/>
      <c r="E41" s="294"/>
      <c r="F41" s="294"/>
      <c r="G41" s="294"/>
      <c r="H41" s="294"/>
      <c r="I41" s="294"/>
      <c r="J41" s="294"/>
      <c r="K41" s="294"/>
      <c r="L41" s="294"/>
      <c r="M41" s="294"/>
      <c r="N41" s="474"/>
      <c r="O41" s="428"/>
    </row>
    <row r="42" spans="2:15" hidden="1" x14ac:dyDescent="0.2">
      <c r="B42" s="471" t="str">
        <f>'2. Customer Classes'!B21</f>
        <v>General Service 3000-4999 kW</v>
      </c>
      <c r="C42" s="472"/>
      <c r="D42" s="389"/>
      <c r="E42" s="389"/>
      <c r="F42" s="389"/>
      <c r="G42" s="389"/>
      <c r="H42" s="389"/>
      <c r="I42" s="389"/>
      <c r="J42" s="389"/>
      <c r="K42" s="389"/>
      <c r="L42" s="389"/>
      <c r="M42" s="389"/>
      <c r="N42" s="473"/>
      <c r="O42" s="475"/>
    </row>
    <row r="43" spans="2:15" hidden="1" x14ac:dyDescent="0.2">
      <c r="B43" s="197"/>
      <c r="C43" s="198"/>
      <c r="D43" s="390"/>
      <c r="E43" s="390"/>
      <c r="F43" s="390"/>
      <c r="G43" s="390"/>
      <c r="H43" s="390"/>
      <c r="I43" s="390"/>
      <c r="J43" s="390"/>
      <c r="K43" s="390"/>
      <c r="L43" s="390"/>
      <c r="M43" s="390"/>
      <c r="N43" s="391"/>
      <c r="O43" s="423"/>
    </row>
    <row r="44" spans="2:15" hidden="1" x14ac:dyDescent="0.2">
      <c r="B44" s="197"/>
      <c r="C44" s="198"/>
      <c r="D44" s="390"/>
      <c r="E44" s="390"/>
      <c r="F44" s="390"/>
      <c r="G44" s="390"/>
      <c r="H44" s="390"/>
      <c r="I44" s="390"/>
      <c r="J44" s="390"/>
      <c r="K44" s="390"/>
      <c r="L44" s="390"/>
      <c r="M44" s="390"/>
      <c r="N44" s="391"/>
      <c r="O44" s="423"/>
    </row>
    <row r="45" spans="2:15" hidden="1" x14ac:dyDescent="0.2">
      <c r="B45" s="197"/>
      <c r="C45" s="198"/>
      <c r="D45" s="390"/>
      <c r="E45" s="390"/>
      <c r="F45" s="390"/>
      <c r="G45" s="390"/>
      <c r="H45" s="390"/>
      <c r="I45" s="390"/>
      <c r="J45" s="390"/>
      <c r="K45" s="390"/>
      <c r="L45" s="390"/>
      <c r="M45" s="390"/>
      <c r="N45" s="391"/>
      <c r="O45" s="423"/>
    </row>
    <row r="46" spans="2:15" hidden="1" x14ac:dyDescent="0.2">
      <c r="B46" s="199" t="str">
        <f>'2. Customer Classes'!B22</f>
        <v>other</v>
      </c>
      <c r="C46" s="198"/>
      <c r="D46" s="390"/>
      <c r="E46" s="390"/>
      <c r="F46" s="390"/>
      <c r="G46" s="390"/>
      <c r="H46" s="390"/>
      <c r="I46" s="390"/>
      <c r="J46" s="390"/>
      <c r="K46" s="390"/>
      <c r="L46" s="390"/>
      <c r="M46" s="390"/>
      <c r="N46" s="391"/>
      <c r="O46" s="423"/>
    </row>
    <row r="47" spans="2:15" hidden="1" x14ac:dyDescent="0.2">
      <c r="B47" s="197"/>
      <c r="C47" s="198"/>
      <c r="D47" s="390"/>
      <c r="E47" s="390"/>
      <c r="F47" s="390"/>
      <c r="G47" s="390"/>
      <c r="H47" s="390"/>
      <c r="I47" s="390"/>
      <c r="J47" s="390"/>
      <c r="K47" s="390"/>
      <c r="L47" s="390"/>
      <c r="M47" s="390"/>
      <c r="N47" s="391"/>
      <c r="O47" s="423"/>
    </row>
    <row r="48" spans="2:15" hidden="1" x14ac:dyDescent="0.2">
      <c r="B48" s="197"/>
      <c r="C48" s="198"/>
      <c r="D48" s="390"/>
      <c r="E48" s="390"/>
      <c r="F48" s="390"/>
      <c r="G48" s="390"/>
      <c r="H48" s="390"/>
      <c r="I48" s="390"/>
      <c r="J48" s="390"/>
      <c r="K48" s="390"/>
      <c r="L48" s="390"/>
      <c r="M48" s="390"/>
      <c r="N48" s="391"/>
      <c r="O48" s="423"/>
    </row>
    <row r="49" spans="2:15" hidden="1" x14ac:dyDescent="0.2">
      <c r="B49" s="197"/>
      <c r="C49" s="198"/>
      <c r="D49" s="390"/>
      <c r="E49" s="390"/>
      <c r="F49" s="390"/>
      <c r="G49" s="390"/>
      <c r="H49" s="390"/>
      <c r="I49" s="390"/>
      <c r="J49" s="390"/>
      <c r="K49" s="390"/>
      <c r="L49" s="390"/>
      <c r="M49" s="390"/>
      <c r="N49" s="391"/>
      <c r="O49" s="423"/>
    </row>
    <row r="50" spans="2:15" hidden="1" x14ac:dyDescent="0.2">
      <c r="B50" s="199" t="str">
        <f>'2. Customer Classes'!B23</f>
        <v>other</v>
      </c>
      <c r="C50" s="198"/>
      <c r="D50" s="390"/>
      <c r="E50" s="390"/>
      <c r="F50" s="390"/>
      <c r="G50" s="390"/>
      <c r="H50" s="390"/>
      <c r="I50" s="390"/>
      <c r="J50" s="390"/>
      <c r="K50" s="390"/>
      <c r="L50" s="390"/>
      <c r="M50" s="390"/>
      <c r="N50" s="391"/>
      <c r="O50" s="423"/>
    </row>
    <row r="51" spans="2:15" hidden="1" x14ac:dyDescent="0.2">
      <c r="B51" s="199"/>
      <c r="C51" s="198"/>
      <c r="D51" s="390"/>
      <c r="E51" s="390"/>
      <c r="F51" s="390"/>
      <c r="G51" s="390"/>
      <c r="H51" s="390"/>
      <c r="I51" s="390"/>
      <c r="J51" s="390"/>
      <c r="K51" s="390"/>
      <c r="L51" s="390"/>
      <c r="M51" s="390"/>
      <c r="N51" s="391"/>
      <c r="O51" s="423"/>
    </row>
    <row r="52" spans="2:15" hidden="1" x14ac:dyDescent="0.2">
      <c r="B52" s="199"/>
      <c r="C52" s="198"/>
      <c r="D52" s="390"/>
      <c r="E52" s="390"/>
      <c r="F52" s="390"/>
      <c r="G52" s="390"/>
      <c r="H52" s="390"/>
      <c r="I52" s="390"/>
      <c r="J52" s="390"/>
      <c r="K52" s="390"/>
      <c r="L52" s="390"/>
      <c r="M52" s="390"/>
      <c r="N52" s="391"/>
      <c r="O52" s="423"/>
    </row>
    <row r="53" spans="2:15" hidden="1" x14ac:dyDescent="0.2">
      <c r="B53" s="199"/>
      <c r="C53" s="198"/>
      <c r="D53" s="390"/>
      <c r="E53" s="390"/>
      <c r="F53" s="390"/>
      <c r="G53" s="390"/>
      <c r="H53" s="390"/>
      <c r="I53" s="390"/>
      <c r="J53" s="390"/>
      <c r="K53" s="390"/>
      <c r="L53" s="390"/>
      <c r="M53" s="390"/>
      <c r="N53" s="391"/>
      <c r="O53" s="423"/>
    </row>
    <row r="54" spans="2:15" x14ac:dyDescent="0.2">
      <c r="B54" s="211" t="s">
        <v>16</v>
      </c>
      <c r="C54" s="212" t="s">
        <v>129</v>
      </c>
      <c r="D54" s="392">
        <f>D14+D18+D22+D26+D30+D34+D38+D42+D46+D50</f>
        <v>11681.5</v>
      </c>
      <c r="E54" s="392">
        <f t="shared" ref="E54:O56" si="0">E14+E18+E22+E26+E30+E34+E38+E42+E46+E50</f>
        <v>11912</v>
      </c>
      <c r="F54" s="392">
        <f t="shared" si="0"/>
        <v>12078.5</v>
      </c>
      <c r="G54" s="392">
        <f t="shared" si="0"/>
        <v>12351</v>
      </c>
      <c r="H54" s="392">
        <f t="shared" si="0"/>
        <v>12399</v>
      </c>
      <c r="I54" s="392">
        <f t="shared" si="0"/>
        <v>12538</v>
      </c>
      <c r="J54" s="392">
        <f t="shared" si="0"/>
        <v>12680.5</v>
      </c>
      <c r="K54" s="392">
        <f t="shared" si="0"/>
        <v>12837</v>
      </c>
      <c r="L54" s="392">
        <f t="shared" si="0"/>
        <v>12749</v>
      </c>
      <c r="M54" s="392">
        <f t="shared" si="0"/>
        <v>12935.5</v>
      </c>
      <c r="N54" s="392">
        <f t="shared" si="0"/>
        <v>13086.087493202769</v>
      </c>
      <c r="O54" s="393">
        <f t="shared" si="0"/>
        <v>13239.061241044601</v>
      </c>
    </row>
    <row r="55" spans="2:15" x14ac:dyDescent="0.2">
      <c r="B55" s="211"/>
      <c r="C55" s="212" t="s">
        <v>36</v>
      </c>
      <c r="D55" s="392">
        <f>D15+D19+D23+D27+D31+D35+D39+D43+D47+D51</f>
        <v>251552034.74993616</v>
      </c>
      <c r="E55" s="392">
        <f t="shared" si="0"/>
        <v>251839003.20667353</v>
      </c>
      <c r="F55" s="392">
        <f t="shared" si="0"/>
        <v>251577011.06184733</v>
      </c>
      <c r="G55" s="392">
        <f t="shared" si="0"/>
        <v>247068545.73642835</v>
      </c>
      <c r="H55" s="392">
        <f t="shared" si="0"/>
        <v>249224762.25428456</v>
      </c>
      <c r="I55" s="392">
        <f t="shared" si="0"/>
        <v>249821282.87527573</v>
      </c>
      <c r="J55" s="392">
        <f t="shared" si="0"/>
        <v>249784095.59030855</v>
      </c>
      <c r="K55" s="392">
        <f t="shared" si="0"/>
        <v>248941504.19902664</v>
      </c>
      <c r="L55" s="392">
        <f t="shared" si="0"/>
        <v>241964804.38903457</v>
      </c>
      <c r="M55" s="392">
        <f t="shared" si="0"/>
        <v>245317775.59516424</v>
      </c>
      <c r="N55" s="392">
        <f t="shared" si="0"/>
        <v>247715664.73271206</v>
      </c>
      <c r="O55" s="393">
        <f>O15+O19+O23+O27+O31+O35+O39+O43+O47+O51</f>
        <v>244399540.90250939</v>
      </c>
    </row>
    <row r="56" spans="2:15" ht="13.5" thickBot="1" x14ac:dyDescent="0.25">
      <c r="B56" s="213"/>
      <c r="C56" s="214" t="s">
        <v>37</v>
      </c>
      <c r="D56" s="394">
        <f>D16+D20+D24+D28+D32+D36+D40+D44+D48+D52</f>
        <v>351389.10349632858</v>
      </c>
      <c r="E56" s="394">
        <f t="shared" si="0"/>
        <v>352487.93930811505</v>
      </c>
      <c r="F56" s="394">
        <f t="shared" si="0"/>
        <v>344692.43441398203</v>
      </c>
      <c r="G56" s="394">
        <f t="shared" si="0"/>
        <v>343647.70830015466</v>
      </c>
      <c r="H56" s="394">
        <f t="shared" si="0"/>
        <v>347817.22108054784</v>
      </c>
      <c r="I56" s="394">
        <f t="shared" si="0"/>
        <v>345918.20000000007</v>
      </c>
      <c r="J56" s="394">
        <f t="shared" si="0"/>
        <v>365469.6</v>
      </c>
      <c r="K56" s="394">
        <f t="shared" si="0"/>
        <v>364887.6</v>
      </c>
      <c r="L56" s="394">
        <f t="shared" si="0"/>
        <v>354496.39999999991</v>
      </c>
      <c r="M56" s="394">
        <f t="shared" si="0"/>
        <v>344229.9</v>
      </c>
      <c r="N56" s="394">
        <f t="shared" si="0"/>
        <v>336344.71925234282</v>
      </c>
      <c r="O56" s="395">
        <f t="shared" si="0"/>
        <v>331842.13464640349</v>
      </c>
    </row>
    <row r="57" spans="2:15" x14ac:dyDescent="0.2">
      <c r="O57" s="1"/>
    </row>
    <row r="60" spans="2:15" x14ac:dyDescent="0.2">
      <c r="O60" s="1"/>
    </row>
    <row r="61" spans="2:15" x14ac:dyDescent="0.2">
      <c r="O61" s="1"/>
    </row>
  </sheetData>
  <pageMargins left="0.70866141732283472" right="0.70866141732283472" top="0.74803149606299213" bottom="0.74803149606299213" header="0.31496062992125984" footer="0.31496062992125984"/>
  <pageSetup scale="81" orientation="landscape" horizontalDpi="4294967294" verticalDpi="4294967294"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zoomScaleNormal="100" workbookViewId="0">
      <selection activeCell="C25" sqref="C25"/>
    </sheetView>
  </sheetViews>
  <sheetFormatPr defaultColWidth="10.5" defaultRowHeight="12.75" x14ac:dyDescent="0.2"/>
  <cols>
    <col min="1" max="1" width="13.6640625" style="56" customWidth="1"/>
    <col min="2" max="2" width="24.5" style="56" customWidth="1"/>
    <col min="3" max="16" width="14.1640625" style="56" customWidth="1"/>
    <col min="17" max="17" width="10.83203125" style="56" customWidth="1"/>
    <col min="18" max="18" width="8.5" style="56" bestFit="1" customWidth="1"/>
    <col min="19" max="19" width="10.6640625" style="56" bestFit="1" customWidth="1"/>
    <col min="20" max="20" width="8.33203125" style="56" bestFit="1" customWidth="1"/>
    <col min="21" max="22" width="9" style="56" bestFit="1" customWidth="1"/>
    <col min="23" max="23" width="10.83203125" style="56" customWidth="1"/>
    <col min="24" max="24" width="9.6640625" style="56" bestFit="1" customWidth="1"/>
    <col min="25" max="25" width="8.5" style="56" bestFit="1" customWidth="1"/>
    <col min="26" max="26" width="9.5" style="56" bestFit="1" customWidth="1"/>
    <col min="27" max="27" width="8.33203125" style="56" bestFit="1" customWidth="1"/>
    <col min="28" max="29" width="9" style="56" bestFit="1" customWidth="1"/>
    <col min="30" max="30" width="10.83203125" style="56" bestFit="1" customWidth="1"/>
    <col min="31" max="31" width="8" style="56" bestFit="1" customWidth="1"/>
    <col min="32" max="32" width="9" style="56" bestFit="1" customWidth="1"/>
    <col min="33" max="16384" width="10.5" style="56"/>
  </cols>
  <sheetData>
    <row r="1" spans="1:16" x14ac:dyDescent="0.2">
      <c r="A1" s="726" t="s">
        <v>266</v>
      </c>
    </row>
    <row r="11" spans="1:16" ht="23.25" x14ac:dyDescent="0.2">
      <c r="B11" s="154" t="s">
        <v>58</v>
      </c>
    </row>
    <row r="12" spans="1:16" ht="13.5" thickBot="1" x14ac:dyDescent="0.25"/>
    <row r="13" spans="1:16" ht="40.5" customHeight="1" x14ac:dyDescent="0.2">
      <c r="B13" s="202"/>
      <c r="C13" s="983" t="str">
        <f>+'11. Final Load Forecast'!B14</f>
        <v>Residential</v>
      </c>
      <c r="D13" s="984"/>
      <c r="E13" s="983" t="str">
        <f>+'11. Final Load Forecast'!B18</f>
        <v>General Service &lt; 50 kW</v>
      </c>
      <c r="F13" s="984"/>
      <c r="G13" s="986" t="str">
        <f>+'11. Final Load Forecast'!B22</f>
        <v>General Service &gt; 50 kW - 2999 kW</v>
      </c>
      <c r="H13" s="987"/>
      <c r="I13" s="986" t="str">
        <f>+'11. Final Load Forecast'!B26</f>
        <v>Streetlighting</v>
      </c>
      <c r="J13" s="987"/>
      <c r="K13" s="986" t="str">
        <f>+'11. Final Load Forecast'!B30</f>
        <v>Sentinel Lighting</v>
      </c>
      <c r="L13" s="987"/>
      <c r="M13" s="983" t="str">
        <f>+'11. Final Load Forecast'!B34</f>
        <v>General Service 3000-4999 kW</v>
      </c>
      <c r="N13" s="984"/>
      <c r="O13" s="983" t="str">
        <f>+'11. Final Load Forecast'!B38</f>
        <v>Unmetered Scattered Load</v>
      </c>
      <c r="P13" s="985"/>
    </row>
    <row r="14" spans="1:16" ht="25.5" x14ac:dyDescent="0.2">
      <c r="B14" s="91" t="s">
        <v>33</v>
      </c>
      <c r="C14" s="92" t="s">
        <v>47</v>
      </c>
      <c r="D14" s="92" t="s">
        <v>130</v>
      </c>
      <c r="E14" s="92" t="s">
        <v>47</v>
      </c>
      <c r="F14" s="92" t="s">
        <v>130</v>
      </c>
      <c r="G14" s="92" t="s">
        <v>47</v>
      </c>
      <c r="H14" s="92" t="s">
        <v>130</v>
      </c>
      <c r="I14" s="92" t="s">
        <v>47</v>
      </c>
      <c r="J14" s="92" t="s">
        <v>130</v>
      </c>
      <c r="K14" s="92" t="s">
        <v>47</v>
      </c>
      <c r="L14" s="92" t="s">
        <v>130</v>
      </c>
      <c r="M14" s="92" t="s">
        <v>47</v>
      </c>
      <c r="N14" s="92" t="s">
        <v>130</v>
      </c>
      <c r="O14" s="92" t="s">
        <v>47</v>
      </c>
      <c r="P14" s="93" t="s">
        <v>130</v>
      </c>
    </row>
    <row r="15" spans="1:16" x14ac:dyDescent="0.2">
      <c r="B15" s="203">
        <f>'4. Customer Growth'!B17</f>
        <v>2006</v>
      </c>
      <c r="C15" s="94">
        <f>+'11. Final Load Forecast'!$D$15/'11. Final Load Forecast'!$D$14</f>
        <v>9292.6924684019214</v>
      </c>
      <c r="D15" s="94">
        <f>+'11. Final Load Forecast'!$D$16/'11. Final Load Forecast'!$D$14</f>
        <v>0</v>
      </c>
      <c r="E15" s="94">
        <f>+'11. Final Load Forecast'!$D$19/'11. Final Load Forecast'!$D$18</f>
        <v>31787.395732997185</v>
      </c>
      <c r="F15" s="94">
        <f>+'11. Final Load Forecast'!$D$20/'11. Final Load Forecast'!$D$18</f>
        <v>0</v>
      </c>
      <c r="G15" s="94">
        <f>+'11. Final Load Forecast'!$D$23/'11. Final Load Forecast'!$D$22</f>
        <v>831448.12371134025</v>
      </c>
      <c r="H15" s="94">
        <f>+'11. Final Load Forecast'!$D$24/'11. Final Load Forecast'!$D$22</f>
        <v>2044.5175257731958</v>
      </c>
      <c r="I15" s="94">
        <f>+'11. Final Load Forecast'!$D$27/'11. Final Load Forecast'!$D$26</f>
        <v>720.06358013218528</v>
      </c>
      <c r="J15" s="94">
        <f>+'11. Final Load Forecast'!$D$28/'11. Final Load Forecast'!$D$26</f>
        <v>1.9548858105578435</v>
      </c>
      <c r="K15" s="94">
        <f>+'11. Final Load Forecast'!$D$31/'11. Final Load Forecast'!$D$30</f>
        <v>1382.9762919831635</v>
      </c>
      <c r="L15" s="94">
        <f>+'11. Final Load Forecast'!$D$32/'11. Final Load Forecast'!$D$30</f>
        <v>3.8427908423372843</v>
      </c>
      <c r="M15" s="94">
        <f>+'11. Final Load Forecast'!$D$35/'11. Final Load Forecast'!$D$34</f>
        <v>23443190</v>
      </c>
      <c r="N15" s="94">
        <f>+'11. Final Load Forecast'!$D$36/'11. Final Load Forecast'!$D$34</f>
        <v>48478.95</v>
      </c>
      <c r="O15" s="94">
        <f>+'11. Final Load Forecast'!$D$39/'11. Final Load Forecast'!$D$39</f>
        <v>1</v>
      </c>
      <c r="P15" s="95">
        <f>+'11. Final Load Forecast'!$D$40/'11. Final Load Forecast'!$D$39</f>
        <v>0</v>
      </c>
    </row>
    <row r="16" spans="1:16" x14ac:dyDescent="0.2">
      <c r="B16" s="203">
        <f>'4. Customer Growth'!B18</f>
        <v>2007</v>
      </c>
      <c r="C16" s="94">
        <f>+'11. Final Load Forecast'!$E$15/'11. Final Load Forecast'!$E$14</f>
        <v>9194.2752275719013</v>
      </c>
      <c r="D16" s="94">
        <f>+'11. Final Load Forecast'!$E$16/'11. Final Load Forecast'!$E$14</f>
        <v>0</v>
      </c>
      <c r="E16" s="94">
        <f>+'11. Final Load Forecast'!$E$19/'11. Final Load Forecast'!$E$18</f>
        <v>32716.20577289864</v>
      </c>
      <c r="F16" s="94">
        <f>+'11. Final Load Forecast'!$E$20/'11. Final Load Forecast'!$E$18</f>
        <v>0</v>
      </c>
      <c r="G16" s="94">
        <f>+'11. Final Load Forecast'!$E$23/'11. Final Load Forecast'!$E$22</f>
        <v>829946.98983050848</v>
      </c>
      <c r="H16" s="94">
        <f>+'11. Final Load Forecast'!$E$24/'11. Final Load Forecast'!$E$22</f>
        <v>2039.3837288135596</v>
      </c>
      <c r="I16" s="94">
        <f>+'11. Final Load Forecast'!$E$27/'11. Final Load Forecast'!$E$26</f>
        <v>704.31206707983961</v>
      </c>
      <c r="J16" s="94">
        <f>+'11. Final Load Forecast'!$E$28/'11. Final Load Forecast'!$E$26</f>
        <v>1.9102807145461174</v>
      </c>
      <c r="K16" s="94">
        <f>+'11. Final Load Forecast'!$E$31/'11. Final Load Forecast'!$E$30</f>
        <v>1389.8572894801673</v>
      </c>
      <c r="L16" s="94">
        <f>+'11. Final Load Forecast'!$E$32/'11. Final Load Forecast'!$E$30</f>
        <v>3.8607146930004648</v>
      </c>
      <c r="M16" s="94">
        <f>+'11. Final Load Forecast'!$E$35/'11. Final Load Forecast'!$E$34</f>
        <v>20583615.100000001</v>
      </c>
      <c r="N16" s="94">
        <f>+'11. Final Load Forecast'!$E$36/'11. Final Load Forecast'!$E$34</f>
        <v>46226.600000000006</v>
      </c>
      <c r="O16" s="94">
        <f>+'11. Final Load Forecast'!$E$39/'11. Final Load Forecast'!$E$38</f>
        <v>7519.6024844720496</v>
      </c>
      <c r="P16" s="95">
        <f>+'11. Final Load Forecast'!$E$40/'11. Final Load Forecast'!$E$38</f>
        <v>0</v>
      </c>
    </row>
    <row r="17" spans="2:16" x14ac:dyDescent="0.2">
      <c r="B17" s="203">
        <f>'4. Customer Growth'!B19</f>
        <v>2008</v>
      </c>
      <c r="C17" s="94">
        <f>+'11. Final Load Forecast'!$F$15/'11. Final Load Forecast'!$F$14</f>
        <v>9282.1154556602905</v>
      </c>
      <c r="D17" s="94">
        <f>+'11. Final Load Forecast'!$F$16/'11. Final Load Forecast'!$F$14</f>
        <v>0</v>
      </c>
      <c r="E17" s="94">
        <f>+'11. Final Load Forecast'!$F$19/'11. Final Load Forecast'!$F$18</f>
        <v>33651.900747368207</v>
      </c>
      <c r="F17" s="94">
        <f>+'11. Final Load Forecast'!$F$20/'11. Final Load Forecast'!$F$18</f>
        <v>0</v>
      </c>
      <c r="G17" s="94">
        <f>+'11. Final Load Forecast'!$F$23/'11. Final Load Forecast'!$F$22</f>
        <v>909799.81954887218</v>
      </c>
      <c r="H17" s="94">
        <f>+'11. Final Load Forecast'!$F$24/'11. Final Load Forecast'!$F$22</f>
        <v>2247.4616541353384</v>
      </c>
      <c r="I17" s="94">
        <f>+'11. Final Load Forecast'!$F$27/'11. Final Load Forecast'!$F$26</f>
        <v>668.74311548001072</v>
      </c>
      <c r="J17" s="94">
        <f>+'11. Final Load Forecast'!$F$28/'11. Final Load Forecast'!$F$26</f>
        <v>1.8228428213390622</v>
      </c>
      <c r="K17" s="94">
        <f>+'11. Final Load Forecast'!$F$31/'11. Final Load Forecast'!$F$30</f>
        <v>1397.4793015899727</v>
      </c>
      <c r="L17" s="94">
        <f>+'11. Final Load Forecast'!$F$32/'11. Final Load Forecast'!$F$30</f>
        <v>3.8799036893447711</v>
      </c>
      <c r="M17" s="94">
        <f>+'11. Final Load Forecast'!$F$35/'11. Final Load Forecast'!$F$34</f>
        <v>18805505.400000002</v>
      </c>
      <c r="N17" s="94">
        <f>+'11. Final Load Forecast'!$F$36/'11. Final Load Forecast'!$F$34</f>
        <v>40463.800000000003</v>
      </c>
      <c r="O17" s="94">
        <f>+'11. Final Load Forecast'!$F$39/'11. Final Load Forecast'!$F$38</f>
        <v>8004.4415857553668</v>
      </c>
      <c r="P17" s="95">
        <f>+'11. Final Load Forecast'!$F$40/'11. Final Load Forecast'!$F$38</f>
        <v>0</v>
      </c>
    </row>
    <row r="18" spans="2:16" x14ac:dyDescent="0.2">
      <c r="B18" s="203">
        <f>'4. Customer Growth'!B20</f>
        <v>2009</v>
      </c>
      <c r="C18" s="94">
        <f>+'11. Final Load Forecast'!$G$15/'11. Final Load Forecast'!$G$14</f>
        <v>9118.4338578545176</v>
      </c>
      <c r="D18" s="94">
        <f>+'11. Final Load Forecast'!$G$16/'11. Final Load Forecast'!$G$14</f>
        <v>0</v>
      </c>
      <c r="E18" s="94">
        <f>+'11. Final Load Forecast'!$G$19/'11. Final Load Forecast'!$G$18</f>
        <v>33697.380746364113</v>
      </c>
      <c r="F18" s="94">
        <f>+'11. Final Load Forecast'!$G$20/'11. Final Load Forecast'!$G$18</f>
        <v>0</v>
      </c>
      <c r="G18" s="94">
        <f>+'11. Final Load Forecast'!$G$23/'11. Final Load Forecast'!$G$22</f>
        <v>887073.05019305018</v>
      </c>
      <c r="H18" s="94">
        <f>+'11. Final Load Forecast'!$G$24/'11. Final Load Forecast'!$G$22</f>
        <v>2240.483397683397</v>
      </c>
      <c r="I18" s="94">
        <f>+'11. Final Load Forecast'!$G$27/'11. Final Load Forecast'!$G$26</f>
        <v>479.80862044278274</v>
      </c>
      <c r="J18" s="94">
        <f>+'11. Final Load Forecast'!$G$28/'11. Final Load Forecast'!$G$26</f>
        <v>1.2978511809625286</v>
      </c>
      <c r="K18" s="94">
        <f>+'11. Final Load Forecast'!$G$31/'11. Final Load Forecast'!$G$30</f>
        <v>1324.3644895585603</v>
      </c>
      <c r="L18" s="94">
        <f>+'11. Final Load Forecast'!$G$32/'11. Final Load Forecast'!$G$30</f>
        <v>3.7329126076436463</v>
      </c>
      <c r="M18" s="94">
        <f>+'11. Final Load Forecast'!$G$35/'11. Final Load Forecast'!$G$34</f>
        <v>19554366.59</v>
      </c>
      <c r="N18" s="94">
        <f>+'11. Final Load Forecast'!$G$36/'11. Final Load Forecast'!$G$34</f>
        <v>49628.899999999994</v>
      </c>
      <c r="O18" s="94">
        <f>+'11. Final Load Forecast'!$G$39/'11. Final Load Forecast'!$G$38</f>
        <v>7831.1417198662321</v>
      </c>
      <c r="P18" s="95">
        <f>+'11. Final Load Forecast'!$G$40/'11. Final Load Forecast'!$G$38</f>
        <v>0</v>
      </c>
    </row>
    <row r="19" spans="2:16" x14ac:dyDescent="0.2">
      <c r="B19" s="203">
        <f>'4. Customer Growth'!B21</f>
        <v>2010</v>
      </c>
      <c r="C19" s="94">
        <f>+'11. Final Load Forecast'!$H$15/'11. Final Load Forecast'!$H$14</f>
        <v>8851.5150164075876</v>
      </c>
      <c r="D19" s="94">
        <f>+'11. Final Load Forecast'!$H$16/'11. Final Load Forecast'!$H$14</f>
        <v>0</v>
      </c>
      <c r="E19" s="94">
        <f>+'11. Final Load Forecast'!$H$19/'11. Final Load Forecast'!$H$18</f>
        <v>32284.570714190617</v>
      </c>
      <c r="F19" s="94">
        <f>+'11. Final Load Forecast'!$H$20/'11. Final Load Forecast'!$H$18</f>
        <v>0</v>
      </c>
      <c r="G19" s="94">
        <f>+'11. Final Load Forecast'!$H$23/'11. Final Load Forecast'!$H$22</f>
        <v>918249.87022900768</v>
      </c>
      <c r="H19" s="94">
        <f>+'11. Final Load Forecast'!$H$24/'11. Final Load Forecast'!$H$22</f>
        <v>2282.7519847328244</v>
      </c>
      <c r="I19" s="94">
        <f>+'11. Final Load Forecast'!$H$27/'11. Final Load Forecast'!$H$26</f>
        <v>433.96865216772602</v>
      </c>
      <c r="J19" s="94">
        <f>+'11. Final Load Forecast'!$H$28/'11. Final Load Forecast'!$H$26</f>
        <v>1.1998183139534881</v>
      </c>
      <c r="K19" s="94">
        <f>+'11. Final Load Forecast'!$H$31/'11. Final Load Forecast'!$H$30</f>
        <v>984.03755565899564</v>
      </c>
      <c r="L19" s="94">
        <f>+'11. Final Load Forecast'!$H$32/'11. Final Load Forecast'!$H$30</f>
        <v>3.9834741917781029</v>
      </c>
      <c r="M19" s="94">
        <f>+'11. Final Load Forecast'!$H$35/'11. Final Load Forecast'!$H$34</f>
        <v>19036344.470000003</v>
      </c>
      <c r="N19" s="94">
        <f>+'11. Final Load Forecast'!$H$36/'11. Final Load Forecast'!$H$34</f>
        <v>45255.720000000008</v>
      </c>
      <c r="O19" s="94">
        <f>+'11. Final Load Forecast'!$H$39/'11. Final Load Forecast'!$H$38</f>
        <v>7543.3983812581446</v>
      </c>
      <c r="P19" s="95">
        <f>+'11. Final Load Forecast'!$H$40/'11. Final Load Forecast'!$H$38</f>
        <v>0</v>
      </c>
    </row>
    <row r="20" spans="2:16" x14ac:dyDescent="0.2">
      <c r="B20" s="203">
        <f>'4. Customer Growth'!B22</f>
        <v>2011</v>
      </c>
      <c r="C20" s="94">
        <f>+'11. Final Load Forecast'!$I$15/'11. Final Load Forecast'!$I$14</f>
        <v>8687.644021412194</v>
      </c>
      <c r="D20" s="94">
        <f>+'11. Final Load Forecast'!$I$16/'11. Final Load Forecast'!$I$14</f>
        <v>0</v>
      </c>
      <c r="E20" s="94">
        <f>+'11. Final Load Forecast'!$I$19/'11. Final Load Forecast'!$I$18</f>
        <v>36191.130065154292</v>
      </c>
      <c r="F20" s="94">
        <f>+'11. Final Load Forecast'!$I$20/'11. Final Load Forecast'!$I$18</f>
        <v>0</v>
      </c>
      <c r="G20" s="94">
        <f>+'11. Final Load Forecast'!$I$23/'11. Final Load Forecast'!$I$22</f>
        <v>918896.68441064644</v>
      </c>
      <c r="H20" s="94">
        <f>+'11. Final Load Forecast'!$I$24/'11. Final Load Forecast'!$I$22</f>
        <v>2282.3520912547533</v>
      </c>
      <c r="I20" s="94">
        <f>+'11. Final Load Forecast'!$I$27/'11. Final Load Forecast'!$I$26</f>
        <v>443.26458861906485</v>
      </c>
      <c r="J20" s="94">
        <f>+'11. Final Load Forecast'!$I$28/'11. Final Load Forecast'!$I$26</f>
        <v>1.2036969916636462</v>
      </c>
      <c r="K20" s="94">
        <f>+'11. Final Load Forecast'!$I$31/'11. Final Load Forecast'!$I$30</f>
        <v>825.62264150943395</v>
      </c>
      <c r="L20" s="94">
        <f>+'11. Final Load Forecast'!$I$32/'11. Final Load Forecast'!$I$30</f>
        <v>2.4905660377358489</v>
      </c>
      <c r="M20" s="94">
        <f>+'11. Final Load Forecast'!$I$35/'11. Final Load Forecast'!$I$34</f>
        <v>15051682</v>
      </c>
      <c r="N20" s="94">
        <f>+'11. Final Load Forecast'!$I$36/'11. Final Load Forecast'!$I$34</f>
        <v>42335.9</v>
      </c>
      <c r="O20" s="94">
        <f>+'11. Final Load Forecast'!$I$39/'11. Final Load Forecast'!$I$38</f>
        <v>6870.5625</v>
      </c>
      <c r="P20" s="95">
        <f>+'11. Final Load Forecast'!$I$40/'11. Final Load Forecast'!$I$38</f>
        <v>0</v>
      </c>
    </row>
    <row r="21" spans="2:16" x14ac:dyDescent="0.2">
      <c r="B21" s="203">
        <f>'4. Customer Growth'!B23</f>
        <v>2012</v>
      </c>
      <c r="C21" s="94">
        <f>+'11. Final Load Forecast'!$J$15/'11. Final Load Forecast'!$J$14</f>
        <v>8324.5167588089098</v>
      </c>
      <c r="D21" s="94">
        <f>+'11. Final Load Forecast'!$J$16/'11. Final Load Forecast'!$J$14</f>
        <v>0</v>
      </c>
      <c r="E21" s="94">
        <f>+'11. Final Load Forecast'!$J$19/'11. Final Load Forecast'!$J$18</f>
        <v>31115.634696778419</v>
      </c>
      <c r="F21" s="94">
        <f>+'11. Final Load Forecast'!$J$20/'11. Final Load Forecast'!$J$18</f>
        <v>0</v>
      </c>
      <c r="G21" s="94">
        <f>+'11. Final Load Forecast'!$J$23/'11. Final Load Forecast'!$J$22</f>
        <v>938192.16788321163</v>
      </c>
      <c r="H21" s="94">
        <f>+'11. Final Load Forecast'!$J$24/'11. Final Load Forecast'!$J$22</f>
        <v>2352.8102189781021</v>
      </c>
      <c r="I21" s="94">
        <f>+'11. Final Load Forecast'!$J$27/'11. Final Load Forecast'!$J$26</f>
        <v>436.16274089935763</v>
      </c>
      <c r="J21" s="94">
        <f>+'11. Final Load Forecast'!$J$28/'11. Final Load Forecast'!$J$26</f>
        <v>1.192005710206995</v>
      </c>
      <c r="K21" s="94">
        <f>+'11. Final Load Forecast'!$J$31/'11. Final Load Forecast'!$J$30</f>
        <v>776.62962962962968</v>
      </c>
      <c r="L21" s="94">
        <f>+'11. Final Load Forecast'!$J$32/'11. Final Load Forecast'!$J$30</f>
        <v>2.4444444444444446</v>
      </c>
      <c r="M21" s="94">
        <f>+'11. Final Load Forecast'!$J$35/'11. Final Load Forecast'!$J$34</f>
        <v>15193348</v>
      </c>
      <c r="N21" s="94">
        <f>+'11. Final Load Forecast'!$J$36/'11. Final Load Forecast'!$J$34</f>
        <v>39662.6</v>
      </c>
      <c r="O21" s="94">
        <f>+'11. Final Load Forecast'!$J$39/'11. Final Load Forecast'!$J$38</f>
        <v>6639.862433862434</v>
      </c>
      <c r="P21" s="95">
        <f>+'11. Final Load Forecast'!$J$40/'11. Final Load Forecast'!$J$38</f>
        <v>0</v>
      </c>
    </row>
    <row r="22" spans="2:16" x14ac:dyDescent="0.2">
      <c r="B22" s="203">
        <f>'4. Customer Growth'!B24</f>
        <v>2013</v>
      </c>
      <c r="C22" s="94">
        <f>+'11. Final Load Forecast'!$K$15/'11. Final Load Forecast'!$K$14</f>
        <v>8616.4387529464784</v>
      </c>
      <c r="D22" s="94">
        <f>+'11. Final Load Forecast'!$K$16/'11. Final Load Forecast'!$K$14</f>
        <v>0</v>
      </c>
      <c r="E22" s="94">
        <f>+'11. Final Load Forecast'!$K$19/'11. Final Load Forecast'!$K$18</f>
        <v>31509.93107500696</v>
      </c>
      <c r="F22" s="94">
        <f>+'11. Final Load Forecast'!$K$20/'11. Final Load Forecast'!$K$18</f>
        <v>0</v>
      </c>
      <c r="G22" s="94">
        <f>+'11. Final Load Forecast'!$K$23/'11. Final Load Forecast'!$K$22</f>
        <v>885899.78091872786</v>
      </c>
      <c r="H22" s="94">
        <f>+'11. Final Load Forecast'!$K$24/'11. Final Load Forecast'!$K$22</f>
        <v>2285.7031802120141</v>
      </c>
      <c r="I22" s="94">
        <f>+'11. Final Load Forecast'!$K$27/'11. Final Load Forecast'!$K$26</f>
        <v>436.74109014675054</v>
      </c>
      <c r="J22" s="94">
        <f>+'11. Final Load Forecast'!$K$28/'11. Final Load Forecast'!$K$26</f>
        <v>1.183088749126485</v>
      </c>
      <c r="K22" s="94">
        <f>+'11. Final Load Forecast'!$K$31/'11. Final Load Forecast'!$K$30</f>
        <v>821.38888888888891</v>
      </c>
      <c r="L22" s="94">
        <f>+'11. Final Load Forecast'!$K$32/'11. Final Load Forecast'!$K$30</f>
        <v>2.4444444444444446</v>
      </c>
      <c r="M22" s="94">
        <f>+'11. Final Load Forecast'!$K$35/'11. Final Load Forecast'!$K$34</f>
        <v>13952451</v>
      </c>
      <c r="N22" s="94">
        <f>+'11. Final Load Forecast'!$K$36/'11. Final Load Forecast'!$K$34</f>
        <v>37942.600000000006</v>
      </c>
      <c r="O22" s="94">
        <f>+'11. Final Load Forecast'!$K$39/'11. Final Load Forecast'!$K$38</f>
        <v>7148.6844919786099</v>
      </c>
      <c r="P22" s="95">
        <f>+'11. Final Load Forecast'!$K$40/'11. Final Load Forecast'!$K$38</f>
        <v>0</v>
      </c>
    </row>
    <row r="23" spans="2:16" x14ac:dyDescent="0.2">
      <c r="B23" s="203">
        <f>'4. Customer Growth'!B25</f>
        <v>2014</v>
      </c>
      <c r="C23" s="94">
        <f>+'11. Final Load Forecast'!$L$15/'11. Final Load Forecast'!$L$14</f>
        <v>8648.1159965037805</v>
      </c>
      <c r="D23" s="94">
        <f>+'11. Final Load Forecast'!$L$16/'11. Final Load Forecast'!$L$14</f>
        <v>0</v>
      </c>
      <c r="E23" s="94">
        <f>+'11. Final Load Forecast'!$L$19/'11. Final Load Forecast'!$L$18</f>
        <v>30347.089566367064</v>
      </c>
      <c r="F23" s="94">
        <f>+'11. Final Load Forecast'!$L$20/'11. Final Load Forecast'!$L$18</f>
        <v>0</v>
      </c>
      <c r="G23" s="94">
        <f>+'11. Final Load Forecast'!$L$23/'11. Final Load Forecast'!$L$22</f>
        <v>864754.68115942029</v>
      </c>
      <c r="H23" s="94">
        <f>+'11. Final Load Forecast'!$L$24/'11. Final Load Forecast'!$L$22</f>
        <v>2277.9144927536227</v>
      </c>
      <c r="I23" s="94">
        <f>+'11. Final Load Forecast'!$L$27/'11. Final Load Forecast'!$L$26</f>
        <v>477.69665907365226</v>
      </c>
      <c r="J23" s="94">
        <f>+'11. Final Load Forecast'!$L$28/'11. Final Load Forecast'!$L$26</f>
        <v>1.2940774487471525</v>
      </c>
      <c r="K23" s="94">
        <f>+'11. Final Load Forecast'!$L$31/'11. Final Load Forecast'!$L$30</f>
        <v>795.24074074074076</v>
      </c>
      <c r="L23" s="94">
        <f>+'11. Final Load Forecast'!$L$32/'11. Final Load Forecast'!$L$30</f>
        <v>2.4444444444444446</v>
      </c>
      <c r="M23" s="94">
        <f>+'11. Final Load Forecast'!$L$35/'11. Final Load Forecast'!$L$34</f>
        <v>12584229</v>
      </c>
      <c r="N23" s="94">
        <f>+'11. Final Load Forecast'!$L$36/'11. Final Load Forecast'!$L$34</f>
        <v>36603.599999999999</v>
      </c>
      <c r="O23" s="94">
        <f>+'11. Final Load Forecast'!$L$39/'11. Final Load Forecast'!$L$38</f>
        <v>5973.6344086021509</v>
      </c>
      <c r="P23" s="95">
        <f>+'11. Final Load Forecast'!$L$40/'11. Final Load Forecast'!$L$38</f>
        <v>0</v>
      </c>
    </row>
    <row r="24" spans="2:16" x14ac:dyDescent="0.2">
      <c r="B24" s="203">
        <f>'4. Customer Growth'!B26</f>
        <v>2015</v>
      </c>
      <c r="C24" s="94">
        <f>+'11. Final Load Forecast'!$M$15/'11. Final Load Forecast'!$M$14</f>
        <v>8966.9430862056724</v>
      </c>
      <c r="D24" s="94">
        <f>+'11. Final Load Forecast'!$M$16/'11. Final Load Forecast'!$M$14</f>
        <v>0</v>
      </c>
      <c r="E24" s="94">
        <f>+'11. Final Load Forecast'!$M$19/'11. Final Load Forecast'!$M$18</f>
        <v>30562.135753342773</v>
      </c>
      <c r="F24" s="94">
        <f>+'11. Final Load Forecast'!$M$20/'11. Final Load Forecast'!$M$18</f>
        <v>0</v>
      </c>
      <c r="G24" s="94">
        <f>+'11. Final Load Forecast'!$M$23/'11. Final Load Forecast'!$M$22</f>
        <v>863327.95522388059</v>
      </c>
      <c r="H24" s="94">
        <f>+'11. Final Load Forecast'!$M$24/'11. Final Load Forecast'!$M$22</f>
        <v>2289.6597014925374</v>
      </c>
      <c r="I24" s="94">
        <f>+'11. Final Load Forecast'!$M$27/'11. Final Load Forecast'!$M$26</f>
        <v>534.49628804751296</v>
      </c>
      <c r="J24" s="94">
        <f>+'11. Final Load Forecast'!$M$28/'11. Final Load Forecast'!$M$26</f>
        <v>1.2680029695619897</v>
      </c>
      <c r="K24" s="94">
        <f>+'11. Final Load Forecast'!$M$31/'11. Final Load Forecast'!$M$30</f>
        <v>811.44444444444446</v>
      </c>
      <c r="L24" s="94">
        <f>+'11. Final Load Forecast'!$M$32/'11. Final Load Forecast'!$M$30</f>
        <v>2.4444444444444446</v>
      </c>
      <c r="M24" s="94">
        <f>+'11. Final Load Forecast'!$M$35/'11. Final Load Forecast'!$M$34</f>
        <v>14943860</v>
      </c>
      <c r="N24" s="94">
        <f>+'11. Final Load Forecast'!$M$36/'11. Final Load Forecast'!$M$34</f>
        <v>33867.5</v>
      </c>
      <c r="O24" s="94">
        <f>+'11. Final Load Forecast'!$M$39/'11. Final Load Forecast'!$M$38</f>
        <v>6691.4222222222224</v>
      </c>
      <c r="P24" s="95">
        <f>+'11. Final Load Forecast'!$M$40/'11. Final Load Forecast'!$M$38</f>
        <v>0</v>
      </c>
    </row>
    <row r="25" spans="2:16" x14ac:dyDescent="0.2">
      <c r="B25" s="204" t="str">
        <f>'4. Customer Growth'!B30</f>
        <v>2016</v>
      </c>
      <c r="C25" s="94">
        <f>+'11. Final Load Forecast'!$N$15/'11. Final Load Forecast'!$N$14</f>
        <v>8912.2326512839863</v>
      </c>
      <c r="D25" s="94">
        <f>+'11. Final Load Forecast'!$N$16/'11. Final Load Forecast'!$N$14</f>
        <v>0</v>
      </c>
      <c r="E25" s="94">
        <f>+'11. Final Load Forecast'!$N$19/'11. Final Load Forecast'!$N$18</f>
        <v>30728.131752142199</v>
      </c>
      <c r="F25" s="94">
        <f>+'11. Final Load Forecast'!$N$20/'11. Final Load Forecast'!$N$18</f>
        <v>0</v>
      </c>
      <c r="G25" s="94">
        <f>+'11. Final Load Forecast'!$N$23/'11. Final Load Forecast'!$N$22</f>
        <v>879778.59103285149</v>
      </c>
      <c r="H25" s="94">
        <f>+'11. Final Load Forecast'!$N$24/'11. Final Load Forecast'!$N$22</f>
        <v>2221.9866840216528</v>
      </c>
      <c r="I25" s="94">
        <f>+'11. Final Load Forecast'!$N$27/'11. Final Load Forecast'!$N$26</f>
        <v>539.20685077226506</v>
      </c>
      <c r="J25" s="94">
        <f>+'11. Final Load Forecast'!$N$28/'11. Final Load Forecast'!$N$26</f>
        <v>1.4483799769793799</v>
      </c>
      <c r="K25" s="94">
        <f>+'11. Final Load Forecast'!$N$31/'11. Final Load Forecast'!$N$30</f>
        <v>821.04825150729971</v>
      </c>
      <c r="L25" s="94">
        <f>+'11. Final Load Forecast'!$N$32/'11. Final Load Forecast'!$N$30</f>
        <v>2.4981129787608509</v>
      </c>
      <c r="M25" s="94">
        <f>+'11. Final Load Forecast'!$N$35/'11. Final Load Forecast'!$N$34</f>
        <v>15089930.619954463</v>
      </c>
      <c r="N25" s="94">
        <f>+'11. Final Load Forecast'!$N$36/'11. Final Load Forecast'!$N$34</f>
        <v>37269.727733739157</v>
      </c>
      <c r="O25" s="94">
        <f>+'11. Final Load Forecast'!$N$39/'11. Final Load Forecast'!$N$38</f>
        <v>6554.9660920316683</v>
      </c>
      <c r="P25" s="95">
        <f>+'11. Final Load Forecast'!$N$40/'11. Final Load Forecast'!$N$38</f>
        <v>0</v>
      </c>
    </row>
    <row r="26" spans="2:16" ht="13.5" thickBot="1" x14ac:dyDescent="0.25">
      <c r="B26" s="205" t="str">
        <f>'4. Customer Growth'!B31</f>
        <v>2017</v>
      </c>
      <c r="C26" s="96">
        <f>+'11. Final Load Forecast'!$O$15/'11. Final Load Forecast'!$O$14</f>
        <v>8654.6812822928478</v>
      </c>
      <c r="D26" s="96">
        <f>+'11. Final Load Forecast'!$O$16/'11. Final Load Forecast'!$O$14</f>
        <v>0</v>
      </c>
      <c r="E26" s="96">
        <f>+'11. Final Load Forecast'!$O$19/'11. Final Load Forecast'!$O$18</f>
        <v>30186.382740994719</v>
      </c>
      <c r="F26" s="96">
        <f>+'11. Final Load Forecast'!$O$20/'11. Final Load Forecast'!$O$18</f>
        <v>0</v>
      </c>
      <c r="G26" s="96">
        <f>+'11. Final Load Forecast'!$O$23/'11. Final Load Forecast'!$O$22</f>
        <v>875978.48015243362</v>
      </c>
      <c r="H26" s="96">
        <f>+'11. Final Load Forecast'!$O$24/'11. Final Load Forecast'!$O$22</f>
        <v>2212.3890467750116</v>
      </c>
      <c r="I26" s="96">
        <f>+'11. Final Load Forecast'!$O$27/'11. Final Load Forecast'!$O$26</f>
        <v>531.48201333930569</v>
      </c>
      <c r="J26" s="96">
        <f>+'11. Final Load Forecast'!$O$28/'11. Final Load Forecast'!$O$26</f>
        <v>1.4276300554097734</v>
      </c>
      <c r="K26" s="96">
        <f>+'11. Final Load Forecast'!$O$31/'11. Final Load Forecast'!$O$30</f>
        <v>811.71025375069723</v>
      </c>
      <c r="L26" s="96">
        <f>+'11. Final Load Forecast'!$O$32/'11. Final Load Forecast'!$O$30</f>
        <v>2.4697012826777236</v>
      </c>
      <c r="M26" s="96">
        <f>+'11. Final Load Forecast'!$O$35/'11. Final Load Forecast'!$O$34</f>
        <v>14887924.507103547</v>
      </c>
      <c r="N26" s="96">
        <f>+'11. Final Load Forecast'!$O$36/'11. Final Load Forecast'!$O$34</f>
        <v>36770.80477536923</v>
      </c>
      <c r="O26" s="96">
        <f>+'11. Final Load Forecast'!$O$39/'11. Final Load Forecast'!$O$38</f>
        <v>6274.0059592981634</v>
      </c>
      <c r="P26" s="97">
        <f>+'11. Final Load Forecast'!$O$40/'11. Final Load Forecast'!$O$38</f>
        <v>0</v>
      </c>
    </row>
  </sheetData>
  <mergeCells count="7">
    <mergeCell ref="C13:D13"/>
    <mergeCell ref="E13:F13"/>
    <mergeCell ref="O13:P13"/>
    <mergeCell ref="M13:N13"/>
    <mergeCell ref="G13:H13"/>
    <mergeCell ref="K13:L13"/>
    <mergeCell ref="I13:J1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3"/>
  <sheetViews>
    <sheetView showGridLines="0" workbookViewId="0">
      <selection activeCell="T31" sqref="T31"/>
    </sheetView>
  </sheetViews>
  <sheetFormatPr defaultColWidth="10.5" defaultRowHeight="12.75" x14ac:dyDescent="0.2"/>
  <cols>
    <col min="1" max="1" width="13.6640625" style="1" customWidth="1"/>
    <col min="2" max="2" width="14" style="1" customWidth="1"/>
    <col min="3" max="8" width="13.33203125" style="1" customWidth="1"/>
    <col min="9" max="9" width="11.33203125" style="1" bestFit="1" customWidth="1"/>
    <col min="10" max="10" width="6.6640625" style="1" customWidth="1"/>
    <col min="11" max="11" width="11.33203125" style="1" bestFit="1" customWidth="1"/>
    <col min="12" max="12" width="5.5" style="1" bestFit="1" customWidth="1"/>
    <col min="13" max="13" width="11.33203125" style="1" bestFit="1" customWidth="1"/>
    <col min="14" max="14" width="7.83203125" style="1" customWidth="1"/>
    <col min="15" max="15" width="11.33203125" style="1" bestFit="1" customWidth="1"/>
    <col min="16" max="16" width="5.5" style="1" bestFit="1" customWidth="1"/>
    <col min="17" max="17" width="11.33203125" style="1" bestFit="1" customWidth="1"/>
    <col min="18" max="18" width="5.5" style="1" bestFit="1" customWidth="1"/>
    <col min="19" max="19" width="11.33203125" style="1" bestFit="1" customWidth="1"/>
    <col min="20" max="20" width="8.1640625" style="1" customWidth="1"/>
    <col min="21" max="21" width="11.33203125" style="1" bestFit="1" customWidth="1"/>
    <col min="22" max="22" width="4.5" style="1" bestFit="1" customWidth="1"/>
    <col min="23" max="23" width="11.33203125" style="1" bestFit="1" customWidth="1"/>
    <col min="24" max="24" width="6.5" style="1" bestFit="1" customWidth="1"/>
    <col min="25" max="26" width="11.33203125" style="1" bestFit="1" customWidth="1"/>
    <col min="27" max="28" width="10.5" style="1"/>
    <col min="29" max="30" width="1.83203125" style="1" bestFit="1" customWidth="1"/>
    <col min="31" max="16384" width="10.5" style="1"/>
  </cols>
  <sheetData>
    <row r="1" spans="1:8" s="532" customFormat="1" x14ac:dyDescent="0.2">
      <c r="A1" s="726" t="s">
        <v>266</v>
      </c>
    </row>
    <row r="2" spans="1:8" s="532" customFormat="1" x14ac:dyDescent="0.2"/>
    <row r="3" spans="1:8" s="532" customFormat="1" x14ac:dyDescent="0.2"/>
    <row r="4" spans="1:8" s="532" customFormat="1" x14ac:dyDescent="0.2"/>
    <row r="5" spans="1:8" s="532" customFormat="1" x14ac:dyDescent="0.2"/>
    <row r="6" spans="1:8" s="532" customFormat="1" x14ac:dyDescent="0.2"/>
    <row r="7" spans="1:8" s="532" customFormat="1" x14ac:dyDescent="0.2"/>
    <row r="8" spans="1:8" s="532" customFormat="1" x14ac:dyDescent="0.2"/>
    <row r="9" spans="1:8" s="532" customFormat="1" x14ac:dyDescent="0.2"/>
    <row r="11" spans="1:8" ht="23.25" x14ac:dyDescent="0.2">
      <c r="B11" s="132" t="s">
        <v>101</v>
      </c>
    </row>
    <row r="12" spans="1:8" ht="15" x14ac:dyDescent="0.2">
      <c r="B12" s="3"/>
    </row>
    <row r="13" spans="1:8" ht="13.5" thickBot="1" x14ac:dyDescent="0.25">
      <c r="B13" s="58"/>
      <c r="C13" s="145" t="s">
        <v>30</v>
      </c>
      <c r="D13" s="145"/>
      <c r="E13" s="145"/>
      <c r="F13" s="145"/>
    </row>
    <row r="14" spans="1:8" ht="13.5" thickBot="1" x14ac:dyDescent="0.25">
      <c r="B14" s="988" t="str">
        <f>+'11. Final Load Forecast'!B14</f>
        <v>Residential</v>
      </c>
      <c r="C14" s="989"/>
      <c r="D14" s="989"/>
      <c r="E14" s="989"/>
      <c r="F14" s="989"/>
      <c r="G14" s="989"/>
      <c r="H14" s="990"/>
    </row>
    <row r="15" spans="1:8" ht="13.5" thickBot="1" x14ac:dyDescent="0.25">
      <c r="B15" s="81" t="s">
        <v>33</v>
      </c>
      <c r="C15" s="478" t="s">
        <v>48</v>
      </c>
      <c r="D15" s="479" t="s">
        <v>61</v>
      </c>
      <c r="E15" s="480" t="s">
        <v>36</v>
      </c>
      <c r="F15" s="479" t="s">
        <v>61</v>
      </c>
      <c r="G15" s="480" t="s">
        <v>37</v>
      </c>
      <c r="H15" s="481" t="s">
        <v>61</v>
      </c>
    </row>
    <row r="16" spans="1:8" x14ac:dyDescent="0.2">
      <c r="B16" s="82">
        <v>2003</v>
      </c>
      <c r="C16" s="476">
        <f>'11. Final Load Forecast'!$D$14</f>
        <v>7704</v>
      </c>
      <c r="D16" s="476"/>
      <c r="E16" s="476">
        <f>+'11. Final Load Forecast'!$D$15</f>
        <v>71590902.776568398</v>
      </c>
      <c r="F16" s="476"/>
      <c r="G16" s="476">
        <f>+'11. Final Load Forecast'!$D$16</f>
        <v>0</v>
      </c>
      <c r="H16" s="477"/>
    </row>
    <row r="17" spans="2:30" x14ac:dyDescent="0.2">
      <c r="B17" s="83">
        <v>2004</v>
      </c>
      <c r="C17" s="94">
        <f>'11. Final Load Forecast'!$E$14</f>
        <v>7842</v>
      </c>
      <c r="D17" s="187">
        <f t="shared" ref="D17:D27" si="0">(C17-C16)/C16</f>
        <v>1.791277258566978E-2</v>
      </c>
      <c r="E17" s="94">
        <f>+'11. Final Load Forecast'!$E$15</f>
        <v>72101506.334618852</v>
      </c>
      <c r="F17" s="187">
        <f t="shared" ref="F17:F27" si="1">(E17-E16)/E16</f>
        <v>7.1322408050087261E-3</v>
      </c>
      <c r="G17" s="94">
        <f>+'11. Final Load Forecast'!$E$16</f>
        <v>0</v>
      </c>
      <c r="H17" s="484" t="e">
        <f t="shared" ref="H17:H27" si="2">(G17-G16)/G16</f>
        <v>#DIV/0!</v>
      </c>
    </row>
    <row r="18" spans="2:30" x14ac:dyDescent="0.2">
      <c r="B18" s="83">
        <v>2005</v>
      </c>
      <c r="C18" s="94">
        <f>'11. Final Load Forecast'!$F$14</f>
        <v>7956</v>
      </c>
      <c r="D18" s="187">
        <f t="shared" si="0"/>
        <v>1.4537107880642693E-2</v>
      </c>
      <c r="E18" s="94">
        <f>+'11. Final Load Forecast'!$F$15</f>
        <v>73848510.565233275</v>
      </c>
      <c r="F18" s="187">
        <f t="shared" si="1"/>
        <v>2.4229788244737632E-2</v>
      </c>
      <c r="G18" s="94">
        <f>+'11. Final Load Forecast'!$F$16</f>
        <v>0</v>
      </c>
      <c r="H18" s="484" t="e">
        <f t="shared" si="2"/>
        <v>#DIV/0!</v>
      </c>
    </row>
    <row r="19" spans="2:30" x14ac:dyDescent="0.2">
      <c r="B19" s="83">
        <v>2006</v>
      </c>
      <c r="C19" s="94">
        <f>'11. Final Load Forecast'!$G$14</f>
        <v>8187.5</v>
      </c>
      <c r="D19" s="187">
        <f t="shared" si="0"/>
        <v>2.9097536450477628E-2</v>
      </c>
      <c r="E19" s="94">
        <f>+'11. Final Load Forecast'!$G$15</f>
        <v>74657177.211183861</v>
      </c>
      <c r="F19" s="187">
        <f t="shared" si="1"/>
        <v>1.0950344695662599E-2</v>
      </c>
      <c r="G19" s="94">
        <f>+'11. Final Load Forecast'!$G$16</f>
        <v>0</v>
      </c>
      <c r="H19" s="484" t="e">
        <f t="shared" si="2"/>
        <v>#DIV/0!</v>
      </c>
    </row>
    <row r="20" spans="2:30" x14ac:dyDescent="0.2">
      <c r="B20" s="84">
        <v>2007</v>
      </c>
      <c r="C20" s="94">
        <f>'11. Final Load Forecast'!$H$14</f>
        <v>8296.5</v>
      </c>
      <c r="D20" s="187">
        <f t="shared" si="0"/>
        <v>1.3312977099236642E-2</v>
      </c>
      <c r="E20" s="94">
        <f>+'11. Final Load Forecast'!$H$15</f>
        <v>73436594.333625555</v>
      </c>
      <c r="F20" s="187">
        <f t="shared" si="1"/>
        <v>-1.6349169941231839E-2</v>
      </c>
      <c r="G20" s="94">
        <f>+'11. Final Load Forecast'!$H$16</f>
        <v>0</v>
      </c>
      <c r="H20" s="484" t="e">
        <f t="shared" si="2"/>
        <v>#DIV/0!</v>
      </c>
    </row>
    <row r="21" spans="2:30" x14ac:dyDescent="0.2">
      <c r="B21" s="84">
        <v>2008</v>
      </c>
      <c r="C21" s="94">
        <f>'11. Final Load Forecast'!$I$14</f>
        <v>8425</v>
      </c>
      <c r="D21" s="187">
        <f t="shared" si="0"/>
        <v>1.5488458988730188E-2</v>
      </c>
      <c r="E21" s="94">
        <f>+'11. Final Load Forecast'!$I$15</f>
        <v>73193400.880397737</v>
      </c>
      <c r="F21" s="187">
        <f t="shared" si="1"/>
        <v>-3.31161126730605E-3</v>
      </c>
      <c r="G21" s="94">
        <f>+'11. Final Load Forecast'!$I$16</f>
        <v>0</v>
      </c>
      <c r="H21" s="484" t="e">
        <f t="shared" si="2"/>
        <v>#DIV/0!</v>
      </c>
    </row>
    <row r="22" spans="2:30" x14ac:dyDescent="0.2">
      <c r="B22" s="84">
        <v>2009</v>
      </c>
      <c r="C22" s="94">
        <f>'11. Final Load Forecast'!$J$14</f>
        <v>8525</v>
      </c>
      <c r="D22" s="187">
        <f t="shared" si="0"/>
        <v>1.1869436201780416E-2</v>
      </c>
      <c r="E22" s="94">
        <f>+'11. Final Load Forecast'!$J$15</f>
        <v>70966505.368845955</v>
      </c>
      <c r="F22" s="187">
        <f t="shared" si="1"/>
        <v>-3.042481268483014E-2</v>
      </c>
      <c r="G22" s="94">
        <f>+'11. Final Load Forecast'!$J$16</f>
        <v>0</v>
      </c>
      <c r="H22" s="484" t="e">
        <f t="shared" si="2"/>
        <v>#DIV/0!</v>
      </c>
    </row>
    <row r="23" spans="2:30" x14ac:dyDescent="0.2">
      <c r="B23" s="84">
        <v>2010</v>
      </c>
      <c r="C23" s="94">
        <f>'11. Final Load Forecast'!$K$14</f>
        <v>8627</v>
      </c>
      <c r="D23" s="187">
        <f t="shared" si="0"/>
        <v>1.1964809384164223E-2</v>
      </c>
      <c r="E23" s="94">
        <f>+'11. Final Load Forecast'!$K$15</f>
        <v>74334017.121669263</v>
      </c>
      <c r="F23" s="187">
        <f t="shared" si="1"/>
        <v>4.7452128794010388E-2</v>
      </c>
      <c r="G23" s="94">
        <f>+'11. Final Load Forecast'!$K$16</f>
        <v>0</v>
      </c>
      <c r="H23" s="484" t="e">
        <f t="shared" si="2"/>
        <v>#DIV/0!</v>
      </c>
    </row>
    <row r="24" spans="2:30" x14ac:dyDescent="0.2">
      <c r="B24" s="84">
        <v>2011</v>
      </c>
      <c r="C24" s="94">
        <f>'11. Final Load Forecast'!$L$14</f>
        <v>8760.5</v>
      </c>
      <c r="D24" s="187">
        <f t="shared" si="0"/>
        <v>1.5474672539700939E-2</v>
      </c>
      <c r="E24" s="94">
        <f>+'11. Final Load Forecast'!$L$15</f>
        <v>75761820.187371373</v>
      </c>
      <c r="F24" s="187">
        <f t="shared" si="1"/>
        <v>1.9207936298735143E-2</v>
      </c>
      <c r="G24" s="94">
        <f>+'11. Final Load Forecast'!$L$16</f>
        <v>0</v>
      </c>
      <c r="H24" s="484" t="e">
        <f t="shared" si="2"/>
        <v>#DIV/0!</v>
      </c>
    </row>
    <row r="25" spans="2:30" x14ac:dyDescent="0.2">
      <c r="B25" s="84">
        <v>2012</v>
      </c>
      <c r="C25" s="94">
        <f>'11. Final Load Forecast'!$M$14</f>
        <v>8885</v>
      </c>
      <c r="D25" s="187">
        <f t="shared" si="0"/>
        <v>1.4211517607442497E-2</v>
      </c>
      <c r="E25" s="94">
        <f>+'11. Final Load Forecast'!$M$15</f>
        <v>79671289.320937395</v>
      </c>
      <c r="F25" s="187">
        <f t="shared" si="1"/>
        <v>5.1602101479310623E-2</v>
      </c>
      <c r="G25" s="94">
        <f>+'11. Final Load Forecast'!$M$16</f>
        <v>0</v>
      </c>
      <c r="H25" s="484" t="e">
        <f t="shared" si="2"/>
        <v>#DIV/0!</v>
      </c>
    </row>
    <row r="26" spans="2:30" x14ac:dyDescent="0.2">
      <c r="B26" s="85">
        <v>2013</v>
      </c>
      <c r="C26" s="94">
        <f>'11. Final Load Forecast'!$N$14</f>
        <v>9026.923937540796</v>
      </c>
      <c r="D26" s="188">
        <f t="shared" si="0"/>
        <v>1.5973431349554985E-2</v>
      </c>
      <c r="E26" s="94">
        <f>+'11. Final Load Forecast'!$N$15</f>
        <v>80450046.256808087</v>
      </c>
      <c r="F26" s="188">
        <f t="shared" si="1"/>
        <v>9.7746244915611902E-3</v>
      </c>
      <c r="G26" s="94">
        <f>+'11. Final Load Forecast'!$N$16</f>
        <v>0</v>
      </c>
      <c r="H26" s="485" t="e">
        <f t="shared" si="2"/>
        <v>#DIV/0!</v>
      </c>
      <c r="AC26" s="1" t="s">
        <v>30</v>
      </c>
      <c r="AD26" s="1" t="s">
        <v>30</v>
      </c>
    </row>
    <row r="27" spans="2:30" ht="13.5" thickBot="1" x14ac:dyDescent="0.25">
      <c r="B27" s="86">
        <v>2014</v>
      </c>
      <c r="C27" s="96">
        <f>'11. Final Load Forecast'!$O$14</f>
        <v>9171.114887354759</v>
      </c>
      <c r="D27" s="189">
        <f t="shared" si="0"/>
        <v>1.5973431349555044E-2</v>
      </c>
      <c r="E27" s="96">
        <f>+'11. Final Load Forecast'!$O$15</f>
        <v>79373076.353346512</v>
      </c>
      <c r="F27" s="189">
        <f t="shared" si="1"/>
        <v>-1.3386815217280711E-2</v>
      </c>
      <c r="G27" s="96">
        <f>+'11. Final Load Forecast'!$O$16</f>
        <v>0</v>
      </c>
      <c r="H27" s="486" t="e">
        <f t="shared" si="2"/>
        <v>#DIV/0!</v>
      </c>
    </row>
    <row r="29" spans="2:30" ht="13.5" thickBot="1" x14ac:dyDescent="0.25">
      <c r="C29" s="145"/>
      <c r="D29" s="145"/>
      <c r="E29" s="145"/>
      <c r="F29" s="145"/>
    </row>
    <row r="30" spans="2:30" ht="13.5" thickBot="1" x14ac:dyDescent="0.25">
      <c r="B30" s="988" t="str">
        <f>+'11. Final Load Forecast'!B18</f>
        <v>General Service &lt; 50 kW</v>
      </c>
      <c r="C30" s="989"/>
      <c r="D30" s="989"/>
      <c r="E30" s="989"/>
      <c r="F30" s="989"/>
      <c r="G30" s="989"/>
      <c r="H30" s="990"/>
    </row>
    <row r="31" spans="2:30" ht="13.5" thickBot="1" x14ac:dyDescent="0.25">
      <c r="B31" s="81" t="s">
        <v>33</v>
      </c>
      <c r="C31" s="478" t="s">
        <v>48</v>
      </c>
      <c r="D31" s="479" t="s">
        <v>61</v>
      </c>
      <c r="E31" s="480" t="s">
        <v>36</v>
      </c>
      <c r="F31" s="479" t="s">
        <v>61</v>
      </c>
      <c r="G31" s="480" t="s">
        <v>37</v>
      </c>
      <c r="H31" s="481" t="s">
        <v>61</v>
      </c>
    </row>
    <row r="32" spans="2:30" x14ac:dyDescent="0.2">
      <c r="B32" s="82">
        <v>2003</v>
      </c>
      <c r="C32" s="476">
        <f>'11. Final Load Forecast'!$D$18</f>
        <v>1036.5</v>
      </c>
      <c r="D32" s="476"/>
      <c r="E32" s="476">
        <f>+'11. Final Load Forecast'!$D$19</f>
        <v>32947635.677251581</v>
      </c>
      <c r="F32" s="476"/>
      <c r="G32" s="476">
        <f>+'11. Final Load Forecast'!$D$20</f>
        <v>0</v>
      </c>
      <c r="H32" s="477"/>
    </row>
    <row r="33" spans="2:9" x14ac:dyDescent="0.2">
      <c r="B33" s="83">
        <v>2004</v>
      </c>
      <c r="C33" s="94">
        <f>'11. Final Load Forecast'!$E$18</f>
        <v>1043</v>
      </c>
      <c r="D33" s="187">
        <f t="shared" ref="D33:D43" si="3">(C33-C32)/C32</f>
        <v>6.2711046792088762E-3</v>
      </c>
      <c r="E33" s="94">
        <f>+'11. Final Load Forecast'!$E$19</f>
        <v>34123002.621133283</v>
      </c>
      <c r="F33" s="187">
        <f t="shared" ref="F33:F43" si="4">(E33-E32)/E32</f>
        <v>3.5673787199644917E-2</v>
      </c>
      <c r="G33" s="94">
        <f>+'11. Final Load Forecast'!$E$20</f>
        <v>0</v>
      </c>
      <c r="H33" s="484" t="e">
        <f t="shared" ref="H33:H43" si="5">(G33-G32)/G32</f>
        <v>#DIV/0!</v>
      </c>
    </row>
    <row r="34" spans="2:9" x14ac:dyDescent="0.2">
      <c r="B34" s="83">
        <v>2005</v>
      </c>
      <c r="C34" s="94">
        <f>'11. Final Load Forecast'!$F$18</f>
        <v>1047.5</v>
      </c>
      <c r="D34" s="187">
        <f t="shared" si="3"/>
        <v>4.314477468839885E-3</v>
      </c>
      <c r="E34" s="94">
        <f>+'11. Final Load Forecast'!$F$19</f>
        <v>35250366.032868199</v>
      </c>
      <c r="F34" s="187">
        <f t="shared" si="4"/>
        <v>3.3038224222293675E-2</v>
      </c>
      <c r="G34" s="94">
        <f>+'11. Final Load Forecast'!$F$20</f>
        <v>0</v>
      </c>
      <c r="H34" s="484" t="e">
        <f t="shared" si="5"/>
        <v>#DIV/0!</v>
      </c>
    </row>
    <row r="35" spans="2:9" x14ac:dyDescent="0.2">
      <c r="B35" s="83">
        <v>2006</v>
      </c>
      <c r="C35" s="94">
        <f>'11. Final Load Forecast'!$G$18</f>
        <v>1062.5</v>
      </c>
      <c r="D35" s="187">
        <f t="shared" si="3"/>
        <v>1.4319809069212411E-2</v>
      </c>
      <c r="E35" s="94">
        <f>+'11. Final Load Forecast'!$G$19</f>
        <v>35803467.043011874</v>
      </c>
      <c r="F35" s="187">
        <f t="shared" si="4"/>
        <v>1.5690645868129474E-2</v>
      </c>
      <c r="G35" s="94">
        <f>+'11. Final Load Forecast'!$G$20</f>
        <v>0</v>
      </c>
      <c r="H35" s="484" t="e">
        <f t="shared" si="5"/>
        <v>#DIV/0!</v>
      </c>
    </row>
    <row r="36" spans="2:9" x14ac:dyDescent="0.2">
      <c r="B36" s="84">
        <v>2007</v>
      </c>
      <c r="C36" s="94">
        <f>'11. Final Load Forecast'!$H$18</f>
        <v>1068.5</v>
      </c>
      <c r="D36" s="187">
        <f t="shared" si="3"/>
        <v>5.6470588235294121E-3</v>
      </c>
      <c r="E36" s="94">
        <f>+'11. Final Load Forecast'!$H$19</f>
        <v>34496063.808112673</v>
      </c>
      <c r="F36" s="187">
        <f t="shared" si="4"/>
        <v>-3.6516107038700313E-2</v>
      </c>
      <c r="G36" s="94">
        <f>+'11. Final Load Forecast'!$H$20</f>
        <v>0</v>
      </c>
      <c r="H36" s="484" t="e">
        <f t="shared" si="5"/>
        <v>#DIV/0!</v>
      </c>
    </row>
    <row r="37" spans="2:9" x14ac:dyDescent="0.2">
      <c r="B37" s="84">
        <v>2008</v>
      </c>
      <c r="C37" s="94">
        <f>'11. Final Load Forecast'!$I$18</f>
        <v>1072.5</v>
      </c>
      <c r="D37" s="187">
        <f t="shared" si="3"/>
        <v>3.7435657463734209E-3</v>
      </c>
      <c r="E37" s="94">
        <f>+'11. Final Load Forecast'!$I$19</f>
        <v>38814986.994877979</v>
      </c>
      <c r="F37" s="187">
        <f t="shared" si="4"/>
        <v>0.12520046376275532</v>
      </c>
      <c r="G37" s="94">
        <f>+'11. Final Load Forecast'!$I$20</f>
        <v>0</v>
      </c>
      <c r="H37" s="484" t="e">
        <f t="shared" si="5"/>
        <v>#DIV/0!</v>
      </c>
    </row>
    <row r="38" spans="2:9" x14ac:dyDescent="0.2">
      <c r="B38" s="84">
        <v>2009</v>
      </c>
      <c r="C38" s="94">
        <f>'11. Final Load Forecast'!$J$18</f>
        <v>1067</v>
      </c>
      <c r="D38" s="187">
        <f t="shared" si="3"/>
        <v>-5.1282051282051282E-3</v>
      </c>
      <c r="E38" s="94">
        <f>+'11. Final Load Forecast'!$J$19</f>
        <v>33200382.221462574</v>
      </c>
      <c r="F38" s="187">
        <f t="shared" si="4"/>
        <v>-0.14465043551750534</v>
      </c>
      <c r="G38" s="94">
        <f>+'11. Final Load Forecast'!$J$20</f>
        <v>0</v>
      </c>
      <c r="H38" s="484" t="e">
        <f t="shared" si="5"/>
        <v>#DIV/0!</v>
      </c>
    </row>
    <row r="39" spans="2:9" x14ac:dyDescent="0.2">
      <c r="B39" s="84">
        <v>2010</v>
      </c>
      <c r="C39" s="94">
        <f>'11. Final Load Forecast'!$K$18</f>
        <v>1058</v>
      </c>
      <c r="D39" s="187">
        <f t="shared" si="3"/>
        <v>-8.4348641049671984E-3</v>
      </c>
      <c r="E39" s="94">
        <f>+'11. Final Load Forecast'!$K$19</f>
        <v>33337507.077357363</v>
      </c>
      <c r="F39" s="187">
        <f t="shared" si="4"/>
        <v>4.130219193866508E-3</v>
      </c>
      <c r="G39" s="94">
        <f>+'11. Final Load Forecast'!$K$20</f>
        <v>0</v>
      </c>
      <c r="H39" s="484" t="e">
        <f t="shared" si="5"/>
        <v>#DIV/0!</v>
      </c>
    </row>
    <row r="40" spans="2:9" x14ac:dyDescent="0.2">
      <c r="B40" s="84">
        <v>2011</v>
      </c>
      <c r="C40" s="94">
        <f>+'11. Final Load Forecast'!$L$18</f>
        <v>1068.5</v>
      </c>
      <c r="D40" s="187">
        <f t="shared" si="3"/>
        <v>9.9243856332703207E-3</v>
      </c>
      <c r="E40" s="94">
        <f>+'11. Final Load Forecast'!$L$19</f>
        <v>32425865.201663207</v>
      </c>
      <c r="F40" s="187">
        <f t="shared" si="4"/>
        <v>-2.7345832235708394E-2</v>
      </c>
      <c r="G40" s="94">
        <f>+'11. Final Load Forecast'!$L$20</f>
        <v>0</v>
      </c>
      <c r="H40" s="484" t="e">
        <f t="shared" si="5"/>
        <v>#DIV/0!</v>
      </c>
    </row>
    <row r="41" spans="2:9" x14ac:dyDescent="0.2">
      <c r="B41" s="84">
        <v>2012</v>
      </c>
      <c r="C41" s="94">
        <f>'11. Final Load Forecast'!$M$18</f>
        <v>1077.5</v>
      </c>
      <c r="D41" s="187">
        <f t="shared" si="3"/>
        <v>8.4230229293401973E-3</v>
      </c>
      <c r="E41" s="94">
        <f>+'11. Final Load Forecast'!$M$19</f>
        <v>32930701.274226837</v>
      </c>
      <c r="F41" s="187">
        <f t="shared" si="4"/>
        <v>1.5568931450986702E-2</v>
      </c>
      <c r="G41" s="94">
        <f>+'11. Final Load Forecast'!$M$20</f>
        <v>0</v>
      </c>
      <c r="H41" s="484" t="e">
        <f t="shared" si="5"/>
        <v>#DIV/0!</v>
      </c>
    </row>
    <row r="42" spans="2:9" x14ac:dyDescent="0.2">
      <c r="B42" s="85">
        <v>2013</v>
      </c>
      <c r="C42" s="94">
        <f>'11. Final Load Forecast'!$N$18</f>
        <v>1082.1545150107602</v>
      </c>
      <c r="D42" s="188">
        <f t="shared" si="3"/>
        <v>4.3197355088261521E-3</v>
      </c>
      <c r="E42" s="94">
        <f>+'11. Final Load Forecast'!$N$19</f>
        <v>33252586.513426181</v>
      </c>
      <c r="F42" s="188">
        <f t="shared" si="4"/>
        <v>9.7746244915612249E-3</v>
      </c>
      <c r="G42" s="94">
        <f>+'11. Final Load Forecast'!$N$20</f>
        <v>0</v>
      </c>
      <c r="H42" s="485" t="e">
        <f t="shared" si="5"/>
        <v>#DIV/0!</v>
      </c>
    </row>
    <row r="43" spans="2:9" ht="13.5" thickBot="1" x14ac:dyDescent="0.25">
      <c r="B43" s="86">
        <v>2014</v>
      </c>
      <c r="C43" s="96">
        <f>'11. Final Load Forecast'!$O$18</f>
        <v>1086.8291362952889</v>
      </c>
      <c r="D43" s="189">
        <f t="shared" si="3"/>
        <v>4.3197355088263256E-3</v>
      </c>
      <c r="E43" s="96">
        <f>+'11. Final Load Forecast'!$O$19</f>
        <v>32807440.282274306</v>
      </c>
      <c r="F43" s="189">
        <f t="shared" si="4"/>
        <v>-1.3386815217280655E-2</v>
      </c>
      <c r="G43" s="96">
        <f>+'11. Final Load Forecast'!$O$20</f>
        <v>0</v>
      </c>
      <c r="H43" s="486" t="e">
        <f t="shared" si="5"/>
        <v>#DIV/0!</v>
      </c>
    </row>
    <row r="45" spans="2:9" ht="13.5" thickBot="1" x14ac:dyDescent="0.25">
      <c r="C45" s="145"/>
      <c r="D45" s="145"/>
      <c r="E45" s="145"/>
      <c r="F45" s="145"/>
      <c r="G45" s="145"/>
      <c r="H45" s="145"/>
      <c r="I45" s="58"/>
    </row>
    <row r="46" spans="2:9" ht="13.5" thickBot="1" x14ac:dyDescent="0.25">
      <c r="B46" s="988" t="str">
        <f>+'11. Final Load Forecast'!B22</f>
        <v>General Service &gt; 50 kW - 2999 kW</v>
      </c>
      <c r="C46" s="989"/>
      <c r="D46" s="989"/>
      <c r="E46" s="989"/>
      <c r="F46" s="989"/>
      <c r="G46" s="989"/>
      <c r="H46" s="990"/>
    </row>
    <row r="47" spans="2:9" ht="13.5" thickBot="1" x14ac:dyDescent="0.25">
      <c r="B47" s="81" t="s">
        <v>33</v>
      </c>
      <c r="C47" s="59" t="s">
        <v>48</v>
      </c>
      <c r="D47" s="60" t="s">
        <v>61</v>
      </c>
      <c r="E47" s="482" t="s">
        <v>36</v>
      </c>
      <c r="F47" s="60" t="s">
        <v>61</v>
      </c>
      <c r="G47" s="482" t="s">
        <v>37</v>
      </c>
      <c r="H47" s="483" t="s">
        <v>61</v>
      </c>
    </row>
    <row r="48" spans="2:9" x14ac:dyDescent="0.2">
      <c r="B48" s="82">
        <v>2003</v>
      </c>
      <c r="C48" s="476">
        <f>'11. Final Load Forecast'!$D$22</f>
        <v>145.5</v>
      </c>
      <c r="D48" s="476"/>
      <c r="E48" s="476">
        <f>+'11. Final Load Forecast'!$D$23</f>
        <v>120975702</v>
      </c>
      <c r="F48" s="476"/>
      <c r="G48" s="476">
        <f>+'11. Final Load Forecast'!$D$24</f>
        <v>297477.3</v>
      </c>
      <c r="H48" s="477"/>
    </row>
    <row r="49" spans="2:8" x14ac:dyDescent="0.2">
      <c r="B49" s="83">
        <v>2004</v>
      </c>
      <c r="C49" s="94">
        <f>'11. Final Load Forecast'!$E$22</f>
        <v>147.5</v>
      </c>
      <c r="D49" s="187">
        <f t="shared" ref="D49:D59" si="6">(C49-C48)/C48</f>
        <v>1.3745704467353952E-2</v>
      </c>
      <c r="E49" s="94">
        <f>+'11. Final Load Forecast'!$E$23</f>
        <v>122417181</v>
      </c>
      <c r="F49" s="187">
        <f t="shared" ref="F49:F59" si="7">(E49-E48)/E48</f>
        <v>1.191544232576555E-2</v>
      </c>
      <c r="G49" s="94">
        <f>+'11. Final Load Forecast'!$E$24</f>
        <v>300809.10000000003</v>
      </c>
      <c r="H49" s="484">
        <f t="shared" ref="H49:H59" si="8">(G49-G48)/G48</f>
        <v>1.1200182333240374E-2</v>
      </c>
    </row>
    <row r="50" spans="2:8" x14ac:dyDescent="0.2">
      <c r="B50" s="83">
        <v>2005</v>
      </c>
      <c r="C50" s="94">
        <f>'11. Final Load Forecast'!$F$22</f>
        <v>133</v>
      </c>
      <c r="D50" s="187">
        <f t="shared" si="6"/>
        <v>-9.8305084745762716E-2</v>
      </c>
      <c r="E50" s="94">
        <f>+'11. Final Load Forecast'!$F$23</f>
        <v>121003376</v>
      </c>
      <c r="F50" s="187">
        <f t="shared" si="7"/>
        <v>-1.1549073328195656E-2</v>
      </c>
      <c r="G50" s="94">
        <f>+'11. Final Load Forecast'!$F$24</f>
        <v>298912.40000000002</v>
      </c>
      <c r="H50" s="484">
        <f t="shared" si="8"/>
        <v>-6.3053278640839367E-3</v>
      </c>
    </row>
    <row r="51" spans="2:8" x14ac:dyDescent="0.2">
      <c r="B51" s="83">
        <v>2006</v>
      </c>
      <c r="C51" s="94">
        <f>'11. Final Load Forecast'!$G$22</f>
        <v>129.5</v>
      </c>
      <c r="D51" s="187">
        <f t="shared" si="6"/>
        <v>-2.6315789473684209E-2</v>
      </c>
      <c r="E51" s="94">
        <f>+'11. Final Load Forecast'!$G$23</f>
        <v>114875960</v>
      </c>
      <c r="F51" s="187">
        <f t="shared" si="7"/>
        <v>-5.0638388799995132E-2</v>
      </c>
      <c r="G51" s="94">
        <f>+'11. Final Load Forecast'!$G$24</f>
        <v>290142.59999999992</v>
      </c>
      <c r="H51" s="484">
        <f t="shared" si="8"/>
        <v>-2.9339030431658586E-2</v>
      </c>
    </row>
    <row r="52" spans="2:8" x14ac:dyDescent="0.2">
      <c r="B52" s="84">
        <v>2007</v>
      </c>
      <c r="C52" s="94">
        <f>'11. Final Load Forecast'!$H$22</f>
        <v>131</v>
      </c>
      <c r="D52" s="187">
        <f t="shared" si="6"/>
        <v>1.1583011583011582E-2</v>
      </c>
      <c r="E52" s="94">
        <f>+'11. Final Load Forecast'!$H$23</f>
        <v>120290733</v>
      </c>
      <c r="F52" s="187">
        <f t="shared" si="7"/>
        <v>4.7135823718034653E-2</v>
      </c>
      <c r="G52" s="94">
        <f>+'11. Final Load Forecast'!$H$24</f>
        <v>299040.51</v>
      </c>
      <c r="H52" s="484">
        <f t="shared" si="8"/>
        <v>3.0667368390577921E-2</v>
      </c>
    </row>
    <row r="53" spans="2:8" x14ac:dyDescent="0.2">
      <c r="B53" s="84">
        <v>2008</v>
      </c>
      <c r="C53" s="94">
        <f>+'11. Final Load Forecast'!$I$22</f>
        <v>131.5</v>
      </c>
      <c r="D53" s="187">
        <f t="shared" si="6"/>
        <v>3.8167938931297708E-3</v>
      </c>
      <c r="E53" s="94">
        <f>+'11. Final Load Forecast'!$I$23</f>
        <v>120834914</v>
      </c>
      <c r="F53" s="187">
        <f t="shared" si="7"/>
        <v>4.5238813201013582E-3</v>
      </c>
      <c r="G53" s="94">
        <f>+'11. Final Load Forecast'!$I$24</f>
        <v>300129.30000000005</v>
      </c>
      <c r="H53" s="484">
        <f t="shared" si="8"/>
        <v>3.6409448338622658E-3</v>
      </c>
    </row>
    <row r="54" spans="2:8" x14ac:dyDescent="0.2">
      <c r="B54" s="84">
        <v>2009</v>
      </c>
      <c r="C54" s="94">
        <f>'11. Final Load Forecast'!$J$22</f>
        <v>137</v>
      </c>
      <c r="D54" s="187">
        <f t="shared" si="6"/>
        <v>4.1825095057034217E-2</v>
      </c>
      <c r="E54" s="94">
        <f>+'11. Final Load Forecast'!$J$23</f>
        <v>128532327</v>
      </c>
      <c r="F54" s="187">
        <f t="shared" si="7"/>
        <v>6.3701894967211209E-2</v>
      </c>
      <c r="G54" s="94">
        <f>+'11. Final Load Forecast'!$J$24</f>
        <v>322335</v>
      </c>
      <c r="H54" s="484">
        <f t="shared" si="8"/>
        <v>7.398711155491966E-2</v>
      </c>
    </row>
    <row r="55" spans="2:8" x14ac:dyDescent="0.2">
      <c r="B55" s="84">
        <v>2010</v>
      </c>
      <c r="C55" s="94">
        <f>'11. Final Load Forecast'!$K$22</f>
        <v>141.5</v>
      </c>
      <c r="D55" s="187">
        <f t="shared" si="6"/>
        <v>3.2846715328467155E-2</v>
      </c>
      <c r="E55" s="94">
        <f>+'11. Final Load Forecast'!$K$23</f>
        <v>125354819</v>
      </c>
      <c r="F55" s="187">
        <f t="shared" si="7"/>
        <v>-2.472146948681634E-2</v>
      </c>
      <c r="G55" s="94">
        <f>+'11. Final Load Forecast'!$K$24</f>
        <v>323427</v>
      </c>
      <c r="H55" s="484">
        <f t="shared" si="8"/>
        <v>3.3877797943133695E-3</v>
      </c>
    </row>
    <row r="56" spans="2:8" x14ac:dyDescent="0.2">
      <c r="B56" s="84">
        <v>2011</v>
      </c>
      <c r="C56" s="94">
        <f>'11. Final Load Forecast'!$L$22</f>
        <v>138</v>
      </c>
      <c r="D56" s="187">
        <f t="shared" si="6"/>
        <v>-2.4734982332155476E-2</v>
      </c>
      <c r="E56" s="94">
        <f>+'11. Final Load Forecast'!$L$23</f>
        <v>119336146</v>
      </c>
      <c r="F56" s="187">
        <f t="shared" si="7"/>
        <v>-4.8013096329388022E-2</v>
      </c>
      <c r="G56" s="94">
        <f>+'11. Final Load Forecast'!$L$24</f>
        <v>314352.19999999995</v>
      </c>
      <c r="H56" s="484">
        <f t="shared" si="8"/>
        <v>-2.8058263533966076E-2</v>
      </c>
    </row>
    <row r="57" spans="2:8" x14ac:dyDescent="0.2">
      <c r="B57" s="84">
        <v>2012</v>
      </c>
      <c r="C57" s="94">
        <f>'11. Final Load Forecast'!$M$22</f>
        <v>134</v>
      </c>
      <c r="D57" s="187">
        <f t="shared" si="6"/>
        <v>-2.8985507246376812E-2</v>
      </c>
      <c r="E57" s="94">
        <f>+'11. Final Load Forecast'!$M$23</f>
        <v>115685946</v>
      </c>
      <c r="F57" s="187">
        <f t="shared" si="7"/>
        <v>-3.0587547213063174E-2</v>
      </c>
      <c r="G57" s="94">
        <f>+'11. Final Load Forecast'!$M$24</f>
        <v>306814.40000000002</v>
      </c>
      <c r="H57" s="484">
        <f t="shared" si="8"/>
        <v>-2.3978836477046864E-2</v>
      </c>
    </row>
    <row r="58" spans="2:8" x14ac:dyDescent="0.2">
      <c r="B58" s="85">
        <v>2013</v>
      </c>
      <c r="C58" s="94">
        <f>'11. Final Load Forecast'!$N$22</f>
        <v>132.77969465471912</v>
      </c>
      <c r="D58" s="188">
        <f t="shared" si="6"/>
        <v>-9.1067563080662502E-3</v>
      </c>
      <c r="E58" s="94">
        <f>+'11. Final Load Forecast'!$N$23</f>
        <v>116816732.68110102</v>
      </c>
      <c r="F58" s="188">
        <f t="shared" si="7"/>
        <v>9.7746244915611798E-3</v>
      </c>
      <c r="G58" s="94">
        <f>+'11. Final Load Forecast'!$N$24</f>
        <v>295034.71343124693</v>
      </c>
      <c r="H58" s="485">
        <f t="shared" si="8"/>
        <v>-3.8393525756134958E-2</v>
      </c>
    </row>
    <row r="59" spans="2:8" ht="13.5" thickBot="1" x14ac:dyDescent="0.25">
      <c r="B59" s="86">
        <v>2014</v>
      </c>
      <c r="C59" s="96">
        <f>'11. Final Load Forecast'!$O$22</f>
        <v>131.57050233283914</v>
      </c>
      <c r="D59" s="189">
        <f t="shared" si="6"/>
        <v>-9.1067563080663109E-3</v>
      </c>
      <c r="E59" s="96">
        <f>+'11. Final Load Forecast'!$O$23</f>
        <v>115252928.66641265</v>
      </c>
      <c r="F59" s="189">
        <f t="shared" si="7"/>
        <v>-1.3386815217280681E-2</v>
      </c>
      <c r="G59" s="96">
        <f>+'11. Final Load Forecast'!$O$24</f>
        <v>291085.13823985943</v>
      </c>
      <c r="H59" s="486">
        <f t="shared" si="8"/>
        <v>-1.3386815217280809E-2</v>
      </c>
    </row>
    <row r="61" spans="2:8" ht="13.5" thickBot="1" x14ac:dyDescent="0.25">
      <c r="B61" s="24"/>
      <c r="C61" s="26" t="s">
        <v>30</v>
      </c>
      <c r="D61" s="26"/>
      <c r="E61" s="26"/>
      <c r="F61" s="26"/>
      <c r="G61" s="26"/>
      <c r="H61" s="26"/>
    </row>
    <row r="62" spans="2:8" ht="13.5" thickBot="1" x14ac:dyDescent="0.25">
      <c r="B62" s="988" t="str">
        <f>+'11. Final Load Forecast'!B26</f>
        <v>Streetlighting</v>
      </c>
      <c r="C62" s="989"/>
      <c r="D62" s="989"/>
      <c r="E62" s="989"/>
      <c r="F62" s="989"/>
      <c r="G62" s="989"/>
      <c r="H62" s="990"/>
    </row>
    <row r="63" spans="2:8" ht="13.5" thickBot="1" x14ac:dyDescent="0.25">
      <c r="B63" s="190" t="s">
        <v>33</v>
      </c>
      <c r="C63" s="59" t="s">
        <v>48</v>
      </c>
      <c r="D63" s="60" t="s">
        <v>61</v>
      </c>
      <c r="E63" s="482" t="s">
        <v>36</v>
      </c>
      <c r="F63" s="60" t="s">
        <v>61</v>
      </c>
      <c r="G63" s="482" t="s">
        <v>37</v>
      </c>
      <c r="H63" s="62"/>
    </row>
    <row r="64" spans="2:8" x14ac:dyDescent="0.2">
      <c r="B64" s="82">
        <v>2003</v>
      </c>
      <c r="C64" s="476">
        <f>'11. Final Load Forecast'!$D$26</f>
        <v>2671</v>
      </c>
      <c r="D64" s="476"/>
      <c r="E64" s="476">
        <f>+'11. Final Load Forecast'!$D$27</f>
        <v>1923289.8225330669</v>
      </c>
      <c r="F64" s="476"/>
      <c r="G64" s="476">
        <f>+'11. Final Load Forecast'!$D$28</f>
        <v>5221.5</v>
      </c>
      <c r="H64" s="477"/>
    </row>
    <row r="65" spans="2:8" x14ac:dyDescent="0.2">
      <c r="B65" s="83">
        <v>2004</v>
      </c>
      <c r="C65" s="94">
        <f>'11. Final Load Forecast'!$E$26</f>
        <v>2743</v>
      </c>
      <c r="D65" s="187">
        <f t="shared" ref="D65:D75" si="9">(C65-C64)/C64</f>
        <v>2.6956196181205542E-2</v>
      </c>
      <c r="E65" s="94">
        <f>+'11. Final Load Forecast'!$E$27</f>
        <v>1931928</v>
      </c>
      <c r="F65" s="187">
        <f t="shared" ref="F65:F75" si="10">(E65-E64)/E64</f>
        <v>4.4913550551399723E-3</v>
      </c>
      <c r="G65" s="94">
        <f>+'11. Final Load Forecast'!$E$28</f>
        <v>5239.8999999999996</v>
      </c>
      <c r="H65" s="484">
        <f t="shared" ref="H65:H75" si="11">(G65-G64)/G64</f>
        <v>3.5238916020299983E-3</v>
      </c>
    </row>
    <row r="66" spans="2:8" x14ac:dyDescent="0.2">
      <c r="B66" s="83">
        <v>2005</v>
      </c>
      <c r="C66" s="94">
        <f>'11. Final Load Forecast'!$F$26</f>
        <v>2793</v>
      </c>
      <c r="D66" s="187">
        <f t="shared" si="9"/>
        <v>1.8228217280349981E-2</v>
      </c>
      <c r="E66" s="94">
        <f>+'11. Final Load Forecast'!$F$27</f>
        <v>1867799.5215356699</v>
      </c>
      <c r="F66" s="187">
        <f t="shared" si="10"/>
        <v>-3.3194031280839698E-2</v>
      </c>
      <c r="G66" s="94">
        <f>+'11. Final Load Forecast'!$F$28</f>
        <v>5091.2000000000007</v>
      </c>
      <c r="H66" s="484">
        <f t="shared" si="11"/>
        <v>-2.8378404168018269E-2</v>
      </c>
    </row>
    <row r="67" spans="2:8" x14ac:dyDescent="0.2">
      <c r="B67" s="83">
        <v>2006</v>
      </c>
      <c r="C67" s="94">
        <f>'11. Final Load Forecast'!$G$26</f>
        <v>2815.5</v>
      </c>
      <c r="D67" s="187">
        <f t="shared" si="9"/>
        <v>8.0558539205155752E-3</v>
      </c>
      <c r="E67" s="94">
        <f>+'11. Final Load Forecast'!$G$27</f>
        <v>1350901.1708566549</v>
      </c>
      <c r="F67" s="187">
        <f t="shared" si="10"/>
        <v>-0.27674187979983572</v>
      </c>
      <c r="G67" s="94">
        <f>+'11. Final Load Forecast'!$G$28</f>
        <v>3654.0999999999995</v>
      </c>
      <c r="H67" s="484">
        <f t="shared" si="11"/>
        <v>-0.28227137020741694</v>
      </c>
    </row>
    <row r="68" spans="2:8" x14ac:dyDescent="0.2">
      <c r="B68" s="84">
        <v>2007</v>
      </c>
      <c r="C68" s="94">
        <f>+'11. Final Load Forecast'!$H$26</f>
        <v>2752</v>
      </c>
      <c r="D68" s="187">
        <f t="shared" si="9"/>
        <v>-2.2553720475936779E-2</v>
      </c>
      <c r="E68" s="94">
        <f>+'11. Final Load Forecast'!$H$27</f>
        <v>1194281.7307655821</v>
      </c>
      <c r="F68" s="187">
        <f t="shared" si="10"/>
        <v>-0.11593700817636779</v>
      </c>
      <c r="G68" s="94">
        <f>+'11. Final Load Forecast'!$H$28</f>
        <v>3301.8999999999992</v>
      </c>
      <c r="H68" s="484">
        <f t="shared" si="11"/>
        <v>-9.6384882734462746E-2</v>
      </c>
    </row>
    <row r="69" spans="2:8" x14ac:dyDescent="0.2">
      <c r="B69" s="84">
        <v>2008</v>
      </c>
      <c r="C69" s="94">
        <f>+'11. Final Load Forecast'!$I$26</f>
        <v>2759</v>
      </c>
      <c r="D69" s="187">
        <f t="shared" si="9"/>
        <v>2.5436046511627909E-3</v>
      </c>
      <c r="E69" s="94">
        <f>+'11. Final Load Forecast'!$I$26</f>
        <v>2759</v>
      </c>
      <c r="F69" s="187">
        <f t="shared" si="10"/>
        <v>-0.9976898248303343</v>
      </c>
      <c r="G69" s="94">
        <f>+'11. Final Load Forecast'!$I$28</f>
        <v>3321</v>
      </c>
      <c r="H69" s="484">
        <f t="shared" si="11"/>
        <v>5.784548290378516E-3</v>
      </c>
    </row>
    <row r="70" spans="2:8" x14ac:dyDescent="0.2">
      <c r="B70" s="84">
        <v>2009</v>
      </c>
      <c r="C70" s="94">
        <f>'11. Final Load Forecast'!$J$26</f>
        <v>2802</v>
      </c>
      <c r="D70" s="187">
        <f t="shared" si="9"/>
        <v>1.5585357013410656E-2</v>
      </c>
      <c r="E70" s="94">
        <f>+'11. Final Load Forecast'!$J$27</f>
        <v>1222128</v>
      </c>
      <c r="F70" s="187">
        <f t="shared" si="10"/>
        <v>441.96049293222183</v>
      </c>
      <c r="G70" s="94">
        <f>+'11. Final Load Forecast'!$J$28</f>
        <v>3340</v>
      </c>
      <c r="H70" s="484">
        <f t="shared" si="11"/>
        <v>5.7211683227943394E-3</v>
      </c>
    </row>
    <row r="71" spans="2:8" x14ac:dyDescent="0.2">
      <c r="B71" s="84">
        <v>2010</v>
      </c>
      <c r="C71" s="94">
        <f>'11. Final Load Forecast'!$K$26</f>
        <v>2862</v>
      </c>
      <c r="D71" s="187">
        <f t="shared" si="9"/>
        <v>2.1413276231263382E-2</v>
      </c>
      <c r="E71" s="94">
        <f>+'11. Final Load Forecast'!$K$27</f>
        <v>1249953</v>
      </c>
      <c r="F71" s="187">
        <f t="shared" si="10"/>
        <v>2.2767664270845606E-2</v>
      </c>
      <c r="G71" s="94">
        <f>+'11. Final Load Forecast'!$K$28</f>
        <v>3386</v>
      </c>
      <c r="H71" s="484">
        <f t="shared" si="11"/>
        <v>1.3772455089820359E-2</v>
      </c>
    </row>
    <row r="72" spans="2:8" x14ac:dyDescent="0.2">
      <c r="B72" s="84">
        <v>2011</v>
      </c>
      <c r="C72" s="94">
        <f>'11. Final Load Forecast'!$L$26</f>
        <v>2634</v>
      </c>
      <c r="D72" s="187">
        <f t="shared" si="9"/>
        <v>-7.9664570230607967E-2</v>
      </c>
      <c r="E72" s="94">
        <f>+'11. Final Load Forecast'!$L$27</f>
        <v>1258253</v>
      </c>
      <c r="F72" s="187">
        <f t="shared" si="10"/>
        <v>6.6402496733877197E-3</v>
      </c>
      <c r="G72" s="94">
        <f>+'11. Final Load Forecast'!$L$28</f>
        <v>3408.5999999999995</v>
      </c>
      <c r="H72" s="484">
        <f t="shared" si="11"/>
        <v>6.6745422327228162E-3</v>
      </c>
    </row>
    <row r="73" spans="2:8" x14ac:dyDescent="0.2">
      <c r="B73" s="84">
        <v>2012</v>
      </c>
      <c r="C73" s="94">
        <f>'11. Final Load Forecast'!$M$26</f>
        <v>2694</v>
      </c>
      <c r="D73" s="187">
        <f t="shared" si="9"/>
        <v>2.2779043280182234E-2</v>
      </c>
      <c r="E73" s="94">
        <f>+'11. Final Load Forecast'!$M$27</f>
        <v>1439933</v>
      </c>
      <c r="F73" s="187">
        <f t="shared" si="10"/>
        <v>0.1443906750073316</v>
      </c>
      <c r="G73" s="94">
        <f>+'11. Final Load Forecast'!$M$28</f>
        <v>3416</v>
      </c>
      <c r="H73" s="484">
        <f t="shared" si="11"/>
        <v>2.1709792876842536E-3</v>
      </c>
    </row>
    <row r="74" spans="2:8" x14ac:dyDescent="0.2">
      <c r="B74" s="85">
        <v>2013</v>
      </c>
      <c r="C74" s="94">
        <f>'11. Final Load Forecast'!$N$26</f>
        <v>2696.567749993425</v>
      </c>
      <c r="D74" s="188">
        <f t="shared" si="9"/>
        <v>9.5313659741090128E-4</v>
      </c>
      <c r="E74" s="94">
        <f>+'11. Final Load Forecast'!$N$27</f>
        <v>1454007.8043680072</v>
      </c>
      <c r="F74" s="188">
        <f t="shared" si="10"/>
        <v>9.7746244915612249E-3</v>
      </c>
      <c r="G74" s="94">
        <f>+'11. Final Load Forecast'!$N$28</f>
        <v>3905.6547356588153</v>
      </c>
      <c r="H74" s="485">
        <f t="shared" si="11"/>
        <v>0.14334155025140963</v>
      </c>
    </row>
    <row r="75" spans="2:8" ht="13.5" thickBot="1" x14ac:dyDescent="0.25">
      <c r="B75" s="86">
        <v>2014</v>
      </c>
      <c r="C75" s="96">
        <f>'11. Final Load Forecast'!$O$26</f>
        <v>2699.1379474033415</v>
      </c>
      <c r="D75" s="189">
        <f t="shared" si="9"/>
        <v>9.5313659741084284E-4</v>
      </c>
      <c r="E75" s="96">
        <f>+'11. Final Load Forecast'!$O$27</f>
        <v>1434543.270566449</v>
      </c>
      <c r="F75" s="189">
        <f t="shared" si="10"/>
        <v>-1.3386815217280464E-2</v>
      </c>
      <c r="G75" s="96">
        <f>+'11. Final Load Forecast'!$O$28</f>
        <v>3853.3704574100543</v>
      </c>
      <c r="H75" s="486">
        <f t="shared" si="11"/>
        <v>-1.3386815217280476E-2</v>
      </c>
    </row>
    <row r="77" spans="2:8" ht="13.5" thickBot="1" x14ac:dyDescent="0.25">
      <c r="B77" s="58"/>
      <c r="C77" s="145"/>
      <c r="D77" s="145"/>
      <c r="E77" s="145"/>
      <c r="F77" s="58"/>
    </row>
    <row r="78" spans="2:8" ht="13.5" thickBot="1" x14ac:dyDescent="0.25">
      <c r="B78" s="988" t="str">
        <f>+'11. Final Load Forecast'!B30</f>
        <v>Sentinel Lighting</v>
      </c>
      <c r="C78" s="989"/>
      <c r="D78" s="989"/>
      <c r="E78" s="989"/>
      <c r="F78" s="989"/>
      <c r="G78" s="989"/>
      <c r="H78" s="990"/>
    </row>
    <row r="79" spans="2:8" ht="13.5" thickBot="1" x14ac:dyDescent="0.25">
      <c r="B79" s="81" t="s">
        <v>33</v>
      </c>
      <c r="C79" s="59" t="s">
        <v>48</v>
      </c>
      <c r="D79" s="60" t="s">
        <v>61</v>
      </c>
      <c r="E79" s="482" t="s">
        <v>36</v>
      </c>
      <c r="F79" s="60" t="s">
        <v>61</v>
      </c>
      <c r="G79" s="482" t="s">
        <v>37</v>
      </c>
      <c r="H79" s="483" t="s">
        <v>61</v>
      </c>
    </row>
    <row r="80" spans="2:8" x14ac:dyDescent="0.2">
      <c r="B80" s="82">
        <v>2003</v>
      </c>
      <c r="C80" s="476">
        <f>'11. Final Load Forecast'!$D$30</f>
        <v>55</v>
      </c>
      <c r="D80" s="476"/>
      <c r="E80" s="476">
        <f>+'11. Final Load Forecast'!$D$31</f>
        <v>76063.696059073991</v>
      </c>
      <c r="F80" s="476"/>
      <c r="G80" s="476">
        <f>+'11. Final Load Forecast'!$D$32</f>
        <v>211.35349632855065</v>
      </c>
      <c r="H80" s="477"/>
    </row>
    <row r="81" spans="2:8" x14ac:dyDescent="0.2">
      <c r="B81" s="83">
        <v>2004</v>
      </c>
      <c r="C81" s="94">
        <f>'11. Final Load Forecast'!$E$30</f>
        <v>55</v>
      </c>
      <c r="D81" s="187">
        <f t="shared" ref="D81:D91" si="12">(C81-C80)/C80</f>
        <v>0</v>
      </c>
      <c r="E81" s="94">
        <f>+'11. Final Load Forecast'!$E$31</f>
        <v>76442.150921409208</v>
      </c>
      <c r="F81" s="187">
        <f t="shared" ref="F81:F91" si="13">(E81-E80)/E80</f>
        <v>4.9754992452811396E-3</v>
      </c>
      <c r="G81" s="94">
        <f>+'11. Final Load Forecast'!$E$32</f>
        <v>212.33930811502557</v>
      </c>
      <c r="H81" s="484">
        <f t="shared" ref="H81:H91" si="14">(G81-G80)/G80</f>
        <v>4.6642795297905746E-3</v>
      </c>
    </row>
    <row r="82" spans="2:8" x14ac:dyDescent="0.2">
      <c r="B82" s="83">
        <v>2005</v>
      </c>
      <c r="C82" s="94">
        <f>'11. Final Load Forecast'!$F$30</f>
        <v>58</v>
      </c>
      <c r="D82" s="187">
        <f t="shared" si="12"/>
        <v>5.4545454545454543E-2</v>
      </c>
      <c r="E82" s="94">
        <f>+'11. Final Load Forecast'!$F$31</f>
        <v>81053.799492218415</v>
      </c>
      <c r="F82" s="187">
        <f t="shared" si="13"/>
        <v>6.0328608172609911E-2</v>
      </c>
      <c r="G82" s="94">
        <f>+'11. Final Load Forecast'!$F$32</f>
        <v>225.03441398199672</v>
      </c>
      <c r="H82" s="484">
        <f t="shared" si="14"/>
        <v>5.9786885337754454E-2</v>
      </c>
    </row>
    <row r="83" spans="2:8" x14ac:dyDescent="0.2">
      <c r="B83" s="83">
        <v>2006</v>
      </c>
      <c r="C83" s="94">
        <f>'11. Final Load Forecast'!$G$30</f>
        <v>59.5</v>
      </c>
      <c r="D83" s="187">
        <f t="shared" si="12"/>
        <v>2.5862068965517241E-2</v>
      </c>
      <c r="E83" s="94">
        <f>+'11. Final Load Forecast'!$G$31</f>
        <v>78799.687128734338</v>
      </c>
      <c r="F83" s="187">
        <f t="shared" si="13"/>
        <v>-2.7810076487536941E-2</v>
      </c>
      <c r="G83" s="94">
        <f>+'11. Final Load Forecast'!$G$32</f>
        <v>222.10830015479695</v>
      </c>
      <c r="H83" s="484">
        <f t="shared" si="14"/>
        <v>-1.3002961526737271E-2</v>
      </c>
    </row>
    <row r="84" spans="2:8" x14ac:dyDescent="0.2">
      <c r="B84" s="84">
        <v>2007</v>
      </c>
      <c r="C84" s="94">
        <f>'11. Final Load Forecast'!$H$30</f>
        <v>55</v>
      </c>
      <c r="D84" s="187">
        <f t="shared" si="12"/>
        <v>-7.5630252100840331E-2</v>
      </c>
      <c r="E84" s="94">
        <f>+'11. Final Load Forecast'!$H$31</f>
        <v>54122.065561244759</v>
      </c>
      <c r="F84" s="187">
        <f t="shared" si="13"/>
        <v>-0.31316902981066375</v>
      </c>
      <c r="G84" s="94">
        <f>+'11. Final Load Forecast'!$H$32</f>
        <v>219.09108054779566</v>
      </c>
      <c r="H84" s="484">
        <f t="shared" si="14"/>
        <v>-1.3584452291510325E-2</v>
      </c>
    </row>
    <row r="85" spans="2:8" x14ac:dyDescent="0.2">
      <c r="B85" s="84">
        <v>2008</v>
      </c>
      <c r="C85" s="94">
        <f>'11. Final Load Forecast'!$I$30</f>
        <v>53</v>
      </c>
      <c r="D85" s="187">
        <f t="shared" si="12"/>
        <v>-3.6363636363636362E-2</v>
      </c>
      <c r="E85" s="94">
        <f>+'11. Final Load Forecast'!$I$31</f>
        <v>43758</v>
      </c>
      <c r="F85" s="187">
        <f t="shared" si="13"/>
        <v>-0.19149427232256572</v>
      </c>
      <c r="G85" s="94">
        <f>+'11. Final Load Forecast'!$I$32</f>
        <v>132</v>
      </c>
      <c r="H85" s="484">
        <f t="shared" si="14"/>
        <v>-0.39751084494193439</v>
      </c>
    </row>
    <row r="86" spans="2:8" x14ac:dyDescent="0.2">
      <c r="B86" s="84">
        <v>2009</v>
      </c>
      <c r="C86" s="94">
        <f>'11. Final Load Forecast'!$J$30</f>
        <v>54</v>
      </c>
      <c r="D86" s="187">
        <f t="shared" si="12"/>
        <v>1.8867924528301886E-2</v>
      </c>
      <c r="E86" s="94">
        <f>+'11. Final Load Forecast'!$J$31</f>
        <v>41938</v>
      </c>
      <c r="F86" s="187">
        <f t="shared" si="13"/>
        <v>-4.1592394533571005E-2</v>
      </c>
      <c r="G86" s="94">
        <f>+'11. Final Load Forecast'!$J$32</f>
        <v>132</v>
      </c>
      <c r="H86" s="484">
        <f t="shared" si="14"/>
        <v>0</v>
      </c>
    </row>
    <row r="87" spans="2:8" x14ac:dyDescent="0.2">
      <c r="B87" s="84">
        <v>2010</v>
      </c>
      <c r="C87" s="94">
        <f>'11. Final Load Forecast'!$K$30</f>
        <v>54</v>
      </c>
      <c r="D87" s="187">
        <f t="shared" si="12"/>
        <v>0</v>
      </c>
      <c r="E87" s="94">
        <f>+'11. Final Load Forecast'!$K$31</f>
        <v>44355</v>
      </c>
      <c r="F87" s="187">
        <f t="shared" si="13"/>
        <v>5.7632695884400779E-2</v>
      </c>
      <c r="G87" s="94">
        <f>+'11. Final Load Forecast'!$K$32</f>
        <v>132</v>
      </c>
      <c r="H87" s="484">
        <f t="shared" si="14"/>
        <v>0</v>
      </c>
    </row>
    <row r="88" spans="2:8" x14ac:dyDescent="0.2">
      <c r="B88" s="84">
        <v>2011</v>
      </c>
      <c r="C88" s="94">
        <f>'11. Final Load Forecast'!$L$30</f>
        <v>54</v>
      </c>
      <c r="D88" s="187">
        <f t="shared" si="12"/>
        <v>0</v>
      </c>
      <c r="E88" s="94">
        <f>+'11. Final Load Forecast'!$L$31</f>
        <v>42943</v>
      </c>
      <c r="F88" s="187">
        <f t="shared" si="13"/>
        <v>-3.1834066057941604E-2</v>
      </c>
      <c r="G88" s="94">
        <f>+'11. Final Load Forecast'!$L$32</f>
        <v>132</v>
      </c>
      <c r="H88" s="484">
        <f t="shared" si="14"/>
        <v>0</v>
      </c>
    </row>
    <row r="89" spans="2:8" x14ac:dyDescent="0.2">
      <c r="B89" s="84">
        <v>2012</v>
      </c>
      <c r="C89" s="94">
        <f>'11. Final Load Forecast'!$M$30</f>
        <v>54</v>
      </c>
      <c r="D89" s="187">
        <f t="shared" si="12"/>
        <v>0</v>
      </c>
      <c r="E89" s="94">
        <f>+'11. Final Load Forecast'!$M$31</f>
        <v>43818</v>
      </c>
      <c r="F89" s="187">
        <f t="shared" si="13"/>
        <v>2.0375847053070349E-2</v>
      </c>
      <c r="G89" s="94">
        <f>+'11. Final Load Forecast'!$M$32</f>
        <v>132</v>
      </c>
      <c r="H89" s="484">
        <f t="shared" si="14"/>
        <v>0</v>
      </c>
    </row>
    <row r="90" spans="2:8" x14ac:dyDescent="0.2">
      <c r="B90" s="85">
        <v>2013</v>
      </c>
      <c r="C90" s="94">
        <f>'11. Final Load Forecast'!$N$30</f>
        <v>53.890017322054852</v>
      </c>
      <c r="D90" s="188">
        <f t="shared" si="12"/>
        <v>-2.036716258243474E-3</v>
      </c>
      <c r="E90" s="94">
        <f>+'11. Final Load Forecast'!$N$31</f>
        <v>44246.304495971228</v>
      </c>
      <c r="F90" s="188">
        <f t="shared" si="13"/>
        <v>9.7746244915611815E-3</v>
      </c>
      <c r="G90" s="94">
        <f>+'11. Final Load Forecast'!$N$32</f>
        <v>134.62335169787229</v>
      </c>
      <c r="H90" s="485">
        <f t="shared" si="14"/>
        <v>1.9873876499032536E-2</v>
      </c>
    </row>
    <row r="91" spans="2:8" ht="13.5" thickBot="1" x14ac:dyDescent="0.25">
      <c r="B91" s="86">
        <v>2014</v>
      </c>
      <c r="C91" s="96">
        <f>'11. Final Load Forecast'!$O$30</f>
        <v>53.780258647617998</v>
      </c>
      <c r="D91" s="189">
        <f t="shared" si="12"/>
        <v>-2.0367162582435225E-3</v>
      </c>
      <c r="E91" s="96">
        <f>+'11. Final Load Forecast'!$O$31</f>
        <v>43653.987393636133</v>
      </c>
      <c r="F91" s="189">
        <f t="shared" si="13"/>
        <v>-1.338681521728052E-2</v>
      </c>
      <c r="G91" s="96">
        <f>+'11. Final Load Forecast'!$O$32</f>
        <v>132.82117376476191</v>
      </c>
      <c r="H91" s="486">
        <f t="shared" si="14"/>
        <v>-1.3386815217280532E-2</v>
      </c>
    </row>
    <row r="93" spans="2:8" ht="13.5" thickBot="1" x14ac:dyDescent="0.25"/>
    <row r="94" spans="2:8" ht="13.5" thickBot="1" x14ac:dyDescent="0.25">
      <c r="B94" s="988" t="str">
        <f>+'11. Final Load Forecast'!B34</f>
        <v>General Service 3000-4999 kW</v>
      </c>
      <c r="C94" s="989"/>
      <c r="D94" s="989"/>
      <c r="E94" s="989"/>
      <c r="F94" s="989"/>
      <c r="G94" s="989"/>
      <c r="H94" s="990"/>
    </row>
    <row r="95" spans="2:8" ht="13.5" thickBot="1" x14ac:dyDescent="0.25">
      <c r="B95" s="81" t="s">
        <v>33</v>
      </c>
      <c r="C95" s="59" t="s">
        <v>48</v>
      </c>
      <c r="D95" s="60" t="s">
        <v>61</v>
      </c>
      <c r="E95" s="482" t="s">
        <v>36</v>
      </c>
      <c r="F95" s="60" t="s">
        <v>61</v>
      </c>
      <c r="G95" s="482" t="s">
        <v>37</v>
      </c>
      <c r="H95" s="483" t="s">
        <v>61</v>
      </c>
    </row>
    <row r="96" spans="2:8" x14ac:dyDescent="0.2">
      <c r="B96" s="82">
        <v>2003</v>
      </c>
      <c r="C96" s="476">
        <f>'11. Final Load Forecast'!$D$34</f>
        <v>1</v>
      </c>
      <c r="D96" s="476"/>
      <c r="E96" s="476">
        <f>+'11. Final Load Forecast'!$D$35</f>
        <v>23443190</v>
      </c>
      <c r="F96" s="476"/>
      <c r="G96" s="476">
        <f>+'11. Final Load Forecast'!$D$36</f>
        <v>48478.95</v>
      </c>
      <c r="H96" s="477"/>
    </row>
    <row r="97" spans="2:8" x14ac:dyDescent="0.2">
      <c r="B97" s="83">
        <v>2004</v>
      </c>
      <c r="C97" s="94">
        <f>'11. Final Load Forecast'!$E$34</f>
        <v>1</v>
      </c>
      <c r="D97" s="187">
        <f t="shared" ref="D97:D107" si="15">(C97-C96)/C96</f>
        <v>0</v>
      </c>
      <c r="E97" s="94">
        <f>+'11. Final Load Forecast'!$E$35</f>
        <v>20583615.100000001</v>
      </c>
      <c r="F97" s="187">
        <f t="shared" ref="F97:F107" si="16">(E97-E96)/E96</f>
        <v>-0.12197891583867206</v>
      </c>
      <c r="G97" s="94">
        <f>+'11. Final Load Forecast'!$E$36</f>
        <v>46226.600000000006</v>
      </c>
      <c r="H97" s="484">
        <f t="shared" ref="H97:H107" si="17">(G97-G96)/G96</f>
        <v>-4.646037094450254E-2</v>
      </c>
    </row>
    <row r="98" spans="2:8" x14ac:dyDescent="0.2">
      <c r="B98" s="83">
        <v>2005</v>
      </c>
      <c r="C98" s="94">
        <f>'11. Final Load Forecast'!$F$34</f>
        <v>1</v>
      </c>
      <c r="D98" s="187">
        <f t="shared" si="15"/>
        <v>0</v>
      </c>
      <c r="E98" s="94">
        <f>+'11. Final Load Forecast'!$F$35</f>
        <v>18805505.400000002</v>
      </c>
      <c r="F98" s="187">
        <f t="shared" si="16"/>
        <v>-8.638471382998214E-2</v>
      </c>
      <c r="G98" s="94">
        <f>+'11. Final Load Forecast'!$F$36</f>
        <v>40463.800000000003</v>
      </c>
      <c r="H98" s="484">
        <f t="shared" si="17"/>
        <v>-0.12466415440460692</v>
      </c>
    </row>
    <row r="99" spans="2:8" x14ac:dyDescent="0.2">
      <c r="B99" s="83">
        <v>2006</v>
      </c>
      <c r="C99" s="94">
        <f>'11. Final Load Forecast'!$G$34</f>
        <v>1</v>
      </c>
      <c r="D99" s="187">
        <f t="shared" si="15"/>
        <v>0</v>
      </c>
      <c r="E99" s="94">
        <f>+'11. Final Load Forecast'!$G$35</f>
        <v>19554366.59</v>
      </c>
      <c r="F99" s="187">
        <f t="shared" si="16"/>
        <v>3.9821380711203724E-2</v>
      </c>
      <c r="G99" s="94">
        <f>+'11. Final Load Forecast'!$G$36</f>
        <v>49628.899999999994</v>
      </c>
      <c r="H99" s="484">
        <f t="shared" si="17"/>
        <v>0.22650121837296525</v>
      </c>
    </row>
    <row r="100" spans="2:8" x14ac:dyDescent="0.2">
      <c r="B100" s="84">
        <v>2007</v>
      </c>
      <c r="C100" s="94">
        <f>'11. Final Load Forecast'!$H$34</f>
        <v>1</v>
      </c>
      <c r="D100" s="187">
        <f t="shared" si="15"/>
        <v>0</v>
      </c>
      <c r="E100" s="94">
        <f>+'11. Final Load Forecast'!$H$35</f>
        <v>19036344.470000003</v>
      </c>
      <c r="F100" s="187">
        <f t="shared" si="16"/>
        <v>-2.6491378159234833E-2</v>
      </c>
      <c r="G100" s="94">
        <f>+'11. Final Load Forecast'!$H$36</f>
        <v>45255.720000000008</v>
      </c>
      <c r="H100" s="484">
        <f t="shared" si="17"/>
        <v>-8.8117608893205093E-2</v>
      </c>
    </row>
    <row r="101" spans="2:8" x14ac:dyDescent="0.2">
      <c r="B101" s="84">
        <v>2008</v>
      </c>
      <c r="C101" s="94">
        <f>'11. Final Load Forecast'!$I$34</f>
        <v>1</v>
      </c>
      <c r="D101" s="187">
        <f t="shared" si="15"/>
        <v>0</v>
      </c>
      <c r="E101" s="94">
        <f>+'11. Final Load Forecast'!$I$35</f>
        <v>15051682</v>
      </c>
      <c r="F101" s="187">
        <f t="shared" si="16"/>
        <v>-0.20931867860867734</v>
      </c>
      <c r="G101" s="94">
        <f>+'11. Final Load Forecast'!$I$36</f>
        <v>42335.9</v>
      </c>
      <c r="H101" s="484">
        <f t="shared" si="17"/>
        <v>-6.4518253162252334E-2</v>
      </c>
    </row>
    <row r="102" spans="2:8" x14ac:dyDescent="0.2">
      <c r="B102" s="84">
        <v>2009</v>
      </c>
      <c r="C102" s="94">
        <f>'11. Final Load Forecast'!$J$34</f>
        <v>1</v>
      </c>
      <c r="D102" s="187">
        <f t="shared" si="15"/>
        <v>0</v>
      </c>
      <c r="E102" s="94">
        <f>+'11. Final Load Forecast'!$J$35</f>
        <v>15193348</v>
      </c>
      <c r="F102" s="187">
        <f t="shared" si="16"/>
        <v>9.4119713663894846E-3</v>
      </c>
      <c r="G102" s="94">
        <f>+'11. Final Load Forecast'!$J$36</f>
        <v>39662.6</v>
      </c>
      <c r="H102" s="484">
        <f t="shared" si="17"/>
        <v>-6.314499042184063E-2</v>
      </c>
    </row>
    <row r="103" spans="2:8" x14ac:dyDescent="0.2">
      <c r="B103" s="84">
        <v>2010</v>
      </c>
      <c r="C103" s="94">
        <f>'11. Final Load Forecast'!$K$34</f>
        <v>1</v>
      </c>
      <c r="D103" s="187">
        <f t="shared" si="15"/>
        <v>0</v>
      </c>
      <c r="E103" s="94">
        <f>+'11. Final Load Forecast'!$K$35</f>
        <v>13952451</v>
      </c>
      <c r="F103" s="187">
        <f t="shared" si="16"/>
        <v>-8.1673703518144916E-2</v>
      </c>
      <c r="G103" s="94">
        <f>+'11. Final Load Forecast'!$K$36</f>
        <v>37942.600000000006</v>
      </c>
      <c r="H103" s="484">
        <f t="shared" si="17"/>
        <v>-4.3365790442381306E-2</v>
      </c>
    </row>
    <row r="104" spans="2:8" x14ac:dyDescent="0.2">
      <c r="B104" s="84">
        <v>2011</v>
      </c>
      <c r="C104" s="94">
        <f>'11. Final Load Forecast'!$L$34</f>
        <v>1</v>
      </c>
      <c r="D104" s="187">
        <f t="shared" si="15"/>
        <v>0</v>
      </c>
      <c r="E104" s="94">
        <f>+'11. Final Load Forecast'!$L$35</f>
        <v>12584229</v>
      </c>
      <c r="F104" s="187">
        <f t="shared" si="16"/>
        <v>-9.8063200508641812E-2</v>
      </c>
      <c r="G104" s="94">
        <f>+'11. Final Load Forecast'!$L$36</f>
        <v>36603.599999999999</v>
      </c>
      <c r="H104" s="484">
        <f t="shared" si="17"/>
        <v>-3.5290148803719487E-2</v>
      </c>
    </row>
    <row r="105" spans="2:8" x14ac:dyDescent="0.2">
      <c r="B105" s="84">
        <v>2012</v>
      </c>
      <c r="C105" s="94">
        <f>'11. Final Load Forecast'!$M$34</f>
        <v>1</v>
      </c>
      <c r="D105" s="187">
        <f t="shared" si="15"/>
        <v>0</v>
      </c>
      <c r="E105" s="94">
        <f>+'11. Final Load Forecast'!$M$35</f>
        <v>14943860</v>
      </c>
      <c r="F105" s="187">
        <f t="shared" si="16"/>
        <v>0.18750699784627251</v>
      </c>
      <c r="G105" s="94">
        <f>+'11. Final Load Forecast'!$M$36</f>
        <v>33867.5</v>
      </c>
      <c r="H105" s="484">
        <f t="shared" si="17"/>
        <v>-7.4749478193401706E-2</v>
      </c>
    </row>
    <row r="106" spans="2:8" x14ac:dyDescent="0.2">
      <c r="B106" s="85">
        <v>2013</v>
      </c>
      <c r="C106" s="94">
        <f>'11. Final Load Forecast'!$N$34</f>
        <v>1</v>
      </c>
      <c r="D106" s="188">
        <f t="shared" si="15"/>
        <v>0</v>
      </c>
      <c r="E106" s="94">
        <f>+'11. Final Load Forecast'!$N$35</f>
        <v>15089930.619954463</v>
      </c>
      <c r="F106" s="188">
        <f t="shared" si="16"/>
        <v>9.7746244915612891E-3</v>
      </c>
      <c r="G106" s="94">
        <f>+'11. Final Load Forecast'!$N$36</f>
        <v>37269.727733739157</v>
      </c>
      <c r="H106" s="485">
        <f t="shared" si="17"/>
        <v>0.10045700845173565</v>
      </c>
    </row>
    <row r="107" spans="2:8" ht="13.5" thickBot="1" x14ac:dyDescent="0.25">
      <c r="B107" s="86">
        <v>2014</v>
      </c>
      <c r="C107" s="96">
        <f>'11. Final Load Forecast'!$O$34</f>
        <v>1</v>
      </c>
      <c r="D107" s="189">
        <f t="shared" si="15"/>
        <v>0</v>
      </c>
      <c r="E107" s="96">
        <f>+'11. Final Load Forecast'!$O$35</f>
        <v>14887924.507103547</v>
      </c>
      <c r="F107" s="189">
        <f t="shared" si="16"/>
        <v>-1.338681521728065E-2</v>
      </c>
      <c r="G107" s="96">
        <f>+'11. Final Load Forecast'!$O$36</f>
        <v>36770.80477536923</v>
      </c>
      <c r="H107" s="486">
        <f t="shared" si="17"/>
        <v>-1.3386815217280678E-2</v>
      </c>
    </row>
    <row r="109" spans="2:8" ht="13.5" thickBot="1" x14ac:dyDescent="0.25"/>
    <row r="110" spans="2:8" ht="13.5" thickBot="1" x14ac:dyDescent="0.25">
      <c r="B110" s="988" t="str">
        <f>+'11. Final Load Forecast'!B38</f>
        <v>Unmetered Scattered Load</v>
      </c>
      <c r="C110" s="989"/>
      <c r="D110" s="989"/>
      <c r="E110" s="989"/>
      <c r="F110" s="989"/>
      <c r="G110" s="989"/>
      <c r="H110" s="990"/>
    </row>
    <row r="111" spans="2:8" ht="13.5" thickBot="1" x14ac:dyDescent="0.25">
      <c r="B111" s="81" t="s">
        <v>33</v>
      </c>
      <c r="C111" s="59" t="s">
        <v>48</v>
      </c>
      <c r="D111" s="60" t="s">
        <v>61</v>
      </c>
      <c r="E111" s="482" t="s">
        <v>36</v>
      </c>
      <c r="F111" s="60" t="s">
        <v>61</v>
      </c>
      <c r="G111" s="482" t="s">
        <v>37</v>
      </c>
      <c r="H111" s="483" t="s">
        <v>61</v>
      </c>
    </row>
    <row r="112" spans="2:8" x14ac:dyDescent="0.2">
      <c r="B112" s="82">
        <v>2003</v>
      </c>
      <c r="C112" s="476">
        <f>'11. Final Load Forecast'!$D$39</f>
        <v>595250.77752402704</v>
      </c>
      <c r="D112" s="476"/>
      <c r="E112" s="476">
        <f>+'11. Final Load Forecast'!$D$39</f>
        <v>595250.77752402704</v>
      </c>
      <c r="F112" s="476"/>
      <c r="G112" s="477">
        <f>+'11. Final Load Forecast'!$D$40</f>
        <v>0</v>
      </c>
      <c r="H112" s="477"/>
    </row>
    <row r="113" spans="2:8" x14ac:dyDescent="0.2">
      <c r="B113" s="83">
        <v>2004</v>
      </c>
      <c r="C113" s="94">
        <f>'11. Final Load Forecast'!$E$38</f>
        <v>80.5</v>
      </c>
      <c r="D113" s="187">
        <f t="shared" ref="D113:D123" si="18">(C113-C112)/C112</f>
        <v>-0.99986476288139459</v>
      </c>
      <c r="E113" s="94">
        <f>+'11. Final Load Forecast'!$E$39</f>
        <v>605328</v>
      </c>
      <c r="F113" s="187">
        <f t="shared" ref="F113:F123" si="19">(E113-E112)/E112</f>
        <v>1.6929373058342953E-2</v>
      </c>
      <c r="G113" s="95">
        <f>+'11. Final Load Forecast'!$E$40</f>
        <v>0</v>
      </c>
      <c r="H113" s="484" t="e">
        <f t="shared" ref="H113:H123" si="20">(G113-G112)/G112</f>
        <v>#DIV/0!</v>
      </c>
    </row>
    <row r="114" spans="2:8" x14ac:dyDescent="0.2">
      <c r="B114" s="83">
        <v>2005</v>
      </c>
      <c r="C114" s="94">
        <f>'11. Final Load Forecast'!$F$38</f>
        <v>90</v>
      </c>
      <c r="D114" s="187">
        <f t="shared" si="18"/>
        <v>0.11801242236024845</v>
      </c>
      <c r="E114" s="94">
        <f>+'11. Final Load Forecast'!$F$39</f>
        <v>720399.74271798297</v>
      </c>
      <c r="F114" s="187">
        <f t="shared" si="19"/>
        <v>0.1900981661479115</v>
      </c>
      <c r="G114" s="95">
        <f>+'11. Final Load Forecast'!$F$40</f>
        <v>0</v>
      </c>
      <c r="H114" s="484" t="e">
        <f t="shared" si="20"/>
        <v>#DIV/0!</v>
      </c>
    </row>
    <row r="115" spans="2:8" x14ac:dyDescent="0.2">
      <c r="B115" s="83">
        <v>2006</v>
      </c>
      <c r="C115" s="94">
        <f>'11. Final Load Forecast'!$G$38</f>
        <v>95.5</v>
      </c>
      <c r="D115" s="187">
        <f t="shared" si="18"/>
        <v>6.1111111111111109E-2</v>
      </c>
      <c r="E115" s="94">
        <f>+'11. Final Load Forecast'!$G$39</f>
        <v>747874.03424722515</v>
      </c>
      <c r="F115" s="187">
        <f t="shared" si="19"/>
        <v>3.8137564327251051E-2</v>
      </c>
      <c r="G115" s="95">
        <f>+'11. Final Load Forecast'!$G$40</f>
        <v>0</v>
      </c>
      <c r="H115" s="484" t="e">
        <f t="shared" si="20"/>
        <v>#DIV/0!</v>
      </c>
    </row>
    <row r="116" spans="2:8" x14ac:dyDescent="0.2">
      <c r="B116" s="84">
        <v>2007</v>
      </c>
      <c r="C116" s="94">
        <f>'11. Final Load Forecast'!$H$38</f>
        <v>95</v>
      </c>
      <c r="D116" s="187">
        <f t="shared" si="18"/>
        <v>-5.235602094240838E-3</v>
      </c>
      <c r="E116" s="94">
        <f>+'11. Final Load Forecast'!$H$39</f>
        <v>716622.84621952369</v>
      </c>
      <c r="F116" s="187">
        <f t="shared" si="19"/>
        <v>-4.1786700161555196E-2</v>
      </c>
      <c r="G116" s="95">
        <f>+'11. Final Load Forecast'!$H$40</f>
        <v>0</v>
      </c>
      <c r="H116" s="484" t="e">
        <f t="shared" si="20"/>
        <v>#DIV/0!</v>
      </c>
    </row>
    <row r="117" spans="2:8" x14ac:dyDescent="0.2">
      <c r="B117" s="84">
        <v>2008</v>
      </c>
      <c r="C117" s="94">
        <f>'11. Final Load Forecast'!$I$38</f>
        <v>96</v>
      </c>
      <c r="D117" s="187">
        <f t="shared" si="18"/>
        <v>1.0526315789473684E-2</v>
      </c>
      <c r="E117" s="94">
        <f>+'11. Final Load Forecast'!$I$39</f>
        <v>659574</v>
      </c>
      <c r="F117" s="187">
        <f t="shared" si="19"/>
        <v>-7.9607908847003001E-2</v>
      </c>
      <c r="G117" s="95">
        <f>+'11. Final Load Forecast'!$I$40</f>
        <v>0</v>
      </c>
      <c r="H117" s="484" t="e">
        <f t="shared" si="20"/>
        <v>#DIV/0!</v>
      </c>
    </row>
    <row r="118" spans="2:8" x14ac:dyDescent="0.2">
      <c r="B118" s="84">
        <v>2009</v>
      </c>
      <c r="C118" s="94">
        <f>'11. Final Load Forecast'!$J$38</f>
        <v>94.5</v>
      </c>
      <c r="D118" s="187">
        <f t="shared" si="18"/>
        <v>-1.5625E-2</v>
      </c>
      <c r="E118" s="94">
        <f>+'11. Final Load Forecast'!$J$39</f>
        <v>627467</v>
      </c>
      <c r="F118" s="187">
        <f t="shared" si="19"/>
        <v>-4.8678389384663436E-2</v>
      </c>
      <c r="G118" s="95">
        <f>+'11. Final Load Forecast'!$J$40</f>
        <v>0</v>
      </c>
      <c r="H118" s="484" t="e">
        <f t="shared" si="20"/>
        <v>#DIV/0!</v>
      </c>
    </row>
    <row r="119" spans="2:8" x14ac:dyDescent="0.2">
      <c r="B119" s="84">
        <v>2010</v>
      </c>
      <c r="C119" s="94">
        <f>'11. Final Load Forecast'!$K$38</f>
        <v>93.5</v>
      </c>
      <c r="D119" s="187">
        <f t="shared" si="18"/>
        <v>-1.0582010582010581E-2</v>
      </c>
      <c r="E119" s="94">
        <f>+'11. Final Load Forecast'!$K$39</f>
        <v>668402</v>
      </c>
      <c r="F119" s="187">
        <f t="shared" si="19"/>
        <v>6.5238490629786108E-2</v>
      </c>
      <c r="G119" s="95">
        <f>+'11. Final Load Forecast'!$K$40</f>
        <v>0</v>
      </c>
      <c r="H119" s="484" t="e">
        <f t="shared" si="20"/>
        <v>#DIV/0!</v>
      </c>
    </row>
    <row r="120" spans="2:8" x14ac:dyDescent="0.2">
      <c r="B120" s="84">
        <v>2011</v>
      </c>
      <c r="C120" s="94">
        <f>'11. Final Load Forecast'!$L$38</f>
        <v>93</v>
      </c>
      <c r="D120" s="187">
        <f t="shared" si="18"/>
        <v>-5.3475935828877002E-3</v>
      </c>
      <c r="E120" s="94">
        <f>+'11. Final Load Forecast'!$L$39</f>
        <v>555548</v>
      </c>
      <c r="F120" s="187">
        <f t="shared" si="19"/>
        <v>-0.16884150556102465</v>
      </c>
      <c r="G120" s="95">
        <f>+'11. Final Load Forecast'!$L$40</f>
        <v>0</v>
      </c>
      <c r="H120" s="484" t="e">
        <f t="shared" si="20"/>
        <v>#DIV/0!</v>
      </c>
    </row>
    <row r="121" spans="2:8" x14ac:dyDescent="0.2">
      <c r="B121" s="84">
        <v>2012</v>
      </c>
      <c r="C121" s="94">
        <f>'11. Final Load Forecast'!$M$38</f>
        <v>90</v>
      </c>
      <c r="D121" s="187">
        <f t="shared" si="18"/>
        <v>-3.2258064516129031E-2</v>
      </c>
      <c r="E121" s="94">
        <f>+'11. Final Load Forecast'!$M$39</f>
        <v>602228</v>
      </c>
      <c r="F121" s="187">
        <f t="shared" si="19"/>
        <v>8.4025142741941297E-2</v>
      </c>
      <c r="G121" s="95">
        <f>+'11. Final Load Forecast'!$M$40</f>
        <v>0</v>
      </c>
      <c r="H121" s="484" t="e">
        <f t="shared" si="20"/>
        <v>#DIV/0!</v>
      </c>
    </row>
    <row r="122" spans="2:8" x14ac:dyDescent="0.2">
      <c r="B122" s="85">
        <v>2013</v>
      </c>
      <c r="C122" s="94">
        <f>'11. Final Load Forecast'!$N$38</f>
        <v>92.771578681015399</v>
      </c>
      <c r="D122" s="188">
        <f t="shared" si="18"/>
        <v>3.0795318677948873E-2</v>
      </c>
      <c r="E122" s="94">
        <f>+'11. Final Load Forecast'!$N$39</f>
        <v>608114.55255830393</v>
      </c>
      <c r="F122" s="188">
        <f t="shared" si="19"/>
        <v>9.7746244915612145E-3</v>
      </c>
      <c r="G122" s="95">
        <f>+'11. Final Load Forecast'!$N$40</f>
        <v>0</v>
      </c>
      <c r="H122" s="485" t="e">
        <f t="shared" si="20"/>
        <v>#DIV/0!</v>
      </c>
    </row>
    <row r="123" spans="2:8" ht="13.5" thickBot="1" x14ac:dyDescent="0.25">
      <c r="B123" s="86">
        <v>2014</v>
      </c>
      <c r="C123" s="96">
        <f>'11. Final Load Forecast'!$O$38</f>
        <v>95.628509010753675</v>
      </c>
      <c r="D123" s="189">
        <f t="shared" si="18"/>
        <v>3.0795318677948862E-2</v>
      </c>
      <c r="E123" s="96">
        <f>+'11. Final Load Forecast'!$O$39</f>
        <v>599973.83541226666</v>
      </c>
      <c r="F123" s="189">
        <f t="shared" si="19"/>
        <v>-1.3386815217280561E-2</v>
      </c>
      <c r="G123" s="97">
        <f>+'11. Final Load Forecast'!$O$40</f>
        <v>0</v>
      </c>
      <c r="H123" s="486" t="e">
        <f t="shared" si="20"/>
        <v>#DIV/0!</v>
      </c>
    </row>
  </sheetData>
  <mergeCells count="7">
    <mergeCell ref="B14:H14"/>
    <mergeCell ref="B78:H78"/>
    <mergeCell ref="B94:H94"/>
    <mergeCell ref="B110:H110"/>
    <mergeCell ref="B62:H62"/>
    <mergeCell ref="B46:H46"/>
    <mergeCell ref="B30:H30"/>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4:S82"/>
  <sheetViews>
    <sheetView workbookViewId="0">
      <selection activeCell="C14" sqref="C14"/>
    </sheetView>
  </sheetViews>
  <sheetFormatPr defaultRowHeight="12.75" x14ac:dyDescent="0.2"/>
  <cols>
    <col min="1" max="1" width="9.33203125" style="813"/>
    <col min="2" max="2" width="17.1640625" style="813" bestFit="1" customWidth="1"/>
    <col min="3" max="3" width="28.33203125" style="813" customWidth="1"/>
    <col min="4" max="4" width="14" style="813" bestFit="1" customWidth="1"/>
    <col min="5" max="5" width="14.1640625" style="821" bestFit="1" customWidth="1"/>
    <col min="6" max="16384" width="9.33203125" style="813"/>
  </cols>
  <sheetData>
    <row r="4" spans="2:19" ht="31.5" x14ac:dyDescent="0.25">
      <c r="B4" s="811" t="s">
        <v>33</v>
      </c>
      <c r="C4" s="812" t="s">
        <v>295</v>
      </c>
      <c r="S4" s="814" t="s">
        <v>296</v>
      </c>
    </row>
    <row r="5" spans="2:19" ht="15.75" x14ac:dyDescent="0.25">
      <c r="B5" s="815">
        <v>2006</v>
      </c>
      <c r="C5" s="816"/>
      <c r="S5" s="817">
        <v>1</v>
      </c>
    </row>
    <row r="6" spans="2:19" ht="15.75" x14ac:dyDescent="0.25">
      <c r="B6" s="815">
        <v>2007</v>
      </c>
      <c r="C6" s="816"/>
      <c r="S6" s="817">
        <v>2</v>
      </c>
    </row>
    <row r="7" spans="2:19" ht="15.75" x14ac:dyDescent="0.25">
      <c r="B7" s="815">
        <v>2008</v>
      </c>
      <c r="C7" s="816"/>
      <c r="S7" s="817">
        <v>3</v>
      </c>
    </row>
    <row r="8" spans="2:19" ht="15.75" x14ac:dyDescent="0.25">
      <c r="B8" s="815">
        <v>2009</v>
      </c>
      <c r="C8" s="816"/>
      <c r="S8" s="817">
        <v>4</v>
      </c>
    </row>
    <row r="9" spans="2:19" ht="15.75" x14ac:dyDescent="0.25">
      <c r="B9" s="815">
        <v>2010</v>
      </c>
      <c r="C9" s="816"/>
      <c r="S9" s="817">
        <v>5</v>
      </c>
    </row>
    <row r="10" spans="2:19" ht="15.75" x14ac:dyDescent="0.25">
      <c r="B10" s="815">
        <v>2011</v>
      </c>
      <c r="C10" s="816">
        <f>(1.4+0.1)*1000000</f>
        <v>1500000</v>
      </c>
      <c r="S10" s="817">
        <v>6</v>
      </c>
    </row>
    <row r="11" spans="2:19" ht="15.75" x14ac:dyDescent="0.25">
      <c r="B11" s="815">
        <v>2012</v>
      </c>
      <c r="C11" s="816">
        <f>(1.4+0.7)*1000000</f>
        <v>2099999.9999999995</v>
      </c>
      <c r="S11" s="817">
        <v>7</v>
      </c>
    </row>
    <row r="12" spans="2:19" ht="15.75" x14ac:dyDescent="0.25">
      <c r="B12" s="815">
        <v>2013</v>
      </c>
      <c r="C12" s="816">
        <f>(1.4+0.7+0.8+0.18)*1000000</f>
        <v>3079999.9999999995</v>
      </c>
      <c r="S12" s="817">
        <v>8</v>
      </c>
    </row>
    <row r="13" spans="2:19" ht="15.75" x14ac:dyDescent="0.25">
      <c r="B13" s="815">
        <v>2014</v>
      </c>
      <c r="C13" s="816">
        <f>(1.3+0.7+0.8+1.2)*1000000</f>
        <v>4000000</v>
      </c>
      <c r="S13" s="817">
        <v>9</v>
      </c>
    </row>
    <row r="14" spans="2:19" ht="15.75" x14ac:dyDescent="0.25">
      <c r="B14" s="818">
        <v>2015</v>
      </c>
      <c r="C14" s="816">
        <f>1.6*1000000</f>
        <v>1600000</v>
      </c>
      <c r="S14" s="817">
        <v>10</v>
      </c>
    </row>
    <row r="15" spans="2:19" ht="15.75" x14ac:dyDescent="0.25">
      <c r="S15" s="817">
        <v>11</v>
      </c>
    </row>
    <row r="16" spans="2:19" ht="15.75" x14ac:dyDescent="0.25">
      <c r="S16" s="817">
        <v>12</v>
      </c>
    </row>
    <row r="17" spans="2:19" ht="15.75" x14ac:dyDescent="0.25">
      <c r="S17" s="819">
        <f>SUM(S5:S16)</f>
        <v>78</v>
      </c>
    </row>
    <row r="19" spans="2:19" x14ac:dyDescent="0.2">
      <c r="B19" s="813" t="s">
        <v>297</v>
      </c>
      <c r="C19" s="821">
        <f>C10/S17</f>
        <v>19230.76923076923</v>
      </c>
      <c r="E19" s="821">
        <f>C19*1.0565</f>
        <v>20317.307692307691</v>
      </c>
    </row>
    <row r="20" spans="2:19" x14ac:dyDescent="0.2">
      <c r="B20" s="813" t="s">
        <v>298</v>
      </c>
      <c r="C20" s="821">
        <f>C19*(S6/S5)</f>
        <v>38461.538461538461</v>
      </c>
      <c r="E20" s="821">
        <f t="shared" ref="E20:E82" si="0">C20*1.0565</f>
        <v>40634.615384615383</v>
      </c>
    </row>
    <row r="21" spans="2:19" x14ac:dyDescent="0.2">
      <c r="B21" s="813" t="s">
        <v>299</v>
      </c>
      <c r="C21" s="821">
        <f t="shared" ref="C21:C30" si="1">C20*(S7/S6)</f>
        <v>57692.307692307688</v>
      </c>
      <c r="E21" s="821">
        <f t="shared" si="0"/>
        <v>60951.923076923071</v>
      </c>
    </row>
    <row r="22" spans="2:19" x14ac:dyDescent="0.2">
      <c r="B22" s="813" t="s">
        <v>300</v>
      </c>
      <c r="C22" s="821">
        <f t="shared" si="1"/>
        <v>76923.076923076907</v>
      </c>
      <c r="E22" s="821">
        <f t="shared" si="0"/>
        <v>81269.230769230751</v>
      </c>
    </row>
    <row r="23" spans="2:19" x14ac:dyDescent="0.2">
      <c r="B23" s="813" t="s">
        <v>301</v>
      </c>
      <c r="C23" s="821">
        <f t="shared" si="1"/>
        <v>96153.846153846127</v>
      </c>
      <c r="E23" s="821">
        <f t="shared" si="0"/>
        <v>101586.53846153844</v>
      </c>
    </row>
    <row r="24" spans="2:19" x14ac:dyDescent="0.2">
      <c r="B24" s="813" t="s">
        <v>302</v>
      </c>
      <c r="C24" s="821">
        <f t="shared" si="1"/>
        <v>115384.61538461535</v>
      </c>
      <c r="E24" s="821">
        <f t="shared" si="0"/>
        <v>121903.84615384611</v>
      </c>
    </row>
    <row r="25" spans="2:19" x14ac:dyDescent="0.2">
      <c r="B25" s="813" t="s">
        <v>304</v>
      </c>
      <c r="C25" s="821">
        <f t="shared" si="1"/>
        <v>134615.38461538457</v>
      </c>
      <c r="E25" s="821">
        <f t="shared" si="0"/>
        <v>142221.15384615379</v>
      </c>
    </row>
    <row r="26" spans="2:19" x14ac:dyDescent="0.2">
      <c r="B26" s="813" t="s">
        <v>305</v>
      </c>
      <c r="C26" s="821">
        <f t="shared" si="1"/>
        <v>153846.15384615379</v>
      </c>
      <c r="E26" s="821">
        <f t="shared" si="0"/>
        <v>162538.46153846147</v>
      </c>
    </row>
    <row r="27" spans="2:19" x14ac:dyDescent="0.2">
      <c r="B27" s="813" t="s">
        <v>306</v>
      </c>
      <c r="C27" s="821">
        <f t="shared" si="1"/>
        <v>173076.92307692301</v>
      </c>
      <c r="E27" s="821">
        <f t="shared" si="0"/>
        <v>182855.76923076916</v>
      </c>
    </row>
    <row r="28" spans="2:19" x14ac:dyDescent="0.2">
      <c r="B28" s="813" t="s">
        <v>307</v>
      </c>
      <c r="C28" s="821">
        <f t="shared" si="1"/>
        <v>192307.69230769222</v>
      </c>
      <c r="E28" s="821">
        <f t="shared" si="0"/>
        <v>203173.07692307682</v>
      </c>
    </row>
    <row r="29" spans="2:19" x14ac:dyDescent="0.2">
      <c r="B29" s="813" t="s">
        <v>308</v>
      </c>
      <c r="C29" s="821">
        <f t="shared" si="1"/>
        <v>211538.46153846147</v>
      </c>
      <c r="E29" s="821">
        <f t="shared" si="0"/>
        <v>223490.38461538454</v>
      </c>
    </row>
    <row r="30" spans="2:19" x14ac:dyDescent="0.2">
      <c r="B30" s="813" t="s">
        <v>309</v>
      </c>
      <c r="C30" s="821">
        <f t="shared" si="1"/>
        <v>230769.23076923069</v>
      </c>
      <c r="D30" s="820">
        <f>SUM(C19:C30)</f>
        <v>1499999.9999999995</v>
      </c>
      <c r="E30" s="821">
        <f t="shared" si="0"/>
        <v>243807.69230769222</v>
      </c>
    </row>
    <row r="31" spans="2:19" x14ac:dyDescent="0.2">
      <c r="C31" s="821"/>
    </row>
    <row r="32" spans="2:19" x14ac:dyDescent="0.2">
      <c r="B32" s="813" t="s">
        <v>313</v>
      </c>
      <c r="C32" s="821">
        <f>C11/S17</f>
        <v>26923.076923076918</v>
      </c>
      <c r="E32" s="821">
        <f t="shared" si="0"/>
        <v>28444.230769230766</v>
      </c>
    </row>
    <row r="33" spans="2:5" x14ac:dyDescent="0.2">
      <c r="B33" s="813" t="s">
        <v>314</v>
      </c>
      <c r="C33" s="821">
        <f>C32*(S6/S5)</f>
        <v>53846.153846153837</v>
      </c>
      <c r="E33" s="821">
        <f t="shared" si="0"/>
        <v>56888.461538461532</v>
      </c>
    </row>
    <row r="34" spans="2:5" x14ac:dyDescent="0.2">
      <c r="B34" s="813" t="s">
        <v>315</v>
      </c>
      <c r="C34" s="821">
        <f>C33*(S7/S6)</f>
        <v>80769.230769230751</v>
      </c>
      <c r="E34" s="821">
        <f t="shared" si="0"/>
        <v>85332.692307692283</v>
      </c>
    </row>
    <row r="35" spans="2:5" x14ac:dyDescent="0.2">
      <c r="B35" s="813" t="s">
        <v>316</v>
      </c>
      <c r="C35" s="821">
        <f t="shared" ref="C35:C43" si="2">C34*(S8/S7)</f>
        <v>107692.30769230766</v>
      </c>
      <c r="E35" s="821">
        <f t="shared" si="0"/>
        <v>113776.92307692303</v>
      </c>
    </row>
    <row r="36" spans="2:5" x14ac:dyDescent="0.2">
      <c r="B36" s="813" t="s">
        <v>317</v>
      </c>
      <c r="C36" s="821">
        <f t="shared" si="2"/>
        <v>134615.38461538457</v>
      </c>
      <c r="E36" s="821">
        <f t="shared" si="0"/>
        <v>142221.15384615379</v>
      </c>
    </row>
    <row r="37" spans="2:5" x14ac:dyDescent="0.2">
      <c r="B37" s="813" t="s">
        <v>318</v>
      </c>
      <c r="C37" s="821">
        <f t="shared" si="2"/>
        <v>161538.46153846147</v>
      </c>
      <c r="E37" s="821">
        <f t="shared" si="0"/>
        <v>170665.38461538454</v>
      </c>
    </row>
    <row r="38" spans="2:5" x14ac:dyDescent="0.2">
      <c r="B38" s="813" t="s">
        <v>303</v>
      </c>
      <c r="C38" s="821">
        <f t="shared" si="2"/>
        <v>188461.53846153841</v>
      </c>
      <c r="E38" s="821">
        <f t="shared" si="0"/>
        <v>199109.61538461532</v>
      </c>
    </row>
    <row r="39" spans="2:5" x14ac:dyDescent="0.2">
      <c r="B39" s="813" t="s">
        <v>319</v>
      </c>
      <c r="C39" s="821">
        <f t="shared" si="2"/>
        <v>215384.61538461532</v>
      </c>
      <c r="E39" s="821">
        <f t="shared" si="0"/>
        <v>227553.84615384607</v>
      </c>
    </row>
    <row r="40" spans="2:5" x14ac:dyDescent="0.2">
      <c r="B40" s="813" t="s">
        <v>320</v>
      </c>
      <c r="C40" s="821">
        <f t="shared" si="2"/>
        <v>242307.69230769222</v>
      </c>
      <c r="E40" s="821">
        <f t="shared" si="0"/>
        <v>255998.07692307682</v>
      </c>
    </row>
    <row r="41" spans="2:5" x14ac:dyDescent="0.2">
      <c r="B41" s="813" t="s">
        <v>321</v>
      </c>
      <c r="C41" s="821">
        <f t="shared" si="2"/>
        <v>269230.76923076913</v>
      </c>
      <c r="E41" s="821">
        <f t="shared" si="0"/>
        <v>284442.30769230757</v>
      </c>
    </row>
    <row r="42" spans="2:5" x14ac:dyDescent="0.2">
      <c r="B42" s="813" t="s">
        <v>322</v>
      </c>
      <c r="C42" s="821">
        <f t="shared" si="2"/>
        <v>296153.84615384607</v>
      </c>
      <c r="E42" s="821">
        <f t="shared" si="0"/>
        <v>312886.53846153838</v>
      </c>
    </row>
    <row r="43" spans="2:5" x14ac:dyDescent="0.2">
      <c r="B43" s="813" t="s">
        <v>310</v>
      </c>
      <c r="C43" s="821">
        <f t="shared" si="2"/>
        <v>323076.92307692295</v>
      </c>
      <c r="D43" s="820">
        <f>SUM(C32:C43)</f>
        <v>2099999.9999999991</v>
      </c>
      <c r="E43" s="821">
        <f t="shared" si="0"/>
        <v>341330.76923076907</v>
      </c>
    </row>
    <row r="45" spans="2:5" x14ac:dyDescent="0.2">
      <c r="B45" s="813" t="s">
        <v>323</v>
      </c>
      <c r="C45" s="821">
        <f>C12/S17</f>
        <v>39487.179487179485</v>
      </c>
      <c r="E45" s="821">
        <f t="shared" si="0"/>
        <v>41718.205128205125</v>
      </c>
    </row>
    <row r="46" spans="2:5" x14ac:dyDescent="0.2">
      <c r="B46" s="813" t="s">
        <v>324</v>
      </c>
      <c r="C46" s="821">
        <f>C45*(S6/S5)</f>
        <v>78974.358974358969</v>
      </c>
      <c r="E46" s="821">
        <f t="shared" si="0"/>
        <v>83436.41025641025</v>
      </c>
    </row>
    <row r="47" spans="2:5" x14ac:dyDescent="0.2">
      <c r="B47" s="813" t="s">
        <v>325</v>
      </c>
      <c r="C47" s="821">
        <f t="shared" ref="C47:C56" si="3">C46*(S7/S6)</f>
        <v>118461.53846153845</v>
      </c>
      <c r="E47" s="821">
        <f t="shared" si="0"/>
        <v>125154.61538461538</v>
      </c>
    </row>
    <row r="48" spans="2:5" x14ac:dyDescent="0.2">
      <c r="B48" s="813" t="s">
        <v>326</v>
      </c>
      <c r="C48" s="821">
        <f t="shared" si="3"/>
        <v>157948.71794871794</v>
      </c>
      <c r="E48" s="821">
        <f t="shared" si="0"/>
        <v>166872.8205128205</v>
      </c>
    </row>
    <row r="49" spans="2:5" x14ac:dyDescent="0.2">
      <c r="B49" s="813" t="s">
        <v>327</v>
      </c>
      <c r="C49" s="821">
        <f t="shared" si="3"/>
        <v>197435.89743589744</v>
      </c>
      <c r="E49" s="821">
        <f t="shared" si="0"/>
        <v>208591.02564102566</v>
      </c>
    </row>
    <row r="50" spans="2:5" x14ac:dyDescent="0.2">
      <c r="B50" s="813" t="s">
        <v>328</v>
      </c>
      <c r="C50" s="821">
        <f t="shared" si="3"/>
        <v>236923.07692307691</v>
      </c>
      <c r="E50" s="821">
        <f t="shared" si="0"/>
        <v>250309.23076923075</v>
      </c>
    </row>
    <row r="51" spans="2:5" x14ac:dyDescent="0.2">
      <c r="B51" s="813" t="s">
        <v>329</v>
      </c>
      <c r="C51" s="821">
        <f t="shared" si="3"/>
        <v>276410.25641025644</v>
      </c>
      <c r="E51" s="821">
        <f t="shared" si="0"/>
        <v>292027.43589743593</v>
      </c>
    </row>
    <row r="52" spans="2:5" x14ac:dyDescent="0.2">
      <c r="B52" s="813" t="s">
        <v>330</v>
      </c>
      <c r="C52" s="821">
        <f t="shared" si="3"/>
        <v>315897.43589743593</v>
      </c>
      <c r="E52" s="821">
        <f t="shared" si="0"/>
        <v>333745.64102564106</v>
      </c>
    </row>
    <row r="53" spans="2:5" x14ac:dyDescent="0.2">
      <c r="B53" s="813" t="s">
        <v>331</v>
      </c>
      <c r="C53" s="821">
        <f t="shared" si="3"/>
        <v>355384.61538461543</v>
      </c>
      <c r="E53" s="821">
        <f t="shared" si="0"/>
        <v>375463.84615384619</v>
      </c>
    </row>
    <row r="54" spans="2:5" x14ac:dyDescent="0.2">
      <c r="B54" s="813" t="s">
        <v>332</v>
      </c>
      <c r="C54" s="821">
        <f t="shared" si="3"/>
        <v>394871.79487179493</v>
      </c>
      <c r="E54" s="821">
        <f t="shared" si="0"/>
        <v>417182.05128205137</v>
      </c>
    </row>
    <row r="55" spans="2:5" x14ac:dyDescent="0.2">
      <c r="B55" s="813" t="s">
        <v>333</v>
      </c>
      <c r="C55" s="821">
        <f t="shared" si="3"/>
        <v>434358.97435897449</v>
      </c>
      <c r="E55" s="821">
        <f t="shared" si="0"/>
        <v>458900.25641025655</v>
      </c>
    </row>
    <row r="56" spans="2:5" x14ac:dyDescent="0.2">
      <c r="B56" s="813" t="s">
        <v>311</v>
      </c>
      <c r="C56" s="821">
        <f t="shared" si="3"/>
        <v>473846.15384615393</v>
      </c>
      <c r="D56" s="820">
        <f>SUM(C45:C56)</f>
        <v>3080000.0000000005</v>
      </c>
      <c r="E56" s="821">
        <f t="shared" si="0"/>
        <v>500618.46153846162</v>
      </c>
    </row>
    <row r="58" spans="2:5" x14ac:dyDescent="0.2">
      <c r="B58" s="813" t="s">
        <v>334</v>
      </c>
      <c r="C58" s="821">
        <f>C13/S17</f>
        <v>51282.051282051281</v>
      </c>
      <c r="E58" s="821">
        <f t="shared" si="0"/>
        <v>54179.48717948718</v>
      </c>
    </row>
    <row r="59" spans="2:5" x14ac:dyDescent="0.2">
      <c r="B59" s="813" t="s">
        <v>335</v>
      </c>
      <c r="C59" s="821">
        <f>C58*(S6/S5)</f>
        <v>102564.10256410256</v>
      </c>
      <c r="E59" s="821">
        <f t="shared" si="0"/>
        <v>108358.97435897436</v>
      </c>
    </row>
    <row r="60" spans="2:5" x14ac:dyDescent="0.2">
      <c r="B60" s="813" t="s">
        <v>336</v>
      </c>
      <c r="C60" s="821">
        <f t="shared" ref="C60:C69" si="4">C59*(S7/S6)</f>
        <v>153846.15384615384</v>
      </c>
      <c r="E60" s="821">
        <f t="shared" si="0"/>
        <v>162538.46153846153</v>
      </c>
    </row>
    <row r="61" spans="2:5" x14ac:dyDescent="0.2">
      <c r="B61" s="813" t="s">
        <v>337</v>
      </c>
      <c r="C61" s="821">
        <f t="shared" si="4"/>
        <v>205128.20512820513</v>
      </c>
      <c r="E61" s="821">
        <f t="shared" si="0"/>
        <v>216717.94871794872</v>
      </c>
    </row>
    <row r="62" spans="2:5" x14ac:dyDescent="0.2">
      <c r="B62" s="813" t="s">
        <v>338</v>
      </c>
      <c r="C62" s="821">
        <f t="shared" si="4"/>
        <v>256410.25641025641</v>
      </c>
      <c r="E62" s="821">
        <f t="shared" si="0"/>
        <v>270897.43589743588</v>
      </c>
    </row>
    <row r="63" spans="2:5" x14ac:dyDescent="0.2">
      <c r="B63" s="813" t="s">
        <v>339</v>
      </c>
      <c r="C63" s="821">
        <f t="shared" si="4"/>
        <v>307692.30769230769</v>
      </c>
      <c r="E63" s="821">
        <f t="shared" si="0"/>
        <v>325076.92307692306</v>
      </c>
    </row>
    <row r="64" spans="2:5" x14ac:dyDescent="0.2">
      <c r="B64" s="813" t="s">
        <v>340</v>
      </c>
      <c r="C64" s="821">
        <f t="shared" si="4"/>
        <v>358974.358974359</v>
      </c>
      <c r="E64" s="821">
        <f t="shared" si="0"/>
        <v>379256.41025641031</v>
      </c>
    </row>
    <row r="65" spans="2:5" x14ac:dyDescent="0.2">
      <c r="B65" s="813" t="s">
        <v>341</v>
      </c>
      <c r="C65" s="821">
        <f t="shared" si="4"/>
        <v>410256.41025641025</v>
      </c>
      <c r="E65" s="821">
        <f t="shared" si="0"/>
        <v>433435.89743589744</v>
      </c>
    </row>
    <row r="66" spans="2:5" x14ac:dyDescent="0.2">
      <c r="B66" s="813" t="s">
        <v>342</v>
      </c>
      <c r="C66" s="821">
        <f t="shared" si="4"/>
        <v>461538.4615384615</v>
      </c>
      <c r="E66" s="821">
        <f t="shared" si="0"/>
        <v>487615.38461538457</v>
      </c>
    </row>
    <row r="67" spans="2:5" x14ac:dyDescent="0.2">
      <c r="B67" s="813" t="s">
        <v>343</v>
      </c>
      <c r="C67" s="821">
        <f t="shared" si="4"/>
        <v>512820.51282051281</v>
      </c>
      <c r="E67" s="821">
        <f t="shared" si="0"/>
        <v>541794.87179487175</v>
      </c>
    </row>
    <row r="68" spans="2:5" x14ac:dyDescent="0.2">
      <c r="B68" s="813" t="s">
        <v>344</v>
      </c>
      <c r="C68" s="821">
        <f t="shared" si="4"/>
        <v>564102.56410256412</v>
      </c>
      <c r="E68" s="821">
        <f t="shared" si="0"/>
        <v>595974.358974359</v>
      </c>
    </row>
    <row r="69" spans="2:5" x14ac:dyDescent="0.2">
      <c r="B69" s="813" t="s">
        <v>312</v>
      </c>
      <c r="C69" s="821">
        <f t="shared" si="4"/>
        <v>615384.61538461538</v>
      </c>
      <c r="D69" s="820">
        <f>SUM(C58:C69)</f>
        <v>4000000.0000000005</v>
      </c>
      <c r="E69" s="821">
        <f t="shared" si="0"/>
        <v>650153.84615384613</v>
      </c>
    </row>
    <row r="71" spans="2:5" x14ac:dyDescent="0.2">
      <c r="B71" s="813" t="s">
        <v>345</v>
      </c>
      <c r="C71" s="821">
        <f>C14/S17</f>
        <v>20512.820512820512</v>
      </c>
      <c r="E71" s="821">
        <f t="shared" si="0"/>
        <v>21671.794871794871</v>
      </c>
    </row>
    <row r="72" spans="2:5" x14ac:dyDescent="0.2">
      <c r="B72" s="813" t="s">
        <v>346</v>
      </c>
      <c r="C72" s="821">
        <f>C71*(S6/S5)</f>
        <v>41025.641025641024</v>
      </c>
      <c r="E72" s="821">
        <f t="shared" si="0"/>
        <v>43343.589743589742</v>
      </c>
    </row>
    <row r="73" spans="2:5" x14ac:dyDescent="0.2">
      <c r="B73" s="813" t="s">
        <v>347</v>
      </c>
      <c r="C73" s="821">
        <f t="shared" ref="C73:C82" si="5">C72*(S7/S6)</f>
        <v>61538.461538461532</v>
      </c>
      <c r="E73" s="821">
        <f t="shared" si="0"/>
        <v>65015.38461538461</v>
      </c>
    </row>
    <row r="74" spans="2:5" x14ac:dyDescent="0.2">
      <c r="B74" s="813" t="s">
        <v>348</v>
      </c>
      <c r="C74" s="821">
        <f t="shared" si="5"/>
        <v>82051.282051282033</v>
      </c>
      <c r="E74" s="821">
        <f t="shared" si="0"/>
        <v>86687.17948717947</v>
      </c>
    </row>
    <row r="75" spans="2:5" x14ac:dyDescent="0.2">
      <c r="B75" s="813" t="s">
        <v>349</v>
      </c>
      <c r="C75" s="821">
        <f t="shared" si="5"/>
        <v>102564.10256410253</v>
      </c>
      <c r="E75" s="821">
        <f t="shared" si="0"/>
        <v>108358.97435897433</v>
      </c>
    </row>
    <row r="76" spans="2:5" x14ac:dyDescent="0.2">
      <c r="B76" s="813" t="s">
        <v>350</v>
      </c>
      <c r="C76" s="821">
        <f t="shared" si="5"/>
        <v>123076.92307692303</v>
      </c>
      <c r="E76" s="821">
        <f t="shared" si="0"/>
        <v>130030.76923076919</v>
      </c>
    </row>
    <row r="77" spans="2:5" x14ac:dyDescent="0.2">
      <c r="B77" s="813" t="s">
        <v>351</v>
      </c>
      <c r="C77" s="821">
        <f t="shared" si="5"/>
        <v>143589.74358974354</v>
      </c>
      <c r="E77" s="821">
        <f t="shared" si="0"/>
        <v>151702.56410256404</v>
      </c>
    </row>
    <row r="78" spans="2:5" x14ac:dyDescent="0.2">
      <c r="B78" s="813" t="s">
        <v>352</v>
      </c>
      <c r="C78" s="821">
        <f t="shared" si="5"/>
        <v>164102.56410256404</v>
      </c>
      <c r="E78" s="821">
        <f t="shared" si="0"/>
        <v>173374.35897435891</v>
      </c>
    </row>
    <row r="79" spans="2:5" x14ac:dyDescent="0.2">
      <c r="B79" s="813" t="s">
        <v>353</v>
      </c>
      <c r="C79" s="821">
        <f t="shared" si="5"/>
        <v>184615.38461538454</v>
      </c>
      <c r="E79" s="821">
        <f t="shared" si="0"/>
        <v>195046.15384615376</v>
      </c>
    </row>
    <row r="80" spans="2:5" x14ac:dyDescent="0.2">
      <c r="B80" s="813" t="s">
        <v>354</v>
      </c>
      <c r="C80" s="821">
        <f t="shared" si="5"/>
        <v>205128.20512820504</v>
      </c>
      <c r="E80" s="821">
        <f t="shared" si="0"/>
        <v>216717.94871794863</v>
      </c>
    </row>
    <row r="81" spans="2:5" x14ac:dyDescent="0.2">
      <c r="B81" s="813" t="s">
        <v>355</v>
      </c>
      <c r="C81" s="821">
        <f t="shared" si="5"/>
        <v>225641.02564102557</v>
      </c>
      <c r="E81" s="821">
        <f t="shared" si="0"/>
        <v>238389.74358974351</v>
      </c>
    </row>
    <row r="82" spans="2:5" x14ac:dyDescent="0.2">
      <c r="B82" s="813" t="s">
        <v>356</v>
      </c>
      <c r="C82" s="821">
        <f t="shared" si="5"/>
        <v>246153.84615384607</v>
      </c>
      <c r="D82" s="820">
        <f>SUM(C71:C82)</f>
        <v>1599999.9999999993</v>
      </c>
      <c r="E82" s="821">
        <f t="shared" si="0"/>
        <v>260061.53846153838</v>
      </c>
    </row>
  </sheetData>
  <pageMargins left="0.7" right="0.7" top="0.75" bottom="0.75" header="0.3" footer="0.3"/>
  <pageSetup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1. LDC Info</vt:lpstr>
      <vt:lpstr>2. Customer Classes</vt:lpstr>
      <vt:lpstr>3. Consumption by Rate Class</vt:lpstr>
      <vt:lpstr>4. Customer Growth</vt:lpstr>
      <vt:lpstr>5.Variables</vt:lpstr>
      <vt:lpstr>6. WS Regression Analysis</vt:lpstr>
      <vt:lpstr>6.1 Regression Scenarios</vt:lpstr>
      <vt:lpstr>7. Weather Senstive Class</vt:lpstr>
      <vt:lpstr>8. KW and Non-Weather Sensitive</vt:lpstr>
      <vt:lpstr>9. Weather Adj LF</vt:lpstr>
      <vt:lpstr>10. CDM Adjustment</vt:lpstr>
      <vt:lpstr>10.1 CDM Allocation</vt:lpstr>
      <vt:lpstr>11. Final Load Forecast</vt:lpstr>
      <vt:lpstr>12. Analysis_ Avg Per Cust</vt:lpstr>
      <vt:lpstr>13. Analysis_Weather adj LF</vt:lpstr>
      <vt:lpstr>A - CDM Adjustment</vt:lpstr>
      <vt:lpstr>AllVariables</vt:lpstr>
      <vt:lpstr>'5.Variables'!Print_Area</vt:lpstr>
      <vt:lpstr>'6. WS Regression Analysis'!Print_Area</vt:lpstr>
      <vt:lpstr>Variable1</vt:lpstr>
      <vt:lpstr>Variable2</vt:lpstr>
      <vt:lpstr>Variable3</vt:lpstr>
      <vt:lpstr>Variable5</vt:lpstr>
      <vt:lpstr>Variable6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2008-02-27T14:40:29Z</dcterms:created>
  <dcterms:modified xsi:type="dcterms:W3CDTF">2016-04-15T15:55:54Z</dcterms:modified>
</cp:coreProperties>
</file>