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~2017 CNPI COS\Rate Design\"/>
    </mc:Choice>
  </mc:AlternateContent>
  <bookViews>
    <workbookView xWindow="720" yWindow="210" windowWidth="27585" windowHeight="12720" firstSheet="6" activeTab="9"/>
  </bookViews>
  <sheets>
    <sheet name="Rates &amp; Forecast" sheetId="2" r:id="rId1"/>
    <sheet name="Class Revenue" sheetId="1" r:id="rId2"/>
    <sheet name="Existing RC Ratio" sheetId="3" r:id="rId3"/>
    <sheet name="RC Ratio Adjustment" sheetId="4" r:id="rId4"/>
    <sheet name="2017 Rate Design" sheetId="5" r:id="rId5"/>
    <sheet name="Floor_Ceiling Review" sheetId="7" r:id="rId6"/>
    <sheet name="Ajustment to F_V Split" sheetId="8" r:id="rId7"/>
    <sheet name="Decoupling" sheetId="10" r:id="rId8"/>
    <sheet name="Rate Comp" sheetId="6" r:id="rId9"/>
    <sheet name="Reconcillation" sheetId="9" r:id="rId10"/>
  </sheets>
  <calcPr calcId="152511" iterate="1" iterateCount="10000"/>
</workbook>
</file>

<file path=xl/calcChain.xml><?xml version="1.0" encoding="utf-8"?>
<calcChain xmlns="http://schemas.openxmlformats.org/spreadsheetml/2006/main">
  <c r="O15" i="9" l="1"/>
  <c r="E14" i="9"/>
  <c r="C7" i="8" l="1"/>
  <c r="C8" i="8"/>
  <c r="C9" i="8"/>
  <c r="E9" i="8" s="1"/>
  <c r="C10" i="8"/>
  <c r="C11" i="8"/>
  <c r="C12" i="8"/>
  <c r="C6" i="8"/>
  <c r="F11" i="10" l="1"/>
  <c r="F13" i="10"/>
  <c r="F14" i="10"/>
  <c r="F10" i="10"/>
  <c r="E9" i="10"/>
  <c r="E10" i="10"/>
  <c r="E11" i="10"/>
  <c r="E12" i="10"/>
  <c r="E13" i="10"/>
  <c r="E14" i="10"/>
  <c r="E8" i="10"/>
  <c r="E15" i="10" s="1"/>
  <c r="D9" i="10"/>
  <c r="D10" i="10"/>
  <c r="D11" i="10"/>
  <c r="D12" i="10"/>
  <c r="D13" i="10"/>
  <c r="D14" i="10"/>
  <c r="D8" i="10"/>
  <c r="D31" i="10"/>
  <c r="F15" i="10" l="1"/>
  <c r="D15" i="10"/>
  <c r="E31" i="10"/>
  <c r="D15" i="9" l="1"/>
  <c r="E15" i="9"/>
  <c r="F15" i="9"/>
  <c r="L15" i="9"/>
  <c r="N15" i="9" s="1"/>
  <c r="D8" i="6"/>
  <c r="D9" i="6"/>
  <c r="D10" i="6"/>
  <c r="D11" i="6"/>
  <c r="D12" i="6"/>
  <c r="D13" i="6"/>
  <c r="D7" i="6"/>
  <c r="C8" i="6"/>
  <c r="C9" i="6"/>
  <c r="C10" i="6"/>
  <c r="C11" i="6"/>
  <c r="C12" i="6"/>
  <c r="C13" i="6"/>
  <c r="C7" i="6"/>
  <c r="C9" i="5"/>
  <c r="F7" i="4"/>
  <c r="F8" i="4"/>
  <c r="F9" i="4"/>
  <c r="F10" i="4"/>
  <c r="F11" i="4"/>
  <c r="F12" i="4"/>
  <c r="C9" i="4"/>
  <c r="D9" i="4"/>
  <c r="D10" i="3"/>
  <c r="C24" i="5" l="1"/>
  <c r="D12" i="1" l="1"/>
  <c r="D11" i="1"/>
  <c r="D9" i="1"/>
  <c r="D24" i="1" s="1"/>
  <c r="D8" i="1"/>
  <c r="D10" i="1"/>
  <c r="D7" i="1"/>
  <c r="D6" i="1"/>
  <c r="C7" i="1"/>
  <c r="C8" i="1"/>
  <c r="C23" i="1" s="1"/>
  <c r="C9" i="1"/>
  <c r="C24" i="1" s="1"/>
  <c r="C10" i="1"/>
  <c r="C11" i="1"/>
  <c r="C12" i="1"/>
  <c r="C6" i="1"/>
  <c r="E24" i="1" l="1"/>
  <c r="E10" i="3" s="1"/>
  <c r="F24" i="1"/>
  <c r="E9" i="1"/>
  <c r="G9" i="1" s="1"/>
  <c r="M14" i="9"/>
  <c r="G24" i="1" l="1"/>
  <c r="E9" i="5" s="1"/>
  <c r="D9" i="5"/>
  <c r="E9" i="4"/>
  <c r="G10" i="3"/>
  <c r="F18" i="9"/>
  <c r="F17" i="9"/>
  <c r="F14" i="9"/>
  <c r="F21" i="9" s="1"/>
  <c r="E13" i="9"/>
  <c r="E16" i="9"/>
  <c r="E17" i="9"/>
  <c r="E18" i="9"/>
  <c r="E12" i="9"/>
  <c r="D13" i="9"/>
  <c r="D14" i="9"/>
  <c r="D16" i="9"/>
  <c r="D17" i="9"/>
  <c r="D18" i="9"/>
  <c r="D12" i="9"/>
  <c r="M21" i="9"/>
  <c r="F9" i="5" l="1"/>
  <c r="D24" i="5"/>
  <c r="G9" i="5"/>
  <c r="E24" i="5"/>
  <c r="E21" i="9"/>
  <c r="D21" i="9"/>
  <c r="G9" i="8" l="1"/>
  <c r="G24" i="5"/>
  <c r="D9" i="8"/>
  <c r="F24" i="5"/>
  <c r="F10" i="7" s="1"/>
  <c r="G10" i="7" s="1"/>
  <c r="F8" i="1"/>
  <c r="C25" i="1"/>
  <c r="C27" i="1"/>
  <c r="C14" i="8"/>
  <c r="C10" i="5"/>
  <c r="C11" i="5"/>
  <c r="L17" i="9" s="1"/>
  <c r="N17" i="9" s="1"/>
  <c r="C12" i="5"/>
  <c r="D7" i="4"/>
  <c r="D8" i="4"/>
  <c r="D10" i="4"/>
  <c r="D11" i="4"/>
  <c r="D12" i="4"/>
  <c r="D6" i="4"/>
  <c r="C7" i="4"/>
  <c r="C8" i="4"/>
  <c r="C10" i="4"/>
  <c r="C11" i="4"/>
  <c r="C12" i="4"/>
  <c r="C6" i="4"/>
  <c r="F15" i="3"/>
  <c r="D9" i="3"/>
  <c r="D11" i="3"/>
  <c r="D12" i="3"/>
  <c r="D13" i="3"/>
  <c r="D8" i="3"/>
  <c r="C15" i="3"/>
  <c r="D27" i="1"/>
  <c r="D26" i="1"/>
  <c r="D22" i="1"/>
  <c r="D25" i="1"/>
  <c r="D21" i="1"/>
  <c r="C22" i="1"/>
  <c r="C26" i="1"/>
  <c r="F14" i="1" l="1"/>
  <c r="D23" i="1"/>
  <c r="E6" i="1"/>
  <c r="G6" i="1" s="1"/>
  <c r="C25" i="5"/>
  <c r="L16" i="9"/>
  <c r="N16" i="9" s="1"/>
  <c r="C27" i="5"/>
  <c r="L18" i="9"/>
  <c r="N18" i="9" s="1"/>
  <c r="D16" i="5"/>
  <c r="C6" i="5"/>
  <c r="L12" i="9" s="1"/>
  <c r="C8" i="5"/>
  <c r="E12" i="1"/>
  <c r="G12" i="1" s="1"/>
  <c r="C14" i="4"/>
  <c r="D14" i="4"/>
  <c r="F6" i="4"/>
  <c r="C26" i="5"/>
  <c r="E7" i="1"/>
  <c r="G7" i="1" s="1"/>
  <c r="E11" i="1"/>
  <c r="G11" i="1" s="1"/>
  <c r="D14" i="1"/>
  <c r="E26" i="1"/>
  <c r="F26" i="1" s="1"/>
  <c r="G26" i="1" s="1"/>
  <c r="E11" i="5" s="1"/>
  <c r="E27" i="1"/>
  <c r="F27" i="1" s="1"/>
  <c r="G27" i="1" s="1"/>
  <c r="E25" i="1"/>
  <c r="F25" i="1" s="1"/>
  <c r="G25" i="1" s="1"/>
  <c r="E10" i="5" s="1"/>
  <c r="E22" i="1"/>
  <c r="E8" i="3" s="1"/>
  <c r="E7" i="4" s="1"/>
  <c r="C21" i="1"/>
  <c r="C14" i="1"/>
  <c r="E10" i="1"/>
  <c r="G10" i="1" s="1"/>
  <c r="E8" i="1"/>
  <c r="G8" i="1" s="1"/>
  <c r="G10" i="5" l="1"/>
  <c r="E25" i="5"/>
  <c r="G11" i="5"/>
  <c r="E26" i="5"/>
  <c r="C7" i="5"/>
  <c r="L13" i="9" s="1"/>
  <c r="N13" i="9" s="1"/>
  <c r="C21" i="5"/>
  <c r="C22" i="5"/>
  <c r="C23" i="5"/>
  <c r="L14" i="9"/>
  <c r="N14" i="9" s="1"/>
  <c r="N12" i="9"/>
  <c r="E12" i="5"/>
  <c r="D12" i="5"/>
  <c r="E13" i="3"/>
  <c r="E12" i="3"/>
  <c r="C29" i="1"/>
  <c r="G14" i="1"/>
  <c r="F22" i="1"/>
  <c r="G8" i="3"/>
  <c r="D10" i="5"/>
  <c r="D11" i="5"/>
  <c r="E11" i="3"/>
  <c r="D29" i="1"/>
  <c r="E21" i="1"/>
  <c r="E14" i="1"/>
  <c r="G26" i="5" l="1"/>
  <c r="G11" i="8"/>
  <c r="F10" i="5"/>
  <c r="D25" i="5"/>
  <c r="G11" i="3"/>
  <c r="E10" i="4"/>
  <c r="G10" i="8"/>
  <c r="G25" i="5"/>
  <c r="G12" i="3"/>
  <c r="E11" i="4"/>
  <c r="F11" i="5"/>
  <c r="D26" i="5"/>
  <c r="H11" i="1"/>
  <c r="H9" i="1"/>
  <c r="F12" i="5"/>
  <c r="D27" i="5"/>
  <c r="G12" i="5"/>
  <c r="E27" i="5"/>
  <c r="G13" i="3"/>
  <c r="E12" i="4"/>
  <c r="C14" i="5"/>
  <c r="C29" i="5"/>
  <c r="L21" i="9"/>
  <c r="N21" i="9" s="1"/>
  <c r="E23" i="1"/>
  <c r="F23" i="1" s="1"/>
  <c r="G22" i="1"/>
  <c r="D7" i="5"/>
  <c r="H6" i="1"/>
  <c r="H12" i="1"/>
  <c r="H10" i="1"/>
  <c r="E7" i="3"/>
  <c r="H8" i="1"/>
  <c r="H7" i="1"/>
  <c r="F21" i="1"/>
  <c r="F27" i="5" l="1"/>
  <c r="F13" i="7" s="1"/>
  <c r="G13" i="7" s="1"/>
  <c r="D12" i="8"/>
  <c r="E12" i="8"/>
  <c r="F26" i="5"/>
  <c r="F12" i="7" s="1"/>
  <c r="G12" i="7" s="1"/>
  <c r="D11" i="8"/>
  <c r="E11" i="8"/>
  <c r="E10" i="8"/>
  <c r="D10" i="8"/>
  <c r="F25" i="5"/>
  <c r="F11" i="7" s="1"/>
  <c r="G11" i="7" s="1"/>
  <c r="G7" i="3"/>
  <c r="E6" i="4"/>
  <c r="F7" i="5"/>
  <c r="D22" i="5"/>
  <c r="G27" i="5"/>
  <c r="G12" i="8"/>
  <c r="E29" i="1"/>
  <c r="F29" i="1" s="1"/>
  <c r="G29" i="1" s="1"/>
  <c r="E9" i="3"/>
  <c r="G21" i="1"/>
  <c r="D6" i="5"/>
  <c r="E7" i="5"/>
  <c r="H14" i="1"/>
  <c r="G23" i="1"/>
  <c r="D8" i="5"/>
  <c r="D23" i="5" s="1"/>
  <c r="E8" i="8" l="1"/>
  <c r="D8" i="8"/>
  <c r="F23" i="5"/>
  <c r="F6" i="5"/>
  <c r="D21" i="5"/>
  <c r="G7" i="5"/>
  <c r="E22" i="5"/>
  <c r="D7" i="8"/>
  <c r="E7" i="8"/>
  <c r="F22" i="5"/>
  <c r="F8" i="7" s="1"/>
  <c r="G8" i="7" s="1"/>
  <c r="G9" i="3"/>
  <c r="E8" i="4"/>
  <c r="E14" i="4" s="1"/>
  <c r="E15" i="3"/>
  <c r="E6" i="5"/>
  <c r="F8" i="5"/>
  <c r="D14" i="5"/>
  <c r="E8" i="5"/>
  <c r="E23" i="5" s="1"/>
  <c r="G8" i="8" l="1"/>
  <c r="G23" i="5"/>
  <c r="G7" i="8"/>
  <c r="G22" i="5"/>
  <c r="G6" i="5"/>
  <c r="E21" i="5"/>
  <c r="E6" i="8"/>
  <c r="D6" i="8"/>
  <c r="D14" i="8" s="1"/>
  <c r="F21" i="5"/>
  <c r="F7" i="7" s="1"/>
  <c r="G7" i="7" s="1"/>
  <c r="D29" i="5"/>
  <c r="G14" i="4"/>
  <c r="C16" i="4"/>
  <c r="F9" i="7"/>
  <c r="G9" i="7" s="1"/>
  <c r="G8" i="5"/>
  <c r="E14" i="5"/>
  <c r="E29" i="5"/>
  <c r="G6" i="8" l="1"/>
  <c r="G14" i="8" s="1"/>
  <c r="G21" i="5"/>
  <c r="F6" i="8"/>
  <c r="I6" i="8" s="1"/>
  <c r="H6" i="8" s="1"/>
  <c r="J6" i="8"/>
  <c r="G8" i="10" s="1"/>
  <c r="J8" i="10" s="1"/>
  <c r="K6" i="8" l="1"/>
  <c r="H8" i="10" s="1"/>
  <c r="K8" i="10" s="1"/>
  <c r="L8" i="10" s="1"/>
  <c r="F20" i="10"/>
  <c r="N8" i="10" l="1"/>
  <c r="F21" i="10"/>
  <c r="F22" i="10" s="1"/>
  <c r="F24" i="10" s="1"/>
  <c r="G31" i="10" s="1"/>
  <c r="M8" i="10"/>
  <c r="F7" i="6" l="1"/>
  <c r="I7" i="6" s="1"/>
  <c r="G12" i="9"/>
  <c r="J31" i="10"/>
  <c r="H31" i="10"/>
  <c r="G7" i="6" l="1"/>
  <c r="J7" i="6" s="1"/>
  <c r="H12" i="9"/>
  <c r="J12" i="9" s="1"/>
  <c r="K31" i="10"/>
  <c r="L31" i="10"/>
  <c r="L33" i="10" s="1"/>
  <c r="M31" i="10" l="1"/>
  <c r="N31" i="10"/>
  <c r="O12" i="9"/>
  <c r="F7" i="8"/>
  <c r="I7" i="8" s="1"/>
  <c r="H7" i="8" s="1"/>
  <c r="J7" i="8"/>
  <c r="G9" i="10" s="1"/>
  <c r="J9" i="10" s="1"/>
  <c r="F8" i="8"/>
  <c r="I8" i="8" s="1"/>
  <c r="H8" i="8" s="1"/>
  <c r="K8" i="8" s="1"/>
  <c r="J8" i="8"/>
  <c r="G10" i="10" s="1"/>
  <c r="J10" i="10" s="1"/>
  <c r="I9" i="8"/>
  <c r="H9" i="8" s="1"/>
  <c r="K9" i="8" s="1"/>
  <c r="J9" i="8"/>
  <c r="G11" i="10" s="1"/>
  <c r="J11" i="10" s="1"/>
  <c r="F10" i="8"/>
  <c r="I10" i="8" s="1"/>
  <c r="H10" i="8" s="1"/>
  <c r="K10" i="8" s="1"/>
  <c r="J10" i="8"/>
  <c r="G16" i="9" s="1"/>
  <c r="F11" i="8"/>
  <c r="I11" i="8" s="1"/>
  <c r="H11" i="8" s="1"/>
  <c r="K11" i="8" s="1"/>
  <c r="J11" i="8"/>
  <c r="G13" i="10" s="1"/>
  <c r="J13" i="10" s="1"/>
  <c r="F12" i="8"/>
  <c r="I12" i="8"/>
  <c r="H12" i="8" s="1"/>
  <c r="K12" i="8" s="1"/>
  <c r="J12" i="8"/>
  <c r="G18" i="9" s="1"/>
  <c r="E14" i="8"/>
  <c r="F12" i="6"/>
  <c r="I12" i="6" s="1"/>
  <c r="G14" i="9"/>
  <c r="G17" i="9"/>
  <c r="F9" i="6" l="1"/>
  <c r="I9" i="6" s="1"/>
  <c r="G12" i="10"/>
  <c r="J12" i="10" s="1"/>
  <c r="F11" i="6"/>
  <c r="I11" i="6" s="1"/>
  <c r="F13" i="6"/>
  <c r="I13" i="6" s="1"/>
  <c r="F8" i="6"/>
  <c r="I8" i="6" s="1"/>
  <c r="G13" i="9"/>
  <c r="G14" i="10"/>
  <c r="J14" i="10" s="1"/>
  <c r="J15" i="10" s="1"/>
  <c r="F10" i="6"/>
  <c r="I10" i="6" s="1"/>
  <c r="G15" i="9"/>
  <c r="H14" i="8"/>
  <c r="C16" i="8" s="1"/>
  <c r="K7" i="8"/>
  <c r="I10" i="10"/>
  <c r="K10" i="10" s="1"/>
  <c r="L10" i="10" s="1"/>
  <c r="M10" i="10" s="1"/>
  <c r="G9" i="6"/>
  <c r="J9" i="6" s="1"/>
  <c r="I14" i="9"/>
  <c r="J14" i="9" s="1"/>
  <c r="O14" i="9" s="1"/>
  <c r="I13" i="10"/>
  <c r="K13" i="10" s="1"/>
  <c r="L13" i="10" s="1"/>
  <c r="M13" i="10" s="1"/>
  <c r="I17" i="9"/>
  <c r="J17" i="9" s="1"/>
  <c r="O17" i="9" s="1"/>
  <c r="G12" i="6"/>
  <c r="J12" i="6" s="1"/>
  <c r="G10" i="6"/>
  <c r="J10" i="6" s="1"/>
  <c r="I15" i="9"/>
  <c r="I11" i="10"/>
  <c r="K11" i="10" s="1"/>
  <c r="L11" i="10" s="1"/>
  <c r="M11" i="10" s="1"/>
  <c r="I14" i="10"/>
  <c r="K14" i="10" s="1"/>
  <c r="G13" i="6"/>
  <c r="J13" i="6" s="1"/>
  <c r="I18" i="9"/>
  <c r="J18" i="9" s="1"/>
  <c r="O18" i="9" s="1"/>
  <c r="H12" i="10"/>
  <c r="K12" i="10" s="1"/>
  <c r="L12" i="10" s="1"/>
  <c r="M12" i="10" s="1"/>
  <c r="G11" i="6"/>
  <c r="J11" i="6" s="1"/>
  <c r="H16" i="9"/>
  <c r="J16" i="9" s="1"/>
  <c r="O16" i="9" s="1"/>
  <c r="J15" i="9" l="1"/>
  <c r="H9" i="10"/>
  <c r="K9" i="10" s="1"/>
  <c r="G8" i="6"/>
  <c r="J8" i="6" s="1"/>
  <c r="H13" i="9"/>
  <c r="J13" i="9" s="1"/>
  <c r="L14" i="10"/>
  <c r="M14" i="10" s="1"/>
  <c r="N13" i="10"/>
  <c r="N12" i="10"/>
  <c r="N10" i="10"/>
  <c r="N11" i="10"/>
  <c r="O13" i="9" l="1"/>
  <c r="J21" i="9"/>
  <c r="O21" i="9" s="1"/>
  <c r="N14" i="10"/>
  <c r="K15" i="10"/>
  <c r="L9" i="10"/>
  <c r="L15" i="10" l="1"/>
  <c r="M15" i="10" s="1"/>
  <c r="M9" i="10"/>
  <c r="N9" i="10"/>
  <c r="N15" i="10" l="1"/>
</calcChain>
</file>

<file path=xl/sharedStrings.xml><?xml version="1.0" encoding="utf-8"?>
<sst xmlns="http://schemas.openxmlformats.org/spreadsheetml/2006/main" count="292" uniqueCount="107">
  <si>
    <t>Residential</t>
  </si>
  <si>
    <t>Street Lighting</t>
  </si>
  <si>
    <t>Sentinel Lighting</t>
  </si>
  <si>
    <t>Fixed Charge</t>
  </si>
  <si>
    <t>Volumetric Charge</t>
  </si>
  <si>
    <t>UOM</t>
  </si>
  <si>
    <t xml:space="preserve">Fixed Component </t>
  </si>
  <si>
    <t>Variable Component</t>
  </si>
  <si>
    <t>Forecast kWh</t>
  </si>
  <si>
    <t>Forecast kW</t>
  </si>
  <si>
    <t>Average Customer (Connection)Count</t>
  </si>
  <si>
    <t>GS Less Than 50 kW</t>
  </si>
  <si>
    <t>GS 50 to 4,999 kW</t>
  </si>
  <si>
    <t>USL</t>
  </si>
  <si>
    <t>Transformer Allowance</t>
  </si>
  <si>
    <t>Existing Distribution Rates and Forecasted Loads &amp; Volumes</t>
  </si>
  <si>
    <t>Distribution Revenue from Rates</t>
  </si>
  <si>
    <t>Net Class Revenue</t>
  </si>
  <si>
    <t>Customer Class</t>
  </si>
  <si>
    <r>
      <t>Variable Component</t>
    </r>
    <r>
      <rPr>
        <vertAlign val="superscript"/>
        <sz val="11"/>
        <color theme="1"/>
        <rFont val="Arial"/>
        <family val="2"/>
      </rPr>
      <t>1</t>
    </r>
  </si>
  <si>
    <t>Notes:</t>
  </si>
  <si>
    <t>1. Exclusive of transformer ownership credit</t>
  </si>
  <si>
    <t>$</t>
  </si>
  <si>
    <t>%</t>
  </si>
  <si>
    <t>Revenue from Existing Rates at Forecasted Loads and Volumes</t>
  </si>
  <si>
    <t>Revenue Share per Class</t>
  </si>
  <si>
    <t>Allocation of Revenue Requirment including Net Income</t>
  </si>
  <si>
    <t>Total</t>
  </si>
  <si>
    <t>kWh</t>
  </si>
  <si>
    <t>kW</t>
  </si>
  <si>
    <t>Fixed and Variable Proportions at Existing Rates</t>
  </si>
  <si>
    <t>Distribution Revenue at Status Quo Rates</t>
  </si>
  <si>
    <t>Deficiency Factor</t>
  </si>
  <si>
    <t>Misc. Revenue</t>
  </si>
  <si>
    <t>Revenue to Cost Ratio</t>
  </si>
  <si>
    <t>85% - 115%</t>
  </si>
  <si>
    <t>80% - 120%</t>
  </si>
  <si>
    <t>Revenue to Cost Ratio Adjustment:</t>
  </si>
  <si>
    <t>Adjusted Distribution Revenue</t>
  </si>
  <si>
    <t>Fixed Component at Existing F/V Split</t>
  </si>
  <si>
    <t>Variable Component at Existing F/V Split</t>
  </si>
  <si>
    <t>Fixed Component</t>
  </si>
  <si>
    <t>Transformer Allowance Addback</t>
  </si>
  <si>
    <t>Revenue Requirement from Rates</t>
  </si>
  <si>
    <t>(Allocated to GS &gt; 50 to 4,999 kW)</t>
  </si>
  <si>
    <t>Revenue Requirement from Rates with Addback</t>
  </si>
  <si>
    <t>Proposed Rates</t>
  </si>
  <si>
    <t>Percent Change</t>
  </si>
  <si>
    <t>Floor</t>
  </si>
  <si>
    <t>Customer Unit Cost per Month Avoided Cost</t>
  </si>
  <si>
    <t>Customer Unit Cost per Month Min. System with PLCC Adj.</t>
  </si>
  <si>
    <t>Ceiling</t>
  </si>
  <si>
    <t>Rate Design at Existing F/V Split</t>
  </si>
  <si>
    <t>Is Rate Design Within Bounds?</t>
  </si>
  <si>
    <t>Balance</t>
  </si>
  <si>
    <t>Derivation of the Test Year Revenue to Cost Ratios</t>
  </si>
  <si>
    <t>as Determined in the Cost Allocation Study</t>
  </si>
  <si>
    <t>Adjustment to the Fixed and Variable Allocations</t>
  </si>
  <si>
    <t>Adjusted Fixed Component Percentage</t>
  </si>
  <si>
    <t>Adjusted Variable Component Percentage</t>
  </si>
  <si>
    <t>Adjusted Fixed Component</t>
  </si>
  <si>
    <t>Adjusted Variable Component</t>
  </si>
  <si>
    <t>Rate Class</t>
  </si>
  <si>
    <t>Customers/ Connections</t>
  </si>
  <si>
    <t>Test Year Consumption</t>
  </si>
  <si>
    <t>Revenues at Proposed Rates</t>
  </si>
  <si>
    <t>Service Revenue Requirement</t>
  </si>
  <si>
    <t>Transformer Allowance Credit</t>
  </si>
  <si>
    <t>Difference</t>
  </si>
  <si>
    <t>Monthly Service Charge</t>
  </si>
  <si>
    <t>Volumetric</t>
  </si>
  <si>
    <t>Customers</t>
  </si>
  <si>
    <t>Connections</t>
  </si>
  <si>
    <t>Balanced?</t>
  </si>
  <si>
    <t>Embedded Distributor</t>
  </si>
  <si>
    <t>Board's Policy Range</t>
  </si>
  <si>
    <t>Adjusted Revenue to Cost Ratio</t>
  </si>
  <si>
    <t>Revenue to Cost Ratio Adjustment</t>
  </si>
  <si>
    <t>1. Reduce Street Lighting to 120% (-$136,356.45)</t>
  </si>
  <si>
    <t>2. Increase USL and Embedded Distributor Revenue to match Residential R/C of 94.62%</t>
  </si>
  <si>
    <t>3. Increase Residential, Embedded Distributor and USL in proportion until revenue balances</t>
  </si>
  <si>
    <t>Determination of 2017 Base Distribution Rates</t>
  </si>
  <si>
    <t xml:space="preserve"> 2017 Distribution Rates with Transformer Allowance Addback</t>
  </si>
  <si>
    <t>Test of 2017 Calculated Monthly Service Charge</t>
  </si>
  <si>
    <t>Existing Rates</t>
  </si>
  <si>
    <t>Comparison of Current Rates to Final Rate Design</t>
  </si>
  <si>
    <t>Proposed Revenues</t>
  </si>
  <si>
    <t>Existing Split</t>
  </si>
  <si>
    <t>Fixed</t>
  </si>
  <si>
    <t>Variable</t>
  </si>
  <si>
    <t>Residential Decoupling</t>
  </si>
  <si>
    <t>Monthly Service Charge to Achieve 100% Recovery</t>
  </si>
  <si>
    <t>Cap Applied to the Annual Increment</t>
  </si>
  <si>
    <t>Decoupled Residential Rates</t>
  </si>
  <si>
    <t>Balance Check</t>
  </si>
  <si>
    <t>Average for 2017</t>
  </si>
  <si>
    <r>
      <t>Revenue Decoupling for the Residential Rate Class - 2</t>
    </r>
    <r>
      <rPr>
        <b/>
        <vertAlign val="superscript"/>
        <sz val="14"/>
        <color theme="1"/>
        <rFont val="Calibri"/>
        <family val="2"/>
        <scheme val="minor"/>
      </rPr>
      <t>nd</t>
    </r>
    <r>
      <rPr>
        <b/>
        <sz val="14"/>
        <color theme="1"/>
        <rFont val="Calibri"/>
        <family val="2"/>
        <scheme val="minor"/>
      </rPr>
      <t xml:space="preserve"> Increment</t>
    </r>
  </si>
  <si>
    <t>Appendix 2-V</t>
  </si>
  <si>
    <t>Revenue Reconciliation</t>
  </si>
  <si>
    <r>
      <t>Fixed Component</t>
    </r>
    <r>
      <rPr>
        <sz val="11"/>
        <color theme="1"/>
        <rFont val="Arial"/>
        <family val="2"/>
      </rPr>
      <t xml:space="preserve"> </t>
    </r>
  </si>
  <si>
    <t>Fixed Component at Adjusted F/V Split</t>
  </si>
  <si>
    <t>Variable Component at Adjusted F/V Split</t>
  </si>
  <si>
    <t>EB-2016-0061</t>
  </si>
  <si>
    <t>Current Monthly Service Charge (post 2017 COS adjustment)</t>
  </si>
  <si>
    <t>Proposed Split</t>
  </si>
  <si>
    <t>Proposed Residential Monthly Service Charge (2nd increment)</t>
  </si>
  <si>
    <t>Annual Increment Required (3 Increments Remaining)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</si>
</sst>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.0000_);_(&quot;$&quot;* \(#,##0.0000\);_(&quot;$&quot;* &quot;-&quot;??_);_(@_)"/>
    <numFmt numFmtId="167" formatCode="_(* #,##0_);_(* \(#,##0\);_(* &quot;-&quot;??_);_(@_)"/>
    <numFmt numFmtId="168" formatCode="_(&quot;$&quot;* #,##0_);_(&quot;$&quot;* \(#,##0\);_(&quot;$&quot;* &quot;-&quot;??_);_(@_)"/>
    <numFmt numFmtId="169" formatCode="0.0%"/>
    <numFmt numFmtId="170" formatCode="_(* #,##0.00000_);_(* \(#,##0.00000\);_(* &quot;-&quot;??_);_(@_)"/>
    <numFmt numFmtId="171" formatCode="_-* #,##0_-;\-* #,##0_-;_-* &quot;-&quot;??_-;_-@_-"/>
    <numFmt numFmtId="172" formatCode="_-&quot;$&quot;* #,##0.0000_-;\-&quot;$&quot;* #,##0.0000_-;_-&quot;$&quot;* &quot;-&quot;??_-;_-@_-"/>
    <numFmt numFmtId="173" formatCode="_-&quot;$&quot;* #,##0_-;\-&quot;$&quot;* #,##0_-;_-&quot;$&quot;* &quot;-&quot;??_-;_-@_-"/>
  </numFmts>
  <fonts count="1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8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2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2" applyFont="1"/>
    <xf numFmtId="166" fontId="0" fillId="0" borderId="0" xfId="2" applyNumberFormat="1" applyFont="1"/>
    <xf numFmtId="167" fontId="0" fillId="0" borderId="0" xfId="1" applyNumberFormat="1" applyFont="1" applyAlignment="1">
      <alignment horizontal="center"/>
    </xf>
    <xf numFmtId="167" fontId="0" fillId="0" borderId="0" xfId="0" applyNumberFormat="1"/>
    <xf numFmtId="168" fontId="0" fillId="0" borderId="0" xfId="2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10" fontId="0" fillId="0" borderId="0" xfId="3" applyNumberFormat="1" applyFont="1"/>
    <xf numFmtId="168" fontId="0" fillId="0" borderId="0" xfId="2" applyNumberFormat="1" applyFont="1"/>
    <xf numFmtId="0" fontId="0" fillId="0" borderId="1" xfId="0" applyBorder="1" applyAlignment="1">
      <alignment horizontal="center" wrapText="1"/>
    </xf>
    <xf numFmtId="167" fontId="0" fillId="0" borderId="1" xfId="1" applyNumberFormat="1" applyFont="1" applyBorder="1" applyAlignment="1">
      <alignment horizontal="center"/>
    </xf>
    <xf numFmtId="164" fontId="0" fillId="0" borderId="1" xfId="2" applyNumberFormat="1" applyFont="1" applyBorder="1"/>
    <xf numFmtId="166" fontId="0" fillId="0" borderId="1" xfId="2" applyNumberFormat="1" applyFont="1" applyBorder="1"/>
    <xf numFmtId="0" fontId="0" fillId="0" borderId="1" xfId="0" applyBorder="1"/>
    <xf numFmtId="164" fontId="0" fillId="0" borderId="5" xfId="2" applyFont="1" applyBorder="1"/>
    <xf numFmtId="166" fontId="0" fillId="0" borderId="0" xfId="2" applyNumberFormat="1" applyFont="1" applyBorder="1"/>
    <xf numFmtId="0" fontId="0" fillId="0" borderId="0" xfId="0" applyBorder="1" applyAlignment="1">
      <alignment horizontal="center"/>
    </xf>
    <xf numFmtId="167" fontId="0" fillId="0" borderId="0" xfId="1" applyNumberFormat="1" applyFont="1" applyBorder="1" applyAlignment="1">
      <alignment horizontal="center"/>
    </xf>
    <xf numFmtId="0" fontId="0" fillId="0" borderId="6" xfId="0" applyBorder="1"/>
    <xf numFmtId="164" fontId="0" fillId="0" borderId="7" xfId="2" applyFont="1" applyBorder="1"/>
    <xf numFmtId="0" fontId="0" fillId="0" borderId="8" xfId="0" applyBorder="1" applyAlignment="1">
      <alignment horizontal="center" wrapText="1"/>
    </xf>
    <xf numFmtId="167" fontId="0" fillId="0" borderId="8" xfId="1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164" fontId="0" fillId="0" borderId="10" xfId="2" applyNumberFormat="1" applyFont="1" applyBorder="1"/>
    <xf numFmtId="167" fontId="0" fillId="0" borderId="11" xfId="1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7" fontId="0" fillId="0" borderId="1" xfId="0" applyNumberFormat="1" applyBorder="1"/>
    <xf numFmtId="169" fontId="0" fillId="0" borderId="1" xfId="3" applyNumberFormat="1" applyFont="1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169" fontId="0" fillId="0" borderId="8" xfId="3" applyNumberFormat="1" applyFont="1" applyBorder="1" applyAlignment="1">
      <alignment horizontal="center"/>
    </xf>
    <xf numFmtId="168" fontId="0" fillId="0" borderId="10" xfId="2" applyNumberFormat="1" applyFont="1" applyBorder="1" applyAlignment="1">
      <alignment horizontal="center"/>
    </xf>
    <xf numFmtId="169" fontId="0" fillId="0" borderId="11" xfId="0" applyNumberFormat="1" applyBorder="1"/>
    <xf numFmtId="0" fontId="0" fillId="0" borderId="1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7" fontId="0" fillId="0" borderId="0" xfId="0" applyNumberFormat="1" applyBorder="1"/>
    <xf numFmtId="169" fontId="0" fillId="0" borderId="10" xfId="3" applyNumberFormat="1" applyFont="1" applyBorder="1" applyAlignment="1">
      <alignment horizontal="center"/>
    </xf>
    <xf numFmtId="169" fontId="0" fillId="0" borderId="11" xfId="3" applyNumberFormat="1" applyFont="1" applyBorder="1" applyAlignment="1">
      <alignment horizontal="center"/>
    </xf>
    <xf numFmtId="170" fontId="0" fillId="0" borderId="1" xfId="0" applyNumberFormat="1" applyBorder="1"/>
    <xf numFmtId="10" fontId="0" fillId="0" borderId="1" xfId="3" applyNumberFormat="1" applyFont="1" applyBorder="1"/>
    <xf numFmtId="0" fontId="0" fillId="0" borderId="7" xfId="0" applyBorder="1" applyAlignment="1">
      <alignment horizontal="center" vertical="center" wrapText="1"/>
    </xf>
    <xf numFmtId="0" fontId="0" fillId="0" borderId="8" xfId="0" applyBorder="1"/>
    <xf numFmtId="168" fontId="0" fillId="0" borderId="10" xfId="2" applyNumberFormat="1" applyFont="1" applyBorder="1"/>
    <xf numFmtId="0" fontId="0" fillId="0" borderId="11" xfId="0" applyBorder="1"/>
    <xf numFmtId="0" fontId="0" fillId="4" borderId="1" xfId="0" applyFill="1" applyBorder="1" applyAlignment="1">
      <alignment horizontal="center" vertical="center" wrapText="1"/>
    </xf>
    <xf numFmtId="10" fontId="0" fillId="4" borderId="1" xfId="3" applyNumberFormat="1" applyFont="1" applyFill="1" applyBorder="1"/>
    <xf numFmtId="0" fontId="0" fillId="4" borderId="1" xfId="0" applyFill="1" applyBorder="1"/>
    <xf numFmtId="0" fontId="0" fillId="4" borderId="10" xfId="0" applyFill="1" applyBorder="1"/>
    <xf numFmtId="10" fontId="0" fillId="3" borderId="1" xfId="3" applyNumberFormat="1" applyFont="1" applyFill="1" applyBorder="1"/>
    <xf numFmtId="10" fontId="0" fillId="0" borderId="1" xfId="3" applyNumberFormat="1" applyFont="1" applyFill="1" applyBorder="1"/>
    <xf numFmtId="168" fontId="0" fillId="0" borderId="11" xfId="0" applyNumberFormat="1" applyBorder="1"/>
    <xf numFmtId="167" fontId="0" fillId="2" borderId="1" xfId="0" applyNumberFormat="1" applyFill="1" applyBorder="1"/>
    <xf numFmtId="166" fontId="0" fillId="0" borderId="8" xfId="2" applyNumberFormat="1" applyFont="1" applyBorder="1"/>
    <xf numFmtId="165" fontId="0" fillId="0" borderId="8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7" fontId="0" fillId="0" borderId="1" xfId="0" applyNumberFormat="1" applyFill="1" applyBorder="1"/>
    <xf numFmtId="164" fontId="0" fillId="0" borderId="1" xfId="0" applyNumberFormat="1" applyBorder="1"/>
    <xf numFmtId="166" fontId="0" fillId="0" borderId="1" xfId="0" applyNumberFormat="1" applyBorder="1"/>
    <xf numFmtId="166" fontId="0" fillId="0" borderId="8" xfId="0" applyNumberFormat="1" applyBorder="1"/>
    <xf numFmtId="167" fontId="0" fillId="0" borderId="10" xfId="0" applyNumberFormat="1" applyBorder="1"/>
    <xf numFmtId="168" fontId="0" fillId="0" borderId="0" xfId="2" applyNumberFormat="1" applyFont="1" applyBorder="1"/>
    <xf numFmtId="167" fontId="4" fillId="0" borderId="0" xfId="0" applyNumberFormat="1" applyFont="1" applyAlignment="1">
      <alignment horizontal="center"/>
    </xf>
    <xf numFmtId="0" fontId="4" fillId="0" borderId="0" xfId="0" applyFont="1"/>
    <xf numFmtId="164" fontId="0" fillId="0" borderId="0" xfId="0" applyNumberFormat="1"/>
    <xf numFmtId="164" fontId="0" fillId="0" borderId="1" xfId="0" applyNumberFormat="1" applyFill="1" applyBorder="1"/>
    <xf numFmtId="0" fontId="7" fillId="0" borderId="16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5" borderId="21" xfId="0" applyFont="1" applyFill="1" applyBorder="1"/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5" borderId="29" xfId="0" applyFont="1" applyFill="1" applyBorder="1"/>
    <xf numFmtId="0" fontId="0" fillId="0" borderId="30" xfId="0" applyBorder="1"/>
    <xf numFmtId="0" fontId="0" fillId="0" borderId="20" xfId="0" applyBorder="1"/>
    <xf numFmtId="0" fontId="0" fillId="0" borderId="31" xfId="0" applyBorder="1" applyAlignment="1">
      <alignment horizontal="center"/>
    </xf>
    <xf numFmtId="0" fontId="0" fillId="0" borderId="31" xfId="0" applyBorder="1"/>
    <xf numFmtId="0" fontId="0" fillId="5" borderId="30" xfId="0" applyFill="1" applyBorder="1"/>
    <xf numFmtId="0" fontId="0" fillId="0" borderId="29" xfId="0" applyBorder="1"/>
    <xf numFmtId="0" fontId="0" fillId="5" borderId="29" xfId="0" applyFill="1" applyBorder="1"/>
    <xf numFmtId="0" fontId="0" fillId="0" borderId="29" xfId="0" applyFill="1" applyBorder="1"/>
    <xf numFmtId="171" fontId="8" fillId="0" borderId="29" xfId="1" applyNumberFormat="1" applyFont="1" applyBorder="1"/>
    <xf numFmtId="171" fontId="8" fillId="0" borderId="29" xfId="1" applyNumberFormat="1" applyFont="1" applyFill="1" applyBorder="1"/>
    <xf numFmtId="171" fontId="8" fillId="0" borderId="6" xfId="1" applyNumberFormat="1" applyFont="1" applyFill="1" applyBorder="1"/>
    <xf numFmtId="44" fontId="8" fillId="0" borderId="29" xfId="2" applyNumberFormat="1" applyFont="1" applyFill="1" applyBorder="1"/>
    <xf numFmtId="172" fontId="8" fillId="0" borderId="29" xfId="2" applyNumberFormat="1" applyFont="1" applyFill="1" applyBorder="1"/>
    <xf numFmtId="173" fontId="8" fillId="0" borderId="29" xfId="2" applyNumberFormat="1" applyFont="1" applyFill="1" applyBorder="1"/>
    <xf numFmtId="44" fontId="8" fillId="0" borderId="32" xfId="2" applyNumberFormat="1" applyFont="1" applyBorder="1"/>
    <xf numFmtId="173" fontId="8" fillId="0" borderId="32" xfId="2" applyNumberFormat="1" applyFont="1" applyBorder="1"/>
    <xf numFmtId="44" fontId="0" fillId="0" borderId="29" xfId="0" applyNumberFormat="1" applyBorder="1"/>
    <xf numFmtId="0" fontId="0" fillId="0" borderId="33" xfId="0" applyBorder="1"/>
    <xf numFmtId="0" fontId="7" fillId="0" borderId="26" xfId="0" applyFont="1" applyBorder="1"/>
    <xf numFmtId="0" fontId="0" fillId="0" borderId="26" xfId="0" applyBorder="1"/>
    <xf numFmtId="0" fontId="9" fillId="0" borderId="0" xfId="0" applyFont="1"/>
    <xf numFmtId="173" fontId="10" fillId="0" borderId="29" xfId="2" applyNumberFormat="1" applyFont="1" applyBorder="1"/>
    <xf numFmtId="173" fontId="10" fillId="0" borderId="6" xfId="2" applyNumberFormat="1" applyFont="1" applyBorder="1"/>
    <xf numFmtId="171" fontId="11" fillId="0" borderId="26" xfId="0" applyNumberFormat="1" applyFont="1" applyBorder="1"/>
    <xf numFmtId="0" fontId="11" fillId="0" borderId="26" xfId="0" applyFont="1" applyBorder="1"/>
    <xf numFmtId="0" fontId="11" fillId="5" borderId="26" xfId="0" applyFont="1" applyFill="1" applyBorder="1"/>
    <xf numFmtId="173" fontId="11" fillId="0" borderId="26" xfId="0" applyNumberFormat="1" applyFont="1" applyBorder="1"/>
    <xf numFmtId="173" fontId="11" fillId="0" borderId="27" xfId="0" applyNumberFormat="1" applyFont="1" applyBorder="1"/>
    <xf numFmtId="0" fontId="11" fillId="0" borderId="29" xfId="0" applyFont="1" applyFill="1" applyBorder="1"/>
    <xf numFmtId="0" fontId="0" fillId="0" borderId="7" xfId="0" applyBorder="1" applyAlignment="1">
      <alignment horizontal="center" vertical="center" wrapText="1"/>
    </xf>
    <xf numFmtId="167" fontId="0" fillId="0" borderId="8" xfId="0" applyNumberFormat="1" applyBorder="1"/>
    <xf numFmtId="0" fontId="0" fillId="0" borderId="8" xfId="0" applyBorder="1" applyAlignment="1">
      <alignment horizontal="center"/>
    </xf>
    <xf numFmtId="164" fontId="0" fillId="3" borderId="1" xfId="0" applyNumberFormat="1" applyFill="1" applyBorder="1"/>
    <xf numFmtId="0" fontId="0" fillId="0" borderId="7" xfId="0" applyFill="1" applyBorder="1"/>
    <xf numFmtId="0" fontId="0" fillId="0" borderId="1" xfId="0" applyFill="1" applyBorder="1"/>
    <xf numFmtId="0" fontId="2" fillId="0" borderId="0" xfId="4"/>
    <xf numFmtId="0" fontId="7" fillId="0" borderId="26" xfId="4" applyFont="1" applyFill="1" applyBorder="1" applyAlignment="1">
      <alignment vertical="center" wrapText="1"/>
    </xf>
    <xf numFmtId="0" fontId="7" fillId="0" borderId="26" xfId="4" applyFont="1" applyFill="1" applyBorder="1" applyAlignment="1">
      <alignment horizontal="center" vertical="center" wrapText="1"/>
    </xf>
    <xf numFmtId="0" fontId="7" fillId="0" borderId="26" xfId="4" applyFont="1" applyFill="1" applyBorder="1" applyAlignment="1">
      <alignment horizontal="center" vertical="center"/>
    </xf>
    <xf numFmtId="0" fontId="7" fillId="0" borderId="27" xfId="4" applyFont="1" applyFill="1" applyBorder="1" applyAlignment="1">
      <alignment horizontal="center" vertical="center"/>
    </xf>
    <xf numFmtId="0" fontId="2" fillId="0" borderId="30" xfId="4" applyBorder="1"/>
    <xf numFmtId="0" fontId="2" fillId="0" borderId="20" xfId="4" applyBorder="1"/>
    <xf numFmtId="0" fontId="2" fillId="0" borderId="31" xfId="4" applyBorder="1" applyAlignment="1">
      <alignment horizontal="center"/>
    </xf>
    <xf numFmtId="0" fontId="2" fillId="0" borderId="31" xfId="4" applyBorder="1"/>
    <xf numFmtId="0" fontId="2" fillId="0" borderId="14" xfId="4" applyBorder="1"/>
    <xf numFmtId="0" fontId="11" fillId="0" borderId="37" xfId="4" applyFont="1" applyFill="1" applyBorder="1"/>
    <xf numFmtId="171" fontId="8" fillId="0" borderId="37" xfId="5" applyNumberFormat="1" applyFont="1" applyBorder="1"/>
    <xf numFmtId="44" fontId="8" fillId="0" borderId="37" xfId="6" applyNumberFormat="1" applyFont="1" applyFill="1" applyBorder="1"/>
    <xf numFmtId="172" fontId="8" fillId="0" borderId="37" xfId="6" applyNumberFormat="1" applyFont="1" applyFill="1" applyBorder="1"/>
    <xf numFmtId="0" fontId="11" fillId="0" borderId="39" xfId="4" applyFont="1" applyFill="1" applyBorder="1"/>
    <xf numFmtId="171" fontId="8" fillId="0" borderId="39" xfId="5" applyNumberFormat="1" applyFont="1" applyBorder="1"/>
    <xf numFmtId="172" fontId="8" fillId="0" borderId="39" xfId="6" applyNumberFormat="1" applyFont="1" applyFill="1" applyBorder="1"/>
    <xf numFmtId="0" fontId="12" fillId="0" borderId="0" xfId="4" applyFont="1"/>
    <xf numFmtId="0" fontId="7" fillId="0" borderId="16" xfId="4" applyFont="1" applyFill="1" applyBorder="1" applyAlignment="1">
      <alignment horizontal="center" vertical="center"/>
    </xf>
    <xf numFmtId="0" fontId="7" fillId="0" borderId="25" xfId="4" applyFont="1" applyFill="1" applyBorder="1" applyAlignment="1">
      <alignment horizontal="center" vertical="center"/>
    </xf>
    <xf numFmtId="171" fontId="2" fillId="0" borderId="0" xfId="4" applyNumberFormat="1"/>
    <xf numFmtId="171" fontId="11" fillId="0" borderId="37" xfId="5" applyNumberFormat="1" applyFont="1" applyBorder="1"/>
    <xf numFmtId="169" fontId="11" fillId="0" borderId="37" xfId="7" applyNumberFormat="1" applyFont="1" applyBorder="1"/>
    <xf numFmtId="169" fontId="11" fillId="0" borderId="38" xfId="7" applyNumberFormat="1" applyFont="1" applyBorder="1"/>
    <xf numFmtId="171" fontId="11" fillId="0" borderId="39" xfId="5" applyNumberFormat="1" applyFont="1" applyBorder="1"/>
    <xf numFmtId="171" fontId="11" fillId="0" borderId="37" xfId="4" applyNumberFormat="1" applyFont="1" applyBorder="1"/>
    <xf numFmtId="0" fontId="11" fillId="0" borderId="41" xfId="4" applyFont="1" applyFill="1" applyBorder="1"/>
    <xf numFmtId="171" fontId="8" fillId="0" borderId="41" xfId="5" applyNumberFormat="1" applyFont="1" applyBorder="1"/>
    <xf numFmtId="44" fontId="8" fillId="0" borderId="41" xfId="6" applyNumberFormat="1" applyFont="1" applyFill="1" applyBorder="1"/>
    <xf numFmtId="172" fontId="8" fillId="0" borderId="41" xfId="6" applyNumberFormat="1" applyFont="1" applyFill="1" applyBorder="1"/>
    <xf numFmtId="171" fontId="11" fillId="0" borderId="41" xfId="5" applyNumberFormat="1" applyFont="1" applyBorder="1"/>
    <xf numFmtId="171" fontId="11" fillId="0" borderId="41" xfId="4" applyNumberFormat="1" applyFont="1" applyBorder="1"/>
    <xf numFmtId="0" fontId="15" fillId="0" borderId="36" xfId="4" applyFont="1" applyBorder="1"/>
    <xf numFmtId="0" fontId="3" fillId="0" borderId="36" xfId="4" applyFont="1" applyBorder="1"/>
    <xf numFmtId="171" fontId="3" fillId="0" borderId="36" xfId="4" applyNumberFormat="1" applyFont="1" applyBorder="1"/>
    <xf numFmtId="171" fontId="3" fillId="0" borderId="36" xfId="5" applyNumberFormat="1" applyFont="1" applyBorder="1"/>
    <xf numFmtId="169" fontId="3" fillId="0" borderId="36" xfId="7" applyNumberFormat="1" applyFont="1" applyBorder="1"/>
    <xf numFmtId="3" fontId="0" fillId="0" borderId="1" xfId="3" applyNumberFormat="1" applyFont="1" applyBorder="1"/>
    <xf numFmtId="166" fontId="0" fillId="3" borderId="8" xfId="0" applyNumberFormat="1" applyFill="1" applyBorder="1"/>
    <xf numFmtId="44" fontId="11" fillId="0" borderId="0" xfId="4" applyNumberFormat="1" applyFont="1"/>
    <xf numFmtId="44" fontId="11" fillId="0" borderId="0" xfId="6" applyFont="1"/>
    <xf numFmtId="0" fontId="11" fillId="0" borderId="0" xfId="4" applyFont="1" applyAlignment="1">
      <alignment horizontal="left"/>
    </xf>
    <xf numFmtId="0" fontId="11" fillId="0" borderId="0" xfId="4" applyFont="1"/>
    <xf numFmtId="0" fontId="12" fillId="0" borderId="36" xfId="4" applyFont="1" applyBorder="1" applyAlignment="1">
      <alignment horizontal="center" vertical="center"/>
    </xf>
    <xf numFmtId="0" fontId="12" fillId="0" borderId="22" xfId="4" applyFont="1" applyBorder="1" applyAlignment="1">
      <alignment horizontal="center" vertical="center"/>
    </xf>
    <xf numFmtId="0" fontId="12" fillId="0" borderId="31" xfId="4" applyFont="1" applyBorder="1" applyAlignment="1">
      <alignment horizontal="center"/>
    </xf>
    <xf numFmtId="0" fontId="12" fillId="0" borderId="31" xfId="4" applyFont="1" applyBorder="1"/>
    <xf numFmtId="0" fontId="12" fillId="0" borderId="14" xfId="4" applyFont="1" applyBorder="1"/>
    <xf numFmtId="44" fontId="7" fillId="0" borderId="39" xfId="6" applyNumberFormat="1" applyFont="1" applyFill="1" applyBorder="1"/>
    <xf numFmtId="172" fontId="7" fillId="0" borderId="39" xfId="6" applyNumberFormat="1" applyFont="1" applyFill="1" applyBorder="1"/>
    <xf numFmtId="171" fontId="1" fillId="0" borderId="39" xfId="4" applyNumberFormat="1" applyFont="1" applyBorder="1"/>
    <xf numFmtId="169" fontId="11" fillId="0" borderId="39" xfId="7" applyNumberFormat="1" applyFont="1" applyBorder="1"/>
    <xf numFmtId="169" fontId="11" fillId="0" borderId="40" xfId="7" applyNumberFormat="1" applyFont="1" applyBorder="1"/>
    <xf numFmtId="168" fontId="0" fillId="0" borderId="0" xfId="2" applyNumberFormat="1" applyFont="1" applyBorder="1" applyAlignment="1">
      <alignment horizontal="center"/>
    </xf>
    <xf numFmtId="169" fontId="0" fillId="0" borderId="0" xfId="0" applyNumberFormat="1" applyBorder="1"/>
    <xf numFmtId="170" fontId="0" fillId="0" borderId="1" xfId="0" applyNumberFormat="1" applyFill="1" applyBorder="1"/>
    <xf numFmtId="3" fontId="0" fillId="0" borderId="1" xfId="3" applyNumberFormat="1" applyFont="1" applyFill="1" applyBorder="1"/>
    <xf numFmtId="164" fontId="4" fillId="0" borderId="2" xfId="2" applyFont="1" applyBorder="1" applyAlignment="1">
      <alignment horizontal="center"/>
    </xf>
    <xf numFmtId="164" fontId="4" fillId="0" borderId="3" xfId="2" applyFont="1" applyBorder="1" applyAlignment="1">
      <alignment horizontal="center"/>
    </xf>
    <xf numFmtId="164" fontId="4" fillId="0" borderId="4" xfId="2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7" fillId="0" borderId="24" xfId="4" applyFont="1" applyFill="1" applyBorder="1" applyAlignment="1">
      <alignment horizontal="center" vertical="center" wrapText="1"/>
    </xf>
    <xf numFmtId="0" fontId="7" fillId="0" borderId="22" xfId="4" applyFont="1" applyFill="1" applyBorder="1" applyAlignment="1">
      <alignment horizontal="center" vertical="center" wrapText="1"/>
    </xf>
    <xf numFmtId="0" fontId="7" fillId="0" borderId="24" xfId="4" applyFont="1" applyFill="1" applyBorder="1" applyAlignment="1">
      <alignment horizontal="center" vertical="center"/>
    </xf>
    <xf numFmtId="0" fontId="7" fillId="0" borderId="22" xfId="4" applyFont="1" applyFill="1" applyBorder="1" applyAlignment="1">
      <alignment horizontal="center" vertical="center"/>
    </xf>
    <xf numFmtId="0" fontId="13" fillId="0" borderId="0" xfId="4" applyFont="1" applyAlignment="1">
      <alignment horizontal="center"/>
    </xf>
    <xf numFmtId="0" fontId="7" fillId="0" borderId="21" xfId="4" applyFont="1" applyFill="1" applyBorder="1" applyAlignment="1">
      <alignment horizontal="center" vertical="center"/>
    </xf>
    <xf numFmtId="0" fontId="7" fillId="0" borderId="26" xfId="4" applyFont="1" applyFill="1" applyBorder="1" applyAlignment="1">
      <alignment horizontal="center" vertical="center"/>
    </xf>
    <xf numFmtId="0" fontId="7" fillId="0" borderId="23" xfId="4" applyFont="1" applyFill="1" applyBorder="1" applyAlignment="1">
      <alignment horizontal="center" vertical="center"/>
    </xf>
    <xf numFmtId="0" fontId="12" fillId="0" borderId="24" xfId="4" applyFont="1" applyBorder="1" applyAlignment="1">
      <alignment horizontal="center"/>
    </xf>
    <xf numFmtId="0" fontId="12" fillId="0" borderId="23" xfId="4" applyFont="1" applyBorder="1" applyAlignment="1">
      <alignment horizontal="center"/>
    </xf>
    <xf numFmtId="0" fontId="12" fillId="0" borderId="22" xfId="4" applyFont="1" applyBorder="1" applyAlignment="1">
      <alignment horizontal="center"/>
    </xf>
    <xf numFmtId="0" fontId="12" fillId="0" borderId="0" xfId="4" applyFont="1" applyAlignment="1">
      <alignment horizontal="left"/>
    </xf>
    <xf numFmtId="0" fontId="11" fillId="0" borderId="0" xfId="4" applyFont="1" applyAlignment="1">
      <alignment horizontal="left"/>
    </xf>
    <xf numFmtId="0" fontId="2" fillId="0" borderId="0" xfId="4" applyAlignment="1">
      <alignment horizontal="right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28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</cellXfs>
  <cellStyles count="11">
    <cellStyle name="Comma" xfId="1" builtinId="3"/>
    <cellStyle name="Comma 2" xfId="5"/>
    <cellStyle name="Comma 3" xfId="9"/>
    <cellStyle name="Currency" xfId="2" builtinId="4"/>
    <cellStyle name="Currency 2" xfId="6"/>
    <cellStyle name="Normal" xfId="0" builtinId="0"/>
    <cellStyle name="Normal 2" xfId="4"/>
    <cellStyle name="Normal 3" xfId="8"/>
    <cellStyle name="Percent" xfId="3" builtinId="5"/>
    <cellStyle name="Percent 2" xfId="7"/>
    <cellStyle name="Percent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5"/>
  <sheetViews>
    <sheetView showGridLines="0" workbookViewId="0">
      <selection activeCell="D33" sqref="D33"/>
    </sheetView>
  </sheetViews>
  <sheetFormatPr defaultRowHeight="14.25" x14ac:dyDescent="0.2"/>
  <cols>
    <col min="1" max="1" width="2.75" customWidth="1"/>
    <col min="2" max="2" width="20.5" customWidth="1"/>
    <col min="3" max="3" width="11" customWidth="1"/>
    <col min="4" max="4" width="9.875" customWidth="1"/>
    <col min="5" max="5" width="5.625" customWidth="1"/>
    <col min="6" max="6" width="11.125" customWidth="1"/>
    <col min="7" max="7" width="12.125" bestFit="1" customWidth="1"/>
    <col min="8" max="8" width="11.125" customWidth="1"/>
    <col min="10" max="10" width="12.125" bestFit="1" customWidth="1"/>
  </cols>
  <sheetData>
    <row r="1" spans="2:10" x14ac:dyDescent="0.2">
      <c r="B1" s="1"/>
      <c r="C1" s="1"/>
      <c r="D1" s="2"/>
      <c r="E1" s="1"/>
      <c r="F1" s="1"/>
      <c r="G1" s="1"/>
    </row>
    <row r="2" spans="2:10" ht="15" thickBot="1" x14ac:dyDescent="0.25">
      <c r="B2" s="3"/>
      <c r="C2" s="4"/>
      <c r="D2" s="2"/>
      <c r="E2" s="5"/>
      <c r="F2" s="5"/>
      <c r="G2" s="2"/>
    </row>
    <row r="3" spans="2:10" ht="15" x14ac:dyDescent="0.25">
      <c r="B3" s="175" t="s">
        <v>15</v>
      </c>
      <c r="C3" s="176"/>
      <c r="D3" s="176"/>
      <c r="E3" s="176"/>
      <c r="F3" s="176"/>
      <c r="G3" s="176"/>
      <c r="H3" s="177"/>
    </row>
    <row r="4" spans="2:10" ht="7.5" customHeight="1" x14ac:dyDescent="0.2">
      <c r="B4" s="16"/>
      <c r="C4" s="17"/>
      <c r="D4" s="18"/>
      <c r="E4" s="19"/>
      <c r="F4" s="19"/>
      <c r="G4" s="19"/>
      <c r="H4" s="20"/>
    </row>
    <row r="5" spans="2:10" ht="57" x14ac:dyDescent="0.2">
      <c r="B5" s="21"/>
      <c r="C5" s="11" t="s">
        <v>3</v>
      </c>
      <c r="D5" s="11" t="s">
        <v>4</v>
      </c>
      <c r="E5" s="12" t="s">
        <v>5</v>
      </c>
      <c r="F5" s="11" t="s">
        <v>10</v>
      </c>
      <c r="G5" s="11" t="s">
        <v>8</v>
      </c>
      <c r="H5" s="22" t="s">
        <v>9</v>
      </c>
    </row>
    <row r="6" spans="2:10" x14ac:dyDescent="0.2">
      <c r="B6" s="24" t="s">
        <v>0</v>
      </c>
      <c r="C6" s="13">
        <v>23.44</v>
      </c>
      <c r="D6" s="14">
        <v>1.52E-2</v>
      </c>
      <c r="E6" s="12" t="s">
        <v>28</v>
      </c>
      <c r="F6" s="12">
        <v>26074</v>
      </c>
      <c r="G6" s="12">
        <v>198077803</v>
      </c>
      <c r="H6" s="23"/>
    </row>
    <row r="7" spans="2:10" x14ac:dyDescent="0.2">
      <c r="B7" s="24" t="s">
        <v>11</v>
      </c>
      <c r="C7" s="13">
        <v>28.26</v>
      </c>
      <c r="D7" s="14">
        <v>2.3E-2</v>
      </c>
      <c r="E7" s="12" t="s">
        <v>28</v>
      </c>
      <c r="F7" s="12">
        <v>2489</v>
      </c>
      <c r="G7" s="12">
        <v>67907332</v>
      </c>
      <c r="H7" s="23"/>
    </row>
    <row r="8" spans="2:10" x14ac:dyDescent="0.2">
      <c r="B8" s="24" t="s">
        <v>12</v>
      </c>
      <c r="C8" s="13">
        <v>151.83000000000001</v>
      </c>
      <c r="D8" s="14">
        <v>6.6886999999999999</v>
      </c>
      <c r="E8" s="12" t="s">
        <v>29</v>
      </c>
      <c r="F8" s="12">
        <v>217</v>
      </c>
      <c r="G8" s="12">
        <v>184944203</v>
      </c>
      <c r="H8" s="23">
        <v>593383</v>
      </c>
    </row>
    <row r="9" spans="2:10" x14ac:dyDescent="0.2">
      <c r="B9" s="24" t="s">
        <v>74</v>
      </c>
      <c r="C9" s="13">
        <v>151.83000000000001</v>
      </c>
      <c r="D9" s="14">
        <v>6.6886999999999999</v>
      </c>
      <c r="E9" s="12" t="s">
        <v>29</v>
      </c>
      <c r="F9" s="12">
        <v>1</v>
      </c>
      <c r="G9" s="12">
        <v>5129448</v>
      </c>
      <c r="H9" s="23">
        <v>13717</v>
      </c>
    </row>
    <row r="10" spans="2:10" x14ac:dyDescent="0.2">
      <c r="B10" s="24" t="s">
        <v>13</v>
      </c>
      <c r="C10" s="13">
        <v>32.96</v>
      </c>
      <c r="D10" s="14">
        <v>1.7899999999999999E-2</v>
      </c>
      <c r="E10" s="12" t="s">
        <v>28</v>
      </c>
      <c r="F10" s="12">
        <v>35</v>
      </c>
      <c r="G10" s="12">
        <v>1462761</v>
      </c>
      <c r="H10" s="23"/>
    </row>
    <row r="11" spans="2:10" x14ac:dyDescent="0.2">
      <c r="B11" s="24" t="s">
        <v>2</v>
      </c>
      <c r="C11" s="13">
        <v>5.09</v>
      </c>
      <c r="D11" s="14">
        <v>5.9009999999999998</v>
      </c>
      <c r="E11" s="12" t="s">
        <v>29</v>
      </c>
      <c r="F11" s="12">
        <v>695</v>
      </c>
      <c r="G11" s="12">
        <v>629014</v>
      </c>
      <c r="H11" s="23">
        <v>1916</v>
      </c>
    </row>
    <row r="12" spans="2:10" x14ac:dyDescent="0.2">
      <c r="B12" s="24" t="s">
        <v>1</v>
      </c>
      <c r="C12" s="13">
        <v>4.96</v>
      </c>
      <c r="D12" s="14">
        <v>10.7965</v>
      </c>
      <c r="E12" s="12" t="s">
        <v>29</v>
      </c>
      <c r="F12" s="12">
        <v>5713</v>
      </c>
      <c r="G12" s="12">
        <v>2781556</v>
      </c>
      <c r="H12" s="23">
        <v>8591</v>
      </c>
    </row>
    <row r="13" spans="2:10" ht="7.5" customHeight="1" x14ac:dyDescent="0.2">
      <c r="B13" s="25"/>
      <c r="C13" s="26"/>
      <c r="D13" s="26"/>
      <c r="E13" s="26"/>
      <c r="F13" s="26"/>
      <c r="G13" s="26"/>
      <c r="H13" s="20"/>
    </row>
    <row r="14" spans="2:10" ht="15" thickBot="1" x14ac:dyDescent="0.25">
      <c r="B14" s="27" t="s">
        <v>14</v>
      </c>
      <c r="C14" s="28"/>
      <c r="D14" s="29">
        <v>0.6</v>
      </c>
      <c r="E14" s="31" t="s">
        <v>29</v>
      </c>
      <c r="F14" s="28"/>
      <c r="G14" s="28"/>
      <c r="H14" s="30">
        <v>332788</v>
      </c>
    </row>
    <row r="15" spans="2:10" x14ac:dyDescent="0.2">
      <c r="J15" s="73"/>
    </row>
  </sheetData>
  <mergeCells count="1">
    <mergeCell ref="B3:H3"/>
  </mergeCells>
  <pageMargins left="0.7" right="0.7" top="0.75" bottom="0.75" header="0.3" footer="0.3"/>
  <pageSetup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O24"/>
  <sheetViews>
    <sheetView showGridLines="0" tabSelected="1" workbookViewId="0">
      <selection activeCell="D30" sqref="D30"/>
    </sheetView>
  </sheetViews>
  <sheetFormatPr defaultRowHeight="14.25" x14ac:dyDescent="0.2"/>
  <cols>
    <col min="2" max="2" width="18.875" customWidth="1"/>
    <col min="3" max="3" width="11.125" customWidth="1"/>
    <col min="4" max="4" width="8.875" customWidth="1"/>
    <col min="5" max="5" width="12.125" bestFit="1" customWidth="1"/>
    <col min="6" max="6" width="8.625" bestFit="1" customWidth="1"/>
    <col min="7" max="9" width="9.375" customWidth="1"/>
    <col min="10" max="10" width="15.5" customWidth="1"/>
    <col min="11" max="11" width="0.75" customWidth="1"/>
    <col min="12" max="15" width="11.875" customWidth="1"/>
  </cols>
  <sheetData>
    <row r="5" spans="2:15" ht="18" x14ac:dyDescent="0.25">
      <c r="B5" s="214" t="s">
        <v>97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</row>
    <row r="6" spans="2:15" ht="18" x14ac:dyDescent="0.25">
      <c r="B6" s="214" t="s">
        <v>98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</row>
    <row r="7" spans="2:15" ht="15" thickBot="1" x14ac:dyDescent="0.25"/>
    <row r="8" spans="2:15" ht="15" thickBot="1" x14ac:dyDescent="0.25">
      <c r="B8" s="75" t="s">
        <v>62</v>
      </c>
      <c r="C8" s="215" t="s">
        <v>63</v>
      </c>
      <c r="D8" s="76"/>
      <c r="E8" s="217" t="s">
        <v>64</v>
      </c>
      <c r="F8" s="218"/>
      <c r="G8" s="219" t="s">
        <v>46</v>
      </c>
      <c r="H8" s="217"/>
      <c r="I8" s="218"/>
      <c r="J8" s="215" t="s">
        <v>65</v>
      </c>
      <c r="K8" s="77"/>
      <c r="L8" s="215" t="s">
        <v>66</v>
      </c>
      <c r="M8" s="215" t="s">
        <v>67</v>
      </c>
      <c r="N8" s="215" t="s">
        <v>27</v>
      </c>
      <c r="O8" s="220" t="s">
        <v>68</v>
      </c>
    </row>
    <row r="9" spans="2:15" ht="39" thickBot="1" x14ac:dyDescent="0.25">
      <c r="B9" s="78"/>
      <c r="C9" s="216"/>
      <c r="D9" s="79" t="s">
        <v>95</v>
      </c>
      <c r="E9" s="80" t="s">
        <v>28</v>
      </c>
      <c r="F9" s="81" t="s">
        <v>29</v>
      </c>
      <c r="G9" s="79" t="s">
        <v>69</v>
      </c>
      <c r="H9" s="212" t="s">
        <v>70</v>
      </c>
      <c r="I9" s="213"/>
      <c r="J9" s="216"/>
      <c r="K9" s="82"/>
      <c r="L9" s="216"/>
      <c r="M9" s="216"/>
      <c r="N9" s="216"/>
      <c r="O9" s="221"/>
    </row>
    <row r="10" spans="2:15" x14ac:dyDescent="0.2">
      <c r="B10" s="83"/>
      <c r="C10" s="83"/>
      <c r="D10" s="83"/>
      <c r="E10" s="83"/>
      <c r="F10" s="84"/>
      <c r="G10" s="83"/>
      <c r="H10" s="85" t="s">
        <v>28</v>
      </c>
      <c r="I10" s="85" t="s">
        <v>29</v>
      </c>
      <c r="J10" s="86"/>
      <c r="K10" s="87"/>
      <c r="L10" s="86"/>
      <c r="M10" s="86"/>
      <c r="N10" s="86"/>
      <c r="O10" s="84"/>
    </row>
    <row r="11" spans="2:15" x14ac:dyDescent="0.2">
      <c r="B11" s="88"/>
      <c r="C11" s="88"/>
      <c r="D11" s="88"/>
      <c r="E11" s="88"/>
      <c r="F11" s="20"/>
      <c r="G11" s="88"/>
      <c r="H11" s="88"/>
      <c r="I11" s="88"/>
      <c r="J11" s="88"/>
      <c r="K11" s="89"/>
      <c r="L11" s="88"/>
      <c r="M11" s="88"/>
      <c r="N11" s="88"/>
      <c r="O11" s="20"/>
    </row>
    <row r="12" spans="2:15" x14ac:dyDescent="0.2">
      <c r="B12" s="111" t="s">
        <v>0</v>
      </c>
      <c r="C12" s="111" t="s">
        <v>71</v>
      </c>
      <c r="D12" s="91">
        <f>'Rates &amp; Forecast'!F6</f>
        <v>26074</v>
      </c>
      <c r="E12" s="92">
        <f>'Rates &amp; Forecast'!G6</f>
        <v>198077803</v>
      </c>
      <c r="F12" s="93"/>
      <c r="G12" s="94">
        <f>Decoupling!G31</f>
        <v>30.47</v>
      </c>
      <c r="H12" s="95">
        <f>Decoupling!H31</f>
        <v>1.1580734119157332E-2</v>
      </c>
      <c r="I12" s="95"/>
      <c r="J12" s="104">
        <f t="shared" ref="J12:J18" si="0">G12*D12*12+H12*E12+I12*F12</f>
        <v>11827583.731449824</v>
      </c>
      <c r="K12" s="89"/>
      <c r="L12" s="96">
        <f>'2017 Rate Design'!C6</f>
        <v>11827583.731449826</v>
      </c>
      <c r="M12" s="96"/>
      <c r="N12" s="104">
        <f t="shared" ref="N12:N18" si="1">SUM(L12:M12)</f>
        <v>11827583.731449826</v>
      </c>
      <c r="O12" s="105">
        <f t="shared" ref="O12:O18" si="2">N12-J12</f>
        <v>0</v>
      </c>
    </row>
    <row r="13" spans="2:15" x14ac:dyDescent="0.2">
      <c r="B13" s="111" t="s">
        <v>11</v>
      </c>
      <c r="C13" s="111" t="s">
        <v>71</v>
      </c>
      <c r="D13" s="91">
        <f>'Rates &amp; Forecast'!F7</f>
        <v>2489</v>
      </c>
      <c r="E13" s="92">
        <f>'Rates &amp; Forecast'!G7</f>
        <v>67907332</v>
      </c>
      <c r="F13" s="93"/>
      <c r="G13" s="94">
        <f>'Ajustment to F_V Split'!J7</f>
        <v>32.022538583936331</v>
      </c>
      <c r="H13" s="95">
        <f>'Ajustment to F_V Split'!K7</f>
        <v>2.6062221777442867E-2</v>
      </c>
      <c r="I13" s="95"/>
      <c r="J13" s="104">
        <f t="shared" si="0"/>
        <v>2726265.1293234536</v>
      </c>
      <c r="K13" s="89"/>
      <c r="L13" s="96">
        <f>'2017 Rate Design'!C7</f>
        <v>2726265.1293234532</v>
      </c>
      <c r="M13" s="96"/>
      <c r="N13" s="104">
        <f t="shared" si="1"/>
        <v>2726265.1293234532</v>
      </c>
      <c r="O13" s="105">
        <f t="shared" si="2"/>
        <v>0</v>
      </c>
    </row>
    <row r="14" spans="2:15" x14ac:dyDescent="0.2">
      <c r="B14" s="111" t="s">
        <v>12</v>
      </c>
      <c r="C14" s="111" t="s">
        <v>71</v>
      </c>
      <c r="D14" s="91">
        <f>'Rates &amp; Forecast'!F8</f>
        <v>217</v>
      </c>
      <c r="E14" s="92">
        <f>'Rates &amp; Forecast'!G8</f>
        <v>184944203</v>
      </c>
      <c r="F14" s="93">
        <f>'Rates &amp; Forecast'!H8</f>
        <v>593383</v>
      </c>
      <c r="G14" s="94">
        <f>'Ajustment to F_V Split'!J8</f>
        <v>172.04466108344218</v>
      </c>
      <c r="H14" s="95"/>
      <c r="I14" s="95">
        <f>'Ajustment to F_V Split'!K8</f>
        <v>7.5344326607123282</v>
      </c>
      <c r="J14" s="104">
        <f t="shared" si="0"/>
        <v>4918808.552972747</v>
      </c>
      <c r="K14" s="89"/>
      <c r="L14" s="96">
        <f>'2017 Rate Design'!C8</f>
        <v>4719135.7529727472</v>
      </c>
      <c r="M14" s="96">
        <f>'Rates &amp; Forecast'!D14*'Rates &amp; Forecast'!H14</f>
        <v>199672.8</v>
      </c>
      <c r="N14" s="104">
        <f t="shared" si="1"/>
        <v>4918808.552972747</v>
      </c>
      <c r="O14" s="105">
        <f t="shared" si="2"/>
        <v>0</v>
      </c>
    </row>
    <row r="15" spans="2:15" x14ac:dyDescent="0.2">
      <c r="B15" s="111" t="s">
        <v>74</v>
      </c>
      <c r="C15" s="111" t="s">
        <v>71</v>
      </c>
      <c r="D15" s="91">
        <f>'Rates &amp; Forecast'!F9</f>
        <v>1</v>
      </c>
      <c r="E15" s="92">
        <f>'Rates &amp; Forecast'!G9</f>
        <v>5129448</v>
      </c>
      <c r="F15" s="93">
        <f>'Rates &amp; Forecast'!H9</f>
        <v>13717</v>
      </c>
      <c r="G15" s="94">
        <f>'Ajustment to F_V Split'!J9</f>
        <v>584.79000000000008</v>
      </c>
      <c r="H15" s="95"/>
      <c r="I15" s="95">
        <f>'Ajustment to F_V Split'!K9</f>
        <v>8.308652689884914</v>
      </c>
      <c r="J15" s="104">
        <f t="shared" ref="J15" si="3">G15*D15*12+H15*E15+I15*F15</f>
        <v>120987.26894715136</v>
      </c>
      <c r="K15" s="89"/>
      <c r="L15" s="96">
        <f>'2017 Rate Design'!C9</f>
        <v>120987.26894715137</v>
      </c>
      <c r="M15" s="96"/>
      <c r="N15" s="104">
        <f t="shared" si="1"/>
        <v>120987.26894715137</v>
      </c>
      <c r="O15" s="105">
        <f t="shared" si="2"/>
        <v>0</v>
      </c>
    </row>
    <row r="16" spans="2:15" x14ac:dyDescent="0.2">
      <c r="B16" s="111" t="s">
        <v>13</v>
      </c>
      <c r="C16" s="111" t="s">
        <v>71</v>
      </c>
      <c r="D16" s="91">
        <f>'Rates &amp; Forecast'!F10</f>
        <v>35</v>
      </c>
      <c r="E16" s="92">
        <f>'Rates &amp; Forecast'!G10</f>
        <v>1462761</v>
      </c>
      <c r="F16" s="93"/>
      <c r="G16" s="94">
        <f>'Ajustment to F_V Split'!J10</f>
        <v>50.531295821786898</v>
      </c>
      <c r="H16" s="95">
        <f>'Ajustment to F_V Split'!K10</f>
        <v>2.744266368962334E-2</v>
      </c>
      <c r="I16" s="95"/>
      <c r="J16" s="104">
        <f t="shared" si="0"/>
        <v>61365.202426447628</v>
      </c>
      <c r="K16" s="89"/>
      <c r="L16" s="96">
        <f>'2017 Rate Design'!C10</f>
        <v>61365.202426447628</v>
      </c>
      <c r="M16" s="96"/>
      <c r="N16" s="104">
        <f t="shared" si="1"/>
        <v>61365.202426447628</v>
      </c>
      <c r="O16" s="105">
        <f t="shared" si="2"/>
        <v>0</v>
      </c>
    </row>
    <row r="17" spans="2:15" x14ac:dyDescent="0.2">
      <c r="B17" s="111" t="s">
        <v>2</v>
      </c>
      <c r="C17" s="111" t="s">
        <v>72</v>
      </c>
      <c r="D17" s="91">
        <f>'Rates &amp; Forecast'!F11</f>
        <v>695</v>
      </c>
      <c r="E17" s="92">
        <f>'Rates &amp; Forecast'!G11</f>
        <v>629014</v>
      </c>
      <c r="F17" s="93">
        <f>'Rates &amp; Forecast'!H11</f>
        <v>1916</v>
      </c>
      <c r="G17" s="94">
        <f>'Ajustment to F_V Split'!J11</f>
        <v>5.7676829933558373</v>
      </c>
      <c r="H17" s="95"/>
      <c r="I17" s="95">
        <f>'Ajustment to F_V Split'!K11</f>
        <v>6.6866595960300161</v>
      </c>
      <c r="J17" s="104">
        <f t="shared" si="0"/>
        <v>60914.115950581196</v>
      </c>
      <c r="K17" s="89"/>
      <c r="L17" s="96">
        <f>'2017 Rate Design'!C11</f>
        <v>60914.115950581188</v>
      </c>
      <c r="M17" s="96"/>
      <c r="N17" s="104">
        <f t="shared" si="1"/>
        <v>60914.115950581188</v>
      </c>
      <c r="O17" s="105">
        <f t="shared" si="2"/>
        <v>0</v>
      </c>
    </row>
    <row r="18" spans="2:15" x14ac:dyDescent="0.2">
      <c r="B18" s="111" t="s">
        <v>1</v>
      </c>
      <c r="C18" s="111" t="s">
        <v>72</v>
      </c>
      <c r="D18" s="91">
        <f>'Rates &amp; Forecast'!F12</f>
        <v>5713</v>
      </c>
      <c r="E18" s="92">
        <f>'Rates &amp; Forecast'!G12</f>
        <v>2781556</v>
      </c>
      <c r="F18" s="93">
        <f>'Rates &amp; Forecast'!H12</f>
        <v>8591</v>
      </c>
      <c r="G18" s="94">
        <f>'Ajustment to F_V Split'!J12</f>
        <v>4.0576602240156818</v>
      </c>
      <c r="H18" s="95"/>
      <c r="I18" s="95">
        <f>'Ajustment to F_V Split'!K12</f>
        <v>8.8323646388276806</v>
      </c>
      <c r="J18" s="104">
        <f t="shared" si="0"/>
        <v>354055.79892978771</v>
      </c>
      <c r="K18" s="89"/>
      <c r="L18" s="96">
        <f>'2017 Rate Design'!C12</f>
        <v>354055.79892978771</v>
      </c>
      <c r="M18" s="96"/>
      <c r="N18" s="104">
        <f t="shared" si="1"/>
        <v>354055.79892978771</v>
      </c>
      <c r="O18" s="105">
        <f t="shared" si="2"/>
        <v>0</v>
      </c>
    </row>
    <row r="19" spans="2:15" ht="15" thickBot="1" x14ac:dyDescent="0.25">
      <c r="B19" s="90"/>
      <c r="C19" s="90"/>
      <c r="D19" s="96"/>
      <c r="E19" s="96"/>
      <c r="F19" s="96"/>
      <c r="G19" s="94"/>
      <c r="H19" s="95"/>
      <c r="I19" s="95"/>
      <c r="J19" s="97"/>
      <c r="K19" s="89"/>
      <c r="L19" s="96"/>
      <c r="M19" s="96"/>
      <c r="N19" s="98"/>
      <c r="O19" s="98"/>
    </row>
    <row r="20" spans="2:15" ht="15" thickTop="1" x14ac:dyDescent="0.2">
      <c r="B20" s="88"/>
      <c r="C20" s="88"/>
      <c r="D20" s="100"/>
      <c r="E20" s="100"/>
      <c r="F20" s="100"/>
      <c r="G20" s="100"/>
      <c r="H20" s="100"/>
      <c r="I20" s="100"/>
      <c r="J20" s="99"/>
      <c r="K20" s="89"/>
      <c r="L20" s="100"/>
      <c r="M20" s="100"/>
      <c r="N20" s="88"/>
      <c r="O20" s="20"/>
    </row>
    <row r="21" spans="2:15" ht="15" thickBot="1" x14ac:dyDescent="0.25">
      <c r="B21" s="101" t="s">
        <v>27</v>
      </c>
      <c r="C21" s="102"/>
      <c r="D21" s="106">
        <f>SUM(D12:D18)</f>
        <v>35224</v>
      </c>
      <c r="E21" s="106">
        <f>SUM(E12:E18)</f>
        <v>460932117</v>
      </c>
      <c r="F21" s="106">
        <f>SUM(F12:F18)</f>
        <v>617607</v>
      </c>
      <c r="G21" s="107"/>
      <c r="H21" s="107"/>
      <c r="I21" s="107"/>
      <c r="J21" s="109">
        <f>SUM(J12:J19)</f>
        <v>20069979.79999999</v>
      </c>
      <c r="K21" s="108"/>
      <c r="L21" s="109">
        <f>SUM(L12:L19)</f>
        <v>19870306.999999993</v>
      </c>
      <c r="M21" s="109">
        <f>SUM(M12:M19)</f>
        <v>199672.8</v>
      </c>
      <c r="N21" s="109">
        <f>L21+M21</f>
        <v>20069979.799999993</v>
      </c>
      <c r="O21" s="110">
        <f>N21-J21</f>
        <v>0</v>
      </c>
    </row>
    <row r="24" spans="2:15" x14ac:dyDescent="0.2">
      <c r="C24" s="103"/>
    </row>
  </sheetData>
  <mergeCells count="11">
    <mergeCell ref="H9:I9"/>
    <mergeCell ref="B5:O5"/>
    <mergeCell ref="B6:O6"/>
    <mergeCell ref="C8:C9"/>
    <mergeCell ref="E8:F8"/>
    <mergeCell ref="G8:I8"/>
    <mergeCell ref="J8:J9"/>
    <mergeCell ref="L8:L9"/>
    <mergeCell ref="M8:M9"/>
    <mergeCell ref="N8:N9"/>
    <mergeCell ref="O8:O9"/>
  </mergeCells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2"/>
  <sheetViews>
    <sheetView showGridLines="0" workbookViewId="0">
      <selection activeCell="F23" sqref="F23"/>
    </sheetView>
  </sheetViews>
  <sheetFormatPr defaultRowHeight="14.25" x14ac:dyDescent="0.2"/>
  <cols>
    <col min="1" max="1" width="2.875" customWidth="1"/>
    <col min="2" max="2" width="19.625" customWidth="1"/>
    <col min="3" max="3" width="11.125" customWidth="1"/>
    <col min="4" max="5" width="12.125" bestFit="1" customWidth="1"/>
    <col min="6" max="6" width="11.125" bestFit="1" customWidth="1"/>
    <col min="7" max="7" width="12.125" bestFit="1" customWidth="1"/>
  </cols>
  <sheetData>
    <row r="2" spans="2:8" ht="15" thickBot="1" x14ac:dyDescent="0.25"/>
    <row r="3" spans="2:8" ht="15" x14ac:dyDescent="0.25">
      <c r="B3" s="181" t="s">
        <v>24</v>
      </c>
      <c r="C3" s="182"/>
      <c r="D3" s="182"/>
      <c r="E3" s="182"/>
      <c r="F3" s="182"/>
      <c r="G3" s="182"/>
      <c r="H3" s="183"/>
    </row>
    <row r="4" spans="2:8" ht="7.5" customHeight="1" x14ac:dyDescent="0.2">
      <c r="B4" s="25"/>
      <c r="C4" s="26"/>
      <c r="D4" s="26"/>
      <c r="E4" s="26"/>
      <c r="F4" s="26"/>
      <c r="G4" s="26"/>
      <c r="H4" s="20"/>
    </row>
    <row r="5" spans="2:8" ht="42.75" x14ac:dyDescent="0.2">
      <c r="B5" s="35" t="s">
        <v>18</v>
      </c>
      <c r="C5" s="32" t="s">
        <v>6</v>
      </c>
      <c r="D5" s="32" t="s">
        <v>7</v>
      </c>
      <c r="E5" s="32" t="s">
        <v>16</v>
      </c>
      <c r="F5" s="32" t="s">
        <v>14</v>
      </c>
      <c r="G5" s="32" t="s">
        <v>17</v>
      </c>
      <c r="H5" s="36" t="s">
        <v>25</v>
      </c>
    </row>
    <row r="6" spans="2:8" x14ac:dyDescent="0.2">
      <c r="B6" s="24" t="s">
        <v>0</v>
      </c>
      <c r="C6" s="12">
        <f>'Rates &amp; Forecast'!C6*'Rates &amp; Forecast'!F6*12</f>
        <v>7334094.7200000007</v>
      </c>
      <c r="D6" s="12">
        <f>'Rates &amp; Forecast'!D6*'Rates &amp; Forecast'!G6</f>
        <v>3010782.6055999999</v>
      </c>
      <c r="E6" s="33">
        <f>C6+D6</f>
        <v>10344877.3256</v>
      </c>
      <c r="F6" s="15"/>
      <c r="G6" s="33">
        <f>E6-F6</f>
        <v>10344877.3256</v>
      </c>
      <c r="H6" s="37">
        <f t="shared" ref="H6:H12" si="0">G6/G$14</f>
        <v>0.5899352809776085</v>
      </c>
    </row>
    <row r="7" spans="2:8" x14ac:dyDescent="0.2">
      <c r="B7" s="24" t="s">
        <v>11</v>
      </c>
      <c r="C7" s="12">
        <f>'Rates &amp; Forecast'!C7*'Rates &amp; Forecast'!F7*12</f>
        <v>844069.67999999993</v>
      </c>
      <c r="D7" s="12">
        <f>'Rates &amp; Forecast'!D7*'Rates &amp; Forecast'!G7</f>
        <v>1561868.6359999999</v>
      </c>
      <c r="E7" s="33">
        <f t="shared" ref="E7:E12" si="1">C7+D7</f>
        <v>2405938.3159999996</v>
      </c>
      <c r="F7" s="15"/>
      <c r="G7" s="33">
        <f t="shared" ref="G7:G12" si="2">E7-F7</f>
        <v>2405938.3159999996</v>
      </c>
      <c r="H7" s="37">
        <f t="shared" si="0"/>
        <v>0.13720297030027198</v>
      </c>
    </row>
    <row r="8" spans="2:8" x14ac:dyDescent="0.2">
      <c r="B8" s="24" t="s">
        <v>12</v>
      </c>
      <c r="C8" s="12">
        <f>'Rates &amp; Forecast'!C8*'Rates &amp; Forecast'!F8*12</f>
        <v>395365.32</v>
      </c>
      <c r="D8" s="12">
        <f>'Rates &amp; Forecast'!D8*'Rates &amp; Forecast'!H8</f>
        <v>3968960.8720999998</v>
      </c>
      <c r="E8" s="33">
        <f t="shared" si="1"/>
        <v>4364326.1920999996</v>
      </c>
      <c r="F8" s="33">
        <f>'Rates &amp; Forecast'!D14*'Rates &amp; Forecast'!H14</f>
        <v>199672.8</v>
      </c>
      <c r="G8" s="33">
        <f t="shared" si="2"/>
        <v>4164653.3920999998</v>
      </c>
      <c r="H8" s="37">
        <f t="shared" si="0"/>
        <v>0.23749686842230056</v>
      </c>
    </row>
    <row r="9" spans="2:8" x14ac:dyDescent="0.2">
      <c r="B9" s="24" t="s">
        <v>74</v>
      </c>
      <c r="C9" s="12">
        <f>'Rates &amp; Forecast'!C9*'Rates &amp; Forecast'!F9*12</f>
        <v>1821.96</v>
      </c>
      <c r="D9" s="12">
        <f>'Rates &amp; Forecast'!D9*'Rates &amp; Forecast'!H9</f>
        <v>91748.897899999996</v>
      </c>
      <c r="E9" s="33">
        <f t="shared" si="1"/>
        <v>93570.857900000003</v>
      </c>
      <c r="F9" s="33"/>
      <c r="G9" s="33">
        <f t="shared" si="2"/>
        <v>93570.857900000003</v>
      </c>
      <c r="H9" s="37">
        <f t="shared" si="0"/>
        <v>5.3360468770325175E-3</v>
      </c>
    </row>
    <row r="10" spans="2:8" x14ac:dyDescent="0.2">
      <c r="B10" s="24" t="s">
        <v>13</v>
      </c>
      <c r="C10" s="12">
        <f>'Rates &amp; Forecast'!C10*'Rates &amp; Forecast'!F10*12</f>
        <v>13843.2</v>
      </c>
      <c r="D10" s="12">
        <f>'Rates &amp; Forecast'!D10*'Rates &amp; Forecast'!G10</f>
        <v>26183.421899999998</v>
      </c>
      <c r="E10" s="33">
        <f t="shared" si="1"/>
        <v>40026.621899999998</v>
      </c>
      <c r="F10" s="15"/>
      <c r="G10" s="33">
        <f t="shared" si="2"/>
        <v>40026.621899999998</v>
      </c>
      <c r="H10" s="37">
        <f t="shared" si="0"/>
        <v>2.2825902805755547E-3</v>
      </c>
    </row>
    <row r="11" spans="2:8" x14ac:dyDescent="0.2">
      <c r="B11" s="24" t="s">
        <v>2</v>
      </c>
      <c r="C11" s="12">
        <f>'Rates &amp; Forecast'!C11*'Rates &amp; Forecast'!F11*12</f>
        <v>42450.6</v>
      </c>
      <c r="D11" s="12">
        <f>'Rates &amp; Forecast'!D11*'Rates &amp; Forecast'!H11</f>
        <v>11306.315999999999</v>
      </c>
      <c r="E11" s="33">
        <f t="shared" si="1"/>
        <v>53756.915999999997</v>
      </c>
      <c r="F11" s="15"/>
      <c r="G11" s="33">
        <f t="shared" si="2"/>
        <v>53756.915999999997</v>
      </c>
      <c r="H11" s="37">
        <f t="shared" si="0"/>
        <v>3.0655850569122475E-3</v>
      </c>
    </row>
    <row r="12" spans="2:8" x14ac:dyDescent="0.2">
      <c r="B12" s="24" t="s">
        <v>1</v>
      </c>
      <c r="C12" s="12">
        <f>'Rates &amp; Forecast'!C12*'Rates &amp; Forecast'!F12*12</f>
        <v>340037.76</v>
      </c>
      <c r="D12" s="12">
        <f>'Rates &amp; Forecast'!D12*'Rates &amp; Forecast'!H12</f>
        <v>92752.731499999994</v>
      </c>
      <c r="E12" s="33">
        <f t="shared" si="1"/>
        <v>432790.4915</v>
      </c>
      <c r="F12" s="15"/>
      <c r="G12" s="33">
        <f t="shared" si="2"/>
        <v>432790.4915</v>
      </c>
      <c r="H12" s="37">
        <f t="shared" si="0"/>
        <v>2.4680658085298405E-2</v>
      </c>
    </row>
    <row r="13" spans="2:8" ht="7.5" customHeight="1" x14ac:dyDescent="0.2">
      <c r="B13" s="25"/>
      <c r="C13" s="26"/>
      <c r="D13" s="26"/>
      <c r="E13" s="26"/>
      <c r="F13" s="26"/>
      <c r="G13" s="26"/>
      <c r="H13" s="20"/>
    </row>
    <row r="14" spans="2:8" ht="15" thickBot="1" x14ac:dyDescent="0.25">
      <c r="B14" s="27" t="s">
        <v>27</v>
      </c>
      <c r="C14" s="38">
        <f t="shared" ref="C14:H14" si="3">SUM(C6:C12)</f>
        <v>8971683.2400000002</v>
      </c>
      <c r="D14" s="38">
        <f t="shared" si="3"/>
        <v>8763603.4809999987</v>
      </c>
      <c r="E14" s="38">
        <f t="shared" si="3"/>
        <v>17735286.721000005</v>
      </c>
      <c r="F14" s="38">
        <f t="shared" si="3"/>
        <v>199672.8</v>
      </c>
      <c r="G14" s="38">
        <f t="shared" si="3"/>
        <v>17535613.921000004</v>
      </c>
      <c r="H14" s="39">
        <f t="shared" si="3"/>
        <v>0.99999999999999967</v>
      </c>
    </row>
    <row r="15" spans="2:8" x14ac:dyDescent="0.2">
      <c r="B15" s="26"/>
      <c r="C15" s="171"/>
      <c r="D15" s="171"/>
      <c r="E15" s="171"/>
      <c r="F15" s="171"/>
      <c r="G15" s="171"/>
      <c r="H15" s="172"/>
    </row>
    <row r="16" spans="2:8" ht="15" thickBot="1" x14ac:dyDescent="0.25">
      <c r="C16" s="7"/>
      <c r="D16" s="7"/>
      <c r="E16" s="7"/>
      <c r="F16" s="7"/>
      <c r="G16" s="7"/>
    </row>
    <row r="17" spans="2:7" ht="15" x14ac:dyDescent="0.25">
      <c r="B17" s="178" t="s">
        <v>30</v>
      </c>
      <c r="C17" s="179"/>
      <c r="D17" s="179"/>
      <c r="E17" s="179"/>
      <c r="F17" s="179"/>
      <c r="G17" s="180"/>
    </row>
    <row r="18" spans="2:7" ht="7.5" customHeight="1" x14ac:dyDescent="0.25">
      <c r="B18" s="41"/>
      <c r="C18" s="42"/>
      <c r="D18" s="42"/>
      <c r="E18" s="42"/>
      <c r="F18" s="42"/>
      <c r="G18" s="43"/>
    </row>
    <row r="19" spans="2:7" ht="30.75" x14ac:dyDescent="0.2">
      <c r="B19" s="184" t="s">
        <v>18</v>
      </c>
      <c r="C19" s="32" t="s">
        <v>99</v>
      </c>
      <c r="D19" s="32" t="s">
        <v>19</v>
      </c>
      <c r="E19" s="32" t="s">
        <v>17</v>
      </c>
      <c r="F19" s="32" t="s">
        <v>6</v>
      </c>
      <c r="G19" s="36" t="s">
        <v>7</v>
      </c>
    </row>
    <row r="20" spans="2:7" x14ac:dyDescent="0.2">
      <c r="B20" s="184"/>
      <c r="C20" s="40" t="s">
        <v>22</v>
      </c>
      <c r="D20" s="40" t="s">
        <v>22</v>
      </c>
      <c r="E20" s="40" t="s">
        <v>22</v>
      </c>
      <c r="F20" s="40" t="s">
        <v>23</v>
      </c>
      <c r="G20" s="44" t="s">
        <v>23</v>
      </c>
    </row>
    <row r="21" spans="2:7" x14ac:dyDescent="0.2">
      <c r="B21" s="24" t="s">
        <v>0</v>
      </c>
      <c r="C21" s="33">
        <f>C6</f>
        <v>7334094.7200000007</v>
      </c>
      <c r="D21" s="33">
        <f>D6</f>
        <v>3010782.6055999999</v>
      </c>
      <c r="E21" s="33">
        <f>C21+D21</f>
        <v>10344877.3256</v>
      </c>
      <c r="F21" s="34">
        <f>C21/E21</f>
        <v>0.70895908082453996</v>
      </c>
      <c r="G21" s="37">
        <f>1-F21</f>
        <v>0.29104091917546004</v>
      </c>
    </row>
    <row r="22" spans="2:7" x14ac:dyDescent="0.2">
      <c r="B22" s="24" t="s">
        <v>11</v>
      </c>
      <c r="C22" s="33">
        <f>C7</f>
        <v>844069.67999999993</v>
      </c>
      <c r="D22" s="33">
        <f>D7</f>
        <v>1561868.6359999999</v>
      </c>
      <c r="E22" s="33">
        <f t="shared" ref="E22:E27" si="4">C22+D22</f>
        <v>2405938.3159999996</v>
      </c>
      <c r="F22" s="34">
        <f t="shared" ref="F22:F27" si="5">C22/E22</f>
        <v>0.35082764773591979</v>
      </c>
      <c r="G22" s="37">
        <f t="shared" ref="G22:G29" si="6">1-F22</f>
        <v>0.64917235226408021</v>
      </c>
    </row>
    <row r="23" spans="2:7" x14ac:dyDescent="0.2">
      <c r="B23" s="24" t="s">
        <v>12</v>
      </c>
      <c r="C23" s="33">
        <f>C8</f>
        <v>395365.32</v>
      </c>
      <c r="D23" s="33">
        <f>D8-F8</f>
        <v>3769288.0721</v>
      </c>
      <c r="E23" s="33">
        <f t="shared" si="4"/>
        <v>4164653.3920999998</v>
      </c>
      <c r="F23" s="34">
        <f t="shared" si="5"/>
        <v>9.4933547351137321E-2</v>
      </c>
      <c r="G23" s="37">
        <f t="shared" si="6"/>
        <v>0.90506645264886265</v>
      </c>
    </row>
    <row r="24" spans="2:7" x14ac:dyDescent="0.2">
      <c r="B24" s="24" t="s">
        <v>74</v>
      </c>
      <c r="C24" s="33">
        <f>C9</f>
        <v>1821.96</v>
      </c>
      <c r="D24" s="33">
        <f>D9</f>
        <v>91748.897899999996</v>
      </c>
      <c r="E24" s="33">
        <f t="shared" ref="E24" si="7">C24+D24</f>
        <v>93570.857900000003</v>
      </c>
      <c r="F24" s="34">
        <f t="shared" ref="F24" si="8">C24/E24</f>
        <v>1.9471446996319565E-2</v>
      </c>
      <c r="G24" s="37">
        <f t="shared" ref="G24" si="9">1-F24</f>
        <v>0.98052855300368047</v>
      </c>
    </row>
    <row r="25" spans="2:7" x14ac:dyDescent="0.2">
      <c r="B25" s="24" t="s">
        <v>13</v>
      </c>
      <c r="C25" s="33">
        <f>C10</f>
        <v>13843.2</v>
      </c>
      <c r="D25" s="33">
        <f>D10</f>
        <v>26183.421899999998</v>
      </c>
      <c r="E25" s="33">
        <f t="shared" si="4"/>
        <v>40026.621899999998</v>
      </c>
      <c r="F25" s="34">
        <f t="shared" si="5"/>
        <v>0.34584982051657975</v>
      </c>
      <c r="G25" s="37">
        <f t="shared" si="6"/>
        <v>0.65415017948342025</v>
      </c>
    </row>
    <row r="26" spans="2:7" x14ac:dyDescent="0.2">
      <c r="B26" s="24" t="s">
        <v>2</v>
      </c>
      <c r="C26" s="33">
        <f>C11</f>
        <v>42450.6</v>
      </c>
      <c r="D26" s="33">
        <f>D11</f>
        <v>11306.315999999999</v>
      </c>
      <c r="E26" s="33">
        <f t="shared" si="4"/>
        <v>53756.915999999997</v>
      </c>
      <c r="F26" s="34">
        <f t="shared" si="5"/>
        <v>0.78967699709559236</v>
      </c>
      <c r="G26" s="37">
        <f t="shared" si="6"/>
        <v>0.21032300290440764</v>
      </c>
    </row>
    <row r="27" spans="2:7" x14ac:dyDescent="0.2">
      <c r="B27" s="24" t="s">
        <v>1</v>
      </c>
      <c r="C27" s="33">
        <f>C12</f>
        <v>340037.76</v>
      </c>
      <c r="D27" s="33">
        <f>D12</f>
        <v>92752.731499999994</v>
      </c>
      <c r="E27" s="33">
        <f t="shared" si="4"/>
        <v>432790.4915</v>
      </c>
      <c r="F27" s="34">
        <f t="shared" si="5"/>
        <v>0.78568676225179968</v>
      </c>
      <c r="G27" s="37">
        <f t="shared" si="6"/>
        <v>0.21431323774820032</v>
      </c>
    </row>
    <row r="28" spans="2:7" ht="8.25" customHeight="1" x14ac:dyDescent="0.2">
      <c r="B28" s="25"/>
      <c r="C28" s="45"/>
      <c r="D28" s="45"/>
      <c r="E28" s="26"/>
      <c r="F28" s="26"/>
      <c r="G28" s="20"/>
    </row>
    <row r="29" spans="2:7" ht="15" thickBot="1" x14ac:dyDescent="0.25">
      <c r="B29" s="27" t="s">
        <v>27</v>
      </c>
      <c r="C29" s="38">
        <f>SUM(C21:C27)</f>
        <v>8971683.2400000002</v>
      </c>
      <c r="D29" s="38">
        <f>SUM(D21:D27)</f>
        <v>8563930.6809999999</v>
      </c>
      <c r="E29" s="38">
        <f>SUM(E21:E27)</f>
        <v>17535613.921000004</v>
      </c>
      <c r="F29" s="46">
        <f t="shared" ref="F29" si="10">C29/E29</f>
        <v>0.51162641242094431</v>
      </c>
      <c r="G29" s="47">
        <f t="shared" si="6"/>
        <v>0.48837358757905569</v>
      </c>
    </row>
    <row r="31" spans="2:7" x14ac:dyDescent="0.2">
      <c r="B31" t="s">
        <v>20</v>
      </c>
    </row>
    <row r="32" spans="2:7" x14ac:dyDescent="0.2">
      <c r="B32" t="s">
        <v>21</v>
      </c>
    </row>
  </sheetData>
  <mergeCells count="3">
    <mergeCell ref="B17:G17"/>
    <mergeCell ref="B3:H3"/>
    <mergeCell ref="B19:B20"/>
  </mergeCells>
  <pageMargins left="0.7" right="0.7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5"/>
  <sheetViews>
    <sheetView showGridLines="0" workbookViewId="0">
      <selection activeCell="B3" sqref="B3:I15"/>
    </sheetView>
  </sheetViews>
  <sheetFormatPr defaultRowHeight="14.25" x14ac:dyDescent="0.2"/>
  <cols>
    <col min="1" max="1" width="2.875" customWidth="1"/>
    <col min="2" max="2" width="19.125" customWidth="1"/>
    <col min="3" max="3" width="12.625" customWidth="1"/>
    <col min="4" max="4" width="9.375" bestFit="1" customWidth="1"/>
    <col min="5" max="5" width="12.125" bestFit="1" customWidth="1"/>
    <col min="6" max="6" width="11.875" customWidth="1"/>
    <col min="8" max="8" width="1.75" customWidth="1"/>
    <col min="9" max="9" width="10.75" bestFit="1" customWidth="1"/>
  </cols>
  <sheetData>
    <row r="2" spans="2:9" ht="15" thickBot="1" x14ac:dyDescent="0.25"/>
    <row r="3" spans="2:9" ht="15" x14ac:dyDescent="0.25">
      <c r="B3" s="185" t="s">
        <v>55</v>
      </c>
      <c r="C3" s="186"/>
      <c r="D3" s="186"/>
      <c r="E3" s="186"/>
      <c r="F3" s="186"/>
      <c r="G3" s="186"/>
      <c r="H3" s="186"/>
      <c r="I3" s="187"/>
    </row>
    <row r="4" spans="2:9" ht="15" x14ac:dyDescent="0.25">
      <c r="B4" s="188" t="s">
        <v>56</v>
      </c>
      <c r="C4" s="189"/>
      <c r="D4" s="189"/>
      <c r="E4" s="189"/>
      <c r="F4" s="189"/>
      <c r="G4" s="189"/>
      <c r="H4" s="189"/>
      <c r="I4" s="190"/>
    </row>
    <row r="5" spans="2:9" ht="7.5" customHeight="1" x14ac:dyDescent="0.2">
      <c r="B5" s="25"/>
      <c r="C5" s="26"/>
      <c r="D5" s="26"/>
      <c r="E5" s="26"/>
      <c r="F5" s="26"/>
      <c r="G5" s="26"/>
      <c r="H5" s="26"/>
      <c r="I5" s="20"/>
    </row>
    <row r="6" spans="2:9" ht="71.25" x14ac:dyDescent="0.2">
      <c r="B6" s="50" t="s">
        <v>18</v>
      </c>
      <c r="C6" s="32" t="s">
        <v>26</v>
      </c>
      <c r="D6" s="32" t="s">
        <v>32</v>
      </c>
      <c r="E6" s="32" t="s">
        <v>31</v>
      </c>
      <c r="F6" s="32" t="s">
        <v>33</v>
      </c>
      <c r="G6" s="32" t="s">
        <v>34</v>
      </c>
      <c r="H6" s="54"/>
      <c r="I6" s="36" t="s">
        <v>75</v>
      </c>
    </row>
    <row r="7" spans="2:9" x14ac:dyDescent="0.2">
      <c r="B7" s="24" t="s">
        <v>0</v>
      </c>
      <c r="C7" s="33">
        <v>14073081</v>
      </c>
      <c r="D7" s="173">
        <v>1.133140077280125</v>
      </c>
      <c r="E7" s="33">
        <f>D7*'Class Revenue'!E21</f>
        <v>11722195.092183797</v>
      </c>
      <c r="F7" s="33">
        <v>1594009.7815034098</v>
      </c>
      <c r="G7" s="49">
        <f>(E7+F7)/C7</f>
        <v>0.94621816457158214</v>
      </c>
      <c r="H7" s="55"/>
      <c r="I7" s="44" t="s">
        <v>35</v>
      </c>
    </row>
    <row r="8" spans="2:9" x14ac:dyDescent="0.2">
      <c r="B8" s="24" t="s">
        <v>11</v>
      </c>
      <c r="C8" s="33">
        <v>2764150</v>
      </c>
      <c r="D8" s="48">
        <f>D$7</f>
        <v>1.133140077280125</v>
      </c>
      <c r="E8" s="33">
        <f>D8*'Class Revenue'!E22</f>
        <v>2726265.1293234532</v>
      </c>
      <c r="F8" s="33">
        <v>292795.08540375967</v>
      </c>
      <c r="G8" s="49">
        <f t="shared" ref="G8:G13" si="0">(E8+F8)/C8</f>
        <v>1.0922201091573225</v>
      </c>
      <c r="H8" s="55"/>
      <c r="I8" s="44" t="s">
        <v>36</v>
      </c>
    </row>
    <row r="9" spans="2:9" x14ac:dyDescent="0.2">
      <c r="B9" s="24" t="s">
        <v>12</v>
      </c>
      <c r="C9" s="33">
        <v>4860556</v>
      </c>
      <c r="D9" s="48">
        <f t="shared" ref="D9:D13" si="1">D$7</f>
        <v>1.133140077280125</v>
      </c>
      <c r="E9" s="33">
        <f>D9*'Class Revenue'!E23</f>
        <v>4719135.6665691286</v>
      </c>
      <c r="F9" s="33">
        <v>479860.44345178513</v>
      </c>
      <c r="G9" s="49">
        <f t="shared" si="0"/>
        <v>1.0696299168286332</v>
      </c>
      <c r="H9" s="55"/>
      <c r="I9" s="44" t="s">
        <v>36</v>
      </c>
    </row>
    <row r="10" spans="2:9" x14ac:dyDescent="0.2">
      <c r="B10" s="24" t="s">
        <v>74</v>
      </c>
      <c r="C10" s="33">
        <v>138462</v>
      </c>
      <c r="D10" s="48">
        <f t="shared" si="1"/>
        <v>1.133140077280125</v>
      </c>
      <c r="E10" s="33">
        <f>D10*'Class Revenue'!E24</f>
        <v>106028.88915197359</v>
      </c>
      <c r="F10" s="33">
        <v>11062.371479387008</v>
      </c>
      <c r="G10" s="49">
        <f t="shared" si="0"/>
        <v>0.84565628570554086</v>
      </c>
      <c r="H10" s="55"/>
      <c r="I10" s="114" t="s">
        <v>36</v>
      </c>
    </row>
    <row r="11" spans="2:9" x14ac:dyDescent="0.2">
      <c r="B11" s="24" t="s">
        <v>13</v>
      </c>
      <c r="C11" s="33">
        <v>71426</v>
      </c>
      <c r="D11" s="48">
        <f t="shared" si="1"/>
        <v>1.133140077280125</v>
      </c>
      <c r="E11" s="33">
        <f>D11*'Class Revenue'!E25</f>
        <v>45355.769433028341</v>
      </c>
      <c r="F11" s="33">
        <v>6752.9644143168498</v>
      </c>
      <c r="G11" s="58">
        <f t="shared" si="0"/>
        <v>0.72954853761018656</v>
      </c>
      <c r="H11" s="55"/>
      <c r="I11" s="44" t="s">
        <v>36</v>
      </c>
    </row>
    <row r="12" spans="2:9" x14ac:dyDescent="0.2">
      <c r="B12" s="24" t="s">
        <v>2</v>
      </c>
      <c r="C12" s="33">
        <v>64083</v>
      </c>
      <c r="D12" s="48">
        <f t="shared" si="1"/>
        <v>1.133140077280125</v>
      </c>
      <c r="E12" s="33">
        <f>D12*'Class Revenue'!E26</f>
        <v>60914.115950581188</v>
      </c>
      <c r="F12" s="33">
        <v>6427.3526771288798</v>
      </c>
      <c r="G12" s="59">
        <f t="shared" si="0"/>
        <v>1.0508476292887361</v>
      </c>
      <c r="H12" s="55"/>
      <c r="I12" s="44" t="s">
        <v>36</v>
      </c>
    </row>
    <row r="13" spans="2:9" x14ac:dyDescent="0.2">
      <c r="B13" s="24" t="s">
        <v>1</v>
      </c>
      <c r="C13" s="33">
        <v>322994</v>
      </c>
      <c r="D13" s="48">
        <f t="shared" si="1"/>
        <v>1.133140077280125</v>
      </c>
      <c r="E13" s="33">
        <f>D13*'Class Revenue'!E27</f>
        <v>490412.25098441326</v>
      </c>
      <c r="F13" s="33">
        <v>33537.001070212253</v>
      </c>
      <c r="G13" s="58">
        <f t="shared" si="0"/>
        <v>1.6221640403680115</v>
      </c>
      <c r="H13" s="55"/>
      <c r="I13" s="114" t="s">
        <v>36</v>
      </c>
    </row>
    <row r="14" spans="2:9" ht="7.5" customHeight="1" x14ac:dyDescent="0.2">
      <c r="B14" s="24"/>
      <c r="C14" s="15"/>
      <c r="D14" s="15"/>
      <c r="E14" s="15"/>
      <c r="F14" s="15"/>
      <c r="G14" s="15"/>
      <c r="H14" s="56"/>
      <c r="I14" s="51"/>
    </row>
    <row r="15" spans="2:9" ht="15" thickBot="1" x14ac:dyDescent="0.25">
      <c r="B15" s="27" t="s">
        <v>27</v>
      </c>
      <c r="C15" s="52">
        <f>SUM(C7:C13)</f>
        <v>22294752</v>
      </c>
      <c r="D15" s="28"/>
      <c r="E15" s="52">
        <f>SUM(E7:E13)</f>
        <v>19870306.913596373</v>
      </c>
      <c r="F15" s="52">
        <f>SUM(F7:F13)</f>
        <v>2424444.9999999991</v>
      </c>
      <c r="G15" s="28"/>
      <c r="H15" s="57"/>
      <c r="I15" s="53"/>
    </row>
  </sheetData>
  <mergeCells count="2">
    <mergeCell ref="B3:I3"/>
    <mergeCell ref="B4:I4"/>
  </mergeCells>
  <pageMargins left="0.7" right="0.7" top="0.75" bottom="0.75" header="0.3" footer="0.3"/>
  <pageSetup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2"/>
  <sheetViews>
    <sheetView showGridLines="0" workbookViewId="0">
      <selection activeCell="G6" sqref="G6"/>
    </sheetView>
  </sheetViews>
  <sheetFormatPr defaultRowHeight="14.25" x14ac:dyDescent="0.2"/>
  <cols>
    <col min="1" max="1" width="3.25" customWidth="1"/>
    <col min="2" max="2" width="19.125" customWidth="1"/>
    <col min="3" max="3" width="12.625" customWidth="1"/>
    <col min="4" max="4" width="11.875" customWidth="1"/>
    <col min="5" max="5" width="12.125" bestFit="1" customWidth="1"/>
    <col min="6" max="6" width="9.75" customWidth="1"/>
    <col min="7" max="7" width="12.625" bestFit="1" customWidth="1"/>
  </cols>
  <sheetData>
    <row r="2" spans="2:8" ht="15" thickBot="1" x14ac:dyDescent="0.25"/>
    <row r="3" spans="2:8" ht="15" x14ac:dyDescent="0.25">
      <c r="B3" s="178" t="s">
        <v>77</v>
      </c>
      <c r="C3" s="179"/>
      <c r="D3" s="179"/>
      <c r="E3" s="179"/>
      <c r="F3" s="179"/>
      <c r="G3" s="180"/>
    </row>
    <row r="4" spans="2:8" ht="7.5" customHeight="1" x14ac:dyDescent="0.2">
      <c r="B4" s="25"/>
      <c r="C4" s="26"/>
      <c r="D4" s="26"/>
      <c r="E4" s="26"/>
      <c r="F4" s="26"/>
      <c r="G4" s="20"/>
    </row>
    <row r="5" spans="2:8" ht="71.25" x14ac:dyDescent="0.2">
      <c r="B5" s="112" t="s">
        <v>18</v>
      </c>
      <c r="C5" s="32" t="s">
        <v>26</v>
      </c>
      <c r="D5" s="32" t="s">
        <v>33</v>
      </c>
      <c r="E5" s="32" t="s">
        <v>31</v>
      </c>
      <c r="F5" s="32" t="s">
        <v>76</v>
      </c>
      <c r="G5" s="36" t="s">
        <v>38</v>
      </c>
      <c r="H5" s="8"/>
    </row>
    <row r="6" spans="2:8" x14ac:dyDescent="0.2">
      <c r="B6" s="24" t="s">
        <v>0</v>
      </c>
      <c r="C6" s="33">
        <f>'Existing RC Ratio'!C7</f>
        <v>14073081</v>
      </c>
      <c r="D6" s="33">
        <f>'Existing RC Ratio'!F7</f>
        <v>1594009.7815034098</v>
      </c>
      <c r="E6" s="33">
        <f>'Existing RC Ratio'!E7</f>
        <v>11722195.092183797</v>
      </c>
      <c r="F6" s="59">
        <f>(G6+D6)/C6</f>
        <v>0.95370683313435312</v>
      </c>
      <c r="G6" s="113">
        <v>11827583.731449826</v>
      </c>
    </row>
    <row r="7" spans="2:8" x14ac:dyDescent="0.2">
      <c r="B7" s="24" t="s">
        <v>11</v>
      </c>
      <c r="C7" s="33">
        <f>'Existing RC Ratio'!C8</f>
        <v>2764150</v>
      </c>
      <c r="D7" s="33">
        <f>'Existing RC Ratio'!F8</f>
        <v>292795.08540375967</v>
      </c>
      <c r="E7" s="33">
        <f>'Existing RC Ratio'!E8</f>
        <v>2726265.1293234532</v>
      </c>
      <c r="F7" s="59">
        <f t="shared" ref="F7:F12" si="0">(G7+D7)/C7</f>
        <v>1.0922201091573225</v>
      </c>
      <c r="G7" s="113">
        <v>2726265.1293234532</v>
      </c>
    </row>
    <row r="8" spans="2:8" x14ac:dyDescent="0.2">
      <c r="B8" s="24" t="s">
        <v>12</v>
      </c>
      <c r="C8" s="33">
        <f>'Existing RC Ratio'!C9</f>
        <v>4860556</v>
      </c>
      <c r="D8" s="33">
        <f>'Existing RC Ratio'!F9</f>
        <v>479860.44345178513</v>
      </c>
      <c r="E8" s="33">
        <f>'Existing RC Ratio'!E9</f>
        <v>4719135.6665691286</v>
      </c>
      <c r="F8" s="59">
        <f t="shared" si="0"/>
        <v>1.0696299346051219</v>
      </c>
      <c r="G8" s="113">
        <v>4719135.7529727472</v>
      </c>
    </row>
    <row r="9" spans="2:8" x14ac:dyDescent="0.2">
      <c r="B9" s="24" t="s">
        <v>74</v>
      </c>
      <c r="C9" s="33">
        <f>'Existing RC Ratio'!C10</f>
        <v>138462</v>
      </c>
      <c r="D9" s="33">
        <f>'Existing RC Ratio'!F10</f>
        <v>11062.371479387008</v>
      </c>
      <c r="E9" s="33">
        <f>'Existing RC Ratio'!E10</f>
        <v>106028.88915197359</v>
      </c>
      <c r="F9" s="59">
        <f t="shared" si="0"/>
        <v>0.9536886685627709</v>
      </c>
      <c r="G9" s="113">
        <v>120987.26894715137</v>
      </c>
    </row>
    <row r="10" spans="2:8" x14ac:dyDescent="0.2">
      <c r="B10" s="24" t="s">
        <v>13</v>
      </c>
      <c r="C10" s="33">
        <f>'Existing RC Ratio'!C11</f>
        <v>71426</v>
      </c>
      <c r="D10" s="33">
        <f>'Existing RC Ratio'!F11</f>
        <v>6752.9644143168498</v>
      </c>
      <c r="E10" s="33">
        <f>'Existing RC Ratio'!E11</f>
        <v>45355.769433028341</v>
      </c>
      <c r="F10" s="59">
        <f t="shared" si="0"/>
        <v>0.9536886685627709</v>
      </c>
      <c r="G10" s="113">
        <v>61365.202426447628</v>
      </c>
    </row>
    <row r="11" spans="2:8" x14ac:dyDescent="0.2">
      <c r="B11" s="24" t="s">
        <v>2</v>
      </c>
      <c r="C11" s="33">
        <f>'Existing RC Ratio'!C12</f>
        <v>64083</v>
      </c>
      <c r="D11" s="33">
        <f>'Existing RC Ratio'!F12</f>
        <v>6427.3526771288798</v>
      </c>
      <c r="E11" s="33">
        <f>'Existing RC Ratio'!E12</f>
        <v>60914.115950581188</v>
      </c>
      <c r="F11" s="59">
        <f t="shared" si="0"/>
        <v>1.0508476292887361</v>
      </c>
      <c r="G11" s="113">
        <v>60914.115950581188</v>
      </c>
    </row>
    <row r="12" spans="2:8" x14ac:dyDescent="0.2">
      <c r="B12" s="24" t="s">
        <v>1</v>
      </c>
      <c r="C12" s="33">
        <f>'Existing RC Ratio'!C13</f>
        <v>322994</v>
      </c>
      <c r="D12" s="33">
        <f>'Existing RC Ratio'!F13</f>
        <v>33537.001070212253</v>
      </c>
      <c r="E12" s="33">
        <f>'Existing RC Ratio'!E13</f>
        <v>490412.25098441326</v>
      </c>
      <c r="F12" s="59">
        <f t="shared" si="0"/>
        <v>1.1999999999999997</v>
      </c>
      <c r="G12" s="113">
        <v>354055.79892978771</v>
      </c>
    </row>
    <row r="13" spans="2:8" ht="7.5" customHeight="1" x14ac:dyDescent="0.2">
      <c r="B13" s="24"/>
      <c r="C13" s="15"/>
      <c r="D13" s="15"/>
      <c r="E13" s="15"/>
      <c r="F13" s="15"/>
      <c r="G13" s="51"/>
    </row>
    <row r="14" spans="2:8" ht="15" thickBot="1" x14ac:dyDescent="0.25">
      <c r="B14" s="27" t="s">
        <v>27</v>
      </c>
      <c r="C14" s="52">
        <f>SUM(C6:C12)</f>
        <v>22294752</v>
      </c>
      <c r="D14" s="52">
        <f>SUM(D6:D12)</f>
        <v>2424444.9999999991</v>
      </c>
      <c r="E14" s="52">
        <f>SUM(E6:E12)</f>
        <v>19870306.913596373</v>
      </c>
      <c r="F14" s="28"/>
      <c r="G14" s="60">
        <f>E14</f>
        <v>19870306.913596373</v>
      </c>
    </row>
    <row r="16" spans="2:8" x14ac:dyDescent="0.2">
      <c r="B16" t="s">
        <v>73</v>
      </c>
      <c r="C16" t="str">
        <f>IF((G6+G7+G8+G10+G11+G12)-E14&lt;1,"YES","NO")</f>
        <v>YES</v>
      </c>
    </row>
    <row r="18" spans="2:7" x14ac:dyDescent="0.2">
      <c r="B18" t="s">
        <v>37</v>
      </c>
    </row>
    <row r="20" spans="2:7" x14ac:dyDescent="0.2">
      <c r="B20" s="191" t="s">
        <v>78</v>
      </c>
      <c r="C20" s="191"/>
      <c r="D20" s="191"/>
      <c r="E20" s="191"/>
      <c r="F20" s="191"/>
      <c r="G20" s="191"/>
    </row>
    <row r="21" spans="2:7" x14ac:dyDescent="0.2">
      <c r="B21" s="192" t="s">
        <v>79</v>
      </c>
      <c r="C21" s="192"/>
      <c r="D21" s="192"/>
      <c r="E21" s="192"/>
      <c r="F21" s="192"/>
      <c r="G21" s="192"/>
    </row>
    <row r="22" spans="2:7" x14ac:dyDescent="0.2">
      <c r="B22" t="s">
        <v>80</v>
      </c>
    </row>
  </sheetData>
  <mergeCells count="3">
    <mergeCell ref="B3:G3"/>
    <mergeCell ref="B20:G20"/>
    <mergeCell ref="B21:G2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9"/>
  <sheetViews>
    <sheetView showGridLines="0" workbookViewId="0">
      <selection activeCell="M20" sqref="M20"/>
    </sheetView>
  </sheetViews>
  <sheetFormatPr defaultRowHeight="14.25" x14ac:dyDescent="0.2"/>
  <cols>
    <col min="1" max="1" width="3.25" customWidth="1"/>
    <col min="2" max="2" width="19.125" customWidth="1"/>
    <col min="3" max="3" width="12.125" bestFit="1" customWidth="1"/>
    <col min="4" max="7" width="12.625" bestFit="1" customWidth="1"/>
  </cols>
  <sheetData>
    <row r="2" spans="2:9" ht="15" thickBot="1" x14ac:dyDescent="0.25"/>
    <row r="3" spans="2:9" ht="15" x14ac:dyDescent="0.25">
      <c r="B3" s="181" t="s">
        <v>81</v>
      </c>
      <c r="C3" s="182"/>
      <c r="D3" s="182"/>
      <c r="E3" s="182"/>
      <c r="F3" s="182"/>
      <c r="G3" s="183"/>
    </row>
    <row r="4" spans="2:9" ht="7.5" customHeight="1" x14ac:dyDescent="0.2">
      <c r="B4" s="25"/>
      <c r="C4" s="26"/>
      <c r="D4" s="26"/>
      <c r="E4" s="26"/>
      <c r="F4" s="26"/>
      <c r="G4" s="20"/>
    </row>
    <row r="5" spans="2:9" ht="57" x14ac:dyDescent="0.2">
      <c r="B5" s="50" t="s">
        <v>18</v>
      </c>
      <c r="C5" s="32" t="s">
        <v>43</v>
      </c>
      <c r="D5" s="32" t="s">
        <v>39</v>
      </c>
      <c r="E5" s="32" t="s">
        <v>40</v>
      </c>
      <c r="F5" s="32" t="s">
        <v>41</v>
      </c>
      <c r="G5" s="36" t="s">
        <v>7</v>
      </c>
    </row>
    <row r="6" spans="2:9" x14ac:dyDescent="0.2">
      <c r="B6" s="24" t="s">
        <v>0</v>
      </c>
      <c r="C6" s="33">
        <f>'RC Ratio Adjustment'!G6</f>
        <v>11827583.731449826</v>
      </c>
      <c r="D6" s="33">
        <f>C6*'Class Revenue'!F21</f>
        <v>8385272.8906239504</v>
      </c>
      <c r="E6" s="33">
        <f>C6*'Class Revenue'!G21</f>
        <v>3442310.8408258748</v>
      </c>
      <c r="F6" s="13">
        <f>D6/'Rates &amp; Forecast'!F6/12</f>
        <v>26.799598868042082</v>
      </c>
      <c r="G6" s="62">
        <f>E6/'Rates &amp; Forecast'!G6</f>
        <v>1.7378579470744001E-2</v>
      </c>
      <c r="H6" s="9"/>
      <c r="I6" s="9"/>
    </row>
    <row r="7" spans="2:9" x14ac:dyDescent="0.2">
      <c r="B7" s="24" t="s">
        <v>11</v>
      </c>
      <c r="C7" s="33">
        <f>'RC Ratio Adjustment'!G7</f>
        <v>2726265.1293234532</v>
      </c>
      <c r="D7" s="33">
        <f>C7*'Class Revenue'!F22</f>
        <v>956449.18242501025</v>
      </c>
      <c r="E7" s="33">
        <f>C7*'Class Revenue'!G22</f>
        <v>1769815.9468984429</v>
      </c>
      <c r="F7" s="13">
        <f>D7/'Rates &amp; Forecast'!F7/12</f>
        <v>32.022538583936331</v>
      </c>
      <c r="G7" s="62">
        <f>E7/'Rates &amp; Forecast'!G7</f>
        <v>2.6062221777442867E-2</v>
      </c>
      <c r="H7" s="9"/>
      <c r="I7" s="9"/>
    </row>
    <row r="8" spans="2:9" x14ac:dyDescent="0.2">
      <c r="B8" s="24" t="s">
        <v>12</v>
      </c>
      <c r="C8" s="33">
        <f>'RC Ratio Adjustment'!G8</f>
        <v>4719135.7529727472</v>
      </c>
      <c r="D8" s="33">
        <f>C8*'Class Revenue'!F23</f>
        <v>448004.29746128339</v>
      </c>
      <c r="E8" s="33">
        <f>C8*'Class Revenue'!G23</f>
        <v>4271131.4555114638</v>
      </c>
      <c r="F8" s="13">
        <f>D8/'Rates &amp; Forecast'!F8/12</f>
        <v>172.04466108344218</v>
      </c>
      <c r="G8" s="62">
        <f>E8/'Rates &amp; Forecast'!H8</f>
        <v>7.1979336373159724</v>
      </c>
      <c r="H8" s="9"/>
      <c r="I8" s="9"/>
    </row>
    <row r="9" spans="2:9" x14ac:dyDescent="0.2">
      <c r="B9" s="24" t="s">
        <v>74</v>
      </c>
      <c r="C9" s="33">
        <f>'RC Ratio Adjustment'!G9</f>
        <v>120987.26894715137</v>
      </c>
      <c r="D9" s="33">
        <f>C9*'Class Revenue'!F24</f>
        <v>2355.7971945339182</v>
      </c>
      <c r="E9" s="33">
        <f>C9*'Class Revenue'!G24</f>
        <v>118631.47175261746</v>
      </c>
      <c r="F9" s="13">
        <f>D9/'Rates &amp; Forecast'!F9/12</f>
        <v>196.31643287782651</v>
      </c>
      <c r="G9" s="62">
        <f>E9/'Rates &amp; Forecast'!H9</f>
        <v>8.6484997997096649</v>
      </c>
      <c r="H9" s="9"/>
      <c r="I9" s="9"/>
    </row>
    <row r="10" spans="2:9" x14ac:dyDescent="0.2">
      <c r="B10" s="24" t="s">
        <v>13</v>
      </c>
      <c r="C10" s="33">
        <f>'RC Ratio Adjustment'!G10</f>
        <v>61365.202426447628</v>
      </c>
      <c r="D10" s="33">
        <f>C10*'Class Revenue'!F25</f>
        <v>21223.144245150495</v>
      </c>
      <c r="E10" s="33">
        <f>C10*'Class Revenue'!G25</f>
        <v>40142.058181297129</v>
      </c>
      <c r="F10" s="13">
        <f>D10/'Rates &amp; Forecast'!F10/12</f>
        <v>50.531295821786898</v>
      </c>
      <c r="G10" s="62">
        <f>E10/'Rates &amp; Forecast'!G10</f>
        <v>2.744266368962334E-2</v>
      </c>
      <c r="H10" s="9"/>
      <c r="I10" s="9"/>
    </row>
    <row r="11" spans="2:9" x14ac:dyDescent="0.2">
      <c r="B11" s="24" t="s">
        <v>2</v>
      </c>
      <c r="C11" s="33">
        <f>'RC Ratio Adjustment'!G11</f>
        <v>60914.115950581188</v>
      </c>
      <c r="D11" s="33">
        <f>C11*'Class Revenue'!F26</f>
        <v>48102.476164587679</v>
      </c>
      <c r="E11" s="33">
        <f>C11*'Class Revenue'!G26</f>
        <v>12811.639785993511</v>
      </c>
      <c r="F11" s="13">
        <f>D11/'Rates &amp; Forecast'!F11/12</f>
        <v>5.7676829933558373</v>
      </c>
      <c r="G11" s="62">
        <f>E11/'Rates &amp; Forecast'!H11</f>
        <v>6.6866595960300161</v>
      </c>
      <c r="H11" s="9"/>
      <c r="I11" s="9"/>
    </row>
    <row r="12" spans="2:9" x14ac:dyDescent="0.2">
      <c r="B12" s="24" t="s">
        <v>1</v>
      </c>
      <c r="C12" s="33">
        <f>'RC Ratio Adjustment'!G12</f>
        <v>354055.79892978771</v>
      </c>
      <c r="D12" s="33">
        <f>C12*'Class Revenue'!F27</f>
        <v>278176.95431761909</v>
      </c>
      <c r="E12" s="33">
        <f>C12*'Class Revenue'!G27</f>
        <v>75878.844612168599</v>
      </c>
      <c r="F12" s="13">
        <f>D12/'Rates &amp; Forecast'!F12/12</f>
        <v>4.0576602240156818</v>
      </c>
      <c r="G12" s="62">
        <f>E12/'Rates &amp; Forecast'!H12</f>
        <v>8.8323646388276806</v>
      </c>
      <c r="H12" s="9"/>
      <c r="I12" s="9"/>
    </row>
    <row r="13" spans="2:9" ht="7.5" customHeight="1" x14ac:dyDescent="0.2">
      <c r="B13" s="25"/>
      <c r="C13" s="26"/>
      <c r="D13" s="26"/>
      <c r="E13" s="26"/>
      <c r="F13" s="26"/>
      <c r="G13" s="20"/>
    </row>
    <row r="14" spans="2:9" ht="15" thickBot="1" x14ac:dyDescent="0.25">
      <c r="B14" s="27" t="s">
        <v>27</v>
      </c>
      <c r="C14" s="52">
        <f>SUM(C6:C12)</f>
        <v>19870306.999999993</v>
      </c>
      <c r="D14" s="52">
        <f>SUM(D6:D12)</f>
        <v>10139584.742432132</v>
      </c>
      <c r="E14" s="52">
        <f>SUM(E6:E12)</f>
        <v>9730722.2575678583</v>
      </c>
      <c r="F14" s="28"/>
      <c r="G14" s="53"/>
    </row>
    <row r="16" spans="2:9" x14ac:dyDescent="0.2">
      <c r="B16" t="s">
        <v>42</v>
      </c>
      <c r="D16" s="10">
        <f>'Rates &amp; Forecast'!D14*'Rates &amp; Forecast'!H14</f>
        <v>199672.8</v>
      </c>
      <c r="E16" t="s">
        <v>44</v>
      </c>
    </row>
    <row r="17" spans="2:7" ht="15" thickBot="1" x14ac:dyDescent="0.25">
      <c r="D17" s="10"/>
    </row>
    <row r="18" spans="2:7" ht="15" x14ac:dyDescent="0.25">
      <c r="B18" s="181" t="s">
        <v>82</v>
      </c>
      <c r="C18" s="182"/>
      <c r="D18" s="182"/>
      <c r="E18" s="182"/>
      <c r="F18" s="182"/>
      <c r="G18" s="183"/>
    </row>
    <row r="19" spans="2:7" ht="7.5" customHeight="1" x14ac:dyDescent="0.2">
      <c r="B19" s="25"/>
      <c r="C19" s="26"/>
      <c r="D19" s="26"/>
      <c r="E19" s="26"/>
      <c r="F19" s="26"/>
      <c r="G19" s="20"/>
    </row>
    <row r="20" spans="2:7" ht="57" x14ac:dyDescent="0.2">
      <c r="B20" s="50" t="s">
        <v>18</v>
      </c>
      <c r="C20" s="32" t="s">
        <v>45</v>
      </c>
      <c r="D20" s="32" t="s">
        <v>39</v>
      </c>
      <c r="E20" s="32" t="s">
        <v>40</v>
      </c>
      <c r="F20" s="32" t="s">
        <v>41</v>
      </c>
      <c r="G20" s="36" t="s">
        <v>7</v>
      </c>
    </row>
    <row r="21" spans="2:7" x14ac:dyDescent="0.2">
      <c r="B21" s="24" t="s">
        <v>0</v>
      </c>
      <c r="C21" s="33">
        <f>C6</f>
        <v>11827583.731449826</v>
      </c>
      <c r="D21" s="33">
        <f>D6</f>
        <v>8385272.8906239504</v>
      </c>
      <c r="E21" s="33">
        <f>E6</f>
        <v>3442310.8408258748</v>
      </c>
      <c r="F21" s="13">
        <f>D21/'Rates &amp; Forecast'!F6/12</f>
        <v>26.799598868042082</v>
      </c>
      <c r="G21" s="62">
        <f>E21/'Rates &amp; Forecast'!G6</f>
        <v>1.7378579470744001E-2</v>
      </c>
    </row>
    <row r="22" spans="2:7" x14ac:dyDescent="0.2">
      <c r="B22" s="24" t="s">
        <v>11</v>
      </c>
      <c r="C22" s="33">
        <f>C7</f>
        <v>2726265.1293234532</v>
      </c>
      <c r="D22" s="33">
        <f t="shared" ref="D22:E22" si="0">D7</f>
        <v>956449.18242501025</v>
      </c>
      <c r="E22" s="33">
        <f t="shared" si="0"/>
        <v>1769815.9468984429</v>
      </c>
      <c r="F22" s="13">
        <f>D22/'Rates &amp; Forecast'!F7/12</f>
        <v>32.022538583936331</v>
      </c>
      <c r="G22" s="62">
        <f>E22/'Rates &amp; Forecast'!G7</f>
        <v>2.6062221777442867E-2</v>
      </c>
    </row>
    <row r="23" spans="2:7" x14ac:dyDescent="0.2">
      <c r="B23" s="24" t="s">
        <v>12</v>
      </c>
      <c r="C23" s="61">
        <f>C8+D16</f>
        <v>4918808.552972747</v>
      </c>
      <c r="D23" s="33">
        <f t="shared" ref="D23" si="1">D8</f>
        <v>448004.29746128339</v>
      </c>
      <c r="E23" s="61">
        <f>E8+D16</f>
        <v>4470804.2555114636</v>
      </c>
      <c r="F23" s="13">
        <f>D23/'Rates &amp; Forecast'!F8/12</f>
        <v>172.04466108344218</v>
      </c>
      <c r="G23" s="62">
        <f>E23/'Rates &amp; Forecast'!H8</f>
        <v>7.5344326607123282</v>
      </c>
    </row>
    <row r="24" spans="2:7" x14ac:dyDescent="0.2">
      <c r="B24" s="24" t="s">
        <v>74</v>
      </c>
      <c r="C24" s="33">
        <f>C9</f>
        <v>120987.26894715137</v>
      </c>
      <c r="D24" s="33">
        <f t="shared" ref="D24:E24" si="2">D9</f>
        <v>2355.7971945339182</v>
      </c>
      <c r="E24" s="33">
        <f t="shared" si="2"/>
        <v>118631.47175261746</v>
      </c>
      <c r="F24" s="13">
        <f>D24/'Rates &amp; Forecast'!F9/12</f>
        <v>196.31643287782651</v>
      </c>
      <c r="G24" s="62">
        <f>E24/'Rates &amp; Forecast'!H9</f>
        <v>8.6484997997096649</v>
      </c>
    </row>
    <row r="25" spans="2:7" x14ac:dyDescent="0.2">
      <c r="B25" s="24" t="s">
        <v>13</v>
      </c>
      <c r="C25" s="33">
        <f>C10</f>
        <v>61365.202426447628</v>
      </c>
      <c r="D25" s="33">
        <f t="shared" ref="D25:E25" si="3">D10</f>
        <v>21223.144245150495</v>
      </c>
      <c r="E25" s="33">
        <f t="shared" si="3"/>
        <v>40142.058181297129</v>
      </c>
      <c r="F25" s="13">
        <f>D25/'Rates &amp; Forecast'!F10/12</f>
        <v>50.531295821786898</v>
      </c>
      <c r="G25" s="62">
        <f>E25/'Rates &amp; Forecast'!G10</f>
        <v>2.744266368962334E-2</v>
      </c>
    </row>
    <row r="26" spans="2:7" x14ac:dyDescent="0.2">
      <c r="B26" s="24" t="s">
        <v>2</v>
      </c>
      <c r="C26" s="33">
        <f>C11</f>
        <v>60914.115950581188</v>
      </c>
      <c r="D26" s="33">
        <f t="shared" ref="D26:E26" si="4">D11</f>
        <v>48102.476164587679</v>
      </c>
      <c r="E26" s="33">
        <f t="shared" si="4"/>
        <v>12811.639785993511</v>
      </c>
      <c r="F26" s="13">
        <f>D26/'Rates &amp; Forecast'!F11/12</f>
        <v>5.7676829933558373</v>
      </c>
      <c r="G26" s="62">
        <f>E26/'Rates &amp; Forecast'!H11</f>
        <v>6.6866595960300161</v>
      </c>
    </row>
    <row r="27" spans="2:7" x14ac:dyDescent="0.2">
      <c r="B27" s="24" t="s">
        <v>1</v>
      </c>
      <c r="C27" s="33">
        <f>C12</f>
        <v>354055.79892978771</v>
      </c>
      <c r="D27" s="33">
        <f t="shared" ref="D27:E27" si="5">D12</f>
        <v>278176.95431761909</v>
      </c>
      <c r="E27" s="33">
        <f t="shared" si="5"/>
        <v>75878.844612168599</v>
      </c>
      <c r="F27" s="13">
        <f>D27/'Rates &amp; Forecast'!F12/12</f>
        <v>4.0576602240156818</v>
      </c>
      <c r="G27" s="62">
        <f>E27/'Rates &amp; Forecast'!H12</f>
        <v>8.8323646388276806</v>
      </c>
    </row>
    <row r="28" spans="2:7" ht="7.5" customHeight="1" x14ac:dyDescent="0.2">
      <c r="B28" s="25"/>
      <c r="C28" s="26"/>
      <c r="D28" s="26"/>
      <c r="E28" s="26"/>
      <c r="F28" s="26"/>
      <c r="G28" s="20"/>
    </row>
    <row r="29" spans="2:7" ht="15" thickBot="1" x14ac:dyDescent="0.25">
      <c r="B29" s="27" t="s">
        <v>27</v>
      </c>
      <c r="C29" s="52">
        <f>SUM(C21:C27)</f>
        <v>20069979.799999993</v>
      </c>
      <c r="D29" s="52">
        <f>SUM(D21:D27)</f>
        <v>10139584.742432132</v>
      </c>
      <c r="E29" s="52">
        <f>SUM(E21:E27)</f>
        <v>9930395.0575678591</v>
      </c>
      <c r="F29" s="28"/>
      <c r="G29" s="53"/>
    </row>
  </sheetData>
  <mergeCells count="2">
    <mergeCell ref="B3:G3"/>
    <mergeCell ref="B18:G18"/>
  </mergeCells>
  <pageMargins left="0.7" right="0.7" top="0.75" bottom="0.75" header="0.3" footer="0.3"/>
  <pageSetup scale="98" orientation="portrait" r:id="rId1"/>
  <ignoredErrors>
    <ignoredError sqref="C2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3"/>
  <sheetViews>
    <sheetView showGridLines="0" workbookViewId="0">
      <selection activeCell="G16" sqref="G16"/>
    </sheetView>
  </sheetViews>
  <sheetFormatPr defaultRowHeight="14.25" x14ac:dyDescent="0.2"/>
  <cols>
    <col min="1" max="1" width="3.25" customWidth="1"/>
    <col min="2" max="2" width="19.375" customWidth="1"/>
    <col min="3" max="4" width="12.25" customWidth="1"/>
    <col min="5" max="5" width="1.5" customWidth="1"/>
  </cols>
  <sheetData>
    <row r="2" spans="2:7" ht="15" thickBot="1" x14ac:dyDescent="0.25"/>
    <row r="3" spans="2:7" ht="15" x14ac:dyDescent="0.25">
      <c r="B3" s="178" t="s">
        <v>83</v>
      </c>
      <c r="C3" s="179"/>
      <c r="D3" s="179"/>
      <c r="E3" s="179"/>
      <c r="F3" s="179"/>
      <c r="G3" s="180"/>
    </row>
    <row r="4" spans="2:7" ht="7.5" customHeight="1" x14ac:dyDescent="0.2">
      <c r="B4" s="25"/>
      <c r="C4" s="26"/>
      <c r="D4" s="26"/>
      <c r="E4" s="26"/>
      <c r="F4" s="26"/>
      <c r="G4" s="20"/>
    </row>
    <row r="5" spans="2:7" ht="71.25" x14ac:dyDescent="0.2">
      <c r="B5" s="193" t="s">
        <v>18</v>
      </c>
      <c r="C5" s="11" t="s">
        <v>49</v>
      </c>
      <c r="D5" s="11" t="s">
        <v>50</v>
      </c>
      <c r="E5" s="15"/>
      <c r="F5" s="11" t="s">
        <v>52</v>
      </c>
      <c r="G5" s="22" t="s">
        <v>53</v>
      </c>
    </row>
    <row r="6" spans="2:7" x14ac:dyDescent="0.2">
      <c r="B6" s="193"/>
      <c r="C6" s="40" t="s">
        <v>48</v>
      </c>
      <c r="D6" s="40" t="s">
        <v>51</v>
      </c>
      <c r="E6" s="15"/>
      <c r="F6" s="15"/>
      <c r="G6" s="51"/>
    </row>
    <row r="7" spans="2:7" x14ac:dyDescent="0.2">
      <c r="B7" s="24" t="s">
        <v>0</v>
      </c>
      <c r="C7" s="13">
        <v>5.3</v>
      </c>
      <c r="D7" s="13">
        <v>27.42</v>
      </c>
      <c r="E7" s="15"/>
      <c r="F7" s="13">
        <f>'2017 Rate Design'!F21</f>
        <v>26.799598868042082</v>
      </c>
      <c r="G7" s="63" t="b">
        <f>AND((C7&lt;F7),(D7&gt;F7))</f>
        <v>1</v>
      </c>
    </row>
    <row r="8" spans="2:7" x14ac:dyDescent="0.2">
      <c r="B8" s="24" t="s">
        <v>11</v>
      </c>
      <c r="C8" s="13">
        <v>11.96</v>
      </c>
      <c r="D8" s="13">
        <v>39.53</v>
      </c>
      <c r="E8" s="15"/>
      <c r="F8" s="13">
        <f>'2017 Rate Design'!F22</f>
        <v>32.022538583936331</v>
      </c>
      <c r="G8" s="63" t="b">
        <f t="shared" ref="G8:G13" si="0">AND((C8&lt;F8),(D8&gt;F8))</f>
        <v>1</v>
      </c>
    </row>
    <row r="9" spans="2:7" x14ac:dyDescent="0.2">
      <c r="B9" s="24" t="s">
        <v>12</v>
      </c>
      <c r="C9" s="13">
        <v>103.12</v>
      </c>
      <c r="D9" s="13">
        <v>233.75</v>
      </c>
      <c r="E9" s="15"/>
      <c r="F9" s="13">
        <f>'2017 Rate Design'!F23</f>
        <v>172.04466108344218</v>
      </c>
      <c r="G9" s="63" t="b">
        <f t="shared" si="0"/>
        <v>1</v>
      </c>
    </row>
    <row r="10" spans="2:7" x14ac:dyDescent="0.2">
      <c r="B10" s="24" t="s">
        <v>74</v>
      </c>
      <c r="C10" s="13">
        <v>584.79</v>
      </c>
      <c r="D10" s="13">
        <v>613.58000000000004</v>
      </c>
      <c r="E10" s="15"/>
      <c r="F10" s="13">
        <f>'2017 Rate Design'!F24</f>
        <v>196.31643287782651</v>
      </c>
      <c r="G10" s="63" t="b">
        <f t="shared" ref="G10" si="1">AND((C10&lt;F10),(D10&gt;F10))</f>
        <v>0</v>
      </c>
    </row>
    <row r="11" spans="2:7" x14ac:dyDescent="0.2">
      <c r="B11" s="24" t="s">
        <v>13</v>
      </c>
      <c r="C11" s="13">
        <v>0.17</v>
      </c>
      <c r="D11" s="13">
        <v>15.15</v>
      </c>
      <c r="E11" s="15"/>
      <c r="F11" s="13">
        <f>'2017 Rate Design'!F25</f>
        <v>50.531295821786898</v>
      </c>
      <c r="G11" s="63" t="b">
        <f t="shared" si="0"/>
        <v>0</v>
      </c>
    </row>
    <row r="12" spans="2:7" x14ac:dyDescent="0.2">
      <c r="B12" s="24" t="s">
        <v>2</v>
      </c>
      <c r="C12" s="13">
        <v>0.09</v>
      </c>
      <c r="D12" s="13">
        <v>16.66</v>
      </c>
      <c r="E12" s="15"/>
      <c r="F12" s="13">
        <f>'2017 Rate Design'!F26</f>
        <v>5.7676829933558373</v>
      </c>
      <c r="G12" s="63" t="b">
        <f t="shared" si="0"/>
        <v>1</v>
      </c>
    </row>
    <row r="13" spans="2:7" ht="15" thickBot="1" x14ac:dyDescent="0.25">
      <c r="B13" s="27" t="s">
        <v>1</v>
      </c>
      <c r="C13" s="29">
        <v>-0.02</v>
      </c>
      <c r="D13" s="29">
        <v>5.55</v>
      </c>
      <c r="E13" s="28"/>
      <c r="F13" s="29">
        <f>'2017 Rate Design'!F27</f>
        <v>4.0576602240156818</v>
      </c>
      <c r="G13" s="64" t="b">
        <f t="shared" si="0"/>
        <v>1</v>
      </c>
    </row>
  </sheetData>
  <mergeCells count="2">
    <mergeCell ref="B5:B6"/>
    <mergeCell ref="B3:G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6"/>
  <sheetViews>
    <sheetView showGridLines="0" workbookViewId="0">
      <selection activeCell="J29" sqref="J29"/>
    </sheetView>
  </sheetViews>
  <sheetFormatPr defaultRowHeight="14.25" x14ac:dyDescent="0.2"/>
  <cols>
    <col min="1" max="1" width="2.125" customWidth="1"/>
    <col min="2" max="2" width="19.125" customWidth="1"/>
    <col min="3" max="3" width="12.125" bestFit="1" customWidth="1"/>
    <col min="4" max="4" width="12.125" customWidth="1"/>
    <col min="5" max="5" width="14.125" bestFit="1" customWidth="1"/>
    <col min="6" max="6" width="10.375" bestFit="1" customWidth="1"/>
    <col min="7" max="7" width="11.125" bestFit="1" customWidth="1"/>
    <col min="8" max="8" width="12.625" bestFit="1" customWidth="1"/>
    <col min="9" max="9" width="10.375" bestFit="1" customWidth="1"/>
    <col min="10" max="11" width="12.625" bestFit="1" customWidth="1"/>
  </cols>
  <sheetData>
    <row r="2" spans="2:11" ht="15" thickBot="1" x14ac:dyDescent="0.25"/>
    <row r="3" spans="2:11" ht="15" x14ac:dyDescent="0.25">
      <c r="B3" s="178" t="s">
        <v>57</v>
      </c>
      <c r="C3" s="179"/>
      <c r="D3" s="179"/>
      <c r="E3" s="179"/>
      <c r="F3" s="179"/>
      <c r="G3" s="179"/>
      <c r="H3" s="179"/>
      <c r="I3" s="179"/>
      <c r="J3" s="179"/>
      <c r="K3" s="180"/>
    </row>
    <row r="4" spans="2:11" ht="7.5" customHeight="1" x14ac:dyDescent="0.2">
      <c r="B4" s="25"/>
      <c r="C4" s="26"/>
      <c r="D4" s="26"/>
      <c r="E4" s="26"/>
      <c r="F4" s="26"/>
      <c r="G4" s="26"/>
      <c r="H4" s="26"/>
      <c r="I4" s="26"/>
      <c r="J4" s="26"/>
      <c r="K4" s="20"/>
    </row>
    <row r="5" spans="2:11" ht="57" x14ac:dyDescent="0.2">
      <c r="B5" s="50" t="s">
        <v>18</v>
      </c>
      <c r="C5" s="32" t="s">
        <v>45</v>
      </c>
      <c r="D5" s="32" t="s">
        <v>39</v>
      </c>
      <c r="E5" s="32" t="s">
        <v>100</v>
      </c>
      <c r="F5" s="32" t="s">
        <v>58</v>
      </c>
      <c r="G5" s="32" t="s">
        <v>40</v>
      </c>
      <c r="H5" s="32" t="s">
        <v>101</v>
      </c>
      <c r="I5" s="32" t="s">
        <v>59</v>
      </c>
      <c r="J5" s="32" t="s">
        <v>60</v>
      </c>
      <c r="K5" s="36" t="s">
        <v>61</v>
      </c>
    </row>
    <row r="6" spans="2:11" x14ac:dyDescent="0.2">
      <c r="B6" s="24" t="s">
        <v>0</v>
      </c>
      <c r="C6" s="65">
        <f>'2017 Rate Design'!C21</f>
        <v>11827583.731449826</v>
      </c>
      <c r="D6" s="65">
        <f>'2017 Rate Design'!D21</f>
        <v>8385272.8906239504</v>
      </c>
      <c r="E6" s="65">
        <f>'2017 Rate Design'!D21</f>
        <v>8385272.8906239504</v>
      </c>
      <c r="F6" s="49">
        <f>E6/C6</f>
        <v>0.70895908082453996</v>
      </c>
      <c r="G6" s="155">
        <f>'2017 Rate Design'!E21</f>
        <v>3442310.8408258748</v>
      </c>
      <c r="H6" s="65">
        <f>I6*C6</f>
        <v>3442310.8408258748</v>
      </c>
      <c r="I6" s="49">
        <f>1-F6</f>
        <v>0.29104091917546004</v>
      </c>
      <c r="J6" s="66">
        <f>E6/'Rates &amp; Forecast'!F6/12</f>
        <v>26.799598868042082</v>
      </c>
      <c r="K6" s="68">
        <f>H6/'Rates &amp; Forecast'!G6</f>
        <v>1.7378579470744001E-2</v>
      </c>
    </row>
    <row r="7" spans="2:11" x14ac:dyDescent="0.2">
      <c r="B7" s="24" t="s">
        <v>11</v>
      </c>
      <c r="C7" s="65">
        <f>'2017 Rate Design'!C22</f>
        <v>2726265.1293234532</v>
      </c>
      <c r="D7" s="65">
        <f>'2017 Rate Design'!D22</f>
        <v>956449.18242501025</v>
      </c>
      <c r="E7" s="65">
        <f>'2017 Rate Design'!D22</f>
        <v>956449.18242501025</v>
      </c>
      <c r="F7" s="49">
        <f>E7/C7</f>
        <v>0.35082764773591979</v>
      </c>
      <c r="G7" s="155">
        <f>'2017 Rate Design'!E22</f>
        <v>1769815.9468984429</v>
      </c>
      <c r="H7" s="65">
        <f t="shared" ref="H7:H12" si="0">I7*C7</f>
        <v>1769815.9468984429</v>
      </c>
      <c r="I7" s="49">
        <f t="shared" ref="I7:I12" si="1">1-F7</f>
        <v>0.64917235226408021</v>
      </c>
      <c r="J7" s="66">
        <f>E7/'Rates &amp; Forecast'!F7/12</f>
        <v>32.022538583936331</v>
      </c>
      <c r="K7" s="68">
        <f>H7/'Rates &amp; Forecast'!G7</f>
        <v>2.6062221777442867E-2</v>
      </c>
    </row>
    <row r="8" spans="2:11" x14ac:dyDescent="0.2">
      <c r="B8" s="24" t="s">
        <v>12</v>
      </c>
      <c r="C8" s="65">
        <f>'2017 Rate Design'!C23</f>
        <v>4918808.552972747</v>
      </c>
      <c r="D8" s="65">
        <f>'2017 Rate Design'!D23</f>
        <v>448004.29746128339</v>
      </c>
      <c r="E8" s="65">
        <f>'2017 Rate Design'!D23</f>
        <v>448004.29746128339</v>
      </c>
      <c r="F8" s="49">
        <f>E8/C8</f>
        <v>9.1079840298018119E-2</v>
      </c>
      <c r="G8" s="155">
        <f>'2017 Rate Design'!E23</f>
        <v>4470804.2555114636</v>
      </c>
      <c r="H8" s="65">
        <f t="shared" si="0"/>
        <v>4470804.2555114636</v>
      </c>
      <c r="I8" s="49">
        <f t="shared" si="1"/>
        <v>0.90892015970198192</v>
      </c>
      <c r="J8" s="74">
        <f>E8/'Rates &amp; Forecast'!F8/12</f>
        <v>172.04466108344218</v>
      </c>
      <c r="K8" s="68">
        <f>H8/'Rates &amp; Forecast'!H8</f>
        <v>7.5344326607123282</v>
      </c>
    </row>
    <row r="9" spans="2:11" x14ac:dyDescent="0.2">
      <c r="B9" s="24" t="s">
        <v>74</v>
      </c>
      <c r="C9" s="65">
        <f>'2017 Rate Design'!C24</f>
        <v>120987.26894715137</v>
      </c>
      <c r="D9" s="65">
        <f>'2017 Rate Design'!D24</f>
        <v>2355.7971945339182</v>
      </c>
      <c r="E9" s="65">
        <f>C9*F9</f>
        <v>7017.4800000000005</v>
      </c>
      <c r="F9" s="58">
        <v>5.8001805157411365E-2</v>
      </c>
      <c r="G9" s="174">
        <f>'2017 Rate Design'!E24</f>
        <v>118631.47175261746</v>
      </c>
      <c r="H9" s="65">
        <f t="shared" ref="H9" si="2">I9*C9</f>
        <v>113969.78894715138</v>
      </c>
      <c r="I9" s="58">
        <f t="shared" ref="I9" si="3">1-F9</f>
        <v>0.94199819484258862</v>
      </c>
      <c r="J9" s="115">
        <f>E9/'Rates &amp; Forecast'!F9/12</f>
        <v>584.79000000000008</v>
      </c>
      <c r="K9" s="156">
        <f>H9/'Rates &amp; Forecast'!H9</f>
        <v>8.308652689884914</v>
      </c>
    </row>
    <row r="10" spans="2:11" x14ac:dyDescent="0.2">
      <c r="B10" s="24" t="s">
        <v>13</v>
      </c>
      <c r="C10" s="65">
        <f>'2017 Rate Design'!C25</f>
        <v>61365.202426447628</v>
      </c>
      <c r="D10" s="65">
        <f>'2017 Rate Design'!D25</f>
        <v>21223.144245150495</v>
      </c>
      <c r="E10" s="65">
        <f>'2017 Rate Design'!D25</f>
        <v>21223.144245150495</v>
      </c>
      <c r="F10" s="49">
        <f>E10/C10</f>
        <v>0.34584982051657975</v>
      </c>
      <c r="G10" s="155">
        <f>'2017 Rate Design'!E25</f>
        <v>40142.058181297129</v>
      </c>
      <c r="H10" s="65">
        <f t="shared" si="0"/>
        <v>40142.058181297129</v>
      </c>
      <c r="I10" s="49">
        <f t="shared" si="1"/>
        <v>0.65415017948342025</v>
      </c>
      <c r="J10" s="74">
        <f>E10/'Rates &amp; Forecast'!F10/12</f>
        <v>50.531295821786898</v>
      </c>
      <c r="K10" s="68">
        <f>H10/'Rates &amp; Forecast'!G10</f>
        <v>2.744266368962334E-2</v>
      </c>
    </row>
    <row r="11" spans="2:11" x14ac:dyDescent="0.2">
      <c r="B11" s="24" t="s">
        <v>2</v>
      </c>
      <c r="C11" s="65">
        <f>'2017 Rate Design'!C26</f>
        <v>60914.115950581188</v>
      </c>
      <c r="D11" s="65">
        <f>'2017 Rate Design'!D26</f>
        <v>48102.476164587679</v>
      </c>
      <c r="E11" s="65">
        <f>'2017 Rate Design'!D26</f>
        <v>48102.476164587679</v>
      </c>
      <c r="F11" s="49">
        <f>E11/C11</f>
        <v>0.78967699709559236</v>
      </c>
      <c r="G11" s="155">
        <f>'2017 Rate Design'!E26</f>
        <v>12811.639785993511</v>
      </c>
      <c r="H11" s="65">
        <f t="shared" si="0"/>
        <v>12811.639785993511</v>
      </c>
      <c r="I11" s="49">
        <f t="shared" si="1"/>
        <v>0.21032300290440764</v>
      </c>
      <c r="J11" s="66">
        <f>E11/'Rates &amp; Forecast'!F11/12</f>
        <v>5.7676829933558373</v>
      </c>
      <c r="K11" s="68">
        <f>H11/'Rates &amp; Forecast'!H11</f>
        <v>6.6866595960300161</v>
      </c>
    </row>
    <row r="12" spans="2:11" x14ac:dyDescent="0.2">
      <c r="B12" s="24" t="s">
        <v>1</v>
      </c>
      <c r="C12" s="65">
        <f>'2017 Rate Design'!C27</f>
        <v>354055.79892978771</v>
      </c>
      <c r="D12" s="65">
        <f>'2017 Rate Design'!D27</f>
        <v>278176.95431761909</v>
      </c>
      <c r="E12" s="65">
        <f>'2017 Rate Design'!D27</f>
        <v>278176.95431761909</v>
      </c>
      <c r="F12" s="49">
        <f>E12/C12</f>
        <v>0.78568676225179968</v>
      </c>
      <c r="G12" s="155">
        <f>'2017 Rate Design'!E27</f>
        <v>75878.844612168599</v>
      </c>
      <c r="H12" s="65">
        <f t="shared" si="0"/>
        <v>75878.844612168599</v>
      </c>
      <c r="I12" s="49">
        <f t="shared" si="1"/>
        <v>0.21431323774820032</v>
      </c>
      <c r="J12" s="66">
        <f>E12/'Rates &amp; Forecast'!F12/12</f>
        <v>4.0576602240156818</v>
      </c>
      <c r="K12" s="68">
        <f>H12/'Rates &amp; Forecast'!H12</f>
        <v>8.8323646388276806</v>
      </c>
    </row>
    <row r="13" spans="2:11" ht="7.5" customHeight="1" x14ac:dyDescent="0.2">
      <c r="B13" s="25"/>
      <c r="C13" s="26"/>
      <c r="D13" s="26"/>
      <c r="E13" s="26"/>
      <c r="F13" s="26"/>
      <c r="G13" s="26"/>
      <c r="H13" s="26"/>
      <c r="I13" s="26"/>
      <c r="J13" s="26"/>
      <c r="K13" s="20"/>
    </row>
    <row r="14" spans="2:11" ht="15" thickBot="1" x14ac:dyDescent="0.25">
      <c r="B14" s="27" t="s">
        <v>27</v>
      </c>
      <c r="C14" s="52">
        <f>SUM(C6:C12)</f>
        <v>20069979.799999993</v>
      </c>
      <c r="D14" s="52">
        <f>SUM(D6:D12)</f>
        <v>10139584.742432132</v>
      </c>
      <c r="E14" s="52">
        <f>SUM(E6:E12)</f>
        <v>10144246.4252376</v>
      </c>
      <c r="F14" s="28"/>
      <c r="G14" s="52">
        <f>SUM(G6:G12)</f>
        <v>9930395.0575678591</v>
      </c>
      <c r="H14" s="52">
        <f>SUM(H6:H12)</f>
        <v>9925733.3747623935</v>
      </c>
      <c r="I14" s="69"/>
      <c r="J14" s="28"/>
      <c r="K14" s="53"/>
    </row>
    <row r="15" spans="2:11" ht="7.5" customHeight="1" x14ac:dyDescent="0.2">
      <c r="B15" s="26"/>
      <c r="C15" s="70"/>
      <c r="D15" s="70"/>
      <c r="E15" s="70"/>
      <c r="F15" s="26"/>
      <c r="G15" s="26"/>
      <c r="H15" s="70"/>
      <c r="I15" s="45"/>
      <c r="J15" s="26"/>
      <c r="K15" s="26"/>
    </row>
    <row r="16" spans="2:11" ht="15" x14ac:dyDescent="0.25">
      <c r="B16" s="72" t="s">
        <v>54</v>
      </c>
      <c r="C16" s="71" t="str">
        <f>IF(C14=E14+H14,"YES","NO")</f>
        <v>YES</v>
      </c>
      <c r="D16" s="71"/>
      <c r="E16" s="6"/>
      <c r="H16" s="6"/>
      <c r="I16" s="6"/>
    </row>
  </sheetData>
  <mergeCells count="1">
    <mergeCell ref="B3:K3"/>
  </mergeCells>
  <pageMargins left="0.7" right="0.7" top="0.75" bottom="0.75" header="0.3" footer="0.3"/>
  <pageSetup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3"/>
  <sheetViews>
    <sheetView showGridLines="0" topLeftCell="A2" workbookViewId="0">
      <selection activeCell="F21" sqref="F21"/>
    </sheetView>
  </sheetViews>
  <sheetFormatPr defaultRowHeight="15" x14ac:dyDescent="0.25"/>
  <cols>
    <col min="1" max="1" width="1.5" style="118" customWidth="1"/>
    <col min="2" max="2" width="16.75" style="118" bestFit="1" customWidth="1"/>
    <col min="3" max="3" width="11.125" style="118" customWidth="1"/>
    <col min="4" max="4" width="10.75" style="118" bestFit="1" customWidth="1"/>
    <col min="5" max="5" width="12.125" style="118" bestFit="1" customWidth="1"/>
    <col min="6" max="6" width="9.75" style="118" customWidth="1"/>
    <col min="7" max="7" width="9" style="118"/>
    <col min="8" max="8" width="8.5" style="118" customWidth="1"/>
    <col min="9" max="9" width="8.5" style="118" bestFit="1" customWidth="1"/>
    <col min="10" max="10" width="11.625" style="118" bestFit="1" customWidth="1"/>
    <col min="11" max="11" width="10.125" style="118" bestFit="1" customWidth="1"/>
    <col min="12" max="12" width="11.125" style="118" bestFit="1" customWidth="1"/>
    <col min="13" max="16384" width="9" style="118"/>
  </cols>
  <sheetData>
    <row r="2" spans="2:14" ht="21" x14ac:dyDescent="0.3">
      <c r="B2" s="198" t="s">
        <v>96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2:14" ht="18.75" x14ac:dyDescent="0.3">
      <c r="B3" s="198" t="s">
        <v>102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2:14" ht="15.75" thickBot="1" x14ac:dyDescent="0.3"/>
    <row r="5" spans="2:14" ht="15.75" customHeight="1" thickBot="1" x14ac:dyDescent="0.3">
      <c r="B5" s="199" t="s">
        <v>62</v>
      </c>
      <c r="C5" s="194" t="s">
        <v>63</v>
      </c>
      <c r="D5" s="195"/>
      <c r="E5" s="196" t="s">
        <v>64</v>
      </c>
      <c r="F5" s="197"/>
      <c r="G5" s="196" t="s">
        <v>46</v>
      </c>
      <c r="H5" s="201"/>
      <c r="I5" s="197"/>
      <c r="J5" s="202" t="s">
        <v>86</v>
      </c>
      <c r="K5" s="203"/>
      <c r="L5" s="204"/>
      <c r="M5" s="203" t="s">
        <v>104</v>
      </c>
      <c r="N5" s="204"/>
    </row>
    <row r="6" spans="2:14" ht="39" thickBot="1" x14ac:dyDescent="0.3">
      <c r="B6" s="200"/>
      <c r="C6" s="119"/>
      <c r="D6" s="120" t="s">
        <v>95</v>
      </c>
      <c r="E6" s="121" t="s">
        <v>28</v>
      </c>
      <c r="F6" s="122" t="s">
        <v>29</v>
      </c>
      <c r="G6" s="120" t="s">
        <v>69</v>
      </c>
      <c r="H6" s="196" t="s">
        <v>70</v>
      </c>
      <c r="I6" s="197"/>
      <c r="J6" s="161" t="s">
        <v>88</v>
      </c>
      <c r="K6" s="161" t="s">
        <v>89</v>
      </c>
      <c r="L6" s="161" t="s">
        <v>27</v>
      </c>
      <c r="M6" s="161" t="s">
        <v>88</v>
      </c>
      <c r="N6" s="162" t="s">
        <v>89</v>
      </c>
    </row>
    <row r="7" spans="2:14" x14ac:dyDescent="0.25">
      <c r="B7" s="123"/>
      <c r="C7" s="123"/>
      <c r="D7" s="123"/>
      <c r="E7" s="123"/>
      <c r="F7" s="124"/>
      <c r="G7" s="123"/>
      <c r="H7" s="125" t="s">
        <v>28</v>
      </c>
      <c r="I7" s="125" t="s">
        <v>29</v>
      </c>
      <c r="J7" s="125" t="s">
        <v>22</v>
      </c>
      <c r="K7" s="125" t="s">
        <v>22</v>
      </c>
      <c r="L7" s="125" t="s">
        <v>22</v>
      </c>
      <c r="M7" s="126"/>
      <c r="N7" s="127"/>
    </row>
    <row r="8" spans="2:14" x14ac:dyDescent="0.25">
      <c r="B8" s="128" t="s">
        <v>0</v>
      </c>
      <c r="C8" s="128" t="s">
        <v>71</v>
      </c>
      <c r="D8" s="129">
        <f>'Rates &amp; Forecast'!F6</f>
        <v>26074</v>
      </c>
      <c r="E8" s="129">
        <f>'Rates &amp; Forecast'!G6</f>
        <v>198077803</v>
      </c>
      <c r="F8" s="129"/>
      <c r="G8" s="130">
        <f>'Ajustment to F_V Split'!J6</f>
        <v>26.799598868042082</v>
      </c>
      <c r="H8" s="131">
        <f>'Ajustment to F_V Split'!K6</f>
        <v>1.7378579470744001E-2</v>
      </c>
      <c r="I8" s="131"/>
      <c r="J8" s="139">
        <f>D8*G8*12</f>
        <v>8385272.8906239504</v>
      </c>
      <c r="K8" s="139">
        <f>E8*H8</f>
        <v>3442310.8408258744</v>
      </c>
      <c r="L8" s="143">
        <f>J8+K8</f>
        <v>11827583.731449824</v>
      </c>
      <c r="M8" s="140">
        <f>J8/L8</f>
        <v>0.70895908082454007</v>
      </c>
      <c r="N8" s="141">
        <f>K8/L8</f>
        <v>0.29104091917546004</v>
      </c>
    </row>
    <row r="9" spans="2:14" x14ac:dyDescent="0.25">
      <c r="B9" s="128" t="s">
        <v>11</v>
      </c>
      <c r="C9" s="128" t="s">
        <v>71</v>
      </c>
      <c r="D9" s="129">
        <f>'Rates &amp; Forecast'!F7</f>
        <v>2489</v>
      </c>
      <c r="E9" s="129">
        <f>'Rates &amp; Forecast'!G7</f>
        <v>67907332</v>
      </c>
      <c r="F9" s="129"/>
      <c r="G9" s="130">
        <f>'Ajustment to F_V Split'!J7</f>
        <v>32.022538583936331</v>
      </c>
      <c r="H9" s="131">
        <f>'Ajustment to F_V Split'!K7</f>
        <v>2.6062221777442867E-2</v>
      </c>
      <c r="I9" s="131"/>
      <c r="J9" s="139">
        <f t="shared" ref="J9:J14" si="0">D9*G9*12</f>
        <v>956449.18242501048</v>
      </c>
      <c r="K9" s="139">
        <f>E9*H9</f>
        <v>1769815.9468984429</v>
      </c>
      <c r="L9" s="143">
        <f t="shared" ref="L9:L14" si="1">J9+K9</f>
        <v>2726265.1293234536</v>
      </c>
      <c r="M9" s="140">
        <f t="shared" ref="M9:M14" si="2">J9/L9</f>
        <v>0.35082764773591985</v>
      </c>
      <c r="N9" s="141">
        <f t="shared" ref="N9:N14" si="3">K9/L9</f>
        <v>0.6491723522640801</v>
      </c>
    </row>
    <row r="10" spans="2:14" x14ac:dyDescent="0.25">
      <c r="B10" s="128" t="s">
        <v>12</v>
      </c>
      <c r="C10" s="128" t="s">
        <v>71</v>
      </c>
      <c r="D10" s="129">
        <f>'Rates &amp; Forecast'!F8</f>
        <v>217</v>
      </c>
      <c r="E10" s="129">
        <f>'Rates &amp; Forecast'!G8</f>
        <v>184944203</v>
      </c>
      <c r="F10" s="129">
        <f>'Rates &amp; Forecast'!H8</f>
        <v>593383</v>
      </c>
      <c r="G10" s="130">
        <f>'Ajustment to F_V Split'!J8</f>
        <v>172.04466108344218</v>
      </c>
      <c r="H10" s="131"/>
      <c r="I10" s="131">
        <f>'Ajustment to F_V Split'!K8</f>
        <v>7.5344326607123282</v>
      </c>
      <c r="J10" s="139">
        <f t="shared" si="0"/>
        <v>448004.29746128339</v>
      </c>
      <c r="K10" s="139">
        <f>F10*I10</f>
        <v>4470804.2555114636</v>
      </c>
      <c r="L10" s="143">
        <f t="shared" si="1"/>
        <v>4918808.552972747</v>
      </c>
      <c r="M10" s="140">
        <f t="shared" si="2"/>
        <v>9.1079840298018119E-2</v>
      </c>
      <c r="N10" s="141">
        <f t="shared" si="3"/>
        <v>0.90892015970198192</v>
      </c>
    </row>
    <row r="11" spans="2:14" x14ac:dyDescent="0.25">
      <c r="B11" s="128" t="s">
        <v>74</v>
      </c>
      <c r="C11" s="128" t="s">
        <v>71</v>
      </c>
      <c r="D11" s="129">
        <f>'Rates &amp; Forecast'!F9</f>
        <v>1</v>
      </c>
      <c r="E11" s="129">
        <f>'Rates &amp; Forecast'!G9</f>
        <v>5129448</v>
      </c>
      <c r="F11" s="129">
        <f>'Rates &amp; Forecast'!H9</f>
        <v>13717</v>
      </c>
      <c r="G11" s="130">
        <f>'Ajustment to F_V Split'!J9</f>
        <v>584.79000000000008</v>
      </c>
      <c r="H11" s="131"/>
      <c r="I11" s="131">
        <f>'Ajustment to F_V Split'!K9</f>
        <v>8.308652689884914</v>
      </c>
      <c r="J11" s="139">
        <f t="shared" ref="J11" si="4">D11*G11*12</f>
        <v>7017.4800000000014</v>
      </c>
      <c r="K11" s="139">
        <f>F11*I11</f>
        <v>113969.78894715136</v>
      </c>
      <c r="L11" s="143">
        <f t="shared" ref="L11" si="5">J11+K11</f>
        <v>120987.26894715136</v>
      </c>
      <c r="M11" s="140">
        <f t="shared" si="2"/>
        <v>5.8001805157411379E-2</v>
      </c>
      <c r="N11" s="141">
        <f t="shared" si="3"/>
        <v>0.94199819484258862</v>
      </c>
    </row>
    <row r="12" spans="2:14" x14ac:dyDescent="0.25">
      <c r="B12" s="128" t="s">
        <v>13</v>
      </c>
      <c r="C12" s="128" t="s">
        <v>71</v>
      </c>
      <c r="D12" s="129">
        <f>'Rates &amp; Forecast'!F10</f>
        <v>35</v>
      </c>
      <c r="E12" s="129">
        <f>'Rates &amp; Forecast'!G10</f>
        <v>1462761</v>
      </c>
      <c r="F12" s="129"/>
      <c r="G12" s="130">
        <f>'Ajustment to F_V Split'!J10</f>
        <v>50.531295821786898</v>
      </c>
      <c r="H12" s="131">
        <f>'Ajustment to F_V Split'!K10</f>
        <v>2.744266368962334E-2</v>
      </c>
      <c r="I12" s="131"/>
      <c r="J12" s="139">
        <f t="shared" si="0"/>
        <v>21223.144245150499</v>
      </c>
      <c r="K12" s="139">
        <f>E12*H12</f>
        <v>40142.058181297129</v>
      </c>
      <c r="L12" s="143">
        <f t="shared" si="1"/>
        <v>61365.202426447628</v>
      </c>
      <c r="M12" s="140">
        <f t="shared" si="2"/>
        <v>0.34584982051657981</v>
      </c>
      <c r="N12" s="141">
        <f t="shared" si="3"/>
        <v>0.65415017948342025</v>
      </c>
    </row>
    <row r="13" spans="2:14" x14ac:dyDescent="0.25">
      <c r="B13" s="128" t="s">
        <v>2</v>
      </c>
      <c r="C13" s="128" t="s">
        <v>72</v>
      </c>
      <c r="D13" s="129">
        <f>'Rates &amp; Forecast'!F11</f>
        <v>695</v>
      </c>
      <c r="E13" s="129">
        <f>'Rates &amp; Forecast'!G11</f>
        <v>629014</v>
      </c>
      <c r="F13" s="129">
        <f>'Rates &amp; Forecast'!H11</f>
        <v>1916</v>
      </c>
      <c r="G13" s="130">
        <f>'Ajustment to F_V Split'!J11</f>
        <v>5.7676829933558373</v>
      </c>
      <c r="H13" s="131"/>
      <c r="I13" s="131">
        <f>'Ajustment to F_V Split'!K11</f>
        <v>6.6866595960300161</v>
      </c>
      <c r="J13" s="139">
        <f t="shared" si="0"/>
        <v>48102.476164587686</v>
      </c>
      <c r="K13" s="139">
        <f t="shared" ref="K13:K14" si="6">F13*I13</f>
        <v>12811.639785993511</v>
      </c>
      <c r="L13" s="143">
        <f t="shared" si="1"/>
        <v>60914.115950581196</v>
      </c>
      <c r="M13" s="140">
        <f t="shared" si="2"/>
        <v>0.78967699709559236</v>
      </c>
      <c r="N13" s="141">
        <f t="shared" si="3"/>
        <v>0.21032300290440761</v>
      </c>
    </row>
    <row r="14" spans="2:14" ht="15.75" thickBot="1" x14ac:dyDescent="0.3">
      <c r="B14" s="144" t="s">
        <v>1</v>
      </c>
      <c r="C14" s="144" t="s">
        <v>72</v>
      </c>
      <c r="D14" s="145">
        <f>'Rates &amp; Forecast'!F12</f>
        <v>5713</v>
      </c>
      <c r="E14" s="145">
        <f>'Rates &amp; Forecast'!G12</f>
        <v>2781556</v>
      </c>
      <c r="F14" s="145">
        <f>'Rates &amp; Forecast'!H12</f>
        <v>8591</v>
      </c>
      <c r="G14" s="146">
        <f>'Ajustment to F_V Split'!J12</f>
        <v>4.0576602240156818</v>
      </c>
      <c r="H14" s="147"/>
      <c r="I14" s="147">
        <f>'Ajustment to F_V Split'!K12</f>
        <v>8.8323646388276806</v>
      </c>
      <c r="J14" s="148">
        <f t="shared" si="0"/>
        <v>278176.95431761909</v>
      </c>
      <c r="K14" s="148">
        <f t="shared" si="6"/>
        <v>75878.844612168599</v>
      </c>
      <c r="L14" s="149">
        <f t="shared" si="1"/>
        <v>354055.79892978771</v>
      </c>
      <c r="M14" s="140">
        <f t="shared" si="2"/>
        <v>0.78568676225179968</v>
      </c>
      <c r="N14" s="141">
        <f t="shared" si="3"/>
        <v>0.21431323774820032</v>
      </c>
    </row>
    <row r="15" spans="2:14" ht="15.75" thickBot="1" x14ac:dyDescent="0.3">
      <c r="B15" s="150" t="s">
        <v>27</v>
      </c>
      <c r="C15" s="151"/>
      <c r="D15" s="152">
        <f>SUM(D8:D14)</f>
        <v>35224</v>
      </c>
      <c r="E15" s="152">
        <f>SUM(E8:E14)</f>
        <v>460932117</v>
      </c>
      <c r="F15" s="152">
        <f>SUM(F8:F14)</f>
        <v>617607</v>
      </c>
      <c r="G15" s="151"/>
      <c r="H15" s="151"/>
      <c r="I15" s="151"/>
      <c r="J15" s="152">
        <f>SUM(J8:J14)</f>
        <v>10144246.4252376</v>
      </c>
      <c r="K15" s="153">
        <f>SUM(K8:K14)</f>
        <v>9925733.3747623917</v>
      </c>
      <c r="L15" s="153">
        <f>SUM(L8:L14)</f>
        <v>20069979.79999999</v>
      </c>
      <c r="M15" s="154">
        <f t="shared" ref="M15" si="7">J15/L15</f>
        <v>0.50544377853522326</v>
      </c>
      <c r="N15" s="154">
        <f t="shared" ref="N15" si="8">K15/L15</f>
        <v>0.49455622146477679</v>
      </c>
    </row>
    <row r="18" spans="2:14" x14ac:dyDescent="0.25">
      <c r="B18" s="205" t="s">
        <v>90</v>
      </c>
      <c r="C18" s="205"/>
      <c r="D18" s="205"/>
      <c r="E18" s="205"/>
    </row>
    <row r="19" spans="2:14" ht="6.75" customHeight="1" x14ac:dyDescent="0.25"/>
    <row r="20" spans="2:14" x14ac:dyDescent="0.25">
      <c r="B20" s="206" t="s">
        <v>103</v>
      </c>
      <c r="C20" s="206"/>
      <c r="D20" s="206"/>
      <c r="E20" s="206"/>
      <c r="F20" s="157">
        <f>G8</f>
        <v>26.799598868042082</v>
      </c>
    </row>
    <row r="21" spans="2:14" x14ac:dyDescent="0.25">
      <c r="B21" s="206" t="s">
        <v>91</v>
      </c>
      <c r="C21" s="206"/>
      <c r="D21" s="206"/>
      <c r="E21" s="206"/>
      <c r="F21" s="158">
        <f>L8/D8/12</f>
        <v>37.801333804587664</v>
      </c>
    </row>
    <row r="22" spans="2:14" x14ac:dyDescent="0.25">
      <c r="B22" s="206" t="s">
        <v>106</v>
      </c>
      <c r="C22" s="206"/>
      <c r="D22" s="206"/>
      <c r="E22" s="206"/>
      <c r="F22" s="158">
        <f>(F21-F20)/3</f>
        <v>3.6672449788485273</v>
      </c>
    </row>
    <row r="23" spans="2:14" x14ac:dyDescent="0.25">
      <c r="B23" s="159" t="s">
        <v>92</v>
      </c>
      <c r="C23" s="159"/>
      <c r="D23" s="159"/>
      <c r="E23" s="160"/>
      <c r="F23" s="158">
        <v>4</v>
      </c>
    </row>
    <row r="24" spans="2:14" x14ac:dyDescent="0.25">
      <c r="B24" s="206" t="s">
        <v>105</v>
      </c>
      <c r="C24" s="206"/>
      <c r="D24" s="206"/>
      <c r="E24" s="206"/>
      <c r="F24" s="158">
        <f>IF(F22&gt;F23,F23,F22)+F20</f>
        <v>30.466843846890608</v>
      </c>
    </row>
    <row r="26" spans="2:14" x14ac:dyDescent="0.25">
      <c r="B26" s="135" t="s">
        <v>93</v>
      </c>
    </row>
    <row r="27" spans="2:14" ht="15.75" thickBot="1" x14ac:dyDescent="0.3"/>
    <row r="28" spans="2:14" ht="15.75" customHeight="1" thickBot="1" x14ac:dyDescent="0.3">
      <c r="B28" s="136" t="s">
        <v>62</v>
      </c>
      <c r="C28" s="194" t="s">
        <v>63</v>
      </c>
      <c r="D28" s="195"/>
      <c r="E28" s="196" t="s">
        <v>64</v>
      </c>
      <c r="F28" s="197"/>
      <c r="G28" s="196" t="s">
        <v>46</v>
      </c>
      <c r="H28" s="201"/>
      <c r="I28" s="197"/>
      <c r="J28" s="202" t="s">
        <v>86</v>
      </c>
      <c r="K28" s="203"/>
      <c r="L28" s="204"/>
      <c r="M28" s="203" t="s">
        <v>87</v>
      </c>
      <c r="N28" s="204"/>
    </row>
    <row r="29" spans="2:14" ht="39" thickBot="1" x14ac:dyDescent="0.3">
      <c r="B29" s="137"/>
      <c r="C29" s="119"/>
      <c r="D29" s="120" t="s">
        <v>95</v>
      </c>
      <c r="E29" s="121" t="s">
        <v>28</v>
      </c>
      <c r="F29" s="122" t="s">
        <v>29</v>
      </c>
      <c r="G29" s="120" t="s">
        <v>69</v>
      </c>
      <c r="H29" s="196" t="s">
        <v>70</v>
      </c>
      <c r="I29" s="197"/>
      <c r="J29" s="161" t="s">
        <v>88</v>
      </c>
      <c r="K29" s="161" t="s">
        <v>89</v>
      </c>
      <c r="L29" s="161" t="s">
        <v>27</v>
      </c>
      <c r="M29" s="161" t="s">
        <v>88</v>
      </c>
      <c r="N29" s="162" t="s">
        <v>89</v>
      </c>
    </row>
    <row r="30" spans="2:14" x14ac:dyDescent="0.25">
      <c r="B30" s="123"/>
      <c r="C30" s="123"/>
      <c r="D30" s="123"/>
      <c r="E30" s="123"/>
      <c r="F30" s="124"/>
      <c r="G30" s="123"/>
      <c r="H30" s="125" t="s">
        <v>28</v>
      </c>
      <c r="I30" s="125" t="s">
        <v>29</v>
      </c>
      <c r="J30" s="163" t="s">
        <v>22</v>
      </c>
      <c r="K30" s="163" t="s">
        <v>22</v>
      </c>
      <c r="L30" s="163" t="s">
        <v>22</v>
      </c>
      <c r="M30" s="164"/>
      <c r="N30" s="165"/>
    </row>
    <row r="31" spans="2:14" ht="15.75" thickBot="1" x14ac:dyDescent="0.3">
      <c r="B31" s="132" t="s">
        <v>0</v>
      </c>
      <c r="C31" s="132" t="s">
        <v>71</v>
      </c>
      <c r="D31" s="133">
        <f>D8</f>
        <v>26074</v>
      </c>
      <c r="E31" s="133">
        <f>E8</f>
        <v>198077803</v>
      </c>
      <c r="F31" s="133"/>
      <c r="G31" s="166">
        <f>ROUND(F24,2)</f>
        <v>30.47</v>
      </c>
      <c r="H31" s="167">
        <f>(L8-(G31*D31*12))/E31</f>
        <v>1.1580734119157332E-2</v>
      </c>
      <c r="I31" s="134"/>
      <c r="J31" s="142">
        <f>G31*D31*12</f>
        <v>9533697.3599999994</v>
      </c>
      <c r="K31" s="142">
        <f>E31*H31</f>
        <v>2293886.3714498244</v>
      </c>
      <c r="L31" s="168">
        <f>J31+K31</f>
        <v>11827583.731449824</v>
      </c>
      <c r="M31" s="169">
        <f>J31/L31</f>
        <v>0.80605621371757219</v>
      </c>
      <c r="N31" s="170">
        <f>K31/L31</f>
        <v>0.19394378628242778</v>
      </c>
    </row>
    <row r="33" spans="10:12" x14ac:dyDescent="0.25">
      <c r="J33" s="207" t="s">
        <v>94</v>
      </c>
      <c r="K33" s="207"/>
      <c r="L33" s="138">
        <f>L8-L31</f>
        <v>0</v>
      </c>
    </row>
  </sheetData>
  <mergeCells count="21">
    <mergeCell ref="G28:I28"/>
    <mergeCell ref="J28:L28"/>
    <mergeCell ref="M28:N28"/>
    <mergeCell ref="H29:I29"/>
    <mergeCell ref="J33:K33"/>
    <mergeCell ref="C28:D28"/>
    <mergeCell ref="E28:F28"/>
    <mergeCell ref="B2:N2"/>
    <mergeCell ref="B3:N3"/>
    <mergeCell ref="B5:B6"/>
    <mergeCell ref="C5:D5"/>
    <mergeCell ref="E5:F5"/>
    <mergeCell ref="G5:I5"/>
    <mergeCell ref="J5:L5"/>
    <mergeCell ref="M5:N5"/>
    <mergeCell ref="H6:I6"/>
    <mergeCell ref="B18:E18"/>
    <mergeCell ref="B20:E20"/>
    <mergeCell ref="B21:E21"/>
    <mergeCell ref="B22:E22"/>
    <mergeCell ref="B24:E24"/>
  </mergeCells>
  <pageMargins left="0.7" right="0.7" top="0.75" bottom="0.75" header="0.3" footer="0.3"/>
  <pageSetup scale="5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3"/>
  <sheetViews>
    <sheetView showGridLines="0" workbookViewId="0">
      <selection activeCell="I34" sqref="I34"/>
    </sheetView>
  </sheetViews>
  <sheetFormatPr defaultRowHeight="14.25" x14ac:dyDescent="0.2"/>
  <cols>
    <col min="1" max="1" width="2.5" customWidth="1"/>
    <col min="2" max="2" width="19.125" customWidth="1"/>
    <col min="3" max="3" width="11" customWidth="1"/>
    <col min="4" max="4" width="9.875" customWidth="1"/>
    <col min="5" max="5" width="1.625" customWidth="1"/>
    <col min="6" max="6" width="11" customWidth="1"/>
    <col min="7" max="7" width="9.875" customWidth="1"/>
    <col min="8" max="8" width="1.625" customWidth="1"/>
    <col min="9" max="9" width="11" customWidth="1"/>
    <col min="10" max="10" width="9.875" customWidth="1"/>
  </cols>
  <sheetData>
    <row r="2" spans="2:10" ht="15" thickBot="1" x14ac:dyDescent="0.25"/>
    <row r="3" spans="2:10" ht="15" x14ac:dyDescent="0.25">
      <c r="B3" s="178" t="s">
        <v>85</v>
      </c>
      <c r="C3" s="179"/>
      <c r="D3" s="179"/>
      <c r="E3" s="179"/>
      <c r="F3" s="179"/>
      <c r="G3" s="179"/>
      <c r="H3" s="179"/>
      <c r="I3" s="179"/>
      <c r="J3" s="180"/>
    </row>
    <row r="4" spans="2:10" ht="7.5" customHeight="1" x14ac:dyDescent="0.2">
      <c r="B4" s="25"/>
      <c r="C4" s="26"/>
      <c r="D4" s="26"/>
      <c r="E4" s="26"/>
      <c r="F4" s="26"/>
      <c r="G4" s="26"/>
      <c r="H4" s="26"/>
      <c r="I4" s="26"/>
      <c r="J4" s="20"/>
    </row>
    <row r="5" spans="2:10" ht="30" customHeight="1" x14ac:dyDescent="0.2">
      <c r="B5" s="193" t="s">
        <v>18</v>
      </c>
      <c r="C5" s="208" t="s">
        <v>84</v>
      </c>
      <c r="D5" s="209"/>
      <c r="E5" s="15"/>
      <c r="F5" s="210" t="s">
        <v>46</v>
      </c>
      <c r="G5" s="210"/>
      <c r="H5" s="15"/>
      <c r="I5" s="210" t="s">
        <v>47</v>
      </c>
      <c r="J5" s="211"/>
    </row>
    <row r="6" spans="2:10" ht="28.5" x14ac:dyDescent="0.2">
      <c r="B6" s="193"/>
      <c r="C6" s="11" t="s">
        <v>3</v>
      </c>
      <c r="D6" s="11" t="s">
        <v>4</v>
      </c>
      <c r="E6" s="15"/>
      <c r="F6" s="11" t="s">
        <v>3</v>
      </c>
      <c r="G6" s="11" t="s">
        <v>4</v>
      </c>
      <c r="H6" s="15"/>
      <c r="I6" s="11" t="s">
        <v>3</v>
      </c>
      <c r="J6" s="22" t="s">
        <v>4</v>
      </c>
    </row>
    <row r="7" spans="2:10" x14ac:dyDescent="0.2">
      <c r="B7" s="24" t="s">
        <v>0</v>
      </c>
      <c r="C7" s="66">
        <f>'Rates &amp; Forecast'!C6</f>
        <v>23.44</v>
      </c>
      <c r="D7" s="67">
        <f>'Rates &amp; Forecast'!D6</f>
        <v>1.52E-2</v>
      </c>
      <c r="E7" s="15"/>
      <c r="F7" s="66">
        <f>Decoupling!G31</f>
        <v>30.47</v>
      </c>
      <c r="G7" s="67">
        <f>Decoupling!H31</f>
        <v>1.1580734119157332E-2</v>
      </c>
      <c r="H7" s="15"/>
      <c r="I7" s="34">
        <f>(F7-C7)/C7</f>
        <v>0.29991467576791797</v>
      </c>
      <c r="J7" s="37">
        <f>(G7-D7)/D7</f>
        <v>-0.23810959742385973</v>
      </c>
    </row>
    <row r="8" spans="2:10" x14ac:dyDescent="0.2">
      <c r="B8" s="24" t="s">
        <v>11</v>
      </c>
      <c r="C8" s="66">
        <f>'Rates &amp; Forecast'!C7</f>
        <v>28.26</v>
      </c>
      <c r="D8" s="67">
        <f>'Rates &amp; Forecast'!D7</f>
        <v>2.3E-2</v>
      </c>
      <c r="E8" s="15"/>
      <c r="F8" s="66">
        <f>'Ajustment to F_V Split'!J7</f>
        <v>32.022538583936331</v>
      </c>
      <c r="G8" s="67">
        <f>'Ajustment to F_V Split'!K7</f>
        <v>2.6062221777442867E-2</v>
      </c>
      <c r="H8" s="15"/>
      <c r="I8" s="34">
        <f t="shared" ref="I8:I13" si="0">(F8-C8)/C8</f>
        <v>0.13314007728012489</v>
      </c>
      <c r="J8" s="37">
        <f t="shared" ref="J8:J13" si="1">(G8-D8)/D8</f>
        <v>0.13314007728012467</v>
      </c>
    </row>
    <row r="9" spans="2:10" x14ac:dyDescent="0.2">
      <c r="B9" s="116" t="s">
        <v>12</v>
      </c>
      <c r="C9" s="66">
        <f>'Rates &amp; Forecast'!C8</f>
        <v>151.83000000000001</v>
      </c>
      <c r="D9" s="67">
        <f>'Rates &amp; Forecast'!D8</f>
        <v>6.6886999999999999</v>
      </c>
      <c r="E9" s="117"/>
      <c r="F9" s="66">
        <f>'Ajustment to F_V Split'!J8</f>
        <v>172.04466108344218</v>
      </c>
      <c r="G9" s="67">
        <f>'Ajustment to F_V Split'!K8</f>
        <v>7.5344326607123282</v>
      </c>
      <c r="H9" s="117"/>
      <c r="I9" s="34">
        <f t="shared" si="0"/>
        <v>0.13314009802701815</v>
      </c>
      <c r="J9" s="37">
        <f t="shared" si="1"/>
        <v>0.12644200826951849</v>
      </c>
    </row>
    <row r="10" spans="2:10" x14ac:dyDescent="0.2">
      <c r="B10" s="116" t="s">
        <v>74</v>
      </c>
      <c r="C10" s="66">
        <f>'Rates &amp; Forecast'!C9</f>
        <v>151.83000000000001</v>
      </c>
      <c r="D10" s="67">
        <f>'Rates &amp; Forecast'!D9</f>
        <v>6.6886999999999999</v>
      </c>
      <c r="E10" s="117"/>
      <c r="F10" s="66">
        <f>'Ajustment to F_V Split'!J9</f>
        <v>584.79000000000008</v>
      </c>
      <c r="G10" s="67">
        <f>'Ajustment to F_V Split'!K9</f>
        <v>8.308652689884914</v>
      </c>
      <c r="H10" s="117"/>
      <c r="I10" s="34">
        <f t="shared" si="0"/>
        <v>2.8516103536850426</v>
      </c>
      <c r="J10" s="37">
        <f t="shared" si="1"/>
        <v>0.24219245741099379</v>
      </c>
    </row>
    <row r="11" spans="2:10" x14ac:dyDescent="0.2">
      <c r="B11" s="24" t="s">
        <v>13</v>
      </c>
      <c r="C11" s="66">
        <f>'Rates &amp; Forecast'!C10</f>
        <v>32.96</v>
      </c>
      <c r="D11" s="67">
        <f>'Rates &amp; Forecast'!D10</f>
        <v>1.7899999999999999E-2</v>
      </c>
      <c r="E11" s="15"/>
      <c r="F11" s="66">
        <f>'Ajustment to F_V Split'!J10</f>
        <v>50.531295821786898</v>
      </c>
      <c r="G11" s="67">
        <f>'Ajustment to F_V Split'!K10</f>
        <v>2.744266368962334E-2</v>
      </c>
      <c r="H11" s="15"/>
      <c r="I11" s="34">
        <f t="shared" si="0"/>
        <v>0.53310970333091312</v>
      </c>
      <c r="J11" s="37">
        <f t="shared" si="1"/>
        <v>0.5331097033309129</v>
      </c>
    </row>
    <row r="12" spans="2:10" x14ac:dyDescent="0.2">
      <c r="B12" s="24" t="s">
        <v>2</v>
      </c>
      <c r="C12" s="66">
        <f>'Rates &amp; Forecast'!C11</f>
        <v>5.09</v>
      </c>
      <c r="D12" s="67">
        <f>'Rates &amp; Forecast'!D11</f>
        <v>5.9009999999999998</v>
      </c>
      <c r="E12" s="15"/>
      <c r="F12" s="66">
        <f>'Ajustment to F_V Split'!J11</f>
        <v>5.7676829933558373</v>
      </c>
      <c r="G12" s="67">
        <f>'Ajustment to F_V Split'!K11</f>
        <v>6.6866595960300161</v>
      </c>
      <c r="H12" s="15"/>
      <c r="I12" s="34">
        <f t="shared" si="0"/>
        <v>0.13314007728012525</v>
      </c>
      <c r="J12" s="37">
        <f t="shared" si="1"/>
        <v>0.13314007728012478</v>
      </c>
    </row>
    <row r="13" spans="2:10" ht="15" thickBot="1" x14ac:dyDescent="0.25">
      <c r="B13" s="27" t="s">
        <v>1</v>
      </c>
      <c r="C13" s="66">
        <f>'Rates &amp; Forecast'!C12</f>
        <v>4.96</v>
      </c>
      <c r="D13" s="67">
        <f>'Rates &amp; Forecast'!D12</f>
        <v>10.7965</v>
      </c>
      <c r="E13" s="28"/>
      <c r="F13" s="66">
        <f>'Ajustment to F_V Split'!J12</f>
        <v>4.0576602240156818</v>
      </c>
      <c r="G13" s="67">
        <f>'Ajustment to F_V Split'!K12</f>
        <v>8.8323646388276806</v>
      </c>
      <c r="H13" s="28"/>
      <c r="I13" s="34">
        <f t="shared" si="0"/>
        <v>-0.18192334193232221</v>
      </c>
      <c r="J13" s="37">
        <f t="shared" si="1"/>
        <v>-0.18192334193232246</v>
      </c>
    </row>
  </sheetData>
  <mergeCells count="5">
    <mergeCell ref="C5:D5"/>
    <mergeCell ref="F5:G5"/>
    <mergeCell ref="I5:J5"/>
    <mergeCell ref="B3:J3"/>
    <mergeCell ref="B5:B6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Rates &amp; Forecast</vt:lpstr>
      <vt:lpstr>Class Revenue</vt:lpstr>
      <vt:lpstr>Existing RC Ratio</vt:lpstr>
      <vt:lpstr>RC Ratio Adjustment</vt:lpstr>
      <vt:lpstr>2017 Rate Design</vt:lpstr>
      <vt:lpstr>Floor_Ceiling Review</vt:lpstr>
      <vt:lpstr>Ajustment to F_V Split</vt:lpstr>
      <vt:lpstr>Decoupling</vt:lpstr>
      <vt:lpstr>Rate Comp</vt:lpstr>
      <vt:lpstr>Reconcillation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Beharriell, Greg</cp:lastModifiedBy>
  <cp:lastPrinted>2012-05-08T22:34:07Z</cp:lastPrinted>
  <dcterms:created xsi:type="dcterms:W3CDTF">2012-05-03T22:14:51Z</dcterms:created>
  <dcterms:modified xsi:type="dcterms:W3CDTF">2016-04-15T07:01:42Z</dcterms:modified>
</cp:coreProperties>
</file>