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W:\IESO\Combined Entity Cost Allocation model\2016 Forecast\"/>
    </mc:Choice>
  </mc:AlternateContent>
  <bookViews>
    <workbookView xWindow="0" yWindow="0" windowWidth="28800" windowHeight="12624" tabRatio="878" firstSheet="5" activeTab="6"/>
  </bookViews>
  <sheets>
    <sheet name="Functionalized Accounts" sheetId="31" r:id="rId1"/>
    <sheet name="Assets" sheetId="63" r:id="rId2"/>
    <sheet name="Revenue" sheetId="79" r:id="rId3"/>
    <sheet name="Energy Throughput" sheetId="35" r:id="rId4"/>
    <sheet name="Revenue to Cost|RR" sheetId="57" r:id="rId5"/>
    <sheet name="Summary by Class &amp; Accounts" sheetId="56" r:id="rId6"/>
    <sheet name="Source Data for Allocators" sheetId="82" r:id="rId7"/>
    <sheet name="Allocators" sheetId="36" r:id="rId8"/>
    <sheet name="TB Allocation Details" sheetId="40" r:id="rId9"/>
    <sheet name="Reconciliation" sheetId="44" r:id="rId10"/>
  </sheets>
  <definedNames>
    <definedName name="_xlnm._FilterDatabase" localSheetId="5" hidden="1">'Summary by Class &amp; Accounts'!#REF!</definedName>
    <definedName name="EV__LASTREFTIME__" hidden="1">42156.4315740741</definedName>
    <definedName name="_xlnm.Print_Area" localSheetId="7">Allocators!$A$1:$E$25</definedName>
    <definedName name="_xlnm.Print_Area" localSheetId="3">'Energy Throughput'!$A$1:$E$15</definedName>
    <definedName name="_xlnm.Print_Area" localSheetId="0">'Functionalized Accounts'!$B$1:$G$32</definedName>
    <definedName name="_xlnm.Print_Area" localSheetId="9">Reconciliation!$A$1:$E$32</definedName>
    <definedName name="_xlnm.Print_Area" localSheetId="2">Revenue!$A$1:$E$16</definedName>
    <definedName name="_xlnm.Print_Area" localSheetId="4">'Revenue to Cost|RR'!$A$1:$E$43</definedName>
    <definedName name="_xlnm.Print_Area" localSheetId="5">'Summary by Class &amp; Accounts'!$B$1:$F$32</definedName>
    <definedName name="_xlnm.Print_Titles" localSheetId="1">Assets!$A:$B,Assets!$1:$6</definedName>
  </definedNames>
  <calcPr calcId="152511"/>
</workbook>
</file>

<file path=xl/calcChain.xml><?xml version="1.0" encoding="utf-8"?>
<calcChain xmlns="http://schemas.openxmlformats.org/spreadsheetml/2006/main">
  <c r="E50" i="82" l="1"/>
  <c r="D50" i="82"/>
  <c r="E49" i="82"/>
  <c r="D49" i="82"/>
  <c r="E48" i="82"/>
  <c r="D48" i="82"/>
  <c r="E47" i="82"/>
  <c r="D47" i="82"/>
  <c r="E46" i="82"/>
  <c r="D46" i="82"/>
  <c r="E45" i="82"/>
  <c r="D45" i="82"/>
  <c r="F16" i="63"/>
  <c r="F9" i="63"/>
  <c r="B1" i="63" l="1"/>
  <c r="B7" i="63"/>
  <c r="B8" i="63"/>
  <c r="F8" i="63"/>
  <c r="B9" i="63"/>
  <c r="B10" i="63"/>
  <c r="B11" i="63"/>
  <c r="B12" i="63"/>
  <c r="B13" i="63"/>
  <c r="B14" i="63"/>
  <c r="B15" i="63"/>
  <c r="B16" i="63"/>
  <c r="D18" i="63"/>
  <c r="I20" i="63"/>
  <c r="E9" i="36" l="1"/>
  <c r="D9" i="36"/>
  <c r="E5" i="82"/>
  <c r="D5" i="82"/>
  <c r="F8" i="56"/>
  <c r="E8" i="56"/>
  <c r="E8" i="57"/>
  <c r="D8" i="57"/>
  <c r="E5" i="35"/>
  <c r="D5" i="35"/>
  <c r="E75" i="31" l="1"/>
  <c r="D75" i="31"/>
  <c r="E59" i="31"/>
  <c r="D59" i="31"/>
  <c r="G19" i="31"/>
  <c r="F19" i="31"/>
  <c r="G18" i="31"/>
  <c r="F18" i="31"/>
  <c r="G17" i="31"/>
  <c r="F17" i="31"/>
  <c r="G16" i="31"/>
  <c r="F16" i="31"/>
  <c r="G15" i="31"/>
  <c r="F15" i="31"/>
  <c r="G14" i="31"/>
  <c r="F14" i="31"/>
  <c r="G13" i="31"/>
  <c r="F13" i="31"/>
  <c r="C19" i="44" l="1"/>
  <c r="B19" i="44"/>
  <c r="C18" i="44"/>
  <c r="B18" i="44"/>
  <c r="C17" i="44"/>
  <c r="B17" i="44"/>
  <c r="C16" i="44"/>
  <c r="B16" i="44"/>
  <c r="C15" i="44"/>
  <c r="B15" i="44"/>
  <c r="C14" i="44"/>
  <c r="B14" i="44"/>
  <c r="C13" i="44"/>
  <c r="B13" i="44"/>
  <c r="B16" i="40"/>
  <c r="B15" i="40"/>
  <c r="B14" i="40"/>
  <c r="B13" i="40"/>
  <c r="B12" i="40"/>
  <c r="B11" i="40"/>
  <c r="B10" i="40"/>
  <c r="D19" i="56"/>
  <c r="C65" i="82" s="1"/>
  <c r="B19" i="56"/>
  <c r="B65" i="82" s="1"/>
  <c r="D18" i="56"/>
  <c r="C64" i="82" s="1"/>
  <c r="B18" i="56"/>
  <c r="B64" i="82" s="1"/>
  <c r="D17" i="56"/>
  <c r="C63" i="82" s="1"/>
  <c r="B17" i="56"/>
  <c r="B63" i="82" s="1"/>
  <c r="D16" i="56"/>
  <c r="C62" i="82" s="1"/>
  <c r="B16" i="56"/>
  <c r="B62" i="82" s="1"/>
  <c r="D15" i="56"/>
  <c r="C61" i="82" s="1"/>
  <c r="B15" i="56"/>
  <c r="B61" i="82" s="1"/>
  <c r="D14" i="56"/>
  <c r="C60" i="82" s="1"/>
  <c r="B14" i="56"/>
  <c r="B60" i="82" s="1"/>
  <c r="D13" i="56"/>
  <c r="C59" i="82" s="1"/>
  <c r="B13" i="56"/>
  <c r="B59" i="82" s="1"/>
  <c r="F73" i="31" l="1"/>
  <c r="C16" i="63" s="1"/>
  <c r="F72" i="31"/>
  <c r="C15" i="63" s="1"/>
  <c r="F71" i="31"/>
  <c r="C14" i="63" s="1"/>
  <c r="F70" i="31"/>
  <c r="C13" i="63" s="1"/>
  <c r="F69" i="31"/>
  <c r="C12" i="63" s="1"/>
  <c r="F68" i="31"/>
  <c r="C11" i="63" s="1"/>
  <c r="F67" i="31"/>
  <c r="C10" i="63" s="1"/>
  <c r="E10" i="63" s="1"/>
  <c r="F66" i="31"/>
  <c r="C9" i="63" s="1"/>
  <c r="F65" i="31"/>
  <c r="C8" i="63" s="1"/>
  <c r="E8" i="63" s="1"/>
  <c r="G8" i="63" s="1"/>
  <c r="F64" i="31"/>
  <c r="C7" i="63" s="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D40" i="56" s="1"/>
  <c r="C79" i="82" s="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2" i="31"/>
  <c r="F11" i="31"/>
  <c r="F10" i="31"/>
  <c r="F9" i="31"/>
  <c r="F74" i="31"/>
  <c r="D20" i="63" s="1"/>
  <c r="G40" i="31"/>
  <c r="B40" i="44"/>
  <c r="B37" i="40"/>
  <c r="B40" i="56"/>
  <c r="B79" i="82" s="1"/>
  <c r="A1" i="44"/>
  <c r="G74" i="31"/>
  <c r="G68" i="31"/>
  <c r="G64" i="31"/>
  <c r="G58" i="31"/>
  <c r="G57" i="31"/>
  <c r="G56" i="31"/>
  <c r="G54" i="31"/>
  <c r="G53" i="31"/>
  <c r="G52" i="31"/>
  <c r="G51" i="31"/>
  <c r="G50" i="31"/>
  <c r="G49" i="31"/>
  <c r="G45" i="31"/>
  <c r="G42" i="31"/>
  <c r="G41" i="31"/>
  <c r="G34" i="31"/>
  <c r="G33" i="31"/>
  <c r="G32" i="31"/>
  <c r="G31" i="31"/>
  <c r="G30" i="31"/>
  <c r="G29" i="31"/>
  <c r="G27" i="31"/>
  <c r="G26" i="31"/>
  <c r="G25" i="31"/>
  <c r="G21" i="31"/>
  <c r="G20" i="31"/>
  <c r="G12" i="31"/>
  <c r="G11" i="31"/>
  <c r="G10" i="31"/>
  <c r="G9" i="31"/>
  <c r="E13" i="63" l="1"/>
  <c r="G13" i="63"/>
  <c r="E14" i="63"/>
  <c r="G14" i="63"/>
  <c r="E15" i="63"/>
  <c r="G15" i="63"/>
  <c r="E11" i="63"/>
  <c r="G11" i="63"/>
  <c r="E12" i="63"/>
  <c r="G12" i="63" s="1"/>
  <c r="E16" i="63"/>
  <c r="G16" i="63"/>
  <c r="E9" i="63"/>
  <c r="G9" i="63" s="1"/>
  <c r="E7" i="63"/>
  <c r="C18" i="63"/>
  <c r="F59" i="31"/>
  <c r="F4" i="31" s="1"/>
  <c r="F75" i="31"/>
  <c r="E20" i="63" s="1"/>
  <c r="C40" i="44"/>
  <c r="G7" i="63" l="1"/>
  <c r="E18" i="63"/>
  <c r="F5" i="31"/>
  <c r="G18" i="63" l="1"/>
  <c r="I7" i="63" s="1"/>
  <c r="E38" i="57"/>
  <c r="I12" i="57" s="1"/>
  <c r="C61" i="40"/>
  <c r="C57" i="40"/>
  <c r="C52" i="40"/>
  <c r="G55" i="31" s="1"/>
  <c r="C40" i="40"/>
  <c r="C32" i="40"/>
  <c r="C25" i="40"/>
  <c r="G28" i="31" s="1"/>
  <c r="C19" i="40"/>
  <c r="D12" i="35"/>
  <c r="D13" i="35" s="1"/>
  <c r="C13" i="35" s="1"/>
  <c r="A1" i="57"/>
  <c r="A1" i="35"/>
  <c r="A1" i="79"/>
  <c r="A1" i="40"/>
  <c r="A1" i="36"/>
  <c r="C32" i="82"/>
  <c r="C31" i="82"/>
  <c r="C30" i="82"/>
  <c r="C29" i="82"/>
  <c r="C28" i="82"/>
  <c r="C27" i="82"/>
  <c r="C26" i="82"/>
  <c r="C25" i="82"/>
  <c r="C24" i="82"/>
  <c r="C23" i="82"/>
  <c r="B23" i="44"/>
  <c r="B22" i="44"/>
  <c r="B21" i="44"/>
  <c r="B24" i="56"/>
  <c r="B70" i="82" s="1"/>
  <c r="B23" i="56"/>
  <c r="B69" i="82" s="1"/>
  <c r="B22" i="56"/>
  <c r="B68" i="82" s="1"/>
  <c r="B21" i="56"/>
  <c r="B67" i="82" s="1"/>
  <c r="B10" i="56"/>
  <c r="B57" i="82" s="1"/>
  <c r="B11" i="56"/>
  <c r="B12" i="56"/>
  <c r="B58" i="82" s="1"/>
  <c r="B20" i="56"/>
  <c r="B66" i="82" s="1"/>
  <c r="B25" i="56"/>
  <c r="B71" i="82" s="1"/>
  <c r="B26" i="56"/>
  <c r="B72" i="82" s="1"/>
  <c r="B27" i="56"/>
  <c r="B73" i="82" s="1"/>
  <c r="B28" i="56"/>
  <c r="B74" i="82" s="1"/>
  <c r="B29" i="56"/>
  <c r="B75" i="82" s="1"/>
  <c r="B30" i="56"/>
  <c r="B76" i="82" s="1"/>
  <c r="B31" i="56"/>
  <c r="B77" i="82" s="1"/>
  <c r="B32" i="56"/>
  <c r="B78" i="82" s="1"/>
  <c r="B33" i="56"/>
  <c r="B34" i="56"/>
  <c r="B35" i="56"/>
  <c r="B36" i="56"/>
  <c r="B37" i="56"/>
  <c r="B38" i="56"/>
  <c r="B39" i="56"/>
  <c r="B41" i="56"/>
  <c r="B80" i="82" s="1"/>
  <c r="B42" i="56"/>
  <c r="B81" i="82" s="1"/>
  <c r="B43" i="56"/>
  <c r="B82" i="82" s="1"/>
  <c r="B44" i="56"/>
  <c r="B83" i="82" s="1"/>
  <c r="B45" i="56"/>
  <c r="B84" i="82" s="1"/>
  <c r="B46" i="56"/>
  <c r="B85" i="82" s="1"/>
  <c r="B47" i="56"/>
  <c r="B86" i="82" s="1"/>
  <c r="B48" i="56"/>
  <c r="B87" i="82" s="1"/>
  <c r="B49" i="56"/>
  <c r="B50" i="56"/>
  <c r="B88" i="82" s="1"/>
  <c r="B51" i="56"/>
  <c r="B52" i="56"/>
  <c r="B53" i="56"/>
  <c r="B54" i="56"/>
  <c r="B89" i="82" s="1"/>
  <c r="B55" i="56"/>
  <c r="B90" i="82" s="1"/>
  <c r="B69" i="56"/>
  <c r="B68" i="56"/>
  <c r="B17" i="82" s="1"/>
  <c r="B32" i="82" s="1"/>
  <c r="B67" i="56"/>
  <c r="B16" i="82" s="1"/>
  <c r="B31" i="82" s="1"/>
  <c r="B66" i="56"/>
  <c r="B15" i="82" s="1"/>
  <c r="B65" i="56"/>
  <c r="B14" i="82" s="1"/>
  <c r="B64" i="56"/>
  <c r="B13" i="82" s="1"/>
  <c r="B28" i="82" s="1"/>
  <c r="B63" i="56"/>
  <c r="B12" i="82" s="1"/>
  <c r="B27" i="82" s="1"/>
  <c r="B62" i="56"/>
  <c r="B11" i="82" s="1"/>
  <c r="B61" i="56"/>
  <c r="B10" i="82" s="1"/>
  <c r="B60" i="56"/>
  <c r="B9" i="82" s="1"/>
  <c r="B24" i="82" s="1"/>
  <c r="B59" i="56"/>
  <c r="B8" i="82" s="1"/>
  <c r="B23" i="82" s="1"/>
  <c r="B58" i="56"/>
  <c r="B69" i="44"/>
  <c r="B68" i="44"/>
  <c r="B66" i="40"/>
  <c r="B65" i="40"/>
  <c r="B64" i="40"/>
  <c r="B63" i="40"/>
  <c r="B62" i="40"/>
  <c r="B61" i="40"/>
  <c r="B60" i="40"/>
  <c r="B59" i="40"/>
  <c r="B58" i="40"/>
  <c r="B57" i="40"/>
  <c r="B56" i="40"/>
  <c r="B55" i="40"/>
  <c r="B67" i="44"/>
  <c r="B66" i="44"/>
  <c r="B65" i="44"/>
  <c r="B64" i="44"/>
  <c r="B63" i="44"/>
  <c r="B62" i="44"/>
  <c r="B61" i="44"/>
  <c r="B60" i="44"/>
  <c r="B59" i="44"/>
  <c r="B58" i="44"/>
  <c r="C68" i="44"/>
  <c r="D66" i="56"/>
  <c r="C64" i="44"/>
  <c r="C60" i="44"/>
  <c r="D58" i="56"/>
  <c r="H7" i="63" l="1"/>
  <c r="I14" i="63"/>
  <c r="I16" i="63"/>
  <c r="H13" i="63"/>
  <c r="H9" i="63"/>
  <c r="H8" i="63"/>
  <c r="I12" i="63"/>
  <c r="H10" i="63"/>
  <c r="I10" i="63"/>
  <c r="I9" i="63"/>
  <c r="I13" i="63"/>
  <c r="H11" i="63"/>
  <c r="H12" i="63"/>
  <c r="I11" i="63"/>
  <c r="H16" i="63"/>
  <c r="I8" i="63"/>
  <c r="H14" i="63"/>
  <c r="I15" i="63"/>
  <c r="H15" i="63"/>
  <c r="C58" i="40"/>
  <c r="G65" i="31"/>
  <c r="C41" i="40"/>
  <c r="G44" i="31" s="1"/>
  <c r="G43" i="31"/>
  <c r="C62" i="40"/>
  <c r="G69" i="31"/>
  <c r="C33" i="40"/>
  <c r="G35" i="31"/>
  <c r="C20" i="40"/>
  <c r="G22" i="31"/>
  <c r="G46" i="31"/>
  <c r="C61" i="44"/>
  <c r="C62" i="44"/>
  <c r="D62" i="56"/>
  <c r="C58" i="44"/>
  <c r="C65" i="44"/>
  <c r="D61" i="56"/>
  <c r="D38" i="57"/>
  <c r="I11" i="57" s="1"/>
  <c r="D65" i="56"/>
  <c r="C66" i="44"/>
  <c r="B29" i="82"/>
  <c r="B47" i="82"/>
  <c r="B26" i="82"/>
  <c r="B44" i="82"/>
  <c r="B30" i="82"/>
  <c r="B48" i="82"/>
  <c r="B25" i="82"/>
  <c r="B43" i="82"/>
  <c r="C59" i="44"/>
  <c r="C63" i="44"/>
  <c r="C67" i="44"/>
  <c r="D68" i="56"/>
  <c r="D64" i="56"/>
  <c r="D60" i="56"/>
  <c r="B41" i="82"/>
  <c r="B45" i="82"/>
  <c r="B49" i="82"/>
  <c r="C69" i="44"/>
  <c r="D69" i="56"/>
  <c r="D67" i="56"/>
  <c r="D63" i="56"/>
  <c r="D59" i="56"/>
  <c r="B42" i="82"/>
  <c r="B46" i="82"/>
  <c r="B50" i="82"/>
  <c r="I18" i="63" l="1"/>
  <c r="C45" i="40"/>
  <c r="G48" i="31" s="1"/>
  <c r="G47" i="31"/>
  <c r="C34" i="40"/>
  <c r="G36" i="31"/>
  <c r="C21" i="40"/>
  <c r="G24" i="31" s="1"/>
  <c r="G23" i="31"/>
  <c r="C63" i="40"/>
  <c r="G70" i="31"/>
  <c r="C59" i="40"/>
  <c r="G67" i="31" s="1"/>
  <c r="G66" i="31"/>
  <c r="C64" i="40" l="1"/>
  <c r="G71" i="31"/>
  <c r="G37" i="31"/>
  <c r="B1" i="31"/>
  <c r="G39" i="31" l="1"/>
  <c r="G38" i="31"/>
  <c r="C65" i="40"/>
  <c r="G73" i="31" s="1"/>
  <c r="G72" i="31"/>
  <c r="D10" i="79" l="1"/>
  <c r="D15" i="79" s="1"/>
  <c r="B17" i="40"/>
  <c r="B9" i="40"/>
  <c r="B8" i="40"/>
  <c r="B7" i="40"/>
  <c r="B6" i="40"/>
  <c r="B23" i="40"/>
  <c r="B22" i="40"/>
  <c r="B21" i="40"/>
  <c r="B20" i="40"/>
  <c r="B19" i="40"/>
  <c r="B18" i="40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54" i="40"/>
  <c r="B53" i="40"/>
  <c r="B52" i="40"/>
  <c r="B51" i="40"/>
  <c r="C10" i="79" l="1"/>
  <c r="C15" i="79" s="1"/>
  <c r="C38" i="57" l="1"/>
  <c r="I13" i="57" s="1"/>
  <c r="D24" i="56"/>
  <c r="C70" i="82" s="1"/>
  <c r="C21" i="44" l="1"/>
  <c r="D21" i="56"/>
  <c r="C67" i="82" s="1"/>
  <c r="C23" i="44"/>
  <c r="D23" i="56"/>
  <c r="C69" i="82" s="1"/>
  <c r="C22" i="44"/>
  <c r="D22" i="56"/>
  <c r="C68" i="82" s="1"/>
  <c r="B10" i="79" l="1"/>
  <c r="B20" i="79" l="1"/>
  <c r="C21" i="79" s="1"/>
  <c r="E10" i="57"/>
  <c r="D10" i="57"/>
  <c r="C10" i="57" l="1"/>
  <c r="D21" i="79"/>
  <c r="D22" i="79" s="1"/>
  <c r="E14" i="57" s="1"/>
  <c r="C22" i="79"/>
  <c r="D14" i="57" s="1"/>
  <c r="C14" i="57" l="1"/>
  <c r="E14" i="36"/>
  <c r="D14" i="36"/>
  <c r="B28" i="44"/>
  <c r="B27" i="44"/>
  <c r="B26" i="44"/>
  <c r="B25" i="44"/>
  <c r="B24" i="44"/>
  <c r="C14" i="36" l="1"/>
  <c r="C12" i="35"/>
  <c r="E13" i="36" l="1"/>
  <c r="D13" i="36"/>
  <c r="C28" i="44"/>
  <c r="C27" i="44"/>
  <c r="C26" i="44"/>
  <c r="C25" i="44"/>
  <c r="C24" i="44"/>
  <c r="C13" i="36" l="1"/>
  <c r="D27" i="56"/>
  <c r="C73" i="82" s="1"/>
  <c r="D26" i="56"/>
  <c r="C72" i="82" s="1"/>
  <c r="D28" i="56"/>
  <c r="C74" i="82" s="1"/>
  <c r="D25" i="56"/>
  <c r="C71" i="82" s="1"/>
  <c r="D20" i="56" l="1"/>
  <c r="C66" i="82" s="1"/>
  <c r="D12" i="56"/>
  <c r="C58" i="82" s="1"/>
  <c r="D11" i="56"/>
  <c r="D10" i="56"/>
  <c r="C57" i="82" s="1"/>
  <c r="D9" i="56"/>
  <c r="D29" i="56" l="1"/>
  <c r="C75" i="82" s="1"/>
  <c r="C24" i="36" l="1"/>
  <c r="C23" i="36"/>
  <c r="B57" i="44" l="1"/>
  <c r="B56" i="44"/>
  <c r="B55" i="44"/>
  <c r="B54" i="44"/>
  <c r="B53" i="44"/>
  <c r="B52" i="44"/>
  <c r="B51" i="44"/>
  <c r="B50" i="44"/>
  <c r="B49" i="44"/>
  <c r="B48" i="44"/>
  <c r="B47" i="44"/>
  <c r="B46" i="44"/>
  <c r="B45" i="44"/>
  <c r="B44" i="44"/>
  <c r="B43" i="44"/>
  <c r="B42" i="44"/>
  <c r="B41" i="44"/>
  <c r="B39" i="44"/>
  <c r="B38" i="44"/>
  <c r="B37" i="44"/>
  <c r="B36" i="44"/>
  <c r="B35" i="44"/>
  <c r="B34" i="44"/>
  <c r="B33" i="44"/>
  <c r="B32" i="44"/>
  <c r="B31" i="44"/>
  <c r="B30" i="44"/>
  <c r="B29" i="44"/>
  <c r="B20" i="44"/>
  <c r="B12" i="44"/>
  <c r="B11" i="44"/>
  <c r="B10" i="44"/>
  <c r="B9" i="44"/>
  <c r="B57" i="56" l="1"/>
  <c r="B56" i="56"/>
  <c r="B9" i="56"/>
  <c r="C10" i="44"/>
  <c r="C50" i="44" l="1"/>
  <c r="D50" i="56"/>
  <c r="C88" i="82" s="1"/>
  <c r="C46" i="44"/>
  <c r="D46" i="56"/>
  <c r="C85" i="82" s="1"/>
  <c r="C42" i="44"/>
  <c r="D42" i="56"/>
  <c r="C81" i="82" s="1"/>
  <c r="C37" i="44"/>
  <c r="D37" i="56"/>
  <c r="C33" i="44"/>
  <c r="D33" i="56"/>
  <c r="C53" i="44"/>
  <c r="D53" i="56"/>
  <c r="C49" i="44"/>
  <c r="D49" i="56"/>
  <c r="C45" i="44"/>
  <c r="D45" i="56"/>
  <c r="C84" i="82" s="1"/>
  <c r="C41" i="44"/>
  <c r="D41" i="56"/>
  <c r="C80" i="82" s="1"/>
  <c r="C36" i="44"/>
  <c r="D36" i="56"/>
  <c r="C32" i="44"/>
  <c r="D32" i="56"/>
  <c r="C78" i="82" s="1"/>
  <c r="C52" i="44"/>
  <c r="D52" i="56"/>
  <c r="C44" i="44"/>
  <c r="D44" i="56"/>
  <c r="C83" i="82" s="1"/>
  <c r="C35" i="44"/>
  <c r="D35" i="56"/>
  <c r="C48" i="44"/>
  <c r="D48" i="56"/>
  <c r="C87" i="82" s="1"/>
  <c r="C39" i="44"/>
  <c r="D39" i="56"/>
  <c r="C51" i="44"/>
  <c r="D51" i="56"/>
  <c r="C47" i="44"/>
  <c r="D47" i="56"/>
  <c r="C86" i="82" s="1"/>
  <c r="C43" i="44"/>
  <c r="D43" i="56"/>
  <c r="C82" i="82" s="1"/>
  <c r="C38" i="44"/>
  <c r="D38" i="56"/>
  <c r="C34" i="44"/>
  <c r="D34" i="56"/>
  <c r="F13" i="56" l="1"/>
  <c r="E59" i="82" s="1"/>
  <c r="F15" i="56"/>
  <c r="E61" i="82" s="1"/>
  <c r="F18" i="56"/>
  <c r="E64" i="82" s="1"/>
  <c r="E14" i="56"/>
  <c r="D60" i="82" s="1"/>
  <c r="E18" i="56"/>
  <c r="D64" i="82" s="1"/>
  <c r="E17" i="56"/>
  <c r="D63" i="82" s="1"/>
  <c r="F17" i="56"/>
  <c r="E63" i="82" s="1"/>
  <c r="F16" i="56"/>
  <c r="E62" i="82" s="1"/>
  <c r="E15" i="56"/>
  <c r="E19" i="56"/>
  <c r="D65" i="82" s="1"/>
  <c r="F19" i="56"/>
  <c r="E65" i="82" s="1"/>
  <c r="E13" i="56"/>
  <c r="D59" i="82" s="1"/>
  <c r="E16" i="56"/>
  <c r="D62" i="82" s="1"/>
  <c r="F14" i="56"/>
  <c r="E60" i="82" s="1"/>
  <c r="F40" i="56"/>
  <c r="E79" i="82" s="1"/>
  <c r="E40" i="56"/>
  <c r="D79" i="82" s="1"/>
  <c r="F21" i="56"/>
  <c r="E67" i="82" s="1"/>
  <c r="E21" i="56"/>
  <c r="D67" i="82" s="1"/>
  <c r="E22" i="56"/>
  <c r="D68" i="82" s="1"/>
  <c r="F22" i="56"/>
  <c r="E68" i="82" s="1"/>
  <c r="E23" i="56"/>
  <c r="D69" i="82" s="1"/>
  <c r="F23" i="56"/>
  <c r="E69" i="82" s="1"/>
  <c r="F24" i="56"/>
  <c r="E70" i="82" s="1"/>
  <c r="E24" i="56"/>
  <c r="D70" i="82" s="1"/>
  <c r="F10" i="56"/>
  <c r="E57" i="82" s="1"/>
  <c r="E10" i="56"/>
  <c r="D57" i="82" s="1"/>
  <c r="E29" i="56"/>
  <c r="D75" i="82" s="1"/>
  <c r="F29" i="56"/>
  <c r="E75" i="82" s="1"/>
  <c r="C56" i="44"/>
  <c r="D56" i="56"/>
  <c r="C12" i="44"/>
  <c r="C55" i="44"/>
  <c r="D55" i="56"/>
  <c r="C90" i="82" s="1"/>
  <c r="C11" i="44"/>
  <c r="C54" i="44"/>
  <c r="D54" i="56"/>
  <c r="C89" i="82" s="1"/>
  <c r="C29" i="44"/>
  <c r="C57" i="44"/>
  <c r="D57" i="56"/>
  <c r="C20" i="44"/>
  <c r="C9" i="44"/>
  <c r="F56" i="56" l="1"/>
  <c r="E56" i="56"/>
  <c r="D15" i="44"/>
  <c r="E15" i="44" s="1"/>
  <c r="D61" i="82"/>
  <c r="E27" i="36"/>
  <c r="D27" i="36"/>
  <c r="D13" i="44"/>
  <c r="E13" i="44" s="1"/>
  <c r="D14" i="44"/>
  <c r="E14" i="44" s="1"/>
  <c r="D19" i="44"/>
  <c r="E19" i="44" s="1"/>
  <c r="D17" i="44"/>
  <c r="E17" i="44" s="1"/>
  <c r="D18" i="44"/>
  <c r="E18" i="44" s="1"/>
  <c r="D40" i="44"/>
  <c r="E40" i="44" s="1"/>
  <c r="D16" i="44"/>
  <c r="E16" i="44" s="1"/>
  <c r="D21" i="44"/>
  <c r="E21" i="44" s="1"/>
  <c r="D22" i="44"/>
  <c r="E22" i="44" s="1"/>
  <c r="D23" i="44"/>
  <c r="E23" i="44" s="1"/>
  <c r="D24" i="44"/>
  <c r="E24" i="44" s="1"/>
  <c r="D10" i="44"/>
  <c r="E10" i="44" s="1"/>
  <c r="D29" i="44"/>
  <c r="B15" i="79"/>
  <c r="C43" i="82" l="1"/>
  <c r="C41" i="82"/>
  <c r="C48" i="82"/>
  <c r="C50" i="82"/>
  <c r="C45" i="82"/>
  <c r="C44" i="82"/>
  <c r="C46" i="82"/>
  <c r="C47" i="82"/>
  <c r="C49" i="82"/>
  <c r="C42" i="82"/>
  <c r="F27" i="56"/>
  <c r="E73" i="82" s="1"/>
  <c r="E27" i="56"/>
  <c r="D73" i="82" s="1"/>
  <c r="E29" i="44"/>
  <c r="D27" i="44" l="1"/>
  <c r="E27" i="44" s="1"/>
  <c r="E32" i="56" l="1"/>
  <c r="D78" i="82" s="1"/>
  <c r="F32" i="56"/>
  <c r="E78" i="82" s="1"/>
  <c r="E25" i="56"/>
  <c r="D71" i="82" s="1"/>
  <c r="E28" i="56"/>
  <c r="D74" i="82" s="1"/>
  <c r="D28" i="36" l="1"/>
  <c r="D32" i="44"/>
  <c r="E32" i="44" s="1"/>
  <c r="F25" i="56"/>
  <c r="E71" i="82" s="1"/>
  <c r="F28" i="56"/>
  <c r="E74" i="82" s="1"/>
  <c r="E28" i="36" l="1"/>
  <c r="F20" i="56" s="1"/>
  <c r="E20" i="56"/>
  <c r="C27" i="36" s="1"/>
  <c r="D28" i="44"/>
  <c r="E28" i="44" s="1"/>
  <c r="D25" i="44"/>
  <c r="E25" i="44" s="1"/>
  <c r="C25" i="36"/>
  <c r="D66" i="82" l="1"/>
  <c r="E66" i="82"/>
  <c r="E20" i="57"/>
  <c r="C28" i="36"/>
  <c r="D20" i="44"/>
  <c r="E20" i="44" s="1"/>
  <c r="D20" i="57"/>
  <c r="C20" i="57" l="1"/>
  <c r="F42" i="56" l="1"/>
  <c r="E81" i="82" s="1"/>
  <c r="E42" i="56"/>
  <c r="D81" i="82" s="1"/>
  <c r="D42" i="44" l="1"/>
  <c r="E42" i="44" s="1"/>
  <c r="F43" i="56"/>
  <c r="E82" i="82" s="1"/>
  <c r="E43" i="56"/>
  <c r="D82" i="82" s="1"/>
  <c r="D43" i="44" l="1"/>
  <c r="E43" i="44" s="1"/>
  <c r="E44" i="56"/>
  <c r="D83" i="82" s="1"/>
  <c r="F44" i="56"/>
  <c r="E83" i="82" s="1"/>
  <c r="D44" i="44" l="1"/>
  <c r="E44" i="44" s="1"/>
  <c r="E45" i="56"/>
  <c r="D84" i="82" s="1"/>
  <c r="F45" i="56"/>
  <c r="E84" i="82" s="1"/>
  <c r="D45" i="44" l="1"/>
  <c r="E45" i="44" s="1"/>
  <c r="F46" i="56"/>
  <c r="E85" i="82" s="1"/>
  <c r="E46" i="56"/>
  <c r="D85" i="82" s="1"/>
  <c r="D46" i="44" l="1"/>
  <c r="E46" i="44" s="1"/>
  <c r="E47" i="56"/>
  <c r="D86" i="82" s="1"/>
  <c r="F47" i="56"/>
  <c r="E86" i="82" s="1"/>
  <c r="D47" i="44" l="1"/>
  <c r="E47" i="44" s="1"/>
  <c r="E48" i="56"/>
  <c r="F48" i="56"/>
  <c r="D31" i="36" l="1"/>
  <c r="D87" i="82"/>
  <c r="E31" i="36"/>
  <c r="E87" i="82"/>
  <c r="D48" i="44"/>
  <c r="E48" i="44" s="1"/>
  <c r="D31" i="56" l="1"/>
  <c r="C77" i="82" s="1"/>
  <c r="C31" i="44"/>
  <c r="D30" i="56"/>
  <c r="C76" i="82" s="1"/>
  <c r="C30" i="44"/>
  <c r="C92" i="82" l="1"/>
  <c r="C70" i="44"/>
  <c r="F30" i="56"/>
  <c r="E76" i="82" s="1"/>
  <c r="D71" i="56"/>
  <c r="E30" i="56"/>
  <c r="D76" i="82" s="1"/>
  <c r="E31" i="56"/>
  <c r="D77" i="82" s="1"/>
  <c r="F31" i="56"/>
  <c r="E77" i="82" s="1"/>
  <c r="D29" i="36" l="1"/>
  <c r="E29" i="36"/>
  <c r="D30" i="44"/>
  <c r="D31" i="44"/>
  <c r="E31" i="44" s="1"/>
  <c r="E30" i="44" l="1"/>
  <c r="E26" i="56" l="1"/>
  <c r="D72" i="82" s="1"/>
  <c r="D21" i="57" l="1"/>
  <c r="E41" i="56" l="1"/>
  <c r="D80" i="82" s="1"/>
  <c r="D23" i="57" l="1"/>
  <c r="C29" i="36" l="1"/>
  <c r="C31" i="36"/>
  <c r="F41" i="56"/>
  <c r="F26" i="56"/>
  <c r="E23" i="57" l="1"/>
  <c r="C23" i="57" s="1"/>
  <c r="E80" i="82"/>
  <c r="D26" i="44"/>
  <c r="E26" i="44" s="1"/>
  <c r="E72" i="82"/>
  <c r="E21" i="57"/>
  <c r="D41" i="44"/>
  <c r="E41" i="44" s="1"/>
  <c r="C21" i="57" l="1"/>
  <c r="F55" i="56"/>
  <c r="E25" i="57" s="1"/>
  <c r="E55" i="56"/>
  <c r="D25" i="57" s="1"/>
  <c r="F54" i="56"/>
  <c r="E89" i="82" s="1"/>
  <c r="E54" i="56"/>
  <c r="D89" i="82" s="1"/>
  <c r="D55" i="44" l="1"/>
  <c r="E55" i="44" s="1"/>
  <c r="E90" i="82"/>
  <c r="D54" i="44"/>
  <c r="E54" i="44" s="1"/>
  <c r="D90" i="82"/>
  <c r="C25" i="57"/>
  <c r="F12" i="56"/>
  <c r="E12" i="56"/>
  <c r="D58" i="82" s="1"/>
  <c r="E60" i="56" l="1"/>
  <c r="E59" i="56"/>
  <c r="E62" i="56"/>
  <c r="E61" i="56"/>
  <c r="E50" i="56"/>
  <c r="D88" i="82" s="1"/>
  <c r="D12" i="44"/>
  <c r="E12" i="44" s="1"/>
  <c r="E58" i="82"/>
  <c r="E19" i="57"/>
  <c r="D19" i="57"/>
  <c r="C19" i="57" l="1"/>
  <c r="D11" i="82"/>
  <c r="D8" i="82"/>
  <c r="F61" i="56"/>
  <c r="E10" i="82" s="1"/>
  <c r="F62" i="56"/>
  <c r="E11" i="82" s="1"/>
  <c r="F60" i="56"/>
  <c r="E9" i="82" s="1"/>
  <c r="F59" i="56"/>
  <c r="E8" i="82" s="1"/>
  <c r="D10" i="82"/>
  <c r="D9" i="82"/>
  <c r="F50" i="56"/>
  <c r="D50" i="44" l="1"/>
  <c r="E50" i="44" s="1"/>
  <c r="E88" i="82"/>
  <c r="D61" i="44"/>
  <c r="E61" i="44" s="1"/>
  <c r="C8" i="82"/>
  <c r="D23" i="82" s="1"/>
  <c r="D59" i="44"/>
  <c r="E59" i="44" s="1"/>
  <c r="D60" i="44"/>
  <c r="E60" i="44" s="1"/>
  <c r="D62" i="44"/>
  <c r="E62" i="44" s="1"/>
  <c r="C10" i="82"/>
  <c r="E25" i="82" s="1"/>
  <c r="C9" i="82"/>
  <c r="D24" i="82" s="1"/>
  <c r="C11" i="82"/>
  <c r="E44" i="82" s="1"/>
  <c r="E42" i="82" l="1"/>
  <c r="D26" i="82"/>
  <c r="E24" i="82"/>
  <c r="D44" i="82"/>
  <c r="D42" i="82"/>
  <c r="E41" i="82"/>
  <c r="E23" i="82"/>
  <c r="D41" i="82"/>
  <c r="E43" i="82"/>
  <c r="D25" i="82"/>
  <c r="D43" i="82"/>
  <c r="E26" i="82"/>
  <c r="D92" i="82"/>
  <c r="D21" i="36" s="1"/>
  <c r="E67" i="56" l="1"/>
  <c r="E51" i="56"/>
  <c r="E37" i="56"/>
  <c r="E58" i="56"/>
  <c r="E63" i="56"/>
  <c r="E64" i="56"/>
  <c r="E34" i="56"/>
  <c r="E35" i="56"/>
  <c r="E52" i="56"/>
  <c r="E68" i="56"/>
  <c r="E53" i="56"/>
  <c r="E11" i="56"/>
  <c r="E66" i="56"/>
  <c r="E9" i="56"/>
  <c r="E65" i="56"/>
  <c r="E36" i="56"/>
  <c r="D13" i="82" l="1"/>
  <c r="D32" i="36"/>
  <c r="D17" i="82"/>
  <c r="D12" i="82"/>
  <c r="D16" i="82"/>
  <c r="D15" i="82"/>
  <c r="D14" i="82"/>
  <c r="D18" i="57"/>
  <c r="D26" i="57"/>
  <c r="E49" i="56" l="1"/>
  <c r="D19" i="82"/>
  <c r="D24" i="57" l="1"/>
  <c r="E92" i="82"/>
  <c r="E21" i="36" s="1"/>
  <c r="F9" i="56" s="1"/>
  <c r="F36" i="56" l="1"/>
  <c r="D36" i="44" s="1"/>
  <c r="E36" i="44" s="1"/>
  <c r="F11" i="56"/>
  <c r="D11" i="44" s="1"/>
  <c r="E11" i="44" s="1"/>
  <c r="F67" i="56"/>
  <c r="E16" i="82" s="1"/>
  <c r="F53" i="56"/>
  <c r="D53" i="44" s="1"/>
  <c r="E53" i="44" s="1"/>
  <c r="D9" i="44"/>
  <c r="E18" i="57"/>
  <c r="F34" i="56"/>
  <c r="F63" i="56"/>
  <c r="F52" i="56"/>
  <c r="D52" i="44" s="1"/>
  <c r="E52" i="44" s="1"/>
  <c r="F51" i="56"/>
  <c r="F58" i="56"/>
  <c r="F37" i="56"/>
  <c r="D37" i="44" s="1"/>
  <c r="E37" i="44" s="1"/>
  <c r="C21" i="36"/>
  <c r="F65" i="56"/>
  <c r="F64" i="56"/>
  <c r="F35" i="56"/>
  <c r="D35" i="44" s="1"/>
  <c r="E35" i="44" s="1"/>
  <c r="F66" i="56"/>
  <c r="F68" i="56"/>
  <c r="C16" i="82" l="1"/>
  <c r="E31" i="82" s="1"/>
  <c r="D67" i="44"/>
  <c r="E67" i="44" s="1"/>
  <c r="E26" i="57"/>
  <c r="C26" i="57" s="1"/>
  <c r="D58" i="44"/>
  <c r="E58" i="44" s="1"/>
  <c r="D63" i="44"/>
  <c r="E63" i="44" s="1"/>
  <c r="E12" i="82"/>
  <c r="E9" i="44"/>
  <c r="D65" i="44"/>
  <c r="E65" i="44" s="1"/>
  <c r="E14" i="82"/>
  <c r="E32" i="36"/>
  <c r="D51" i="44"/>
  <c r="E51" i="44" s="1"/>
  <c r="D34" i="44"/>
  <c r="E34" i="44" s="1"/>
  <c r="D64" i="44"/>
  <c r="E64" i="44" s="1"/>
  <c r="E13" i="82"/>
  <c r="C18" i="57"/>
  <c r="E15" i="82"/>
  <c r="D66" i="44"/>
  <c r="E66" i="44" s="1"/>
  <c r="E17" i="82"/>
  <c r="D68" i="44"/>
  <c r="E68" i="44" s="1"/>
  <c r="D31" i="82" l="1"/>
  <c r="C15" i="82"/>
  <c r="D30" i="82" s="1"/>
  <c r="C13" i="82"/>
  <c r="D28" i="82" s="1"/>
  <c r="C17" i="82"/>
  <c r="D32" i="82" s="1"/>
  <c r="C32" i="36"/>
  <c r="F49" i="56"/>
  <c r="C14" i="82"/>
  <c r="D29" i="82" s="1"/>
  <c r="E19" i="82"/>
  <c r="C12" i="82"/>
  <c r="E27" i="82" s="1"/>
  <c r="E30" i="82" l="1"/>
  <c r="E29" i="82"/>
  <c r="E28" i="82"/>
  <c r="E32" i="82"/>
  <c r="D27" i="82"/>
  <c r="C19" i="82"/>
  <c r="D19" i="36" s="1"/>
  <c r="D49" i="44"/>
  <c r="E49" i="44" s="1"/>
  <c r="E24" i="57"/>
  <c r="C24" i="57" s="1"/>
  <c r="E19" i="36" l="1"/>
  <c r="C19" i="36" s="1"/>
  <c r="E34" i="82"/>
  <c r="F69" i="56" s="1"/>
  <c r="D52" i="82"/>
  <c r="E52" i="82"/>
  <c r="E28" i="57" s="1"/>
  <c r="D34" i="82"/>
  <c r="E36" i="82" l="1"/>
  <c r="C52" i="82"/>
  <c r="D28" i="57"/>
  <c r="C28" i="57" s="1"/>
  <c r="D56" i="44"/>
  <c r="D36" i="82"/>
  <c r="E69" i="56"/>
  <c r="C34" i="82"/>
  <c r="D69" i="44" l="1"/>
  <c r="E69" i="44" s="1"/>
  <c r="E56" i="44"/>
  <c r="C36" i="82"/>
  <c r="E20" i="36" s="1"/>
  <c r="F57" i="56" s="1"/>
  <c r="D20" i="36" l="1"/>
  <c r="C20" i="36" s="1"/>
  <c r="E27" i="57"/>
  <c r="E57" i="56" l="1"/>
  <c r="D57" i="44" s="1"/>
  <c r="D27" i="57" l="1"/>
  <c r="C27" i="57" s="1"/>
  <c r="E57" i="44"/>
  <c r="F39" i="56"/>
  <c r="E39" i="56"/>
  <c r="F38" i="56"/>
  <c r="E38" i="56"/>
  <c r="D30" i="36" l="1"/>
  <c r="E30" i="36"/>
  <c r="F33" i="56" s="1"/>
  <c r="F71" i="56" s="1"/>
  <c r="D39" i="44"/>
  <c r="E39" i="44" s="1"/>
  <c r="D38" i="44"/>
  <c r="E38" i="44" s="1"/>
  <c r="E33" i="56"/>
  <c r="E22" i="57" l="1"/>
  <c r="E29" i="57" s="1"/>
  <c r="E33" i="57" s="1"/>
  <c r="H12" i="57" s="1"/>
  <c r="C30" i="36"/>
  <c r="E71" i="56"/>
  <c r="D72" i="56" s="1"/>
  <c r="D33" i="44"/>
  <c r="D22" i="57"/>
  <c r="E36" i="57" l="1"/>
  <c r="E40" i="57"/>
  <c r="D29" i="57"/>
  <c r="C22" i="57"/>
  <c r="C29" i="57" s="1"/>
  <c r="D70" i="44"/>
  <c r="E33" i="44"/>
  <c r="E70" i="44" s="1"/>
  <c r="K12" i="57"/>
  <c r="J12" i="57"/>
  <c r="L12" i="57"/>
  <c r="C30" i="57" l="1"/>
  <c r="C33" i="57"/>
  <c r="H13" i="57" s="1"/>
  <c r="J13" i="57" s="1"/>
  <c r="C11" i="57"/>
  <c r="D33" i="57"/>
  <c r="H11" i="57"/>
  <c r="L11" i="57" l="1"/>
  <c r="K11" i="57"/>
  <c r="J11" i="57"/>
  <c r="D40" i="57"/>
  <c r="E42" i="57" s="1"/>
  <c r="D36" i="57"/>
  <c r="D12" i="57"/>
  <c r="E12" i="57"/>
  <c r="E35" i="57" s="1"/>
  <c r="M13" i="57"/>
  <c r="N13" i="57" s="1"/>
  <c r="M12" i="57"/>
  <c r="N12" i="57" s="1"/>
  <c r="M11" i="57"/>
  <c r="N11" i="57" l="1"/>
  <c r="C12" i="57"/>
  <c r="D35" i="57"/>
</calcChain>
</file>

<file path=xl/comments1.xml><?xml version="1.0" encoding="utf-8"?>
<comments xmlns="http://schemas.openxmlformats.org/spreadsheetml/2006/main">
  <authors>
    <author>Andrew Frank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Andrew Frank:</t>
        </r>
        <r>
          <rPr>
            <sz val="9"/>
            <color indexed="81"/>
            <rFont val="Tahoma"/>
            <family val="2"/>
          </rPr>
          <t xml:space="preserve">
This provides a crude approximation for apportioning the Amortization expense - recognizing that the apportionment used does not materially impact the results</t>
        </r>
      </text>
    </comment>
  </commentList>
</comments>
</file>

<file path=xl/sharedStrings.xml><?xml version="1.0" encoding="utf-8"?>
<sst xmlns="http://schemas.openxmlformats.org/spreadsheetml/2006/main" count="326" uniqueCount="183">
  <si>
    <t>Accounts</t>
  </si>
  <si>
    <t>Financial Statement</t>
  </si>
  <si>
    <t xml:space="preserve"> </t>
  </si>
  <si>
    <t>ALLOCATION BY RATE CLASSIFICATION</t>
  </si>
  <si>
    <t>Forecast Financial Statement</t>
  </si>
  <si>
    <t>Difference</t>
  </si>
  <si>
    <t>Description</t>
  </si>
  <si>
    <t>O1 Grouping</t>
  </si>
  <si>
    <t>Classification and Allocation</t>
  </si>
  <si>
    <t>Customer Classes</t>
  </si>
  <si>
    <t>Total</t>
  </si>
  <si>
    <t>Break out Functions</t>
  </si>
  <si>
    <t>Expenses</t>
  </si>
  <si>
    <t>Asset net of Accumulated Depreciation and Contributed Capital</t>
  </si>
  <si>
    <t>BALANCE SHEET ITEMS</t>
  </si>
  <si>
    <t>EXPENSE ITEMS</t>
  </si>
  <si>
    <t>ID and Factors</t>
  </si>
  <si>
    <t>Explanation</t>
  </si>
  <si>
    <t>Amortization Expense - Property, Plant, and Equipment</t>
  </si>
  <si>
    <t>Reclassify accounts</t>
  </si>
  <si>
    <t>Reclassified Balance</t>
  </si>
  <si>
    <t>CUSTOMER ALLOCATORS</t>
  </si>
  <si>
    <t>Billing Data</t>
  </si>
  <si>
    <t>NFA</t>
  </si>
  <si>
    <t>Net Class Revenue</t>
  </si>
  <si>
    <t>Net Fixed Assets</t>
  </si>
  <si>
    <t>Composite Allocators</t>
  </si>
  <si>
    <t>Domestic</t>
  </si>
  <si>
    <t>Export</t>
  </si>
  <si>
    <t>DOM</t>
  </si>
  <si>
    <t>rb</t>
  </si>
  <si>
    <t>Dep</t>
  </si>
  <si>
    <t>Depreciation on fixed assets</t>
  </si>
  <si>
    <t>Demand Total</t>
  </si>
  <si>
    <t>Dedicated to Domestic</t>
  </si>
  <si>
    <t>GA</t>
  </si>
  <si>
    <t>Gross Assets</t>
  </si>
  <si>
    <t>Rate Revenue Required</t>
  </si>
  <si>
    <t>Volume (MWh)</t>
  </si>
  <si>
    <t>Volume</t>
  </si>
  <si>
    <t>Domestic MWh</t>
  </si>
  <si>
    <t>Energy</t>
  </si>
  <si>
    <t>Dedicated to Export</t>
  </si>
  <si>
    <t>Revenue at Existing Rates</t>
  </si>
  <si>
    <t>Revenue at Single Rate</t>
  </si>
  <si>
    <t>Revenue to Expense at Single Rate</t>
  </si>
  <si>
    <t>Separate Rates</t>
  </si>
  <si>
    <t>Rate Weight (percent of domestic rate)</t>
  </si>
  <si>
    <t>Pre-Integration IESO MWh Rate</t>
  </si>
  <si>
    <t>Pre-Integration OPA MWh Rate</t>
  </si>
  <si>
    <t>Single Charge</t>
  </si>
  <si>
    <t>Revenue Requirement</t>
  </si>
  <si>
    <t>Uniform Rate</t>
  </si>
  <si>
    <t>Revenue at Uniform Rate</t>
  </si>
  <si>
    <t>Revenue at Status Quo Rates</t>
  </si>
  <si>
    <t>Gross MWh</t>
  </si>
  <si>
    <t>Interest</t>
  </si>
  <si>
    <t>CEO - CEO Office</t>
  </si>
  <si>
    <t>CEO - CEO Office - NERC Membership</t>
  </si>
  <si>
    <t>CEO - Internal Audit</t>
  </si>
  <si>
    <t>Market and System Operations</t>
  </si>
  <si>
    <t>Market and Resource Development - VP Office</t>
  </si>
  <si>
    <t>Market and Resource Development - Contract Management</t>
  </si>
  <si>
    <t>Market and Resource Development - Renewable Procurement</t>
  </si>
  <si>
    <t>Market and Resource Development - Clean Energy Procurement</t>
  </si>
  <si>
    <t>Market and Resource Development - Policy &amp; Analysis</t>
  </si>
  <si>
    <t>Market and Resource Development - Markets</t>
  </si>
  <si>
    <t>Conservation and Corporate Relations - Conservation Performance</t>
  </si>
  <si>
    <t>Conservation and Corporate Relations - Business Development</t>
  </si>
  <si>
    <t>Conservation and Corporate Relations - Strategic Engagement &amp; Innovation</t>
  </si>
  <si>
    <t>Conservation and Corporate Relations - Program Delivery &amp; Partner Services</t>
  </si>
  <si>
    <t>Conservation and Corporate Relations - Stakeholders &amp; Public Affairs</t>
  </si>
  <si>
    <t>Conservation and Corporate Relations - Marketing</t>
  </si>
  <si>
    <t>Information and Technology Services - VP Office</t>
  </si>
  <si>
    <t>Information and Technology Services - Organizational Governance</t>
  </si>
  <si>
    <t>Information and Technology Services - Business Solutions + Business Analysis</t>
  </si>
  <si>
    <t>Information and Technology Services - Technology Support*</t>
  </si>
  <si>
    <t>Information and Technology Services - Solutions (Adelaide)*</t>
  </si>
  <si>
    <t>Information and Technology Services - IT Operations</t>
  </si>
  <si>
    <t>Information and Technology Services - Facilities</t>
  </si>
  <si>
    <t>Planning, Law and Aboriginal Relations - VP Office</t>
  </si>
  <si>
    <t>Planning, Law and Aboriginal Relations - General Counsel</t>
  </si>
  <si>
    <t>Planning, Law and Aboriginal Relations - Regulatory Affairs</t>
  </si>
  <si>
    <t>Planning, Law and Aboriginal Relations - Board</t>
  </si>
  <si>
    <t>Planning, Law and Aboriginal Relations - First Nations &amp; Metis Relations</t>
  </si>
  <si>
    <t xml:space="preserve">Planning, Law and Aboriginal Relations - Transmission Integration </t>
  </si>
  <si>
    <t>Planning, Law and Aboriginal Relations - Resource Integration</t>
  </si>
  <si>
    <t>Planning, Law and Aboriginal Relations - Conservation Inegration</t>
  </si>
  <si>
    <t>Corporate Services - VP Office</t>
  </si>
  <si>
    <t>Corporate Services - Corporate Controller</t>
  </si>
  <si>
    <t>Corporate Services - Financial Planning &amp; Analysis</t>
  </si>
  <si>
    <t>Corporate Services - Treasury &amp; Pension Operations</t>
  </si>
  <si>
    <t>Corporate Services - Human Resources</t>
  </si>
  <si>
    <t>Corporate Services - Settlements</t>
  </si>
  <si>
    <t>MACD</t>
  </si>
  <si>
    <t>Others (IESO Corp Adj+Int+Amort) - Amortization</t>
  </si>
  <si>
    <t>Others (IESO Corp Adj+Int+Amort) - Interest</t>
  </si>
  <si>
    <t>Others (IESO Corp Adj+Int+Amort) - Uncleared salary</t>
  </si>
  <si>
    <t>Former IESO - Assets</t>
  </si>
  <si>
    <t>Former IESO - Market systems &amp; applications</t>
  </si>
  <si>
    <t>Former IESO - Infrastructure &amp; other assets</t>
  </si>
  <si>
    <t>Former IESO - Assets Under Construction</t>
  </si>
  <si>
    <t>Former OPA - Furniture &amp; Equipment</t>
  </si>
  <si>
    <t>Former OPA - Audio Visual</t>
  </si>
  <si>
    <t>Former OPA - Telephone</t>
  </si>
  <si>
    <t>Former OPA - Leasehold improvements</t>
  </si>
  <si>
    <t>Former OPA - Computer Hardware</t>
  </si>
  <si>
    <t>Former OPA - Computer Software</t>
  </si>
  <si>
    <t>Accumulated Amortization</t>
  </si>
  <si>
    <t>Accumulated Depreciation - Fixed Assets Only</t>
  </si>
  <si>
    <t>Int</t>
  </si>
  <si>
    <t>Estimated Average Service Life (Years)</t>
  </si>
  <si>
    <t>Amortization Share</t>
  </si>
  <si>
    <t>CEO</t>
  </si>
  <si>
    <t>MSO</t>
  </si>
  <si>
    <t>MRD</t>
  </si>
  <si>
    <t>CCR</t>
  </si>
  <si>
    <t>PLAR</t>
  </si>
  <si>
    <t>CS</t>
  </si>
  <si>
    <t>Other</t>
  </si>
  <si>
    <t>Conservation and Corporate Relations</t>
  </si>
  <si>
    <t>Market and Resource Development</t>
  </si>
  <si>
    <t>Information and Technology Services</t>
  </si>
  <si>
    <t>Planning, Law and Aboriginal Relations</t>
  </si>
  <si>
    <t>Corporate Services</t>
  </si>
  <si>
    <t>Others</t>
  </si>
  <si>
    <t>ITS</t>
  </si>
  <si>
    <t>TWh</t>
  </si>
  <si>
    <t>HALF</t>
  </si>
  <si>
    <t>Equal Halves</t>
  </si>
  <si>
    <t>Gross Fixed Assets</t>
  </si>
  <si>
    <t>Amortization Expense</t>
  </si>
  <si>
    <t>DTWh</t>
  </si>
  <si>
    <t>System TWh</t>
  </si>
  <si>
    <t>Domestic TWh</t>
  </si>
  <si>
    <t>EXP</t>
  </si>
  <si>
    <t>Ontario Demand</t>
  </si>
  <si>
    <t>Less Transmission Line Losses</t>
  </si>
  <si>
    <t>Embedded Generation</t>
  </si>
  <si>
    <t>O&amp;M</t>
  </si>
  <si>
    <t>Identifiable O&amp;M</t>
  </si>
  <si>
    <t>Assets</t>
  </si>
  <si>
    <t>Allocated Costs</t>
  </si>
  <si>
    <t>MWh</t>
  </si>
  <si>
    <t>Class-Specific Usage Fees</t>
  </si>
  <si>
    <t>100% RCR</t>
  </si>
  <si>
    <t>80% RCR</t>
  </si>
  <si>
    <t>120% RCR</t>
  </si>
  <si>
    <t>Common Usage Fee</t>
  </si>
  <si>
    <t>Rate</t>
  </si>
  <si>
    <t>R//C Ratio</t>
  </si>
  <si>
    <t>Table 1: Usage Fees and Revenue-to-Cost Ratios for Domestic, Export and Combined Customer Classes, Different and Common Usage Fees</t>
  </si>
  <si>
    <t>Combined</t>
  </si>
  <si>
    <t>Allocator</t>
  </si>
  <si>
    <t>O&amp;M Total</t>
  </si>
  <si>
    <t>Accumulated Amortization Total</t>
  </si>
  <si>
    <t>Total Allocation</t>
  </si>
  <si>
    <t>Check</t>
  </si>
  <si>
    <t>Information and Technology Services - Support of Market and System Operation</t>
  </si>
  <si>
    <t>Market and System Operations - VP Office</t>
  </si>
  <si>
    <t>Market and System Operations - Connections &amp; Registration</t>
  </si>
  <si>
    <t>Market and System Operations - Market Forecasts &amp; Integration</t>
  </si>
  <si>
    <t>Market and System Operations - Operational Effectiveness</t>
  </si>
  <si>
    <t>Market and System Operations - Operations Change Initiatives</t>
  </si>
  <si>
    <t>Market and System Operations - Reliability Assessments</t>
  </si>
  <si>
    <t>Market and System Operations - System Performance</t>
  </si>
  <si>
    <t>Market and System Operations - System Operations</t>
  </si>
  <si>
    <t>Revenue Requirement ($)</t>
  </si>
  <si>
    <t>Net Fixed Assets ($)</t>
  </si>
  <si>
    <t>Fixed Asset Accounts</t>
  </si>
  <si>
    <t>Expense Accounts (Revenue Requirement)</t>
  </si>
  <si>
    <t>Functionalized Accounts</t>
  </si>
  <si>
    <t>Total Expenses (Revenue Requirement)</t>
  </si>
  <si>
    <t>Revenue to Expense at Status Quo Rates</t>
  </si>
  <si>
    <t>This sheet shows what accounts are included in the COSS and how the categorized costs are allocated.</t>
  </si>
  <si>
    <t>Balance in Summary by Class and Accounts</t>
  </si>
  <si>
    <t>Summary of Allocation by Class &amp; Accounts</t>
  </si>
  <si>
    <t>Fixed Assets</t>
  </si>
  <si>
    <t>FIXED ASSETS</t>
  </si>
  <si>
    <t>Factor required to recover Revenue Requirement</t>
  </si>
  <si>
    <t>Conservation and Corporate Relations - VP Office</t>
  </si>
  <si>
    <t>Composite Allocator Detail Worksheet</t>
  </si>
  <si>
    <t>Note: The IESO does not have a Rate Base similar to rate regulated utilities.  Fixed Assets are allocated to test the assumption that TWh is a sensible allocator for Interest and Amortization.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</si>
</sst>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-;\-* #,##0_-;_-* &quot;-&quot;??_-;_-@_-"/>
    <numFmt numFmtId="170" formatCode="_(&quot;$&quot;* #,##0_);_(&quot;$&quot;* \(#,##0\);_(&quot;$&quot;* &quot;-&quot;??_);_(@_)"/>
    <numFmt numFmtId="171" formatCode="&quot;$&quot;#,##0.0000_);[Red]\(&quot;$&quot;#,##0.0000\)"/>
    <numFmt numFmtId="172" formatCode="&quot;$&quot;#,##0;\(&quot;$&quot;#,##0\)\ "/>
    <numFmt numFmtId="173" formatCode="&quot;$&quot;#,##0;[Red]&quot;$&quot;#,##0"/>
    <numFmt numFmtId="174" formatCode="_-&quot;$&quot;* #,##0_-;\-&quot;$&quot;* #,##0_-;_-&quot;$&quot;* &quot;-&quot;??_-;_-@_-"/>
    <numFmt numFmtId="175" formatCode="0.00000"/>
    <numFmt numFmtId="176" formatCode="0.0%"/>
    <numFmt numFmtId="177" formatCode="_-* #,##0.000000_-;\-* #,##0.000000_-;_-* &quot;-&quot;??_-;_-@_-"/>
    <numFmt numFmtId="178" formatCode="&quot;$&quot;#,##0.00;[Red]&quot;$&quot;#,##0.00"/>
    <numFmt numFmtId="179" formatCode="_-* #,##0.0_-;\-* #,##0.0_-;_-* &quot;-&quot;_-;_-@_-"/>
    <numFmt numFmtId="180" formatCode="_(* #,##0.0_);_(* \(#,##0.0\);_(* &quot;-&quot;??_);_(@_)"/>
    <numFmt numFmtId="181" formatCode="_-&quot;$&quot;* #,##0.0000_-;\-&quot;$&quot;* #,##0.0000_-;_-&quot;$&quot;* &quot;-&quot;??_-;_-@_-"/>
  </numFmts>
  <fonts count="43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sz val="8"/>
      <color indexed="21"/>
      <name val="Arial"/>
      <family val="2"/>
    </font>
    <font>
      <b/>
      <sz val="8"/>
      <color indexed="6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6"/>
      <color indexed="10"/>
      <name val="Cooper Black"/>
      <family val="1"/>
    </font>
    <font>
      <b/>
      <sz val="14"/>
      <name val="Arial"/>
      <family val="2"/>
    </font>
    <font>
      <b/>
      <sz val="16"/>
      <name val="Cooper Black"/>
      <family val="1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8"/>
      <color indexed="9"/>
      <name val="Arial"/>
      <family val="2"/>
    </font>
    <font>
      <b/>
      <u/>
      <sz val="12"/>
      <name val="Arial"/>
      <family val="2"/>
    </font>
    <font>
      <b/>
      <sz val="10"/>
      <color indexed="17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9" fontId="1" fillId="0" borderId="0" applyFont="0" applyFill="0" applyBorder="0" applyAlignment="0" applyProtection="0"/>
    <xf numFmtId="0" fontId="1" fillId="0" borderId="1" applyNumberFormat="0" applyFont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4" fontId="40" fillId="0" borderId="0" applyFont="0" applyFill="0" applyBorder="0" applyAlignment="0" applyProtection="0"/>
  </cellStyleXfs>
  <cellXfs count="446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6" fillId="3" borderId="0" xfId="0" applyFont="1" applyFill="1"/>
    <xf numFmtId="0" fontId="2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4" fillId="2" borderId="0" xfId="0" applyFont="1" applyFill="1" applyBorder="1"/>
    <xf numFmtId="0" fontId="6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165" fontId="5" fillId="2" borderId="0" xfId="1" applyNumberFormat="1" applyFont="1" applyFill="1" applyBorder="1"/>
    <xf numFmtId="0" fontId="5" fillId="2" borderId="0" xfId="0" applyFont="1" applyFill="1"/>
    <xf numFmtId="0" fontId="22" fillId="2" borderId="0" xfId="0" applyFont="1" applyFill="1" applyAlignment="1">
      <alignment horizontal="left" indent="5"/>
    </xf>
    <xf numFmtId="0" fontId="6" fillId="2" borderId="0" xfId="0" applyFont="1" applyFill="1" applyAlignment="1">
      <alignment horizontal="left" indent="5"/>
    </xf>
    <xf numFmtId="0" fontId="4" fillId="2" borderId="0" xfId="0" applyFont="1" applyFill="1" applyBorder="1" applyAlignment="1">
      <alignment horizontal="right" vertical="top"/>
    </xf>
    <xf numFmtId="165" fontId="5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wrapText="1"/>
    </xf>
    <xf numFmtId="0" fontId="11" fillId="2" borderId="8" xfId="0" applyFont="1" applyFill="1" applyBorder="1" applyAlignment="1" applyProtection="1">
      <alignment horizontal="left" vertical="center" wrapText="1"/>
    </xf>
    <xf numFmtId="165" fontId="11" fillId="0" borderId="13" xfId="1" applyNumberFormat="1" applyFont="1" applyFill="1" applyBorder="1" applyAlignment="1" applyProtection="1">
      <alignment horizontal="center" vertical="center" wrapText="1"/>
    </xf>
    <xf numFmtId="165" fontId="11" fillId="2" borderId="8" xfId="1" applyNumberFormat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/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/>
    <xf numFmtId="165" fontId="6" fillId="2" borderId="0" xfId="2" applyNumberFormat="1" applyFont="1" applyFill="1" applyBorder="1" applyAlignment="1" applyProtection="1">
      <alignment horizontal="right"/>
    </xf>
    <xf numFmtId="165" fontId="6" fillId="2" borderId="0" xfId="2" applyNumberFormat="1" applyFont="1" applyFill="1" applyBorder="1" applyAlignment="1" applyProtection="1"/>
    <xf numFmtId="165" fontId="6" fillId="2" borderId="0" xfId="0" applyNumberFormat="1" applyFont="1" applyFill="1" applyBorder="1" applyAlignment="1" applyProtection="1"/>
    <xf numFmtId="0" fontId="6" fillId="2" borderId="0" xfId="0" applyNumberFormat="1" applyFont="1" applyFill="1" applyAlignment="1"/>
    <xf numFmtId="0" fontId="11" fillId="0" borderId="14" xfId="0" applyFont="1" applyFill="1" applyBorder="1" applyAlignment="1" applyProtection="1">
      <alignment horizontal="center" vertical="center" wrapText="1"/>
    </xf>
    <xf numFmtId="165" fontId="11" fillId="0" borderId="7" xfId="2" applyNumberFormat="1" applyFont="1" applyFill="1" applyBorder="1" applyAlignment="1" applyProtection="1">
      <alignment horizontal="center" vertical="center" wrapText="1"/>
    </xf>
    <xf numFmtId="170" fontId="11" fillId="0" borderId="8" xfId="2" applyNumberFormat="1" applyFont="1" applyFill="1" applyBorder="1" applyAlignment="1" applyProtection="1">
      <alignment horizontal="center" vertical="center" wrapText="1"/>
    </xf>
    <xf numFmtId="165" fontId="11" fillId="0" borderId="8" xfId="2" applyNumberFormat="1" applyFont="1" applyFill="1" applyBorder="1" applyAlignment="1" applyProtection="1">
      <alignment horizontal="center" vertical="center" wrapText="1"/>
    </xf>
    <xf numFmtId="169" fontId="27" fillId="0" borderId="11" xfId="2" applyNumberFormat="1" applyFont="1" applyFill="1" applyBorder="1" applyAlignment="1" applyProtection="1">
      <alignment horizontal="center" vertical="center" wrapText="1"/>
    </xf>
    <xf numFmtId="0" fontId="27" fillId="2" borderId="18" xfId="0" applyNumberFormat="1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9" fontId="29" fillId="0" borderId="11" xfId="2" applyNumberFormat="1" applyFont="1" applyFill="1" applyBorder="1" applyAlignment="1" applyProtection="1">
      <alignment vertical="center"/>
    </xf>
    <xf numFmtId="0" fontId="6" fillId="2" borderId="0" xfId="0" applyFont="1" applyFill="1" applyAlignment="1">
      <alignment horizontal="center" vertical="center" wrapText="1"/>
    </xf>
    <xf numFmtId="0" fontId="30" fillId="2" borderId="0" xfId="0" applyFont="1" applyFill="1" applyAlignment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top" wrapText="1"/>
    </xf>
    <xf numFmtId="0" fontId="30" fillId="2" borderId="0" xfId="0" applyFont="1" applyFill="1" applyBorder="1" applyAlignment="1" applyProtection="1">
      <alignment horizontal="left" vertical="top"/>
    </xf>
    <xf numFmtId="0" fontId="30" fillId="2" borderId="0" xfId="0" applyFont="1" applyFill="1" applyBorder="1" applyAlignment="1" applyProtection="1">
      <alignment vertical="top" wrapText="1"/>
    </xf>
    <xf numFmtId="165" fontId="30" fillId="2" borderId="0" xfId="2" applyNumberFormat="1" applyFont="1" applyFill="1" applyBorder="1" applyAlignment="1">
      <alignment horizontal="right" vertical="center" wrapText="1"/>
    </xf>
    <xf numFmtId="170" fontId="30" fillId="2" borderId="0" xfId="2" applyNumberFormat="1" applyFont="1" applyFill="1" applyBorder="1" applyAlignment="1">
      <alignment wrapText="1"/>
    </xf>
    <xf numFmtId="169" fontId="29" fillId="2" borderId="0" xfId="2" applyNumberFormat="1" applyFont="1" applyFill="1" applyBorder="1" applyAlignment="1" applyProtection="1"/>
    <xf numFmtId="165" fontId="30" fillId="2" borderId="0" xfId="0" applyNumberFormat="1" applyFont="1" applyFill="1" applyBorder="1" applyAlignment="1">
      <alignment wrapText="1"/>
    </xf>
    <xf numFmtId="0" fontId="30" fillId="2" borderId="0" xfId="0" applyFont="1" applyFill="1" applyAlignment="1" applyProtection="1">
      <alignment horizontal="left"/>
    </xf>
    <xf numFmtId="0" fontId="30" fillId="2" borderId="0" xfId="0" applyFont="1" applyFill="1" applyAlignment="1" applyProtection="1"/>
    <xf numFmtId="0" fontId="11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right"/>
    </xf>
    <xf numFmtId="165" fontId="6" fillId="2" borderId="0" xfId="0" applyNumberFormat="1" applyFont="1" applyFill="1" applyAlignment="1"/>
    <xf numFmtId="165" fontId="29" fillId="2" borderId="28" xfId="2" applyNumberFormat="1" applyFont="1" applyFill="1" applyBorder="1" applyAlignment="1" applyProtection="1"/>
    <xf numFmtId="0" fontId="12" fillId="2" borderId="0" xfId="0" applyFont="1" applyFill="1" applyAlignment="1">
      <alignment horizontal="left"/>
    </xf>
    <xf numFmtId="41" fontId="6" fillId="2" borderId="0" xfId="0" applyNumberFormat="1" applyFont="1" applyFill="1" applyAlignment="1"/>
    <xf numFmtId="41" fontId="6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 indent="10"/>
    </xf>
    <xf numFmtId="0" fontId="6" fillId="2" borderId="0" xfId="0" applyFont="1" applyFill="1" applyAlignment="1">
      <alignment horizontal="left" indent="10"/>
    </xf>
    <xf numFmtId="0" fontId="24" fillId="2" borderId="0" xfId="0" applyFont="1" applyFill="1" applyAlignment="1">
      <alignment horizontal="left" indent="5"/>
    </xf>
    <xf numFmtId="0" fontId="11" fillId="2" borderId="0" xfId="0" applyFont="1" applyFill="1" applyAlignment="1">
      <alignment horizontal="center" vertical="center"/>
    </xf>
    <xf numFmtId="0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right"/>
    </xf>
    <xf numFmtId="0" fontId="11" fillId="2" borderId="8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/>
    <xf numFmtId="0" fontId="18" fillId="2" borderId="0" xfId="0" applyFont="1" applyFill="1" applyBorder="1" applyProtection="1">
      <protection locked="0"/>
    </xf>
    <xf numFmtId="0" fontId="5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 wrapText="1"/>
    </xf>
    <xf numFmtId="0" fontId="1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center" wrapText="1"/>
    </xf>
    <xf numFmtId="0" fontId="18" fillId="2" borderId="29" xfId="0" applyFont="1" applyFill="1" applyBorder="1"/>
    <xf numFmtId="0" fontId="18" fillId="2" borderId="0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horizontal="center" wrapText="1"/>
    </xf>
    <xf numFmtId="41" fontId="6" fillId="2" borderId="0" xfId="0" applyNumberFormat="1" applyFont="1" applyFill="1" applyBorder="1" applyAlignment="1">
      <alignment horizontal="center"/>
    </xf>
    <xf numFmtId="41" fontId="6" fillId="2" borderId="0" xfId="0" applyNumberFormat="1" applyFont="1" applyFill="1" applyBorder="1" applyAlignment="1">
      <alignment horizontal="left"/>
    </xf>
    <xf numFmtId="41" fontId="6" fillId="2" borderId="0" xfId="0" applyNumberFormat="1" applyFont="1" applyFill="1" applyBorder="1" applyAlignment="1">
      <alignment horizontal="left" wrapText="1"/>
    </xf>
    <xf numFmtId="41" fontId="6" fillId="2" borderId="29" xfId="0" applyNumberFormat="1" applyFont="1" applyFill="1" applyBorder="1" applyAlignment="1" applyProtection="1">
      <alignment horizontal="center"/>
      <protection locked="0"/>
    </xf>
    <xf numFmtId="41" fontId="16" fillId="2" borderId="38" xfId="0" applyNumberFormat="1" applyFont="1" applyFill="1" applyBorder="1" applyAlignment="1">
      <alignment horizontal="center" vertical="center" wrapText="1"/>
    </xf>
    <xf numFmtId="41" fontId="16" fillId="2" borderId="4" xfId="0" applyNumberFormat="1" applyFont="1" applyFill="1" applyBorder="1" applyAlignment="1">
      <alignment horizontal="center" vertical="center"/>
    </xf>
    <xf numFmtId="41" fontId="8" fillId="2" borderId="30" xfId="0" applyNumberFormat="1" applyFont="1" applyFill="1" applyBorder="1" applyAlignment="1">
      <alignment horizontal="center" wrapText="1"/>
    </xf>
    <xf numFmtId="0" fontId="11" fillId="2" borderId="39" xfId="0" applyNumberFormat="1" applyFont="1" applyFill="1" applyBorder="1" applyAlignment="1">
      <alignment horizontal="center"/>
    </xf>
    <xf numFmtId="0" fontId="11" fillId="2" borderId="38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1" fillId="2" borderId="29" xfId="0" applyFont="1" applyFill="1" applyBorder="1" applyAlignment="1" applyProtection="1">
      <alignment horizontal="center" vertical="center" wrapText="1"/>
    </xf>
    <xf numFmtId="165" fontId="4" fillId="2" borderId="0" xfId="0" applyNumberFormat="1" applyFont="1" applyFill="1" applyBorder="1"/>
    <xf numFmtId="165" fontId="5" fillId="2" borderId="0" xfId="0" applyNumberFormat="1" applyFont="1" applyFill="1" applyBorder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/>
    <xf numFmtId="165" fontId="18" fillId="2" borderId="0" xfId="0" applyNumberFormat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>
      <alignment horizontal="center"/>
    </xf>
    <xf numFmtId="0" fontId="11" fillId="2" borderId="33" xfId="0" applyNumberFormat="1" applyFont="1" applyFill="1" applyBorder="1" applyAlignment="1">
      <alignment horizontal="center"/>
    </xf>
    <xf numFmtId="0" fontId="11" fillId="2" borderId="40" xfId="0" applyNumberFormat="1" applyFont="1" applyFill="1" applyBorder="1" applyAlignment="1">
      <alignment horizontal="center"/>
    </xf>
    <xf numFmtId="165" fontId="18" fillId="2" borderId="30" xfId="0" applyNumberFormat="1" applyFont="1" applyFill="1" applyBorder="1"/>
    <xf numFmtId="0" fontId="11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left" vertical="top"/>
    </xf>
    <xf numFmtId="0" fontId="11" fillId="2" borderId="29" xfId="0" applyNumberFormat="1" applyFont="1" applyFill="1" applyBorder="1" applyAlignment="1">
      <alignment horizontal="center" vertical="center"/>
    </xf>
    <xf numFmtId="165" fontId="27" fillId="2" borderId="29" xfId="0" applyNumberFormat="1" applyFont="1" applyFill="1" applyBorder="1"/>
    <xf numFmtId="0" fontId="34" fillId="2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1" fillId="2" borderId="29" xfId="0" applyFont="1" applyFill="1" applyBorder="1"/>
    <xf numFmtId="0" fontId="11" fillId="3" borderId="29" xfId="0" applyFont="1" applyFill="1" applyBorder="1"/>
    <xf numFmtId="165" fontId="11" fillId="3" borderId="44" xfId="0" applyNumberFormat="1" applyFont="1" applyFill="1" applyBorder="1"/>
    <xf numFmtId="0" fontId="14" fillId="2" borderId="0" xfId="0" applyFont="1" applyFill="1"/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 wrapText="1"/>
    </xf>
    <xf numFmtId="165" fontId="4" fillId="2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vertical="center" wrapText="1"/>
    </xf>
    <xf numFmtId="0" fontId="18" fillId="2" borderId="0" xfId="0" applyNumberFormat="1" applyFont="1" applyFill="1" applyBorder="1" applyAlignment="1"/>
    <xf numFmtId="165" fontId="21" fillId="2" borderId="0" xfId="0" applyNumberFormat="1" applyFont="1" applyFill="1" applyBorder="1"/>
    <xf numFmtId="165" fontId="18" fillId="2" borderId="29" xfId="0" applyNumberFormat="1" applyFont="1" applyFill="1" applyBorder="1"/>
    <xf numFmtId="0" fontId="11" fillId="2" borderId="39" xfId="0" applyNumberFormat="1" applyFont="1" applyFill="1" applyBorder="1" applyAlignment="1" applyProtection="1">
      <alignment horizontal="center" vertical="center"/>
    </xf>
    <xf numFmtId="0" fontId="27" fillId="2" borderId="27" xfId="0" applyNumberFormat="1" applyFont="1" applyFill="1" applyBorder="1" applyAlignment="1">
      <alignment horizontal="center" vertical="center" wrapText="1"/>
    </xf>
    <xf numFmtId="0" fontId="18" fillId="2" borderId="39" xfId="0" applyNumberFormat="1" applyFont="1" applyFill="1" applyBorder="1" applyAlignment="1">
      <alignment horizontal="center" vertical="center"/>
    </xf>
    <xf numFmtId="0" fontId="27" fillId="2" borderId="27" xfId="0" applyNumberFormat="1" applyFont="1" applyFill="1" applyBorder="1" applyAlignment="1">
      <alignment horizontal="center" vertical="center"/>
    </xf>
    <xf numFmtId="0" fontId="18" fillId="2" borderId="26" xfId="0" applyNumberFormat="1" applyFont="1" applyFill="1" applyBorder="1" applyAlignment="1">
      <alignment horizontal="center" vertical="center"/>
    </xf>
    <xf numFmtId="0" fontId="18" fillId="2" borderId="38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left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5" fontId="18" fillId="2" borderId="0" xfId="1" applyNumberFormat="1" applyFont="1" applyFill="1" applyBorder="1" applyAlignment="1">
      <alignment horizontal="right"/>
    </xf>
    <xf numFmtId="9" fontId="5" fillId="2" borderId="0" xfId="9" applyFont="1" applyFill="1" applyBorder="1" applyAlignment="1"/>
    <xf numFmtId="0" fontId="5" fillId="2" borderId="0" xfId="0" applyFont="1" applyFill="1" applyBorder="1" applyAlignment="1"/>
    <xf numFmtId="9" fontId="5" fillId="2" borderId="0" xfId="9" applyFont="1" applyFill="1" applyBorder="1"/>
    <xf numFmtId="0" fontId="11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9" fillId="2" borderId="0" xfId="0" applyFont="1" applyFill="1" applyBorder="1" applyAlignment="1">
      <alignment horizontal="left"/>
    </xf>
    <xf numFmtId="9" fontId="19" fillId="2" borderId="0" xfId="9" applyFont="1" applyFill="1" applyBorder="1"/>
    <xf numFmtId="0" fontId="13" fillId="2" borderId="0" xfId="0" applyFont="1" applyFill="1" applyBorder="1" applyAlignment="1">
      <alignment horizontal="left"/>
    </xf>
    <xf numFmtId="9" fontId="9" fillId="2" borderId="0" xfId="9" applyFont="1" applyFill="1" applyBorder="1" applyAlignment="1">
      <alignment horizontal="left"/>
    </xf>
    <xf numFmtId="9" fontId="18" fillId="2" borderId="0" xfId="9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9" fontId="21" fillId="2" borderId="0" xfId="9" applyFont="1" applyFill="1" applyBorder="1" applyAlignment="1">
      <alignment horizontal="left" wrapText="1"/>
    </xf>
    <xf numFmtId="9" fontId="21" fillId="2" borderId="0" xfId="9" applyFont="1" applyFill="1" applyBorder="1" applyAlignment="1">
      <alignment wrapText="1"/>
    </xf>
    <xf numFmtId="10" fontId="27" fillId="2" borderId="0" xfId="9" applyNumberFormat="1" applyFont="1" applyFill="1" applyBorder="1" applyAlignment="1">
      <alignment horizontal="left"/>
    </xf>
    <xf numFmtId="10" fontId="27" fillId="2" borderId="0" xfId="9" applyNumberFormat="1" applyFont="1" applyFill="1" applyBorder="1" applyAlignment="1" applyProtection="1">
      <alignment horizontal="center"/>
    </xf>
    <xf numFmtId="9" fontId="21" fillId="2" borderId="0" xfId="9" applyFont="1" applyFill="1" applyBorder="1" applyAlignment="1">
      <alignment horizontal="left"/>
    </xf>
    <xf numFmtId="10" fontId="21" fillId="2" borderId="0" xfId="9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wrapText="1"/>
      <protection locked="0"/>
    </xf>
    <xf numFmtId="10" fontId="27" fillId="2" borderId="0" xfId="9" applyNumberFormat="1" applyFont="1" applyFill="1" applyBorder="1" applyAlignment="1" applyProtection="1">
      <alignment horizontal="left"/>
      <protection locked="0"/>
    </xf>
    <xf numFmtId="9" fontId="21" fillId="2" borderId="0" xfId="9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center" vertical="center"/>
    </xf>
    <xf numFmtId="0" fontId="27" fillId="2" borderId="0" xfId="9" applyNumberFormat="1" applyFont="1" applyFill="1" applyBorder="1" applyAlignment="1">
      <alignment horizontal="center" vertical="center"/>
    </xf>
    <xf numFmtId="0" fontId="31" fillId="2" borderId="0" xfId="0" applyFont="1" applyFill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/>
    </xf>
    <xf numFmtId="0" fontId="11" fillId="3" borderId="30" xfId="0" applyFont="1" applyFill="1" applyBorder="1" applyAlignment="1" applyProtection="1">
      <alignment horizontal="left" vertical="center" wrapText="1"/>
    </xf>
    <xf numFmtId="0" fontId="11" fillId="2" borderId="3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3" borderId="33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  <xf numFmtId="0" fontId="11" fillId="2" borderId="3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18" fillId="2" borderId="0" xfId="1" applyNumberFormat="1" applyFont="1" applyFill="1" applyBorder="1" applyAlignment="1">
      <alignment horizontal="left"/>
    </xf>
    <xf numFmtId="165" fontId="18" fillId="4" borderId="2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 vertical="center" wrapText="1"/>
    </xf>
    <xf numFmtId="41" fontId="16" fillId="2" borderId="0" xfId="0" applyNumberFormat="1" applyFont="1" applyFill="1" applyAlignment="1">
      <alignment horizontal="left" vertical="center" wrapText="1"/>
    </xf>
    <xf numFmtId="41" fontId="20" fillId="0" borderId="8" xfId="0" applyNumberFormat="1" applyFont="1" applyFill="1" applyBorder="1" applyAlignment="1">
      <alignment horizontal="center" vertical="center" wrapText="1"/>
    </xf>
    <xf numFmtId="0" fontId="1" fillId="7" borderId="8" xfId="0" applyNumberFormat="1" applyFont="1" applyFill="1" applyBorder="1" applyAlignment="1">
      <alignment horizontal="left"/>
    </xf>
    <xf numFmtId="0" fontId="1" fillId="0" borderId="8" xfId="0" applyNumberFormat="1" applyFont="1" applyBorder="1" applyAlignment="1">
      <alignment horizontal="left" wrapText="1"/>
    </xf>
    <xf numFmtId="41" fontId="18" fillId="2" borderId="0" xfId="0" applyNumberFormat="1" applyFont="1" applyFill="1" applyAlignment="1">
      <alignment horizontal="left"/>
    </xf>
    <xf numFmtId="41" fontId="21" fillId="7" borderId="8" xfId="0" applyNumberFormat="1" applyFont="1" applyFill="1" applyBorder="1" applyAlignment="1">
      <alignment horizontal="right"/>
    </xf>
    <xf numFmtId="41" fontId="18" fillId="7" borderId="8" xfId="0" applyNumberFormat="1" applyFont="1" applyFill="1" applyBorder="1" applyAlignment="1" applyProtection="1">
      <alignment horizontal="right"/>
      <protection locked="0"/>
    </xf>
    <xf numFmtId="165" fontId="18" fillId="2" borderId="0" xfId="0" applyNumberFormat="1" applyFont="1" applyFill="1" applyAlignment="1">
      <alignment horizontal="right"/>
    </xf>
    <xf numFmtId="165" fontId="21" fillId="0" borderId="8" xfId="0" applyNumberFormat="1" applyFont="1" applyFill="1" applyBorder="1" applyAlignment="1">
      <alignment horizontal="right"/>
    </xf>
    <xf numFmtId="0" fontId="18" fillId="0" borderId="8" xfId="0" applyNumberFormat="1" applyFont="1" applyBorder="1" applyAlignment="1">
      <alignment horizontal="left" wrapText="1"/>
    </xf>
    <xf numFmtId="165" fontId="18" fillId="0" borderId="8" xfId="0" applyNumberFormat="1" applyFont="1" applyFill="1" applyBorder="1" applyAlignment="1" applyProtection="1">
      <alignment horizontal="right"/>
      <protection locked="0"/>
    </xf>
    <xf numFmtId="0" fontId="6" fillId="3" borderId="0" xfId="0" applyFont="1" applyFill="1" applyBorder="1"/>
    <xf numFmtId="10" fontId="27" fillId="2" borderId="0" xfId="9" applyNumberFormat="1" applyFont="1" applyFill="1" applyBorder="1" applyAlignment="1" applyProtection="1">
      <alignment horizontal="left"/>
    </xf>
    <xf numFmtId="10" fontId="27" fillId="2" borderId="0" xfId="9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Border="1" applyAlignment="1"/>
    <xf numFmtId="172" fontId="37" fillId="2" borderId="0" xfId="0" applyNumberFormat="1" applyFont="1" applyFill="1" applyBorder="1" applyAlignment="1"/>
    <xf numFmtId="0" fontId="18" fillId="2" borderId="0" xfId="0" applyFont="1" applyFill="1" applyBorder="1" applyAlignment="1" applyProtection="1"/>
    <xf numFmtId="0" fontId="6" fillId="9" borderId="0" xfId="0" applyFont="1" applyFill="1"/>
    <xf numFmtId="0" fontId="5" fillId="9" borderId="0" xfId="0" applyFont="1" applyFill="1" applyBorder="1"/>
    <xf numFmtId="170" fontId="5" fillId="8" borderId="8" xfId="2" applyNumberFormat="1" applyFont="1" applyFill="1" applyBorder="1" applyAlignment="1" applyProtection="1">
      <protection locked="0"/>
    </xf>
    <xf numFmtId="171" fontId="18" fillId="8" borderId="8" xfId="0" applyNumberFormat="1" applyFont="1" applyFill="1" applyBorder="1" applyAlignment="1" applyProtection="1">
      <alignment horizontal="right"/>
      <protection locked="0"/>
    </xf>
    <xf numFmtId="41" fontId="21" fillId="10" borderId="8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wrapText="1"/>
    </xf>
    <xf numFmtId="165" fontId="18" fillId="11" borderId="29" xfId="0" applyNumberFormat="1" applyFont="1" applyFill="1" applyBorder="1" applyAlignment="1">
      <alignment horizontal="right"/>
    </xf>
    <xf numFmtId="0" fontId="1" fillId="4" borderId="14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/>
    <xf numFmtId="41" fontId="11" fillId="2" borderId="2" xfId="0" applyNumberFormat="1" applyFont="1" applyFill="1" applyBorder="1" applyAlignment="1">
      <alignment horizontal="left"/>
    </xf>
    <xf numFmtId="0" fontId="5" fillId="2" borderId="0" xfId="14" applyFont="1" applyFill="1"/>
    <xf numFmtId="0" fontId="22" fillId="2" borderId="0" xfId="14" applyFont="1" applyFill="1" applyAlignment="1">
      <alignment horizontal="left" indent="10"/>
    </xf>
    <xf numFmtId="0" fontId="5" fillId="2" borderId="0" xfId="14" applyFont="1" applyFill="1" applyAlignment="1">
      <alignment horizontal="left" indent="10"/>
    </xf>
    <xf numFmtId="0" fontId="5" fillId="2" borderId="0" xfId="14" applyFont="1" applyFill="1" applyAlignment="1">
      <alignment horizontal="center"/>
    </xf>
    <xf numFmtId="0" fontId="24" fillId="2" borderId="0" xfId="14" applyFont="1" applyFill="1" applyAlignment="1">
      <alignment horizontal="left" indent="5"/>
    </xf>
    <xf numFmtId="0" fontId="5" fillId="3" borderId="0" xfId="14" applyFont="1" applyFill="1"/>
    <xf numFmtId="0" fontId="5" fillId="3" borderId="0" xfId="14" applyFont="1" applyFill="1" applyAlignment="1">
      <alignment horizontal="center"/>
    </xf>
    <xf numFmtId="0" fontId="5" fillId="2" borderId="0" xfId="14" applyFont="1" applyFill="1" applyAlignment="1">
      <alignment horizontal="left" wrapText="1"/>
    </xf>
    <xf numFmtId="0" fontId="8" fillId="2" borderId="0" xfId="14" applyFont="1" applyFill="1"/>
    <xf numFmtId="165" fontId="5" fillId="2" borderId="0" xfId="14" applyNumberFormat="1" applyFont="1" applyFill="1"/>
    <xf numFmtId="0" fontId="5" fillId="2" borderId="0" xfId="14" applyFont="1" applyFill="1" applyAlignment="1">
      <alignment horizontal="left"/>
    </xf>
    <xf numFmtId="0" fontId="1" fillId="2" borderId="0" xfId="14" applyFont="1" applyFill="1"/>
    <xf numFmtId="0" fontId="32" fillId="2" borderId="0" xfId="14" applyFont="1" applyFill="1"/>
    <xf numFmtId="0" fontId="17" fillId="2" borderId="0" xfId="14" applyFont="1" applyFill="1" applyAlignment="1">
      <alignment horizontal="left"/>
    </xf>
    <xf numFmtId="0" fontId="17" fillId="2" borderId="0" xfId="14" applyFont="1" applyFill="1" applyAlignment="1">
      <alignment horizontal="left" wrapText="1"/>
    </xf>
    <xf numFmtId="0" fontId="17" fillId="2" borderId="0" xfId="14" applyFont="1" applyFill="1"/>
    <xf numFmtId="0" fontId="38" fillId="2" borderId="0" xfId="14" applyFont="1" applyFill="1"/>
    <xf numFmtId="0" fontId="1" fillId="2" borderId="0" xfId="14" applyNumberFormat="1" applyFont="1" applyFill="1" applyAlignment="1">
      <alignment horizontal="left"/>
    </xf>
    <xf numFmtId="0" fontId="1" fillId="2" borderId="0" xfId="14" applyNumberFormat="1" applyFont="1" applyFill="1" applyAlignment="1">
      <alignment horizontal="left" wrapText="1"/>
    </xf>
    <xf numFmtId="0" fontId="11" fillId="2" borderId="14" xfId="14" applyNumberFormat="1" applyFont="1" applyFill="1" applyBorder="1" applyAlignment="1">
      <alignment horizontal="center"/>
    </xf>
    <xf numFmtId="0" fontId="1" fillId="2" borderId="0" xfId="14" applyNumberFormat="1" applyFont="1" applyFill="1"/>
    <xf numFmtId="0" fontId="39" fillId="2" borderId="0" xfId="14" applyNumberFormat="1" applyFont="1" applyFill="1"/>
    <xf numFmtId="0" fontId="39" fillId="2" borderId="0" xfId="14" applyFont="1" applyFill="1"/>
    <xf numFmtId="165" fontId="1" fillId="2" borderId="0" xfId="14" applyNumberFormat="1" applyFont="1" applyFill="1"/>
    <xf numFmtId="165" fontId="21" fillId="2" borderId="0" xfId="14" applyNumberFormat="1" applyFont="1" applyFill="1"/>
    <xf numFmtId="0" fontId="25" fillId="2" borderId="0" xfId="14" applyFont="1" applyFill="1" applyAlignment="1">
      <alignment horizontal="left" vertical="top"/>
    </xf>
    <xf numFmtId="0" fontId="39" fillId="2" borderId="0" xfId="14" applyFont="1" applyFill="1" applyBorder="1" applyAlignment="1">
      <alignment horizontal="left"/>
    </xf>
    <xf numFmtId="0" fontId="1" fillId="2" borderId="0" xfId="14" applyFont="1" applyFill="1" applyAlignment="1">
      <alignment horizontal="left"/>
    </xf>
    <xf numFmtId="0" fontId="1" fillId="2" borderId="0" xfId="14" applyFont="1" applyFill="1" applyAlignment="1">
      <alignment horizontal="left" wrapText="1"/>
    </xf>
    <xf numFmtId="0" fontId="20" fillId="2" borderId="0" xfId="0" applyNumberFormat="1" applyFont="1" applyFill="1" applyAlignment="1" applyProtection="1">
      <alignment vertical="center" wrapText="1"/>
    </xf>
    <xf numFmtId="42" fontId="35" fillId="2" borderId="0" xfId="0" applyNumberFormat="1" applyFont="1" applyFill="1" applyBorder="1" applyAlignment="1">
      <alignment vertical="center"/>
    </xf>
    <xf numFmtId="0" fontId="18" fillId="4" borderId="33" xfId="0" applyFont="1" applyFill="1" applyBorder="1" applyAlignment="1" applyProtection="1">
      <alignment horizontal="left" vertical="center" wrapText="1"/>
    </xf>
    <xf numFmtId="0" fontId="18" fillId="4" borderId="30" xfId="0" applyFont="1" applyFill="1" applyBorder="1" applyAlignment="1" applyProtection="1">
      <alignment horizontal="left" vertical="center" wrapText="1"/>
    </xf>
    <xf numFmtId="0" fontId="18" fillId="4" borderId="42" xfId="0" applyFont="1" applyFill="1" applyBorder="1" applyAlignment="1" applyProtection="1">
      <alignment horizontal="left" vertical="center" wrapText="1"/>
    </xf>
    <xf numFmtId="0" fontId="18" fillId="4" borderId="33" xfId="0" applyFont="1" applyFill="1" applyBorder="1" applyAlignment="1" applyProtection="1">
      <alignment horizontal="left" vertical="top"/>
    </xf>
    <xf numFmtId="0" fontId="18" fillId="4" borderId="3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left" vertical="top"/>
    </xf>
    <xf numFmtId="0" fontId="1" fillId="2" borderId="29" xfId="0" applyFont="1" applyFill="1" applyBorder="1"/>
    <xf numFmtId="0" fontId="11" fillId="2" borderId="30" xfId="0" applyNumberFormat="1" applyFont="1" applyFill="1" applyBorder="1" applyAlignment="1">
      <alignment horizontal="center" vertical="center" wrapText="1"/>
    </xf>
    <xf numFmtId="173" fontId="18" fillId="2" borderId="30" xfId="0" applyNumberFormat="1" applyFont="1" applyFill="1" applyBorder="1"/>
    <xf numFmtId="174" fontId="27" fillId="2" borderId="29" xfId="15" applyNumberFormat="1" applyFont="1" applyFill="1" applyBorder="1"/>
    <xf numFmtId="0" fontId="1" fillId="12" borderId="29" xfId="0" applyFont="1" applyFill="1" applyBorder="1"/>
    <xf numFmtId="174" fontId="27" fillId="12" borderId="42" xfId="15" applyNumberFormat="1" applyFont="1" applyFill="1" applyBorder="1"/>
    <xf numFmtId="166" fontId="18" fillId="12" borderId="42" xfId="0" applyNumberFormat="1" applyFont="1" applyFill="1" applyBorder="1"/>
    <xf numFmtId="169" fontId="27" fillId="2" borderId="42" xfId="1" applyNumberFormat="1" applyFont="1" applyFill="1" applyBorder="1"/>
    <xf numFmtId="169" fontId="18" fillId="2" borderId="42" xfId="1" applyNumberFormat="1" applyFont="1" applyFill="1" applyBorder="1"/>
    <xf numFmtId="41" fontId="16" fillId="2" borderId="15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left" wrapText="1"/>
    </xf>
    <xf numFmtId="0" fontId="11" fillId="2" borderId="2" xfId="0" applyFont="1" applyFill="1" applyBorder="1" applyAlignment="1" applyProtection="1">
      <alignment horizontal="center" vertical="top" wrapText="1"/>
    </xf>
    <xf numFmtId="0" fontId="11" fillId="2" borderId="34" xfId="0" applyFont="1" applyFill="1" applyBorder="1" applyAlignment="1" applyProtection="1">
      <alignment horizontal="center" vertical="top" wrapText="1"/>
    </xf>
    <xf numFmtId="165" fontId="21" fillId="2" borderId="35" xfId="0" applyNumberFormat="1" applyFont="1" applyFill="1" applyBorder="1"/>
    <xf numFmtId="165" fontId="18" fillId="2" borderId="35" xfId="0" applyNumberFormat="1" applyFont="1" applyFill="1" applyBorder="1"/>
    <xf numFmtId="165" fontId="18" fillId="2" borderId="36" xfId="0" applyNumberFormat="1" applyFont="1" applyFill="1" applyBorder="1"/>
    <xf numFmtId="0" fontId="11" fillId="2" borderId="2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9" fontId="27" fillId="2" borderId="6" xfId="9" applyFont="1" applyFill="1" applyBorder="1" applyAlignment="1">
      <alignment horizontal="center" vertical="center"/>
    </xf>
    <xf numFmtId="41" fontId="11" fillId="2" borderId="45" xfId="0" applyNumberFormat="1" applyFont="1" applyFill="1" applyBorder="1" applyAlignment="1">
      <alignment horizontal="center" vertical="center" wrapText="1"/>
    </xf>
    <xf numFmtId="41" fontId="11" fillId="2" borderId="5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9" fontId="5" fillId="2" borderId="29" xfId="9" applyFont="1" applyFill="1" applyBorder="1"/>
    <xf numFmtId="9" fontId="21" fillId="2" borderId="29" xfId="9" applyFont="1" applyFill="1" applyBorder="1" applyAlignment="1">
      <alignment wrapText="1"/>
    </xf>
    <xf numFmtId="0" fontId="18" fillId="2" borderId="2" xfId="0" applyFont="1" applyFill="1" applyBorder="1" applyAlignment="1">
      <alignment horizontal="left" wrapText="1"/>
    </xf>
    <xf numFmtId="10" fontId="27" fillId="2" borderId="29" xfId="9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>
      <alignment horizontal="left" wrapText="1"/>
    </xf>
    <xf numFmtId="10" fontId="21" fillId="2" borderId="29" xfId="9" applyNumberFormat="1" applyFont="1" applyFill="1" applyBorder="1" applyAlignment="1" applyProtection="1">
      <alignment horizontal="center"/>
    </xf>
    <xf numFmtId="0" fontId="18" fillId="4" borderId="2" xfId="0" applyFont="1" applyFill="1" applyBorder="1" applyAlignment="1">
      <alignment horizontal="left" wrapText="1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8" fillId="2" borderId="2" xfId="0" applyFont="1" applyFill="1" applyBorder="1" applyAlignment="1" applyProtection="1">
      <alignment horizontal="left" wrapText="1"/>
      <protection locked="0"/>
    </xf>
    <xf numFmtId="10" fontId="27" fillId="2" borderId="29" xfId="9" applyNumberFormat="1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left" wrapText="1"/>
    </xf>
    <xf numFmtId="165" fontId="27" fillId="0" borderId="43" xfId="0" applyNumberFormat="1" applyFont="1" applyFill="1" applyBorder="1"/>
    <xf numFmtId="165" fontId="11" fillId="0" borderId="44" xfId="0" applyNumberFormat="1" applyFont="1" applyFill="1" applyBorder="1"/>
    <xf numFmtId="0" fontId="11" fillId="2" borderId="29" xfId="0" applyFont="1" applyFill="1" applyBorder="1" applyAlignment="1" applyProtection="1">
      <alignment horizontal="left" vertical="center" wrapText="1"/>
    </xf>
    <xf numFmtId="0" fontId="1" fillId="2" borderId="29" xfId="0" applyFont="1" applyFill="1" applyBorder="1" applyAlignment="1" applyProtection="1">
      <alignment horizontal="left" vertical="center" wrapText="1"/>
    </xf>
    <xf numFmtId="175" fontId="11" fillId="2" borderId="29" xfId="0" applyNumberFormat="1" applyFont="1" applyFill="1" applyBorder="1" applyAlignment="1">
      <alignment horizontal="right" vertical="center"/>
    </xf>
    <xf numFmtId="10" fontId="27" fillId="2" borderId="29" xfId="9" applyNumberFormat="1" applyFont="1" applyFill="1" applyBorder="1"/>
    <xf numFmtId="10" fontId="11" fillId="2" borderId="30" xfId="9" applyNumberFormat="1" applyFont="1" applyFill="1" applyBorder="1"/>
    <xf numFmtId="177" fontId="18" fillId="2" borderId="42" xfId="1" applyNumberFormat="1" applyFont="1" applyFill="1" applyBorder="1"/>
    <xf numFmtId="169" fontId="20" fillId="2" borderId="29" xfId="1" applyNumberFormat="1" applyFont="1" applyFill="1" applyBorder="1"/>
    <xf numFmtId="169" fontId="11" fillId="2" borderId="30" xfId="1" applyNumberFormat="1" applyFont="1" applyFill="1" applyBorder="1"/>
    <xf numFmtId="176" fontId="11" fillId="2" borderId="30" xfId="9" applyNumberFormat="1" applyFont="1" applyFill="1" applyBorder="1"/>
    <xf numFmtId="0" fontId="11" fillId="3" borderId="33" xfId="0" applyFont="1" applyFill="1" applyBorder="1" applyAlignment="1" applyProtection="1">
      <alignment horizontal="left" vertical="center" wrapText="1"/>
    </xf>
    <xf numFmtId="171" fontId="18" fillId="0" borderId="8" xfId="0" applyNumberFormat="1" applyFont="1" applyFill="1" applyBorder="1" applyAlignment="1" applyProtection="1">
      <alignment horizontal="right"/>
      <protection locked="0"/>
    </xf>
    <xf numFmtId="41" fontId="18" fillId="0" borderId="8" xfId="0" applyNumberFormat="1" applyFont="1" applyFill="1" applyBorder="1" applyAlignment="1" applyProtection="1">
      <alignment horizontal="right"/>
      <protection locked="0"/>
    </xf>
    <xf numFmtId="41" fontId="1" fillId="2" borderId="0" xfId="0" applyNumberFormat="1" applyFont="1" applyFill="1" applyBorder="1" applyAlignment="1">
      <alignment horizontal="left" wrapText="1"/>
    </xf>
    <xf numFmtId="41" fontId="8" fillId="2" borderId="33" xfId="0" applyNumberFormat="1" applyFont="1" applyFill="1" applyBorder="1" applyAlignment="1">
      <alignment horizontal="center"/>
    </xf>
    <xf numFmtId="41" fontId="6" fillId="2" borderId="32" xfId="0" applyNumberFormat="1" applyFont="1" applyFill="1" applyBorder="1" applyAlignment="1" applyProtection="1">
      <alignment horizontal="center"/>
      <protection locked="0"/>
    </xf>
    <xf numFmtId="41" fontId="6" fillId="2" borderId="3" xfId="0" applyNumberFormat="1" applyFont="1" applyFill="1" applyBorder="1" applyAlignment="1" applyProtection="1">
      <alignment horizontal="center"/>
      <protection locked="0"/>
    </xf>
    <xf numFmtId="41" fontId="6" fillId="2" borderId="0" xfId="0" applyNumberFormat="1" applyFont="1" applyFill="1" applyBorder="1" applyAlignment="1" applyProtection="1">
      <alignment horizontal="center" wrapText="1"/>
      <protection locked="0"/>
    </xf>
    <xf numFmtId="179" fontId="29" fillId="2" borderId="55" xfId="0" applyNumberFormat="1" applyFont="1" applyFill="1" applyBorder="1" applyAlignment="1">
      <alignment horizontal="center" wrapText="1"/>
    </xf>
    <xf numFmtId="179" fontId="30" fillId="8" borderId="13" xfId="0" applyNumberFormat="1" applyFont="1" applyFill="1" applyBorder="1" applyAlignment="1" applyProtection="1">
      <alignment horizontal="center" wrapText="1"/>
      <protection locked="0"/>
    </xf>
    <xf numFmtId="179" fontId="30" fillId="8" borderId="11" xfId="0" applyNumberFormat="1" applyFont="1" applyFill="1" applyBorder="1" applyAlignment="1" applyProtection="1">
      <alignment horizontal="center"/>
      <protection locked="0"/>
    </xf>
    <xf numFmtId="179" fontId="1" fillId="8" borderId="54" xfId="0" applyNumberFormat="1" applyFont="1" applyFill="1" applyBorder="1" applyAlignment="1" applyProtection="1">
      <alignment horizontal="center" wrapText="1"/>
      <protection locked="0"/>
    </xf>
    <xf numFmtId="179" fontId="1" fillId="8" borderId="51" xfId="0" applyNumberFormat="1" applyFont="1" applyFill="1" applyBorder="1" applyAlignment="1" applyProtection="1">
      <alignment horizontal="center" wrapText="1"/>
      <protection locked="0"/>
    </xf>
    <xf numFmtId="179" fontId="6" fillId="2" borderId="0" xfId="0" applyNumberFormat="1" applyFont="1" applyFill="1" applyBorder="1" applyAlignment="1">
      <alignment horizontal="center"/>
    </xf>
    <xf numFmtId="9" fontId="27" fillId="2" borderId="29" xfId="9" applyFont="1" applyFill="1" applyBorder="1" applyAlignment="1">
      <alignment horizontal="center"/>
    </xf>
    <xf numFmtId="0" fontId="18" fillId="2" borderId="34" xfId="0" applyFont="1" applyFill="1" applyBorder="1" applyAlignment="1">
      <alignment horizontal="left" wrapText="1"/>
    </xf>
    <xf numFmtId="0" fontId="11" fillId="2" borderId="35" xfId="0" applyFont="1" applyFill="1" applyBorder="1" applyAlignment="1">
      <alignment horizontal="left"/>
    </xf>
    <xf numFmtId="10" fontId="27" fillId="2" borderId="35" xfId="9" applyNumberFormat="1" applyFont="1" applyFill="1" applyBorder="1" applyAlignment="1" applyProtection="1">
      <alignment horizontal="left"/>
      <protection locked="0"/>
    </xf>
    <xf numFmtId="10" fontId="20" fillId="2" borderId="0" xfId="9" applyNumberFormat="1" applyFont="1" applyFill="1" applyBorder="1" applyAlignment="1" applyProtection="1">
      <alignment horizontal="left"/>
      <protection locked="0"/>
    </xf>
    <xf numFmtId="9" fontId="20" fillId="2" borderId="0" xfId="9" applyFont="1" applyFill="1" applyBorder="1" applyAlignment="1">
      <alignment horizontal="center"/>
    </xf>
    <xf numFmtId="9" fontId="20" fillId="2" borderId="29" xfId="9" applyFont="1" applyFill="1" applyBorder="1" applyAlignment="1">
      <alignment horizontal="center"/>
    </xf>
    <xf numFmtId="10" fontId="20" fillId="2" borderId="0" xfId="9" applyNumberFormat="1" applyFont="1" applyFill="1" applyBorder="1" applyAlignment="1">
      <alignment horizontal="center"/>
    </xf>
    <xf numFmtId="10" fontId="20" fillId="2" borderId="29" xfId="9" applyNumberFormat="1" applyFont="1" applyFill="1" applyBorder="1" applyAlignment="1">
      <alignment horizontal="center"/>
    </xf>
    <xf numFmtId="10" fontId="27" fillId="2" borderId="0" xfId="9" applyNumberFormat="1" applyFont="1" applyFill="1" applyBorder="1" applyAlignment="1">
      <alignment horizontal="center"/>
    </xf>
    <xf numFmtId="10" fontId="27" fillId="2" borderId="29" xfId="9" applyNumberFormat="1" applyFont="1" applyFill="1" applyBorder="1" applyAlignment="1">
      <alignment horizontal="center"/>
    </xf>
    <xf numFmtId="10" fontId="27" fillId="2" borderId="35" xfId="9" applyNumberFormat="1" applyFont="1" applyFill="1" applyBorder="1" applyAlignment="1">
      <alignment horizontal="center"/>
    </xf>
    <xf numFmtId="10" fontId="27" fillId="2" borderId="36" xfId="9" applyNumberFormat="1" applyFont="1" applyFill="1" applyBorder="1" applyAlignment="1">
      <alignment horizontal="center"/>
    </xf>
    <xf numFmtId="180" fontId="0" fillId="8" borderId="0" xfId="1" applyNumberFormat="1" applyFont="1" applyFill="1"/>
    <xf numFmtId="0" fontId="1" fillId="2" borderId="8" xfId="0" applyFont="1" applyFill="1" applyBorder="1"/>
    <xf numFmtId="0" fontId="1" fillId="13" borderId="8" xfId="0" applyFont="1" applyFill="1" applyBorder="1"/>
    <xf numFmtId="165" fontId="1" fillId="2" borderId="8" xfId="0" applyNumberFormat="1" applyFont="1" applyFill="1" applyBorder="1"/>
    <xf numFmtId="0" fontId="1" fillId="13" borderId="8" xfId="0" applyFont="1" applyFill="1" applyBorder="1" applyAlignment="1">
      <alignment horizontal="center"/>
    </xf>
    <xf numFmtId="169" fontId="1" fillId="2" borderId="8" xfId="0" applyNumberFormat="1" applyFont="1" applyFill="1" applyBorder="1"/>
    <xf numFmtId="181" fontId="1" fillId="2" borderId="8" xfId="15" applyNumberFormat="1" applyFont="1" applyFill="1" applyBorder="1"/>
    <xf numFmtId="10" fontId="1" fillId="2" borderId="8" xfId="9" applyNumberFormat="1" applyFont="1" applyFill="1" applyBorder="1"/>
    <xf numFmtId="0" fontId="1" fillId="2" borderId="21" xfId="0" applyFont="1" applyFill="1" applyBorder="1" applyAlignment="1" applyProtection="1">
      <alignment horizontal="left" vertical="center" wrapText="1"/>
    </xf>
    <xf numFmtId="0" fontId="27" fillId="2" borderId="3" xfId="0" applyFont="1" applyFill="1" applyBorder="1" applyAlignment="1" applyProtection="1">
      <alignment horizontal="center" wrapText="1"/>
    </xf>
    <xf numFmtId="165" fontId="27" fillId="2" borderId="3" xfId="0" applyNumberFormat="1" applyFont="1" applyFill="1" applyBorder="1"/>
    <xf numFmtId="165" fontId="27" fillId="2" borderId="32" xfId="0" applyNumberFormat="1" applyFont="1" applyFill="1" applyBorder="1"/>
    <xf numFmtId="0" fontId="1" fillId="2" borderId="34" xfId="0" applyFont="1" applyFill="1" applyBorder="1" applyAlignment="1" applyProtection="1">
      <alignment horizontal="left" vertical="center" wrapText="1"/>
    </xf>
    <xf numFmtId="0" fontId="11" fillId="2" borderId="35" xfId="0" applyFont="1" applyFill="1" applyBorder="1" applyAlignment="1" applyProtection="1">
      <alignment horizontal="center" wrapText="1"/>
    </xf>
    <xf numFmtId="165" fontId="11" fillId="2" borderId="35" xfId="0" applyNumberFormat="1" applyFont="1" applyFill="1" applyBorder="1"/>
    <xf numFmtId="165" fontId="27" fillId="2" borderId="35" xfId="0" applyNumberFormat="1" applyFont="1" applyFill="1" applyBorder="1"/>
    <xf numFmtId="165" fontId="11" fillId="2" borderId="36" xfId="0" applyNumberFormat="1" applyFont="1" applyFill="1" applyBorder="1"/>
    <xf numFmtId="0" fontId="1" fillId="2" borderId="56" xfId="14" applyFont="1" applyFill="1" applyBorder="1" applyAlignment="1">
      <alignment horizontal="left" wrapText="1"/>
    </xf>
    <xf numFmtId="165" fontId="21" fillId="2" borderId="56" xfId="14" applyNumberFormat="1" applyFont="1" applyFill="1" applyBorder="1" applyAlignment="1">
      <alignment vertical="center"/>
    </xf>
    <xf numFmtId="165" fontId="1" fillId="2" borderId="57" xfId="14" applyNumberFormat="1" applyFont="1" applyFill="1" applyBorder="1" applyAlignment="1">
      <alignment vertical="center"/>
    </xf>
    <xf numFmtId="165" fontId="1" fillId="2" borderId="58" xfId="14" applyNumberFormat="1" applyFont="1" applyFill="1" applyBorder="1" applyAlignment="1">
      <alignment vertical="center"/>
    </xf>
    <xf numFmtId="0" fontId="1" fillId="2" borderId="59" xfId="14" applyFont="1" applyFill="1" applyBorder="1" applyAlignment="1">
      <alignment horizontal="left" wrapText="1"/>
    </xf>
    <xf numFmtId="165" fontId="21" fillId="2" borderId="59" xfId="14" applyNumberFormat="1" applyFont="1" applyFill="1" applyBorder="1" applyAlignment="1">
      <alignment vertical="center"/>
    </xf>
    <xf numFmtId="165" fontId="1" fillId="2" borderId="60" xfId="14" applyNumberFormat="1" applyFont="1" applyFill="1" applyBorder="1" applyAlignment="1">
      <alignment vertical="center"/>
    </xf>
    <xf numFmtId="165" fontId="1" fillId="2" borderId="61" xfId="14" applyNumberFormat="1" applyFont="1" applyFill="1" applyBorder="1" applyAlignment="1">
      <alignment vertical="center"/>
    </xf>
    <xf numFmtId="0" fontId="1" fillId="2" borderId="62" xfId="14" applyFont="1" applyFill="1" applyBorder="1" applyAlignment="1">
      <alignment horizontal="left" wrapText="1"/>
    </xf>
    <xf numFmtId="165" fontId="21" fillId="2" borderId="62" xfId="14" applyNumberFormat="1" applyFont="1" applyFill="1" applyBorder="1" applyAlignment="1">
      <alignment vertical="center"/>
    </xf>
    <xf numFmtId="165" fontId="1" fillId="2" borderId="63" xfId="14" applyNumberFormat="1" applyFont="1" applyFill="1" applyBorder="1" applyAlignment="1">
      <alignment vertical="center"/>
    </xf>
    <xf numFmtId="165" fontId="1" fillId="2" borderId="64" xfId="14" applyNumberFormat="1" applyFont="1" applyFill="1" applyBorder="1" applyAlignment="1">
      <alignment vertical="center"/>
    </xf>
    <xf numFmtId="0" fontId="1" fillId="2" borderId="15" xfId="14" applyFont="1" applyFill="1" applyBorder="1" applyAlignment="1">
      <alignment horizontal="left" wrapText="1"/>
    </xf>
    <xf numFmtId="165" fontId="21" fillId="2" borderId="16" xfId="14" applyNumberFormat="1" applyFont="1" applyFill="1" applyBorder="1"/>
    <xf numFmtId="165" fontId="1" fillId="2" borderId="16" xfId="14" applyNumberFormat="1" applyFont="1" applyFill="1" applyBorder="1"/>
    <xf numFmtId="165" fontId="1" fillId="2" borderId="17" xfId="14" applyNumberFormat="1" applyFont="1" applyFill="1" applyBorder="1"/>
    <xf numFmtId="165" fontId="1" fillId="2" borderId="16" xfId="14" applyNumberFormat="1" applyFont="1" applyFill="1" applyBorder="1" applyAlignment="1">
      <alignment horizontal="right"/>
    </xf>
    <xf numFmtId="165" fontId="1" fillId="2" borderId="17" xfId="14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165" fontId="1" fillId="0" borderId="11" xfId="1" applyNumberFormat="1" applyFont="1" applyFill="1" applyBorder="1" applyAlignment="1" applyProtection="1">
      <alignment horizontal="right" vertical="center"/>
      <protection locked="0"/>
    </xf>
    <xf numFmtId="165" fontId="1" fillId="2" borderId="0" xfId="0" applyNumberFormat="1" applyFont="1" applyFill="1" applyBorder="1" applyAlignment="1">
      <alignment horizontal="left"/>
    </xf>
    <xf numFmtId="165" fontId="1" fillId="0" borderId="12" xfId="1" applyNumberFormat="1" applyFont="1" applyFill="1" applyBorder="1" applyAlignment="1" applyProtection="1">
      <alignment horizontal="right" vertical="center"/>
      <protection locked="0"/>
    </xf>
    <xf numFmtId="165" fontId="1" fillId="2" borderId="0" xfId="1" applyNumberFormat="1" applyFont="1" applyFill="1" applyBorder="1" applyAlignment="1">
      <alignment horizontal="left" wrapText="1"/>
    </xf>
    <xf numFmtId="165" fontId="1" fillId="2" borderId="0" xfId="1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Border="1" applyAlignment="1">
      <alignment horizont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165" fontId="1" fillId="8" borderId="8" xfId="1" applyNumberFormat="1" applyFont="1" applyFill="1" applyBorder="1" applyAlignment="1" applyProtection="1">
      <alignment horizontal="right"/>
      <protection locked="0"/>
    </xf>
    <xf numFmtId="165" fontId="21" fillId="0" borderId="8" xfId="1" applyNumberFormat="1" applyFont="1" applyFill="1" applyBorder="1" applyAlignment="1" applyProtection="1">
      <alignment horizontal="right"/>
    </xf>
    <xf numFmtId="0" fontId="1" fillId="2" borderId="0" xfId="0" applyFont="1" applyFill="1"/>
    <xf numFmtId="0" fontId="1" fillId="2" borderId="0" xfId="0" applyFont="1" applyFill="1" applyBorder="1"/>
    <xf numFmtId="165" fontId="1" fillId="8" borderId="8" xfId="1" applyNumberFormat="1" applyFont="1" applyFill="1" applyBorder="1" applyAlignment="1" applyProtection="1">
      <alignment horizontal="right"/>
    </xf>
    <xf numFmtId="0" fontId="21" fillId="2" borderId="0" xfId="14" applyNumberFormat="1" applyFont="1" applyFill="1" applyBorder="1" applyAlignment="1">
      <alignment horizontal="center"/>
    </xf>
    <xf numFmtId="41" fontId="20" fillId="2" borderId="8" xfId="14" applyNumberFormat="1" applyFont="1" applyFill="1" applyBorder="1" applyAlignment="1">
      <alignment horizontal="center" vertical="center"/>
    </xf>
    <xf numFmtId="41" fontId="11" fillId="2" borderId="8" xfId="14" applyNumberFormat="1" applyFont="1" applyFill="1" applyBorder="1" applyAlignment="1">
      <alignment horizontal="center" vertical="center" wrapText="1"/>
    </xf>
    <xf numFmtId="0" fontId="11" fillId="2" borderId="13" xfId="14" applyNumberFormat="1" applyFont="1" applyFill="1" applyBorder="1" applyAlignment="1">
      <alignment horizontal="center"/>
    </xf>
    <xf numFmtId="176" fontId="37" fillId="2" borderId="8" xfId="9" applyNumberFormat="1" applyFont="1" applyFill="1" applyBorder="1" applyAlignment="1"/>
    <xf numFmtId="0" fontId="6" fillId="2" borderId="0" xfId="0" applyNumberFormat="1" applyFont="1" applyFill="1" applyBorder="1" applyAlignment="1"/>
    <xf numFmtId="0" fontId="6" fillId="2" borderId="29" xfId="0" applyNumberFormat="1" applyFont="1" applyFill="1" applyBorder="1" applyAlignment="1"/>
    <xf numFmtId="165" fontId="11" fillId="0" borderId="53" xfId="2" applyNumberFormat="1" applyFont="1" applyFill="1" applyBorder="1" applyAlignment="1" applyProtection="1">
      <alignment horizontal="center" vertical="center" wrapText="1"/>
    </xf>
    <xf numFmtId="0" fontId="30" fillId="8" borderId="7" xfId="0" applyFont="1" applyFill="1" applyBorder="1" applyAlignment="1"/>
    <xf numFmtId="165" fontId="5" fillId="8" borderId="11" xfId="0" applyNumberFormat="1" applyFont="1" applyFill="1" applyBorder="1" applyAlignment="1" applyProtection="1">
      <alignment wrapText="1"/>
      <protection locked="0"/>
    </xf>
    <xf numFmtId="0" fontId="30" fillId="8" borderId="9" xfId="0" applyFont="1" applyFill="1" applyBorder="1" applyAlignment="1"/>
    <xf numFmtId="176" fontId="37" fillId="2" borderId="10" xfId="9" applyNumberFormat="1" applyFont="1" applyFill="1" applyBorder="1" applyAlignment="1"/>
    <xf numFmtId="165" fontId="5" fillId="8" borderId="12" xfId="0" applyNumberFormat="1" applyFont="1" applyFill="1" applyBorder="1" applyAlignment="1" applyProtection="1">
      <alignment wrapText="1"/>
      <protection locked="0"/>
    </xf>
    <xf numFmtId="170" fontId="5" fillId="8" borderId="10" xfId="2" applyNumberFormat="1" applyFont="1" applyFill="1" applyBorder="1" applyAlignment="1" applyProtection="1">
      <protection locked="0"/>
    </xf>
    <xf numFmtId="169" fontId="29" fillId="0" borderId="12" xfId="2" applyNumberFormat="1" applyFont="1" applyFill="1" applyBorder="1" applyAlignment="1" applyProtection="1">
      <alignment vertical="center"/>
    </xf>
    <xf numFmtId="0" fontId="11" fillId="3" borderId="42" xfId="0" applyFont="1" applyFill="1" applyBorder="1" applyAlignment="1" applyProtection="1">
      <alignment horizontal="left" vertical="center" wrapText="1"/>
    </xf>
    <xf numFmtId="0" fontId="11" fillId="3" borderId="42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/>
    </xf>
    <xf numFmtId="165" fontId="11" fillId="2" borderId="8" xfId="1" applyNumberFormat="1" applyFont="1" applyFill="1" applyBorder="1" applyAlignment="1">
      <alignment wrapText="1"/>
    </xf>
    <xf numFmtId="165" fontId="11" fillId="2" borderId="0" xfId="1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165" fontId="29" fillId="2" borderId="3" xfId="0" applyNumberFormat="1" applyFont="1" applyFill="1" applyBorder="1" applyAlignment="1" applyProtection="1"/>
    <xf numFmtId="165" fontId="29" fillId="2" borderId="38" xfId="2" applyNumberFormat="1" applyFont="1" applyFill="1" applyBorder="1" applyAlignment="1" applyProtection="1">
      <alignment horizontal="right"/>
    </xf>
    <xf numFmtId="0" fontId="11" fillId="2" borderId="15" xfId="0" applyFont="1" applyFill="1" applyBorder="1" applyAlignment="1" applyProtection="1">
      <alignment wrapText="1"/>
    </xf>
    <xf numFmtId="170" fontId="11" fillId="2" borderId="39" xfId="2" applyNumberFormat="1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/>
    <xf numFmtId="165" fontId="28" fillId="2" borderId="26" xfId="2" applyNumberFormat="1" applyFont="1" applyFill="1" applyBorder="1" applyAlignment="1" applyProtection="1">
      <alignment horizontal="right" vertical="center" wrapText="1"/>
    </xf>
    <xf numFmtId="165" fontId="28" fillId="2" borderId="38" xfId="2" applyNumberFormat="1" applyFont="1" applyFill="1" applyBorder="1" applyAlignment="1" applyProtection="1">
      <alignment horizontal="right" vertical="center" wrapText="1"/>
    </xf>
    <xf numFmtId="165" fontId="8" fillId="2" borderId="16" xfId="2" applyNumberFormat="1" applyFont="1" applyFill="1" applyBorder="1" applyAlignment="1" applyProtection="1">
      <alignment horizontal="right"/>
    </xf>
    <xf numFmtId="170" fontId="29" fillId="2" borderId="16" xfId="2" applyNumberFormat="1" applyFont="1" applyFill="1" applyBorder="1" applyAlignment="1" applyProtection="1"/>
    <xf numFmtId="165" fontId="29" fillId="2" borderId="16" xfId="0" applyNumberFormat="1" applyFont="1" applyFill="1" applyBorder="1" applyAlignment="1" applyProtection="1"/>
    <xf numFmtId="165" fontId="28" fillId="0" borderId="7" xfId="2" applyNumberFormat="1" applyFont="1" applyFill="1" applyBorder="1" applyAlignment="1">
      <alignment vertical="center"/>
    </xf>
    <xf numFmtId="178" fontId="37" fillId="9" borderId="8" xfId="0" applyNumberFormat="1" applyFont="1" applyFill="1" applyBorder="1" applyAlignment="1" applyProtection="1">
      <alignment vertical="center"/>
    </xf>
    <xf numFmtId="165" fontId="28" fillId="0" borderId="9" xfId="2" applyNumberFormat="1" applyFont="1" applyFill="1" applyBorder="1" applyAlignment="1">
      <alignment vertical="center"/>
    </xf>
    <xf numFmtId="178" fontId="37" fillId="9" borderId="10" xfId="0" applyNumberFormat="1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horizontal="left" wrapText="1"/>
    </xf>
    <xf numFmtId="165" fontId="11" fillId="2" borderId="16" xfId="1" applyNumberFormat="1" applyFont="1" applyFill="1" applyBorder="1" applyAlignment="1" applyProtection="1">
      <alignment horizontal="right" vertical="top" wrapText="1"/>
    </xf>
    <xf numFmtId="165" fontId="11" fillId="2" borderId="15" xfId="0" applyNumberFormat="1" applyFont="1" applyFill="1" applyBorder="1" applyAlignment="1">
      <alignment horizontal="right"/>
    </xf>
    <xf numFmtId="165" fontId="11" fillId="2" borderId="17" xfId="0" applyNumberFormat="1" applyFont="1" applyFill="1" applyBorder="1" applyAlignment="1">
      <alignment horizontal="right"/>
    </xf>
    <xf numFmtId="169" fontId="27" fillId="2" borderId="29" xfId="1" applyNumberFormat="1" applyFont="1" applyFill="1" applyBorder="1"/>
    <xf numFmtId="169" fontId="18" fillId="2" borderId="30" xfId="1" applyNumberFormat="1" applyFont="1" applyFill="1" applyBorder="1"/>
    <xf numFmtId="179" fontId="29" fillId="2" borderId="65" xfId="0" applyNumberFormat="1" applyFont="1" applyFill="1" applyBorder="1" applyAlignment="1">
      <alignment horizontal="center" wrapText="1"/>
    </xf>
    <xf numFmtId="41" fontId="8" fillId="2" borderId="55" xfId="0" applyNumberFormat="1" applyFont="1" applyFill="1" applyBorder="1" applyAlignment="1">
      <alignment horizontal="center" wrapText="1"/>
    </xf>
    <xf numFmtId="41" fontId="11" fillId="0" borderId="14" xfId="0" applyNumberFormat="1" applyFont="1" applyBorder="1" applyAlignment="1">
      <alignment horizontal="center" vertical="center" wrapText="1"/>
    </xf>
    <xf numFmtId="41" fontId="11" fillId="0" borderId="8" xfId="0" applyNumberFormat="1" applyFont="1" applyBorder="1" applyAlignment="1">
      <alignment horizontal="center" vertical="center" wrapText="1"/>
    </xf>
    <xf numFmtId="41" fontId="11" fillId="2" borderId="41" xfId="0" applyNumberFormat="1" applyFont="1" applyFill="1" applyBorder="1" applyAlignment="1">
      <alignment horizontal="center" vertical="center" wrapText="1"/>
    </xf>
    <xf numFmtId="41" fontId="11" fillId="2" borderId="28" xfId="0" applyNumberFormat="1" applyFont="1" applyFill="1" applyBorder="1" applyAlignment="1">
      <alignment horizontal="center" vertical="center" wrapText="1"/>
    </xf>
    <xf numFmtId="41" fontId="11" fillId="2" borderId="38" xfId="0" applyNumberFormat="1" applyFont="1" applyFill="1" applyBorder="1" applyAlignment="1">
      <alignment horizontal="center" vertical="center" wrapText="1"/>
    </xf>
    <xf numFmtId="10" fontId="18" fillId="2" borderId="30" xfId="9" applyNumberFormat="1" applyFont="1" applyFill="1" applyBorder="1"/>
    <xf numFmtId="165" fontId="11" fillId="2" borderId="9" xfId="1" applyNumberFormat="1" applyFont="1" applyFill="1" applyBorder="1" applyAlignment="1">
      <alignment horizontal="left" vertical="center" wrapText="1"/>
    </xf>
    <xf numFmtId="165" fontId="11" fillId="2" borderId="10" xfId="1" applyNumberFormat="1" applyFont="1" applyFill="1" applyBorder="1" applyAlignment="1">
      <alignment horizontal="left" vertical="center" wrapText="1"/>
    </xf>
    <xf numFmtId="165" fontId="11" fillId="2" borderId="7" xfId="1" applyNumberFormat="1" applyFont="1" applyFill="1" applyBorder="1" applyAlignment="1">
      <alignment horizontal="left" vertical="center" wrapText="1"/>
    </xf>
    <xf numFmtId="165" fontId="11" fillId="2" borderId="8" xfId="1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65" fontId="26" fillId="2" borderId="15" xfId="2" applyNumberFormat="1" applyFont="1" applyFill="1" applyBorder="1" applyAlignment="1" applyProtection="1">
      <alignment horizontal="center" vertical="center"/>
    </xf>
    <xf numFmtId="165" fontId="26" fillId="2" borderId="16" xfId="2" applyNumberFormat="1" applyFont="1" applyFill="1" applyBorder="1" applyAlignment="1" applyProtection="1">
      <alignment horizontal="center" vertical="center"/>
    </xf>
    <xf numFmtId="165" fontId="26" fillId="2" borderId="17" xfId="2" applyNumberFormat="1" applyFont="1" applyFill="1" applyBorder="1" applyAlignment="1" applyProtection="1">
      <alignment horizontal="center" vertical="center"/>
    </xf>
    <xf numFmtId="0" fontId="20" fillId="2" borderId="29" xfId="0" applyNumberFormat="1" applyFont="1" applyFill="1" applyBorder="1" applyAlignment="1" applyProtection="1">
      <alignment horizontal="center" vertical="center" wrapText="1"/>
    </xf>
    <xf numFmtId="0" fontId="20" fillId="2" borderId="37" xfId="0" applyNumberFormat="1" applyFont="1" applyFill="1" applyBorder="1" applyAlignment="1" applyProtection="1">
      <alignment horizontal="center" vertical="center" wrapText="1"/>
    </xf>
    <xf numFmtId="0" fontId="6" fillId="2" borderId="46" xfId="2" applyNumberFormat="1" applyFont="1" applyFill="1" applyBorder="1" applyAlignment="1" applyProtection="1">
      <alignment horizontal="center" wrapText="1"/>
    </xf>
    <xf numFmtId="0" fontId="6" fillId="2" borderId="47" xfId="2" applyNumberFormat="1" applyFont="1" applyFill="1" applyBorder="1" applyAlignment="1" applyProtection="1">
      <alignment horizontal="center" wrapText="1"/>
    </xf>
    <xf numFmtId="0" fontId="6" fillId="2" borderId="48" xfId="2" applyNumberFormat="1" applyFont="1" applyFill="1" applyBorder="1" applyAlignment="1" applyProtection="1">
      <alignment horizontal="center" wrapText="1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25" fillId="0" borderId="23" xfId="0" applyFont="1" applyFill="1" applyBorder="1" applyAlignment="1">
      <alignment horizontal="left" vertical="center"/>
    </xf>
    <xf numFmtId="41" fontId="11" fillId="2" borderId="49" xfId="0" applyNumberFormat="1" applyFont="1" applyFill="1" applyBorder="1" applyAlignment="1">
      <alignment horizontal="center"/>
    </xf>
    <xf numFmtId="41" fontId="16" fillId="2" borderId="52" xfId="0" applyNumberFormat="1" applyFont="1" applyFill="1" applyBorder="1" applyAlignment="1">
      <alignment horizontal="center"/>
    </xf>
    <xf numFmtId="0" fontId="33" fillId="2" borderId="0" xfId="0" applyNumberFormat="1" applyFont="1" applyFill="1" applyBorder="1" applyAlignment="1">
      <alignment horizontal="left"/>
    </xf>
    <xf numFmtId="0" fontId="11" fillId="10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165" fontId="4" fillId="2" borderId="0" xfId="0" applyNumberFormat="1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 wrapText="1"/>
    </xf>
    <xf numFmtId="0" fontId="1" fillId="13" borderId="8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 wrapText="1"/>
    </xf>
    <xf numFmtId="0" fontId="1" fillId="13" borderId="25" xfId="0" applyFont="1" applyFill="1" applyBorder="1" applyAlignment="1">
      <alignment horizontal="center" wrapText="1"/>
    </xf>
    <xf numFmtId="0" fontId="1" fillId="13" borderId="20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" fillId="13" borderId="13" xfId="0" applyFont="1" applyFill="1" applyBorder="1" applyAlignment="1">
      <alignment horizontal="center"/>
    </xf>
    <xf numFmtId="0" fontId="23" fillId="2" borderId="0" xfId="14" applyFont="1" applyFill="1" applyBorder="1" applyAlignment="1">
      <alignment horizontal="left" vertical="justify"/>
    </xf>
    <xf numFmtId="0" fontId="5" fillId="2" borderId="0" xfId="0" applyFont="1" applyFill="1" applyBorder="1" applyAlignment="1">
      <alignment horizontal="left" vertical="top" wrapText="1"/>
    </xf>
  </cellXfs>
  <cellStyles count="16">
    <cellStyle name="Comma" xfId="1" builtinId="3"/>
    <cellStyle name="Comma 2" xfId="12"/>
    <cellStyle name="Comma_Changes" xfId="2"/>
    <cellStyle name="Comma0" xfId="3"/>
    <cellStyle name="Currency" xfId="15" builtinId="4"/>
    <cellStyle name="Currency 2" xfId="1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14"/>
    <cellStyle name="Percent" xfId="9" builtinId="5"/>
    <cellStyle name="Percent 2" xfId="11"/>
    <cellStyle name="Total" xfId="10" builtinId="25" customBuiltin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47625</xdr:rowOff>
    </xdr:from>
    <xdr:to>
      <xdr:col>1</xdr:col>
      <xdr:colOff>1760220</xdr:colOff>
      <xdr:row>4</xdr:row>
      <xdr:rowOff>127635</xdr:rowOff>
    </xdr:to>
    <xdr:grpSp>
      <xdr:nvGrpSpPr>
        <xdr:cNvPr id="35844" name="Group 13"/>
        <xdr:cNvGrpSpPr>
          <a:grpSpLocks/>
        </xdr:cNvGrpSpPr>
      </xdr:nvGrpSpPr>
      <xdr:grpSpPr bwMode="auto">
        <a:xfrm>
          <a:off x="104775" y="390525"/>
          <a:ext cx="2379345" cy="384810"/>
          <a:chOff x="11" y="147"/>
          <a:chExt cx="521" cy="83"/>
        </a:xfrm>
      </xdr:grpSpPr>
      <xdr:sp macro="" textlink="">
        <xdr:nvSpPr>
          <xdr:cNvPr id="35848" name="AutoShape 14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5855" name="Text Box 15"/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2</xdr:col>
      <xdr:colOff>161925</xdr:colOff>
      <xdr:row>5</xdr:row>
      <xdr:rowOff>85725</xdr:rowOff>
    </xdr:to>
    <xdr:grpSp>
      <xdr:nvGrpSpPr>
        <xdr:cNvPr id="24584" name="Group 11"/>
        <xdr:cNvGrpSpPr>
          <a:grpSpLocks/>
        </xdr:cNvGrpSpPr>
      </xdr:nvGrpSpPr>
      <xdr:grpSpPr bwMode="auto">
        <a:xfrm>
          <a:off x="38100" y="381000"/>
          <a:ext cx="5671185" cy="535305"/>
          <a:chOff x="11" y="147"/>
          <a:chExt cx="521" cy="83"/>
        </a:xfrm>
      </xdr:grpSpPr>
      <xdr:sp macro="" textlink="">
        <xdr:nvSpPr>
          <xdr:cNvPr id="24585" name="AutoShape 12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589" name="Text Box 13"/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38100</xdr:rowOff>
    </xdr:from>
    <xdr:to>
      <xdr:col>3</xdr:col>
      <xdr:colOff>0</xdr:colOff>
      <xdr:row>6</xdr:row>
      <xdr:rowOff>0</xdr:rowOff>
    </xdr:to>
    <xdr:grpSp>
      <xdr:nvGrpSpPr>
        <xdr:cNvPr id="26629" name="Group 8"/>
        <xdr:cNvGrpSpPr>
          <a:grpSpLocks/>
        </xdr:cNvGrpSpPr>
      </xdr:nvGrpSpPr>
      <xdr:grpSpPr bwMode="auto">
        <a:xfrm>
          <a:off x="66675" y="381000"/>
          <a:ext cx="6867525" cy="480060"/>
          <a:chOff x="11" y="147"/>
          <a:chExt cx="521" cy="83"/>
        </a:xfrm>
      </xdr:grpSpPr>
      <xdr:sp macro="" textlink="">
        <xdr:nvSpPr>
          <xdr:cNvPr id="26630" name="AutoShape 9"/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634" name="Text Box 10"/>
          <xdr:cNvSpPr txBox="1">
            <a:spLocks noChangeArrowheads="1"/>
          </xdr:cNvSpPr>
        </xdr:nvSpPr>
        <xdr:spPr bwMode="auto">
          <a:xfrm>
            <a:off x="24" y="151"/>
            <a:ext cx="498" cy="7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shows reconciliation of costs included and excluded in the Trial Balance.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2"/>
  </sheetPr>
  <dimension ref="A1:J76"/>
  <sheetViews>
    <sheetView topLeftCell="A49" zoomScaleNormal="100" workbookViewId="0">
      <selection activeCell="D75" sqref="D75"/>
    </sheetView>
  </sheetViews>
  <sheetFormatPr defaultColWidth="9.109375" defaultRowHeight="10.199999999999999"/>
  <cols>
    <col min="1" max="1" width="2.6640625" style="8" customWidth="1"/>
    <col min="2" max="2" width="45.77734375" style="9" bestFit="1" customWidth="1"/>
    <col min="3" max="3" width="3" style="9" customWidth="1"/>
    <col min="4" max="4" width="19.44140625" style="10" customWidth="1"/>
    <col min="5" max="5" width="23.77734375" style="10" customWidth="1"/>
    <col min="6" max="6" width="21.88671875" style="10" bestFit="1" customWidth="1"/>
    <col min="7" max="7" width="29.6640625" style="10" bestFit="1" customWidth="1"/>
    <col min="8" max="8" width="10.6640625" style="11" bestFit="1" customWidth="1"/>
    <col min="9" max="9" width="9.109375" style="2"/>
    <col min="10" max="10" width="9.109375" style="193"/>
    <col min="11" max="16384" width="9.109375" style="8"/>
  </cols>
  <sheetData>
    <row r="1" spans="1:10" s="2" customFormat="1" ht="20.399999999999999">
      <c r="B1" s="12" t="str">
        <f>"Functionalized Accounts"</f>
        <v>Functionalized Accounts</v>
      </c>
      <c r="C1" s="13"/>
      <c r="D1" s="13"/>
      <c r="F1" s="4"/>
      <c r="G1" s="1"/>
      <c r="J1" s="192"/>
    </row>
    <row r="2" spans="1:10" s="2" customFormat="1">
      <c r="A2" s="3"/>
      <c r="B2" s="3"/>
      <c r="C2" s="3"/>
      <c r="D2" s="3"/>
      <c r="E2" s="3"/>
      <c r="F2" s="3"/>
      <c r="G2" s="186"/>
      <c r="J2" s="192"/>
    </row>
    <row r="3" spans="1:10">
      <c r="D3" s="9"/>
      <c r="E3" s="9"/>
      <c r="F3" s="9"/>
      <c r="G3" s="8"/>
      <c r="H3" s="8"/>
      <c r="I3" s="8"/>
      <c r="J3" s="8"/>
    </row>
    <row r="4" spans="1:10" s="17" customFormat="1" ht="13.2" customHeight="1">
      <c r="A4" s="14"/>
      <c r="B4" s="76"/>
      <c r="C4" s="347"/>
      <c r="D4" s="413" t="s">
        <v>167</v>
      </c>
      <c r="E4" s="414"/>
      <c r="F4" s="349">
        <f>F59</f>
        <v>182131970.49331689</v>
      </c>
      <c r="G4" s="350"/>
    </row>
    <row r="5" spans="1:10" s="17" customFormat="1" ht="13.8" thickBot="1">
      <c r="A5" s="18"/>
      <c r="B5" s="347"/>
      <c r="C5" s="347"/>
      <c r="D5" s="411" t="s">
        <v>168</v>
      </c>
      <c r="E5" s="412"/>
      <c r="F5" s="351">
        <f>F75</f>
        <v>93145000</v>
      </c>
      <c r="G5" s="350"/>
      <c r="H5" s="350"/>
    </row>
    <row r="6" spans="1:10" s="17" customFormat="1" ht="13.2">
      <c r="A6" s="18"/>
      <c r="B6" s="347"/>
      <c r="C6" s="347"/>
      <c r="D6" s="352"/>
      <c r="E6" s="352"/>
      <c r="F6" s="353"/>
      <c r="G6" s="104"/>
      <c r="H6" s="348"/>
      <c r="I6" s="348"/>
    </row>
    <row r="7" spans="1:10" s="17" customFormat="1" ht="16.2" customHeight="1">
      <c r="A7" s="18"/>
      <c r="B7" s="382" t="s">
        <v>170</v>
      </c>
      <c r="C7" s="347"/>
      <c r="D7" s="352"/>
      <c r="E7" s="352"/>
      <c r="F7" s="353"/>
      <c r="G7" s="104"/>
      <c r="H7" s="348"/>
      <c r="I7" s="348"/>
    </row>
    <row r="8" spans="1:10" s="19" customFormat="1" ht="26.4">
      <c r="A8" s="18"/>
      <c r="B8" s="23" t="s">
        <v>0</v>
      </c>
      <c r="C8" s="20"/>
      <c r="D8" s="21" t="s">
        <v>4</v>
      </c>
      <c r="E8" s="22" t="s">
        <v>19</v>
      </c>
      <c r="F8" s="22" t="s">
        <v>20</v>
      </c>
      <c r="G8" s="22" t="s">
        <v>153</v>
      </c>
      <c r="H8" s="354"/>
      <c r="I8" s="354"/>
    </row>
    <row r="9" spans="1:10" s="69" customFormat="1" ht="13.2">
      <c r="A9" s="18"/>
      <c r="B9" s="199" t="s">
        <v>57</v>
      </c>
      <c r="C9" s="355"/>
      <c r="D9" s="356">
        <v>1189152.4940728098</v>
      </c>
      <c r="E9" s="356"/>
      <c r="F9" s="357">
        <f t="shared" ref="F9:F73" si="0">+D9+E9</f>
        <v>1189152.4940728098</v>
      </c>
      <c r="G9" s="313" t="str">
        <f>'TB Allocation Details'!C6</f>
        <v>O&amp;M</v>
      </c>
      <c r="H9" s="358"/>
      <c r="I9" s="359"/>
    </row>
    <row r="10" spans="1:10" s="69" customFormat="1" ht="13.2">
      <c r="A10" s="18"/>
      <c r="B10" s="199" t="s">
        <v>58</v>
      </c>
      <c r="C10" s="355"/>
      <c r="D10" s="356">
        <v>3976612.8</v>
      </c>
      <c r="E10" s="356"/>
      <c r="F10" s="357">
        <f t="shared" si="0"/>
        <v>3976612.8</v>
      </c>
      <c r="G10" s="313" t="str">
        <f>'TB Allocation Details'!C7</f>
        <v>HALF</v>
      </c>
      <c r="H10" s="358"/>
      <c r="I10" s="359"/>
    </row>
    <row r="11" spans="1:10" s="69" customFormat="1" ht="13.2">
      <c r="A11" s="18"/>
      <c r="B11" s="199" t="s">
        <v>59</v>
      </c>
      <c r="C11" s="355"/>
      <c r="D11" s="356">
        <v>1638708.6820966986</v>
      </c>
      <c r="E11" s="356"/>
      <c r="F11" s="357">
        <f t="shared" si="0"/>
        <v>1638708.6820966986</v>
      </c>
      <c r="G11" s="313" t="str">
        <f>'TB Allocation Details'!C8</f>
        <v>O&amp;M</v>
      </c>
      <c r="H11" s="358"/>
      <c r="I11" s="359"/>
    </row>
    <row r="12" spans="1:10" s="69" customFormat="1" ht="13.2">
      <c r="A12" s="18"/>
      <c r="B12" s="199" t="s">
        <v>159</v>
      </c>
      <c r="C12" s="355"/>
      <c r="D12" s="356">
        <v>1588319.23703341</v>
      </c>
      <c r="E12" s="356"/>
      <c r="F12" s="357">
        <f t="shared" si="0"/>
        <v>1588319.23703341</v>
      </c>
      <c r="G12" s="313" t="str">
        <f>'TB Allocation Details'!C9</f>
        <v>MSO</v>
      </c>
      <c r="H12" s="358"/>
      <c r="I12" s="359"/>
    </row>
    <row r="13" spans="1:10" s="69" customFormat="1" ht="13.2">
      <c r="A13" s="18"/>
      <c r="B13" s="199" t="s">
        <v>165</v>
      </c>
      <c r="C13" s="355"/>
      <c r="D13" s="356">
        <v>5599744.0100422697</v>
      </c>
      <c r="E13" s="356"/>
      <c r="F13" s="357">
        <f t="shared" ref="F13:F19" si="1">+D13+E13</f>
        <v>5599744.0100422697</v>
      </c>
      <c r="G13" s="313" t="str">
        <f>'TB Allocation Details'!C10</f>
        <v>TWh</v>
      </c>
      <c r="H13" s="358"/>
      <c r="I13" s="359"/>
    </row>
    <row r="14" spans="1:10" s="69" customFormat="1" ht="26.4">
      <c r="A14" s="18"/>
      <c r="B14" s="199" t="s">
        <v>164</v>
      </c>
      <c r="C14" s="355"/>
      <c r="D14" s="356">
        <v>3282505.00706576</v>
      </c>
      <c r="E14" s="356"/>
      <c r="F14" s="357">
        <f t="shared" si="1"/>
        <v>3282505.00706576</v>
      </c>
      <c r="G14" s="313" t="str">
        <f>'TB Allocation Details'!C11</f>
        <v>TWh</v>
      </c>
      <c r="H14" s="358"/>
      <c r="I14" s="359"/>
    </row>
    <row r="15" spans="1:10" s="69" customFormat="1" ht="26.4">
      <c r="A15" s="18"/>
      <c r="B15" s="199" t="s">
        <v>160</v>
      </c>
      <c r="C15" s="355"/>
      <c r="D15" s="356">
        <v>4441271.3261546297</v>
      </c>
      <c r="E15" s="356"/>
      <c r="F15" s="357">
        <f t="shared" si="1"/>
        <v>4441271.3261546297</v>
      </c>
      <c r="G15" s="313" t="str">
        <f>'TB Allocation Details'!C12</f>
        <v>TWh</v>
      </c>
      <c r="H15" s="358"/>
      <c r="I15" s="359"/>
    </row>
    <row r="16" spans="1:10" s="69" customFormat="1" ht="26.4">
      <c r="A16" s="18"/>
      <c r="B16" s="199" t="s">
        <v>162</v>
      </c>
      <c r="C16" s="355"/>
      <c r="D16" s="356">
        <v>3876906.7601640099</v>
      </c>
      <c r="E16" s="356"/>
      <c r="F16" s="357">
        <f t="shared" si="1"/>
        <v>3876906.7601640099</v>
      </c>
      <c r="G16" s="313" t="str">
        <f>'TB Allocation Details'!C13</f>
        <v>TWh</v>
      </c>
      <c r="H16" s="358"/>
      <c r="I16" s="359"/>
    </row>
    <row r="17" spans="1:9" s="69" customFormat="1" ht="13.2">
      <c r="A17" s="18"/>
      <c r="B17" s="199" t="s">
        <v>166</v>
      </c>
      <c r="C17" s="355"/>
      <c r="D17" s="356">
        <v>11499272.5088154</v>
      </c>
      <c r="E17" s="356"/>
      <c r="F17" s="357">
        <f t="shared" si="1"/>
        <v>11499272.5088154</v>
      </c>
      <c r="G17" s="313" t="str">
        <f>'TB Allocation Details'!C14</f>
        <v>TWh</v>
      </c>
      <c r="H17" s="358"/>
      <c r="I17" s="359"/>
    </row>
    <row r="18" spans="1:9" s="69" customFormat="1" ht="26.4">
      <c r="A18" s="18"/>
      <c r="B18" s="199" t="s">
        <v>161</v>
      </c>
      <c r="C18" s="355"/>
      <c r="D18" s="356">
        <v>2662252.5258380398</v>
      </c>
      <c r="E18" s="356"/>
      <c r="F18" s="357">
        <f t="shared" si="1"/>
        <v>2662252.5258380398</v>
      </c>
      <c r="G18" s="313" t="str">
        <f>'TB Allocation Details'!C15</f>
        <v>TWh</v>
      </c>
      <c r="H18" s="358"/>
      <c r="I18" s="359"/>
    </row>
    <row r="19" spans="1:9" s="69" customFormat="1" ht="26.4">
      <c r="A19" s="18"/>
      <c r="B19" s="199" t="s">
        <v>163</v>
      </c>
      <c r="C19" s="355"/>
      <c r="D19" s="356">
        <v>1184258.0433916801</v>
      </c>
      <c r="E19" s="356"/>
      <c r="F19" s="357">
        <f t="shared" si="1"/>
        <v>1184258.0433916801</v>
      </c>
      <c r="G19" s="313" t="str">
        <f>'TB Allocation Details'!C16</f>
        <v>TWh</v>
      </c>
      <c r="H19" s="358"/>
      <c r="I19" s="359"/>
    </row>
    <row r="20" spans="1:9" s="69" customFormat="1" ht="13.2">
      <c r="A20" s="18"/>
      <c r="B20" s="199" t="s">
        <v>61</v>
      </c>
      <c r="C20" s="355"/>
      <c r="D20" s="356">
        <v>1224063</v>
      </c>
      <c r="E20" s="356"/>
      <c r="F20" s="357">
        <f t="shared" si="0"/>
        <v>1224063</v>
      </c>
      <c r="G20" s="313" t="str">
        <f>'TB Allocation Details'!C17</f>
        <v>MRD</v>
      </c>
      <c r="H20" s="358"/>
      <c r="I20" s="359"/>
    </row>
    <row r="21" spans="1:9" s="69" customFormat="1" ht="26.4">
      <c r="A21" s="18"/>
      <c r="B21" s="199" t="s">
        <v>62</v>
      </c>
      <c r="C21" s="355"/>
      <c r="D21" s="356">
        <v>9101459</v>
      </c>
      <c r="E21" s="356"/>
      <c r="F21" s="357">
        <f t="shared" si="0"/>
        <v>9101459</v>
      </c>
      <c r="G21" s="313" t="str">
        <f>'TB Allocation Details'!C18</f>
        <v>DOM</v>
      </c>
      <c r="H21" s="358"/>
      <c r="I21" s="359"/>
    </row>
    <row r="22" spans="1:9" s="69" customFormat="1" ht="26.4">
      <c r="A22" s="18"/>
      <c r="B22" s="199" t="s">
        <v>63</v>
      </c>
      <c r="C22" s="355"/>
      <c r="D22" s="356">
        <v>3477961</v>
      </c>
      <c r="E22" s="356"/>
      <c r="F22" s="357">
        <f t="shared" si="0"/>
        <v>3477961</v>
      </c>
      <c r="G22" s="313" t="str">
        <f>'TB Allocation Details'!C19</f>
        <v>DOM</v>
      </c>
      <c r="H22" s="358"/>
      <c r="I22" s="359"/>
    </row>
    <row r="23" spans="1:9" s="69" customFormat="1" ht="26.4">
      <c r="A23" s="18"/>
      <c r="B23" s="199" t="s">
        <v>64</v>
      </c>
      <c r="C23" s="355"/>
      <c r="D23" s="356">
        <v>1910054</v>
      </c>
      <c r="E23" s="356"/>
      <c r="F23" s="357">
        <f t="shared" si="0"/>
        <v>1910054</v>
      </c>
      <c r="G23" s="313" t="str">
        <f>'TB Allocation Details'!C20</f>
        <v>DOM</v>
      </c>
      <c r="H23" s="358"/>
      <c r="I23" s="359"/>
    </row>
    <row r="24" spans="1:9" s="69" customFormat="1" ht="26.4">
      <c r="A24" s="18"/>
      <c r="B24" s="199" t="s">
        <v>65</v>
      </c>
      <c r="C24" s="355"/>
      <c r="D24" s="356">
        <v>0</v>
      </c>
      <c r="E24" s="356"/>
      <c r="F24" s="357">
        <f t="shared" si="0"/>
        <v>0</v>
      </c>
      <c r="G24" s="313" t="str">
        <f>'TB Allocation Details'!C21</f>
        <v>DOM</v>
      </c>
      <c r="H24" s="358"/>
      <c r="I24" s="359"/>
    </row>
    <row r="25" spans="1:9" s="69" customFormat="1" ht="13.2">
      <c r="A25" s="18"/>
      <c r="B25" s="199" t="s">
        <v>66</v>
      </c>
      <c r="C25" s="355"/>
      <c r="D25" s="356">
        <v>4668610</v>
      </c>
      <c r="E25" s="356"/>
      <c r="F25" s="357">
        <f t="shared" si="0"/>
        <v>4668610</v>
      </c>
      <c r="G25" s="313" t="str">
        <f>'TB Allocation Details'!C22</f>
        <v>TWh</v>
      </c>
      <c r="H25" s="358"/>
      <c r="I25" s="359"/>
    </row>
    <row r="26" spans="1:9" s="69" customFormat="1" ht="13.2">
      <c r="A26" s="18"/>
      <c r="B26" s="199" t="s">
        <v>180</v>
      </c>
      <c r="C26" s="355"/>
      <c r="D26" s="356">
        <v>906519.23879315064</v>
      </c>
      <c r="E26" s="356"/>
      <c r="F26" s="357">
        <f t="shared" si="0"/>
        <v>906519.23879315064</v>
      </c>
      <c r="G26" s="313" t="str">
        <f>'TB Allocation Details'!C23</f>
        <v>CCR</v>
      </c>
      <c r="H26" s="358"/>
      <c r="I26" s="359"/>
    </row>
    <row r="27" spans="1:9" s="69" customFormat="1" ht="26.4">
      <c r="A27" s="18"/>
      <c r="B27" s="199" t="s">
        <v>67</v>
      </c>
      <c r="C27" s="355"/>
      <c r="D27" s="356">
        <v>3398469.8461426906</v>
      </c>
      <c r="E27" s="356"/>
      <c r="F27" s="357">
        <f t="shared" si="0"/>
        <v>3398469.8461426906</v>
      </c>
      <c r="G27" s="313" t="str">
        <f>'TB Allocation Details'!C24</f>
        <v>DOM</v>
      </c>
      <c r="H27" s="358"/>
      <c r="I27" s="359"/>
    </row>
    <row r="28" spans="1:9" s="69" customFormat="1" ht="26.4">
      <c r="A28" s="18"/>
      <c r="B28" s="199" t="s">
        <v>68</v>
      </c>
      <c r="C28" s="355"/>
      <c r="D28" s="356">
        <v>2647841.456298661</v>
      </c>
      <c r="E28" s="356"/>
      <c r="F28" s="357">
        <f t="shared" si="0"/>
        <v>2647841.456298661</v>
      </c>
      <c r="G28" s="313" t="str">
        <f>'TB Allocation Details'!C25</f>
        <v>DOM</v>
      </c>
      <c r="H28" s="358"/>
      <c r="I28" s="359"/>
    </row>
    <row r="29" spans="1:9" s="69" customFormat="1" ht="26.4">
      <c r="A29" s="18"/>
      <c r="B29" s="199" t="s">
        <v>69</v>
      </c>
      <c r="C29" s="355"/>
      <c r="D29" s="356">
        <v>2125674.8444633931</v>
      </c>
      <c r="E29" s="356"/>
      <c r="F29" s="357">
        <f t="shared" si="0"/>
        <v>2125674.8444633931</v>
      </c>
      <c r="G29" s="313" t="str">
        <f>'TB Allocation Details'!C26</f>
        <v>TWh</v>
      </c>
      <c r="H29" s="358"/>
      <c r="I29" s="359"/>
    </row>
    <row r="30" spans="1:9" s="69" customFormat="1" ht="26.4">
      <c r="A30" s="18"/>
      <c r="B30" s="199" t="s">
        <v>70</v>
      </c>
      <c r="C30" s="355"/>
      <c r="D30" s="356">
        <v>2180164.5704119634</v>
      </c>
      <c r="E30" s="356"/>
      <c r="F30" s="357">
        <f t="shared" si="0"/>
        <v>2180164.5704119634</v>
      </c>
      <c r="G30" s="313" t="str">
        <f>'TB Allocation Details'!C27</f>
        <v>DOM</v>
      </c>
      <c r="H30" s="358"/>
      <c r="I30" s="359"/>
    </row>
    <row r="31" spans="1:9" s="69" customFormat="1" ht="26.4">
      <c r="A31" s="18"/>
      <c r="B31" s="199" t="s">
        <v>71</v>
      </c>
      <c r="C31" s="355"/>
      <c r="D31" s="356">
        <v>5341349.3612686172</v>
      </c>
      <c r="E31" s="356"/>
      <c r="F31" s="357">
        <f t="shared" si="0"/>
        <v>5341349.3612686172</v>
      </c>
      <c r="G31" s="313" t="str">
        <f>'TB Allocation Details'!C28</f>
        <v>TWh</v>
      </c>
      <c r="H31" s="358"/>
      <c r="I31" s="359"/>
    </row>
    <row r="32" spans="1:9" s="69" customFormat="1" ht="13.2">
      <c r="A32" s="18"/>
      <c r="B32" s="199" t="s">
        <v>72</v>
      </c>
      <c r="C32" s="355"/>
      <c r="D32" s="356">
        <v>0</v>
      </c>
      <c r="E32" s="356"/>
      <c r="F32" s="357">
        <f t="shared" si="0"/>
        <v>0</v>
      </c>
      <c r="G32" s="313" t="str">
        <f>'TB Allocation Details'!C29</f>
        <v>TWh</v>
      </c>
      <c r="H32" s="358"/>
      <c r="I32" s="359"/>
    </row>
    <row r="33" spans="1:9" s="69" customFormat="1" ht="13.2">
      <c r="A33" s="18"/>
      <c r="B33" s="199" t="s">
        <v>73</v>
      </c>
      <c r="C33" s="355"/>
      <c r="D33" s="356">
        <v>1011151</v>
      </c>
      <c r="E33" s="356"/>
      <c r="F33" s="357">
        <f t="shared" si="0"/>
        <v>1011151</v>
      </c>
      <c r="G33" s="313" t="str">
        <f>'TB Allocation Details'!C30</f>
        <v>ITS</v>
      </c>
      <c r="H33" s="358"/>
      <c r="I33" s="359"/>
    </row>
    <row r="34" spans="1:9" s="69" customFormat="1" ht="26.4">
      <c r="A34" s="18"/>
      <c r="B34" s="199" t="s">
        <v>74</v>
      </c>
      <c r="C34" s="355"/>
      <c r="D34" s="356">
        <v>3701929</v>
      </c>
      <c r="E34" s="356"/>
      <c r="F34" s="357">
        <f t="shared" si="0"/>
        <v>3701929</v>
      </c>
      <c r="G34" s="313" t="str">
        <f>'TB Allocation Details'!C31</f>
        <v>O&amp;M</v>
      </c>
      <c r="H34" s="358"/>
      <c r="I34" s="359"/>
    </row>
    <row r="35" spans="1:9" s="69" customFormat="1" ht="26.4">
      <c r="A35" s="18"/>
      <c r="B35" s="199" t="s">
        <v>75</v>
      </c>
      <c r="C35" s="355"/>
      <c r="D35" s="356">
        <v>12175768</v>
      </c>
      <c r="E35" s="356"/>
      <c r="F35" s="357">
        <f t="shared" si="0"/>
        <v>12175768</v>
      </c>
      <c r="G35" s="313" t="str">
        <f>'TB Allocation Details'!C32</f>
        <v>O&amp;M</v>
      </c>
      <c r="H35" s="358"/>
      <c r="I35" s="359"/>
    </row>
    <row r="36" spans="1:9" s="69" customFormat="1" ht="26.4">
      <c r="A36" s="18"/>
      <c r="B36" s="199" t="s">
        <v>76</v>
      </c>
      <c r="C36" s="355"/>
      <c r="D36" s="356">
        <v>15642927</v>
      </c>
      <c r="E36" s="356"/>
      <c r="F36" s="357">
        <f t="shared" si="0"/>
        <v>15642927</v>
      </c>
      <c r="G36" s="313" t="str">
        <f>'TB Allocation Details'!C33</f>
        <v>O&amp;M</v>
      </c>
      <c r="H36" s="358"/>
      <c r="I36" s="359"/>
    </row>
    <row r="37" spans="1:9" s="69" customFormat="1" ht="26.4">
      <c r="A37" s="18"/>
      <c r="B37" s="199" t="s">
        <v>77</v>
      </c>
      <c r="C37" s="355"/>
      <c r="D37" s="356">
        <v>637841</v>
      </c>
      <c r="E37" s="356"/>
      <c r="F37" s="357">
        <f t="shared" si="0"/>
        <v>637841</v>
      </c>
      <c r="G37" s="313" t="str">
        <f>'TB Allocation Details'!C34</f>
        <v>O&amp;M</v>
      </c>
      <c r="H37" s="358"/>
      <c r="I37" s="359"/>
    </row>
    <row r="38" spans="1:9" s="69" customFormat="1" ht="13.2">
      <c r="A38" s="18"/>
      <c r="B38" s="199" t="s">
        <v>78</v>
      </c>
      <c r="C38" s="355"/>
      <c r="D38" s="356">
        <v>2266992</v>
      </c>
      <c r="E38" s="356"/>
      <c r="F38" s="357">
        <f t="shared" si="0"/>
        <v>2266992</v>
      </c>
      <c r="G38" s="313" t="str">
        <f>'TB Allocation Details'!C35</f>
        <v>O&amp;M</v>
      </c>
      <c r="H38" s="358"/>
      <c r="I38" s="359"/>
    </row>
    <row r="39" spans="1:9" s="69" customFormat="1" ht="13.2">
      <c r="A39" s="18"/>
      <c r="B39" s="199" t="s">
        <v>79</v>
      </c>
      <c r="C39" s="355"/>
      <c r="D39" s="356">
        <v>8636858</v>
      </c>
      <c r="E39" s="360"/>
      <c r="F39" s="357">
        <f t="shared" si="0"/>
        <v>8636858</v>
      </c>
      <c r="G39" s="313" t="str">
        <f>'TB Allocation Details'!C36</f>
        <v>O&amp;M</v>
      </c>
      <c r="H39" s="358"/>
      <c r="I39" s="359"/>
    </row>
    <row r="40" spans="1:9" s="69" customFormat="1" ht="26.4">
      <c r="A40" s="18"/>
      <c r="B40" s="199" t="s">
        <v>158</v>
      </c>
      <c r="C40" s="355"/>
      <c r="D40" s="356"/>
      <c r="E40" s="360"/>
      <c r="F40" s="357">
        <f t="shared" si="0"/>
        <v>0</v>
      </c>
      <c r="G40" s="313" t="str">
        <f>'TB Allocation Details'!C37</f>
        <v>TWh</v>
      </c>
      <c r="H40" s="358"/>
      <c r="I40" s="359"/>
    </row>
    <row r="41" spans="1:9" s="69" customFormat="1" ht="13.2">
      <c r="A41" s="18"/>
      <c r="B41" s="199" t="s">
        <v>80</v>
      </c>
      <c r="C41" s="355"/>
      <c r="D41" s="356">
        <v>1168340</v>
      </c>
      <c r="E41" s="356"/>
      <c r="F41" s="357">
        <f t="shared" si="0"/>
        <v>1168340</v>
      </c>
      <c r="G41" s="313" t="str">
        <f>'TB Allocation Details'!C38</f>
        <v>PLAR</v>
      </c>
      <c r="H41" s="358"/>
      <c r="I41" s="359"/>
    </row>
    <row r="42" spans="1:9" s="69" customFormat="1" ht="26.4">
      <c r="A42" s="18"/>
      <c r="B42" s="199" t="s">
        <v>81</v>
      </c>
      <c r="C42" s="355"/>
      <c r="D42" s="356">
        <v>4378174</v>
      </c>
      <c r="E42" s="356"/>
      <c r="F42" s="357">
        <f t="shared" si="0"/>
        <v>4378174</v>
      </c>
      <c r="G42" s="313" t="str">
        <f>'TB Allocation Details'!C39</f>
        <v>TWh</v>
      </c>
      <c r="H42" s="358"/>
      <c r="I42" s="359"/>
    </row>
    <row r="43" spans="1:9" s="69" customFormat="1" ht="26.4">
      <c r="A43" s="18"/>
      <c r="B43" s="199" t="s">
        <v>82</v>
      </c>
      <c r="C43" s="355"/>
      <c r="D43" s="356">
        <v>2186249</v>
      </c>
      <c r="E43" s="356"/>
      <c r="F43" s="357">
        <f t="shared" si="0"/>
        <v>2186249</v>
      </c>
      <c r="G43" s="313" t="str">
        <f>'TB Allocation Details'!C40</f>
        <v>TWh</v>
      </c>
      <c r="H43" s="358"/>
      <c r="I43" s="359"/>
    </row>
    <row r="44" spans="1:9" s="69" customFormat="1" ht="13.2">
      <c r="A44" s="18"/>
      <c r="B44" s="199" t="s">
        <v>83</v>
      </c>
      <c r="C44" s="355"/>
      <c r="D44" s="356">
        <v>715210</v>
      </c>
      <c r="E44" s="360"/>
      <c r="F44" s="357">
        <f t="shared" si="0"/>
        <v>715210</v>
      </c>
      <c r="G44" s="313" t="str">
        <f>'TB Allocation Details'!C41</f>
        <v>TWh</v>
      </c>
      <c r="H44" s="358"/>
      <c r="I44" s="359"/>
    </row>
    <row r="45" spans="1:9" s="69" customFormat="1" ht="26.4">
      <c r="A45" s="18"/>
      <c r="B45" s="199" t="s">
        <v>84</v>
      </c>
      <c r="C45" s="355"/>
      <c r="D45" s="356">
        <v>898421</v>
      </c>
      <c r="E45" s="356"/>
      <c r="F45" s="357">
        <f t="shared" si="0"/>
        <v>898421</v>
      </c>
      <c r="G45" s="313" t="str">
        <f>'TB Allocation Details'!C42</f>
        <v>DOM</v>
      </c>
      <c r="H45" s="358"/>
      <c r="I45" s="359"/>
    </row>
    <row r="46" spans="1:9" s="69" customFormat="1" ht="26.4">
      <c r="A46" s="18"/>
      <c r="B46" s="199" t="s">
        <v>85</v>
      </c>
      <c r="C46" s="355"/>
      <c r="D46" s="356">
        <v>2538417</v>
      </c>
      <c r="E46" s="356"/>
      <c r="F46" s="357">
        <f t="shared" si="0"/>
        <v>2538417</v>
      </c>
      <c r="G46" s="313" t="str">
        <f>'TB Allocation Details'!C43</f>
        <v>DOM</v>
      </c>
      <c r="H46" s="358"/>
      <c r="I46" s="359"/>
    </row>
    <row r="47" spans="1:9" s="69" customFormat="1" ht="26.4">
      <c r="A47" s="18"/>
      <c r="B47" s="199" t="s">
        <v>86</v>
      </c>
      <c r="C47" s="355"/>
      <c r="D47" s="356">
        <v>2082323</v>
      </c>
      <c r="E47" s="356"/>
      <c r="F47" s="357">
        <f t="shared" si="0"/>
        <v>2082323</v>
      </c>
      <c r="G47" s="313" t="str">
        <f>'TB Allocation Details'!C44</f>
        <v>DOM</v>
      </c>
      <c r="H47" s="358"/>
      <c r="I47" s="359"/>
    </row>
    <row r="48" spans="1:9" s="69" customFormat="1" ht="26.4">
      <c r="A48" s="18"/>
      <c r="B48" s="199" t="s">
        <v>87</v>
      </c>
      <c r="C48" s="355"/>
      <c r="D48" s="356">
        <v>1271096</v>
      </c>
      <c r="E48" s="356"/>
      <c r="F48" s="357">
        <f t="shared" si="0"/>
        <v>1271096</v>
      </c>
      <c r="G48" s="313" t="str">
        <f>'TB Allocation Details'!C45</f>
        <v>DOM</v>
      </c>
      <c r="H48" s="358"/>
      <c r="I48" s="359"/>
    </row>
    <row r="49" spans="1:9" s="69" customFormat="1" ht="13.2">
      <c r="A49" s="18"/>
      <c r="B49" s="199" t="s">
        <v>88</v>
      </c>
      <c r="C49" s="355"/>
      <c r="D49" s="356">
        <v>412624.17818913399</v>
      </c>
      <c r="E49" s="356"/>
      <c r="F49" s="357">
        <f t="shared" si="0"/>
        <v>412624.17818913399</v>
      </c>
      <c r="G49" s="313" t="str">
        <f>'TB Allocation Details'!C46</f>
        <v>CS</v>
      </c>
      <c r="H49" s="358"/>
      <c r="I49" s="359"/>
    </row>
    <row r="50" spans="1:9" s="69" customFormat="1" ht="13.2">
      <c r="A50" s="18"/>
      <c r="B50" s="199" t="s">
        <v>89</v>
      </c>
      <c r="C50" s="355"/>
      <c r="D50" s="356">
        <v>3465120.7125556199</v>
      </c>
      <c r="E50" s="356"/>
      <c r="F50" s="357">
        <f t="shared" si="0"/>
        <v>3465120.7125556199</v>
      </c>
      <c r="G50" s="313" t="str">
        <f>'TB Allocation Details'!C47</f>
        <v>TWh</v>
      </c>
      <c r="H50" s="358"/>
      <c r="I50" s="359"/>
    </row>
    <row r="51" spans="1:9" s="69" customFormat="1" ht="13.2">
      <c r="A51" s="18"/>
      <c r="B51" s="199" t="s">
        <v>90</v>
      </c>
      <c r="C51" s="355"/>
      <c r="D51" s="356">
        <v>1431913.1263141923</v>
      </c>
      <c r="E51" s="356"/>
      <c r="F51" s="357">
        <f t="shared" si="0"/>
        <v>1431913.1263141923</v>
      </c>
      <c r="G51" s="313" t="str">
        <f>'TB Allocation Details'!C48</f>
        <v>O&amp;M</v>
      </c>
      <c r="H51" s="358"/>
      <c r="I51" s="359"/>
    </row>
    <row r="52" spans="1:9" s="69" customFormat="1" ht="13.2">
      <c r="A52" s="18"/>
      <c r="B52" s="199" t="s">
        <v>91</v>
      </c>
      <c r="C52" s="355"/>
      <c r="D52" s="356">
        <v>1704218.1798594706</v>
      </c>
      <c r="E52" s="356"/>
      <c r="F52" s="357">
        <f t="shared" si="0"/>
        <v>1704218.1798594706</v>
      </c>
      <c r="G52" s="313" t="str">
        <f>'TB Allocation Details'!C49</f>
        <v>O&amp;M</v>
      </c>
      <c r="H52" s="358"/>
      <c r="I52" s="359"/>
    </row>
    <row r="53" spans="1:9" s="69" customFormat="1" ht="13.2">
      <c r="A53" s="18"/>
      <c r="B53" s="199" t="s">
        <v>92</v>
      </c>
      <c r="C53" s="355"/>
      <c r="D53" s="356">
        <v>3969532.2769054407</v>
      </c>
      <c r="E53" s="356"/>
      <c r="F53" s="357">
        <f t="shared" si="0"/>
        <v>3969532.2769054407</v>
      </c>
      <c r="G53" s="313" t="str">
        <f>'TB Allocation Details'!C50</f>
        <v>O&amp;M</v>
      </c>
      <c r="H53" s="358"/>
      <c r="I53" s="359"/>
    </row>
    <row r="54" spans="1:9" s="69" customFormat="1" ht="13.2">
      <c r="A54" s="18"/>
      <c r="B54" s="199" t="s">
        <v>93</v>
      </c>
      <c r="C54" s="355"/>
      <c r="D54" s="356">
        <v>5537836.5925250864</v>
      </c>
      <c r="E54" s="356"/>
      <c r="F54" s="357">
        <f t="shared" si="0"/>
        <v>5537836.5925250864</v>
      </c>
      <c r="G54" s="313" t="str">
        <f>'TB Allocation Details'!C51</f>
        <v>TWh</v>
      </c>
      <c r="H54" s="358"/>
      <c r="I54" s="359"/>
    </row>
    <row r="55" spans="1:9" s="69" customFormat="1" ht="13.2">
      <c r="A55" s="18"/>
      <c r="B55" s="199" t="s">
        <v>94</v>
      </c>
      <c r="C55" s="355"/>
      <c r="D55" s="356">
        <v>3662308.5255546798</v>
      </c>
      <c r="E55" s="356"/>
      <c r="F55" s="357">
        <f t="shared" si="0"/>
        <v>3662308.5255546798</v>
      </c>
      <c r="G55" s="313" t="str">
        <f>'TB Allocation Details'!C52</f>
        <v>TWh</v>
      </c>
      <c r="H55" s="358"/>
      <c r="I55" s="359"/>
    </row>
    <row r="56" spans="1:9" s="69" customFormat="1" ht="13.2">
      <c r="A56" s="18"/>
      <c r="B56" s="199" t="s">
        <v>95</v>
      </c>
      <c r="C56" s="355"/>
      <c r="D56" s="356">
        <v>17500000</v>
      </c>
      <c r="E56" s="356"/>
      <c r="F56" s="357">
        <f t="shared" si="0"/>
        <v>17500000</v>
      </c>
      <c r="G56" s="313" t="str">
        <f>'TB Allocation Details'!C53</f>
        <v>TWh</v>
      </c>
      <c r="H56" s="358"/>
      <c r="I56" s="359"/>
    </row>
    <row r="57" spans="1:9" s="69" customFormat="1" ht="13.2">
      <c r="A57" s="18"/>
      <c r="B57" s="199" t="s">
        <v>96</v>
      </c>
      <c r="C57" s="355"/>
      <c r="D57" s="356">
        <v>1017872.529923238</v>
      </c>
      <c r="E57" s="356"/>
      <c r="F57" s="357">
        <f t="shared" si="0"/>
        <v>1017872.529923238</v>
      </c>
      <c r="G57" s="313" t="str">
        <f>'TB Allocation Details'!C54</f>
        <v>TWh</v>
      </c>
      <c r="H57" s="358"/>
      <c r="I57" s="359"/>
    </row>
    <row r="58" spans="1:9" s="69" customFormat="1" ht="13.2">
      <c r="A58" s="18"/>
      <c r="B58" s="199" t="s">
        <v>97</v>
      </c>
      <c r="C58" s="355"/>
      <c r="D58" s="356">
        <v>6197678.6594368378</v>
      </c>
      <c r="E58" s="356"/>
      <c r="F58" s="357">
        <f t="shared" si="0"/>
        <v>6197678.6594368378</v>
      </c>
      <c r="G58" s="313" t="str">
        <f>'TB Allocation Details'!C55</f>
        <v>O&amp;M</v>
      </c>
      <c r="H58" s="358"/>
      <c r="I58" s="359"/>
    </row>
    <row r="59" spans="1:9" s="17" customFormat="1" ht="13.2">
      <c r="A59" s="18"/>
      <c r="B59" s="378" t="s">
        <v>172</v>
      </c>
      <c r="C59" s="347"/>
      <c r="D59" s="380">
        <f>SUM(D9:D58)</f>
        <v>182131970.49331689</v>
      </c>
      <c r="E59" s="380">
        <f t="shared" ref="E59:F59" si="2">SUM(E9:E58)</f>
        <v>0</v>
      </c>
      <c r="F59" s="380">
        <f t="shared" si="2"/>
        <v>182131970.49331689</v>
      </c>
      <c r="G59" s="379"/>
      <c r="H59" s="348"/>
      <c r="I59" s="348"/>
    </row>
    <row r="60" spans="1:9" s="17" customFormat="1" ht="13.2">
      <c r="A60" s="18"/>
      <c r="B60" s="347"/>
      <c r="C60" s="347"/>
      <c r="D60" s="381"/>
      <c r="E60" s="381"/>
      <c r="F60" s="381"/>
      <c r="G60" s="104"/>
      <c r="H60" s="348"/>
      <c r="I60" s="348"/>
    </row>
    <row r="61" spans="1:9" s="17" customFormat="1" ht="13.2">
      <c r="A61" s="18"/>
      <c r="B61" s="347"/>
      <c r="C61" s="347"/>
      <c r="D61" s="352"/>
      <c r="E61" s="352"/>
      <c r="F61" s="353"/>
      <c r="G61" s="104"/>
      <c r="H61" s="348"/>
      <c r="I61" s="348"/>
    </row>
    <row r="62" spans="1:9" s="17" customFormat="1" ht="15.6">
      <c r="A62" s="18"/>
      <c r="B62" s="382" t="s">
        <v>169</v>
      </c>
      <c r="C62" s="347"/>
      <c r="D62" s="352"/>
      <c r="E62" s="352"/>
      <c r="F62" s="353"/>
      <c r="G62" s="104"/>
      <c r="H62" s="348"/>
      <c r="I62" s="348"/>
    </row>
    <row r="63" spans="1:9" s="19" customFormat="1" ht="26.4">
      <c r="A63" s="18"/>
      <c r="B63" s="23" t="s">
        <v>0</v>
      </c>
      <c r="C63" s="20"/>
      <c r="D63" s="21" t="s">
        <v>4</v>
      </c>
      <c r="E63" s="22" t="s">
        <v>19</v>
      </c>
      <c r="F63" s="22" t="s">
        <v>20</v>
      </c>
      <c r="G63" s="22" t="s">
        <v>153</v>
      </c>
      <c r="H63" s="354"/>
      <c r="I63" s="354"/>
    </row>
    <row r="64" spans="1:9" s="69" customFormat="1" ht="13.2">
      <c r="A64" s="18"/>
      <c r="B64" s="199" t="s">
        <v>98</v>
      </c>
      <c r="C64" s="355"/>
      <c r="D64" s="356">
        <v>52281000</v>
      </c>
      <c r="E64" s="356"/>
      <c r="F64" s="357">
        <f t="shared" si="0"/>
        <v>52281000</v>
      </c>
      <c r="G64" s="313" t="str">
        <f>'TB Allocation Details'!C56</f>
        <v>TWh</v>
      </c>
      <c r="H64" s="358"/>
      <c r="I64" s="359"/>
    </row>
    <row r="65" spans="1:9" s="69" customFormat="1" ht="13.2">
      <c r="A65" s="18"/>
      <c r="B65" s="199" t="s">
        <v>99</v>
      </c>
      <c r="C65" s="355"/>
      <c r="D65" s="356">
        <v>278458000</v>
      </c>
      <c r="E65" s="356"/>
      <c r="F65" s="357">
        <f t="shared" si="0"/>
        <v>278458000</v>
      </c>
      <c r="G65" s="313" t="str">
        <f>'TB Allocation Details'!C57</f>
        <v>TWh</v>
      </c>
      <c r="H65" s="358"/>
      <c r="I65" s="359"/>
    </row>
    <row r="66" spans="1:9" s="69" customFormat="1" ht="13.2">
      <c r="A66" s="18"/>
      <c r="B66" s="199" t="s">
        <v>100</v>
      </c>
      <c r="C66" s="355"/>
      <c r="D66" s="356">
        <v>60180000</v>
      </c>
      <c r="E66" s="356"/>
      <c r="F66" s="357">
        <f t="shared" si="0"/>
        <v>60180000</v>
      </c>
      <c r="G66" s="313" t="str">
        <f>'TB Allocation Details'!C58</f>
        <v>TWh</v>
      </c>
      <c r="H66" s="358"/>
      <c r="I66" s="359"/>
    </row>
    <row r="67" spans="1:9" s="69" customFormat="1" ht="13.2">
      <c r="A67" s="18"/>
      <c r="B67" s="199" t="s">
        <v>101</v>
      </c>
      <c r="C67" s="355"/>
      <c r="D67" s="356">
        <v>23268000</v>
      </c>
      <c r="E67" s="356"/>
      <c r="F67" s="357">
        <f t="shared" si="0"/>
        <v>23268000</v>
      </c>
      <c r="G67" s="313" t="str">
        <f>'TB Allocation Details'!C59</f>
        <v>TWh</v>
      </c>
      <c r="H67" s="358"/>
      <c r="I67" s="359"/>
    </row>
    <row r="68" spans="1:9" s="69" customFormat="1" ht="13.2">
      <c r="A68" s="18"/>
      <c r="B68" s="199" t="s">
        <v>102</v>
      </c>
      <c r="C68" s="355"/>
      <c r="D68" s="356"/>
      <c r="E68" s="356"/>
      <c r="F68" s="357">
        <f t="shared" si="0"/>
        <v>0</v>
      </c>
      <c r="G68" s="313" t="str">
        <f>'TB Allocation Details'!C60</f>
        <v>O&amp;M</v>
      </c>
      <c r="H68" s="358"/>
      <c r="I68" s="359"/>
    </row>
    <row r="69" spans="1:9" s="69" customFormat="1" ht="13.2">
      <c r="A69" s="18"/>
      <c r="B69" s="199" t="s">
        <v>103</v>
      </c>
      <c r="C69" s="355"/>
      <c r="D69" s="356"/>
      <c r="E69" s="356"/>
      <c r="F69" s="357">
        <f t="shared" si="0"/>
        <v>0</v>
      </c>
      <c r="G69" s="313" t="str">
        <f>'TB Allocation Details'!C61</f>
        <v>O&amp;M</v>
      </c>
      <c r="H69" s="358"/>
      <c r="I69" s="359"/>
    </row>
    <row r="70" spans="1:9" s="69" customFormat="1" ht="13.2">
      <c r="A70" s="18"/>
      <c r="B70" s="199" t="s">
        <v>104</v>
      </c>
      <c r="C70" s="355"/>
      <c r="D70" s="356"/>
      <c r="E70" s="356"/>
      <c r="F70" s="357">
        <f t="shared" si="0"/>
        <v>0</v>
      </c>
      <c r="G70" s="313" t="str">
        <f>'TB Allocation Details'!C62</f>
        <v>O&amp;M</v>
      </c>
      <c r="H70" s="358"/>
      <c r="I70" s="359"/>
    </row>
    <row r="71" spans="1:9" s="69" customFormat="1" ht="13.2">
      <c r="A71" s="18"/>
      <c r="B71" s="199" t="s">
        <v>105</v>
      </c>
      <c r="C71" s="355"/>
      <c r="D71" s="356"/>
      <c r="E71" s="356"/>
      <c r="F71" s="357">
        <f t="shared" si="0"/>
        <v>0</v>
      </c>
      <c r="G71" s="313" t="str">
        <f>'TB Allocation Details'!C63</f>
        <v>O&amp;M</v>
      </c>
      <c r="H71" s="358"/>
      <c r="I71" s="359"/>
    </row>
    <row r="72" spans="1:9" s="69" customFormat="1" ht="13.2">
      <c r="A72" s="18"/>
      <c r="B72" s="199" t="s">
        <v>106</v>
      </c>
      <c r="C72" s="355"/>
      <c r="D72" s="356"/>
      <c r="E72" s="356"/>
      <c r="F72" s="357">
        <f t="shared" si="0"/>
        <v>0</v>
      </c>
      <c r="G72" s="313" t="str">
        <f>'TB Allocation Details'!C64</f>
        <v>O&amp;M</v>
      </c>
      <c r="H72" s="358"/>
      <c r="I72" s="359"/>
    </row>
    <row r="73" spans="1:9" s="69" customFormat="1" ht="13.2">
      <c r="A73" s="18"/>
      <c r="B73" s="199" t="s">
        <v>107</v>
      </c>
      <c r="C73" s="355"/>
      <c r="D73" s="356"/>
      <c r="E73" s="356"/>
      <c r="F73" s="357">
        <f t="shared" si="0"/>
        <v>0</v>
      </c>
      <c r="G73" s="313" t="str">
        <f>'TB Allocation Details'!C65</f>
        <v>O&amp;M</v>
      </c>
      <c r="H73" s="358"/>
      <c r="I73" s="359"/>
    </row>
    <row r="74" spans="1:9" s="69" customFormat="1" ht="13.2">
      <c r="A74" s="18"/>
      <c r="B74" s="199" t="s">
        <v>108</v>
      </c>
      <c r="C74" s="355"/>
      <c r="D74" s="356">
        <v>-321042000</v>
      </c>
      <c r="E74" s="356"/>
      <c r="F74" s="357">
        <f>+D74+E74</f>
        <v>-321042000</v>
      </c>
      <c r="G74" s="313" t="str">
        <f>'TB Allocation Details'!C66</f>
        <v>Assets</v>
      </c>
      <c r="H74" s="358"/>
      <c r="I74" s="359"/>
    </row>
    <row r="75" spans="1:9" s="17" customFormat="1" ht="13.2">
      <c r="A75" s="18"/>
      <c r="B75" s="378" t="s">
        <v>25</v>
      </c>
      <c r="C75" s="347"/>
      <c r="D75" s="380">
        <f t="shared" ref="D75:E75" si="3">SUM(D64:D74)</f>
        <v>93145000</v>
      </c>
      <c r="E75" s="380">
        <f t="shared" si="3"/>
        <v>0</v>
      </c>
      <c r="F75" s="380">
        <f>SUM(F64:F74)</f>
        <v>93145000</v>
      </c>
      <c r="G75" s="379"/>
      <c r="H75" s="348"/>
      <c r="I75" s="348"/>
    </row>
    <row r="76" spans="1:9" ht="20.399999999999999" customHeight="1">
      <c r="B76" s="415" t="s">
        <v>182</v>
      </c>
      <c r="C76" s="415"/>
      <c r="D76" s="415"/>
    </row>
  </sheetData>
  <mergeCells count="3">
    <mergeCell ref="D5:E5"/>
    <mergeCell ref="D4:E4"/>
    <mergeCell ref="B76:D76"/>
  </mergeCells>
  <phoneticPr fontId="0" type="noConversion"/>
  <pageMargins left="0.75" right="0.75" top="1" bottom="1" header="0.5" footer="0.5"/>
  <pageSetup scale="63" orientation="portrait" r:id="rId1"/>
  <headerFooter alignWithMargins="0">
    <oddFooter>&amp;L&amp;Z&amp;F - &amp;A&amp;R&amp;D</oddFooter>
  </headerFooter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indexed="34"/>
    <pageSetUpPr fitToPage="1"/>
  </sheetPr>
  <dimension ref="A1:E71"/>
  <sheetViews>
    <sheetView topLeftCell="A28" workbookViewId="0">
      <selection activeCell="D56" sqref="D56"/>
    </sheetView>
  </sheetViews>
  <sheetFormatPr defaultColWidth="9.109375" defaultRowHeight="10.199999999999999"/>
  <cols>
    <col min="1" max="1" width="2.6640625" style="17" customWidth="1"/>
    <col min="2" max="2" width="83" style="71" bestFit="1" customWidth="1"/>
    <col min="3" max="3" width="15.44140625" style="15" bestFit="1" customWidth="1"/>
    <col min="4" max="4" width="15.44140625" style="8" bestFit="1" customWidth="1"/>
    <col min="5" max="5" width="8.33203125" style="8" bestFit="1" customWidth="1"/>
    <col min="6" max="16384" width="9.109375" style="8"/>
  </cols>
  <sheetData>
    <row r="1" spans="1:5" s="2" customFormat="1" ht="21" customHeight="1">
      <c r="A1" s="59" t="str">
        <f>"Reconciliation Worksheet"</f>
        <v>Reconciliation Worksheet</v>
      </c>
      <c r="B1" s="60"/>
      <c r="C1" s="61"/>
    </row>
    <row r="2" spans="1:5" s="2" customFormat="1" ht="6" customHeight="1">
      <c r="A2" s="3"/>
      <c r="B2" s="3"/>
      <c r="C2" s="3"/>
      <c r="D2" s="3"/>
      <c r="E2" s="3"/>
    </row>
    <row r="3" spans="1:5">
      <c r="A3" s="117"/>
      <c r="B3" s="146"/>
    </row>
    <row r="4" spans="1:5">
      <c r="A4" s="16"/>
      <c r="B4" s="146"/>
    </row>
    <row r="5" spans="1:5">
      <c r="A5" s="74"/>
      <c r="B5" s="146"/>
    </row>
    <row r="6" spans="1:5">
      <c r="A6" s="16"/>
      <c r="B6" s="146"/>
    </row>
    <row r="7" spans="1:5" ht="10.8" thickBot="1">
      <c r="A7" s="96"/>
      <c r="B7" s="132"/>
      <c r="C7" s="167"/>
    </row>
    <row r="8" spans="1:5" s="168" customFormat="1" ht="31.2" thickBot="1">
      <c r="A8" s="96"/>
      <c r="B8" s="169" t="s">
        <v>0</v>
      </c>
      <c r="C8" s="133" t="s">
        <v>1</v>
      </c>
      <c r="D8" s="171" t="s">
        <v>175</v>
      </c>
      <c r="E8" s="170" t="s">
        <v>5</v>
      </c>
    </row>
    <row r="9" spans="1:5" ht="13.2">
      <c r="A9" s="96"/>
      <c r="B9" s="236" t="str">
        <f>'Functionalized Accounts'!B9</f>
        <v>CEO - CEO Office</v>
      </c>
      <c r="C9" s="134">
        <f>'Functionalized Accounts'!F9</f>
        <v>1189152.4940728098</v>
      </c>
      <c r="D9" s="173">
        <f>+SUM('Summary by Class &amp; Accounts'!E9:'Summary by Class &amp; Accounts'!F9)</f>
        <v>1189152.4940728093</v>
      </c>
      <c r="E9" s="198">
        <f t="shared" ref="E9:E28" si="0">+C9-D9</f>
        <v>0</v>
      </c>
    </row>
    <row r="10" spans="1:5" ht="13.2">
      <c r="A10" s="96"/>
      <c r="B10" s="237" t="str">
        <f>'Functionalized Accounts'!B10</f>
        <v>CEO - CEO Office - NERC Membership</v>
      </c>
      <c r="C10" s="134">
        <f>'Functionalized Accounts'!F10</f>
        <v>3976612.8</v>
      </c>
      <c r="D10" s="173">
        <f>+SUM('Summary by Class &amp; Accounts'!E10:'Summary by Class &amp; Accounts'!F10)</f>
        <v>3976612.8</v>
      </c>
      <c r="E10" s="198">
        <f t="shared" si="0"/>
        <v>0</v>
      </c>
    </row>
    <row r="11" spans="1:5" ht="13.2">
      <c r="A11" s="96"/>
      <c r="B11" s="237" t="str">
        <f>'Functionalized Accounts'!B11</f>
        <v>CEO - Internal Audit</v>
      </c>
      <c r="C11" s="134">
        <f>'Functionalized Accounts'!F11</f>
        <v>1638708.6820966986</v>
      </c>
      <c r="D11" s="173">
        <f>+SUM('Summary by Class &amp; Accounts'!E11:'Summary by Class &amp; Accounts'!F11)</f>
        <v>1638708.6820966979</v>
      </c>
      <c r="E11" s="198">
        <f t="shared" si="0"/>
        <v>0</v>
      </c>
    </row>
    <row r="12" spans="1:5" ht="13.2">
      <c r="A12" s="96"/>
      <c r="B12" s="237" t="str">
        <f>'Functionalized Accounts'!B12</f>
        <v>Market and System Operations - VP Office</v>
      </c>
      <c r="C12" s="134">
        <f>'Functionalized Accounts'!F12</f>
        <v>1588319.23703341</v>
      </c>
      <c r="D12" s="173">
        <f>+SUM('Summary by Class &amp; Accounts'!E12:'Summary by Class &amp; Accounts'!F12)</f>
        <v>1588319.2370334098</v>
      </c>
      <c r="E12" s="198">
        <f t="shared" si="0"/>
        <v>0</v>
      </c>
    </row>
    <row r="13" spans="1:5" ht="13.2">
      <c r="A13" s="96"/>
      <c r="B13" s="237" t="str">
        <f>'Functionalized Accounts'!B13</f>
        <v>Market and System Operations - System Performance</v>
      </c>
      <c r="C13" s="134">
        <f>'Functionalized Accounts'!F13</f>
        <v>5599744.0100422697</v>
      </c>
      <c r="D13" s="173">
        <f>+SUM('Summary by Class &amp; Accounts'!E13:'Summary by Class &amp; Accounts'!F13)</f>
        <v>5599744.0100422697</v>
      </c>
      <c r="E13" s="198">
        <f t="shared" ref="E13:E19" si="1">+C13-D13</f>
        <v>0</v>
      </c>
    </row>
    <row r="14" spans="1:5" ht="13.2">
      <c r="A14" s="96"/>
      <c r="B14" s="237" t="str">
        <f>'Functionalized Accounts'!B14</f>
        <v>Market and System Operations - Reliability Assessments</v>
      </c>
      <c r="C14" s="134">
        <f>'Functionalized Accounts'!F14</f>
        <v>3282505.00706576</v>
      </c>
      <c r="D14" s="173">
        <f>+SUM('Summary by Class &amp; Accounts'!E14:'Summary by Class &amp; Accounts'!F14)</f>
        <v>3282505.00706576</v>
      </c>
      <c r="E14" s="198">
        <f t="shared" si="1"/>
        <v>0</v>
      </c>
    </row>
    <row r="15" spans="1:5" ht="13.2">
      <c r="A15" s="96"/>
      <c r="B15" s="237" t="str">
        <f>'Functionalized Accounts'!B15</f>
        <v>Market and System Operations - Connections &amp; Registration</v>
      </c>
      <c r="C15" s="134">
        <f>'Functionalized Accounts'!F15</f>
        <v>4441271.3261546297</v>
      </c>
      <c r="D15" s="173">
        <f>+SUM('Summary by Class &amp; Accounts'!E15:'Summary by Class &amp; Accounts'!F15)</f>
        <v>4441271.3261546297</v>
      </c>
      <c r="E15" s="198">
        <f t="shared" si="1"/>
        <v>0</v>
      </c>
    </row>
    <row r="16" spans="1:5" ht="13.2">
      <c r="A16" s="96"/>
      <c r="B16" s="237" t="str">
        <f>'Functionalized Accounts'!B16</f>
        <v>Market and System Operations - Operational Effectiveness</v>
      </c>
      <c r="C16" s="134">
        <f>'Functionalized Accounts'!F16</f>
        <v>3876906.7601640099</v>
      </c>
      <c r="D16" s="173">
        <f>+SUM('Summary by Class &amp; Accounts'!E16:'Summary by Class &amp; Accounts'!F16)</f>
        <v>3876906.7601640099</v>
      </c>
      <c r="E16" s="198">
        <f t="shared" si="1"/>
        <v>0</v>
      </c>
    </row>
    <row r="17" spans="1:5" ht="13.2">
      <c r="A17" s="96"/>
      <c r="B17" s="237" t="str">
        <f>'Functionalized Accounts'!B17</f>
        <v>Market and System Operations - System Operations</v>
      </c>
      <c r="C17" s="134">
        <f>'Functionalized Accounts'!F17</f>
        <v>11499272.5088154</v>
      </c>
      <c r="D17" s="173">
        <f>+SUM('Summary by Class &amp; Accounts'!E17:'Summary by Class &amp; Accounts'!F17)</f>
        <v>11499272.5088154</v>
      </c>
      <c r="E17" s="198">
        <f t="shared" si="1"/>
        <v>0</v>
      </c>
    </row>
    <row r="18" spans="1:5" ht="13.2">
      <c r="A18" s="96"/>
      <c r="B18" s="237" t="str">
        <f>'Functionalized Accounts'!B18</f>
        <v>Market and System Operations - Market Forecasts &amp; Integration</v>
      </c>
      <c r="C18" s="134">
        <f>'Functionalized Accounts'!F18</f>
        <v>2662252.5258380398</v>
      </c>
      <c r="D18" s="173">
        <f>+SUM('Summary by Class &amp; Accounts'!E18:'Summary by Class &amp; Accounts'!F18)</f>
        <v>2662252.5258380398</v>
      </c>
      <c r="E18" s="198">
        <f t="shared" si="1"/>
        <v>0</v>
      </c>
    </row>
    <row r="19" spans="1:5" ht="13.2">
      <c r="A19" s="96"/>
      <c r="B19" s="237" t="str">
        <f>'Functionalized Accounts'!B19</f>
        <v>Market and System Operations - Operations Change Initiatives</v>
      </c>
      <c r="C19" s="134">
        <f>'Functionalized Accounts'!F19</f>
        <v>1184258.0433916801</v>
      </c>
      <c r="D19" s="173">
        <f>+SUM('Summary by Class &amp; Accounts'!E19:'Summary by Class &amp; Accounts'!F19)</f>
        <v>1184258.0433916803</v>
      </c>
      <c r="E19" s="198">
        <f t="shared" si="1"/>
        <v>0</v>
      </c>
    </row>
    <row r="20" spans="1:5" ht="13.2">
      <c r="A20" s="96"/>
      <c r="B20" s="237" t="str">
        <f>'Functionalized Accounts'!B20</f>
        <v>Market and Resource Development - VP Office</v>
      </c>
      <c r="C20" s="134">
        <f>'Functionalized Accounts'!F20</f>
        <v>1224063</v>
      </c>
      <c r="D20" s="173">
        <f>+SUM('Summary by Class &amp; Accounts'!E20:'Summary by Class &amp; Accounts'!F20)</f>
        <v>1224063</v>
      </c>
      <c r="E20" s="198">
        <f t="shared" si="0"/>
        <v>0</v>
      </c>
    </row>
    <row r="21" spans="1:5" ht="13.2">
      <c r="A21" s="96"/>
      <c r="B21" s="237" t="str">
        <f>'Functionalized Accounts'!B21</f>
        <v>Market and Resource Development - Contract Management</v>
      </c>
      <c r="C21" s="134">
        <f>'Functionalized Accounts'!F21</f>
        <v>9101459</v>
      </c>
      <c r="D21" s="173">
        <f>+SUM('Summary by Class &amp; Accounts'!E21:'Summary by Class &amp; Accounts'!F21)</f>
        <v>9101459</v>
      </c>
      <c r="E21" s="198">
        <f t="shared" ref="E21:E23" si="2">+C21-D21</f>
        <v>0</v>
      </c>
    </row>
    <row r="22" spans="1:5" ht="13.2">
      <c r="A22" s="96"/>
      <c r="B22" s="237" t="str">
        <f>'Functionalized Accounts'!B22</f>
        <v>Market and Resource Development - Renewable Procurement</v>
      </c>
      <c r="C22" s="134">
        <f>'Functionalized Accounts'!F22</f>
        <v>3477961</v>
      </c>
      <c r="D22" s="173">
        <f>+SUM('Summary by Class &amp; Accounts'!E22:'Summary by Class &amp; Accounts'!F22)</f>
        <v>3477961</v>
      </c>
      <c r="E22" s="198">
        <f t="shared" si="2"/>
        <v>0</v>
      </c>
    </row>
    <row r="23" spans="1:5" ht="13.2">
      <c r="A23" s="96"/>
      <c r="B23" s="237" t="str">
        <f>'Functionalized Accounts'!B23</f>
        <v>Market and Resource Development - Clean Energy Procurement</v>
      </c>
      <c r="C23" s="134">
        <f>'Functionalized Accounts'!F23</f>
        <v>1910054</v>
      </c>
      <c r="D23" s="173">
        <f>+SUM('Summary by Class &amp; Accounts'!E23:'Summary by Class &amp; Accounts'!F23)</f>
        <v>1910054</v>
      </c>
      <c r="E23" s="198">
        <f t="shared" si="2"/>
        <v>0</v>
      </c>
    </row>
    <row r="24" spans="1:5" ht="13.2">
      <c r="A24" s="96"/>
      <c r="B24" s="237" t="str">
        <f>'Functionalized Accounts'!B24</f>
        <v>Market and Resource Development - Policy &amp; Analysis</v>
      </c>
      <c r="C24" s="134">
        <f>'Functionalized Accounts'!F24</f>
        <v>0</v>
      </c>
      <c r="D24" s="173">
        <f>+SUM('Summary by Class &amp; Accounts'!E24:'Summary by Class &amp; Accounts'!F24)</f>
        <v>0</v>
      </c>
      <c r="E24" s="198">
        <f t="shared" si="0"/>
        <v>0</v>
      </c>
    </row>
    <row r="25" spans="1:5" ht="13.2">
      <c r="A25" s="96"/>
      <c r="B25" s="237" t="str">
        <f>'Functionalized Accounts'!B25</f>
        <v>Market and Resource Development - Markets</v>
      </c>
      <c r="C25" s="134">
        <f>'Functionalized Accounts'!F25</f>
        <v>4668610</v>
      </c>
      <c r="D25" s="173">
        <f>+SUM('Summary by Class &amp; Accounts'!E25:'Summary by Class &amp; Accounts'!F25)</f>
        <v>4668610</v>
      </c>
      <c r="E25" s="198">
        <f t="shared" si="0"/>
        <v>0</v>
      </c>
    </row>
    <row r="26" spans="1:5" ht="13.2">
      <c r="A26" s="96"/>
      <c r="B26" s="237" t="str">
        <f>'Functionalized Accounts'!B26</f>
        <v>Conservation and Corporate Relations - VP Office</v>
      </c>
      <c r="C26" s="134">
        <f>'Functionalized Accounts'!F26</f>
        <v>906519.23879315064</v>
      </c>
      <c r="D26" s="173">
        <f>+SUM('Summary by Class &amp; Accounts'!E26:'Summary by Class &amp; Accounts'!F26)</f>
        <v>906519.23879315064</v>
      </c>
      <c r="E26" s="198">
        <f t="shared" si="0"/>
        <v>0</v>
      </c>
    </row>
    <row r="27" spans="1:5" ht="13.2">
      <c r="A27" s="96"/>
      <c r="B27" s="237" t="str">
        <f>'Functionalized Accounts'!B27</f>
        <v>Conservation and Corporate Relations - Conservation Performance</v>
      </c>
      <c r="C27" s="134">
        <f>'Functionalized Accounts'!F27</f>
        <v>3398469.8461426906</v>
      </c>
      <c r="D27" s="173">
        <f>+SUM('Summary by Class &amp; Accounts'!E27:'Summary by Class &amp; Accounts'!F27)</f>
        <v>3398469.8461426906</v>
      </c>
      <c r="E27" s="198">
        <f t="shared" si="0"/>
        <v>0</v>
      </c>
    </row>
    <row r="28" spans="1:5" ht="13.2">
      <c r="A28" s="96"/>
      <c r="B28" s="237" t="str">
        <f>'Functionalized Accounts'!B28</f>
        <v>Conservation and Corporate Relations - Business Development</v>
      </c>
      <c r="C28" s="134">
        <f>'Functionalized Accounts'!F28</f>
        <v>2647841.456298661</v>
      </c>
      <c r="D28" s="173">
        <f>+SUM('Summary by Class &amp; Accounts'!E28:'Summary by Class &amp; Accounts'!F28)</f>
        <v>2647841.456298661</v>
      </c>
      <c r="E28" s="198">
        <f t="shared" si="0"/>
        <v>0</v>
      </c>
    </row>
    <row r="29" spans="1:5" ht="13.2">
      <c r="A29" s="96"/>
      <c r="B29" s="237" t="str">
        <f>'Functionalized Accounts'!B29</f>
        <v>Conservation and Corporate Relations - Strategic Engagement &amp; Innovation</v>
      </c>
      <c r="C29" s="134">
        <f>'Functionalized Accounts'!F29</f>
        <v>2125674.8444633931</v>
      </c>
      <c r="D29" s="173">
        <f>+SUM('Summary by Class &amp; Accounts'!E29:'Summary by Class &amp; Accounts'!F29)</f>
        <v>2125674.8444633931</v>
      </c>
      <c r="E29" s="198">
        <f>+C29-D29</f>
        <v>0</v>
      </c>
    </row>
    <row r="30" spans="1:5" ht="13.2">
      <c r="A30" s="96"/>
      <c r="B30" s="237" t="str">
        <f>'Functionalized Accounts'!B30</f>
        <v>Conservation and Corporate Relations - Program Delivery &amp; Partner Services</v>
      </c>
      <c r="C30" s="134">
        <f>'Functionalized Accounts'!F30</f>
        <v>2180164.5704119634</v>
      </c>
      <c r="D30" s="173">
        <f>+SUM('Summary by Class &amp; Accounts'!E30:'Summary by Class &amp; Accounts'!F30)</f>
        <v>2180164.5704119634</v>
      </c>
      <c r="E30" s="198">
        <f>+C30-D30</f>
        <v>0</v>
      </c>
    </row>
    <row r="31" spans="1:5" ht="13.2">
      <c r="A31" s="96"/>
      <c r="B31" s="237" t="str">
        <f>'Functionalized Accounts'!B31</f>
        <v>Conservation and Corporate Relations - Stakeholders &amp; Public Affairs</v>
      </c>
      <c r="C31" s="134">
        <f>'Functionalized Accounts'!F31</f>
        <v>5341349.3612686172</v>
      </c>
      <c r="D31" s="173">
        <f>+SUM('Summary by Class &amp; Accounts'!E31:'Summary by Class &amp; Accounts'!F31)</f>
        <v>5341349.3612686181</v>
      </c>
      <c r="E31" s="198">
        <f>+C31-D31</f>
        <v>0</v>
      </c>
    </row>
    <row r="32" spans="1:5" ht="13.2">
      <c r="A32" s="96"/>
      <c r="B32" s="237" t="str">
        <f>'Functionalized Accounts'!B32</f>
        <v>Conservation and Corporate Relations - Marketing</v>
      </c>
      <c r="C32" s="134">
        <f>'Functionalized Accounts'!F32</f>
        <v>0</v>
      </c>
      <c r="D32" s="173">
        <f>+SUM('Summary by Class &amp; Accounts'!E32:'Summary by Class &amp; Accounts'!F32)</f>
        <v>0</v>
      </c>
      <c r="E32" s="198">
        <f>+C32-D32</f>
        <v>0</v>
      </c>
    </row>
    <row r="33" spans="1:5" ht="13.2">
      <c r="A33" s="96"/>
      <c r="B33" s="237" t="str">
        <f>'Functionalized Accounts'!B33</f>
        <v>Information and Technology Services - VP Office</v>
      </c>
      <c r="C33" s="134">
        <f>'Functionalized Accounts'!F33</f>
        <v>1011151</v>
      </c>
      <c r="D33" s="173">
        <f>+SUM('Summary by Class &amp; Accounts'!E33:'Summary by Class &amp; Accounts'!F33)</f>
        <v>1011150.9999999995</v>
      </c>
      <c r="E33" s="198">
        <f>+C33-D33</f>
        <v>0</v>
      </c>
    </row>
    <row r="34" spans="1:5" ht="13.2">
      <c r="A34" s="96"/>
      <c r="B34" s="237" t="str">
        <f>'Functionalized Accounts'!B34</f>
        <v>Information and Technology Services - Organizational Governance</v>
      </c>
      <c r="C34" s="134">
        <f>'Functionalized Accounts'!F34</f>
        <v>3701929</v>
      </c>
      <c r="D34" s="173">
        <f>+SUM('Summary by Class &amp; Accounts'!E34:'Summary by Class &amp; Accounts'!F34)</f>
        <v>3701928.9999999986</v>
      </c>
      <c r="E34" s="198">
        <f t="shared" ref="E34:E53" si="3">+C34-D34</f>
        <v>0</v>
      </c>
    </row>
    <row r="35" spans="1:5" ht="13.2">
      <c r="A35" s="96"/>
      <c r="B35" s="237" t="str">
        <f>'Functionalized Accounts'!B35</f>
        <v>Information and Technology Services - Business Solutions + Business Analysis</v>
      </c>
      <c r="C35" s="134">
        <f>'Functionalized Accounts'!F35</f>
        <v>12175768</v>
      </c>
      <c r="D35" s="173">
        <f>+SUM('Summary by Class &amp; Accounts'!E35:'Summary by Class &amp; Accounts'!F35)</f>
        <v>12175767.999999994</v>
      </c>
      <c r="E35" s="198">
        <f t="shared" si="3"/>
        <v>0</v>
      </c>
    </row>
    <row r="36" spans="1:5" ht="13.2">
      <c r="A36" s="96"/>
      <c r="B36" s="237" t="str">
        <f>'Functionalized Accounts'!B36</f>
        <v>Information and Technology Services - Technology Support*</v>
      </c>
      <c r="C36" s="134">
        <f>'Functionalized Accounts'!F36</f>
        <v>15642927</v>
      </c>
      <c r="D36" s="173">
        <f>+SUM('Summary by Class &amp; Accounts'!E36:'Summary by Class &amp; Accounts'!F36)</f>
        <v>15642926.999999993</v>
      </c>
      <c r="E36" s="198">
        <f t="shared" si="3"/>
        <v>0</v>
      </c>
    </row>
    <row r="37" spans="1:5" ht="13.2">
      <c r="A37" s="96"/>
      <c r="B37" s="237" t="str">
        <f>'Functionalized Accounts'!B37</f>
        <v>Information and Technology Services - Solutions (Adelaide)*</v>
      </c>
      <c r="C37" s="134">
        <f>'Functionalized Accounts'!F37</f>
        <v>637841</v>
      </c>
      <c r="D37" s="173">
        <f>+SUM('Summary by Class &amp; Accounts'!E37:'Summary by Class &amp; Accounts'!F37)</f>
        <v>637840.99999999965</v>
      </c>
      <c r="E37" s="198">
        <f t="shared" si="3"/>
        <v>0</v>
      </c>
    </row>
    <row r="38" spans="1:5" ht="13.2">
      <c r="A38" s="96"/>
      <c r="B38" s="237" t="str">
        <f>'Functionalized Accounts'!B38</f>
        <v>Information and Technology Services - IT Operations</v>
      </c>
      <c r="C38" s="134">
        <f>'Functionalized Accounts'!F38</f>
        <v>2266992</v>
      </c>
      <c r="D38" s="173">
        <f>+SUM('Summary by Class &amp; Accounts'!E38:'Summary by Class &amp; Accounts'!F38)</f>
        <v>2266991.9999999991</v>
      </c>
      <c r="E38" s="198">
        <f t="shared" si="3"/>
        <v>0</v>
      </c>
    </row>
    <row r="39" spans="1:5" ht="13.2">
      <c r="A39" s="96"/>
      <c r="B39" s="237" t="str">
        <f>'Functionalized Accounts'!B39</f>
        <v>Information and Technology Services - Facilities</v>
      </c>
      <c r="C39" s="134">
        <f>'Functionalized Accounts'!F39</f>
        <v>8636858</v>
      </c>
      <c r="D39" s="173">
        <f>+SUM('Summary by Class &amp; Accounts'!E39:'Summary by Class &amp; Accounts'!F39)</f>
        <v>8636857.9999999963</v>
      </c>
      <c r="E39" s="198">
        <f t="shared" si="3"/>
        <v>0</v>
      </c>
    </row>
    <row r="40" spans="1:5" ht="13.2">
      <c r="A40" s="96"/>
      <c r="B40" s="237" t="str">
        <f>'Functionalized Accounts'!B40</f>
        <v>Information and Technology Services - Support of Market and System Operation</v>
      </c>
      <c r="C40" s="134">
        <f>'Functionalized Accounts'!F40</f>
        <v>0</v>
      </c>
      <c r="D40" s="173">
        <f>+SUM('Summary by Class &amp; Accounts'!E40:'Summary by Class &amp; Accounts'!F40)</f>
        <v>0</v>
      </c>
      <c r="E40" s="198">
        <f t="shared" si="3"/>
        <v>0</v>
      </c>
    </row>
    <row r="41" spans="1:5" ht="13.2">
      <c r="A41" s="96"/>
      <c r="B41" s="237" t="str">
        <f>'Functionalized Accounts'!B41</f>
        <v>Planning, Law and Aboriginal Relations - VP Office</v>
      </c>
      <c r="C41" s="134">
        <f>'Functionalized Accounts'!F41</f>
        <v>1168340</v>
      </c>
      <c r="D41" s="173">
        <f>+SUM('Summary by Class &amp; Accounts'!E41:'Summary by Class &amp; Accounts'!F41)</f>
        <v>1168340</v>
      </c>
      <c r="E41" s="198">
        <f t="shared" si="3"/>
        <v>0</v>
      </c>
    </row>
    <row r="42" spans="1:5" ht="13.2">
      <c r="A42" s="96"/>
      <c r="B42" s="237" t="str">
        <f>'Functionalized Accounts'!B42</f>
        <v>Planning, Law and Aboriginal Relations - General Counsel</v>
      </c>
      <c r="C42" s="134">
        <f>'Functionalized Accounts'!F42</f>
        <v>4378174</v>
      </c>
      <c r="D42" s="173">
        <f>+SUM('Summary by Class &amp; Accounts'!E42:'Summary by Class &amp; Accounts'!F42)</f>
        <v>4378174</v>
      </c>
      <c r="E42" s="198">
        <f t="shared" si="3"/>
        <v>0</v>
      </c>
    </row>
    <row r="43" spans="1:5" ht="13.2">
      <c r="A43" s="96"/>
      <c r="B43" s="237" t="str">
        <f>'Functionalized Accounts'!B43</f>
        <v>Planning, Law and Aboriginal Relations - Regulatory Affairs</v>
      </c>
      <c r="C43" s="134">
        <f>'Functionalized Accounts'!F43</f>
        <v>2186249</v>
      </c>
      <c r="D43" s="173">
        <f>+SUM('Summary by Class &amp; Accounts'!E43:'Summary by Class &amp; Accounts'!F43)</f>
        <v>2186249</v>
      </c>
      <c r="E43" s="198">
        <f t="shared" si="3"/>
        <v>0</v>
      </c>
    </row>
    <row r="44" spans="1:5" ht="13.2">
      <c r="A44" s="96"/>
      <c r="B44" s="237" t="str">
        <f>'Functionalized Accounts'!B44</f>
        <v>Planning, Law and Aboriginal Relations - Board</v>
      </c>
      <c r="C44" s="134">
        <f>'Functionalized Accounts'!F44</f>
        <v>715210</v>
      </c>
      <c r="D44" s="173">
        <f>+SUM('Summary by Class &amp; Accounts'!E44:'Summary by Class &amp; Accounts'!F44)</f>
        <v>715210</v>
      </c>
      <c r="E44" s="198">
        <f t="shared" si="3"/>
        <v>0</v>
      </c>
    </row>
    <row r="45" spans="1:5" ht="13.2">
      <c r="A45" s="96"/>
      <c r="B45" s="237" t="str">
        <f>'Functionalized Accounts'!B45</f>
        <v>Planning, Law and Aboriginal Relations - First Nations &amp; Metis Relations</v>
      </c>
      <c r="C45" s="134">
        <f>'Functionalized Accounts'!F45</f>
        <v>898421</v>
      </c>
      <c r="D45" s="173">
        <f>+SUM('Summary by Class &amp; Accounts'!E45:'Summary by Class &amp; Accounts'!F45)</f>
        <v>898421</v>
      </c>
      <c r="E45" s="198">
        <f t="shared" si="3"/>
        <v>0</v>
      </c>
    </row>
    <row r="46" spans="1:5" ht="13.2">
      <c r="A46" s="96"/>
      <c r="B46" s="237" t="str">
        <f>'Functionalized Accounts'!B46</f>
        <v xml:space="preserve">Planning, Law and Aboriginal Relations - Transmission Integration </v>
      </c>
      <c r="C46" s="134">
        <f>'Functionalized Accounts'!F46</f>
        <v>2538417</v>
      </c>
      <c r="D46" s="173">
        <f>+SUM('Summary by Class &amp; Accounts'!E46:'Summary by Class &amp; Accounts'!F46)</f>
        <v>2538417</v>
      </c>
      <c r="E46" s="198">
        <f t="shared" si="3"/>
        <v>0</v>
      </c>
    </row>
    <row r="47" spans="1:5" ht="13.2">
      <c r="A47" s="96"/>
      <c r="B47" s="237" t="str">
        <f>'Functionalized Accounts'!B47</f>
        <v>Planning, Law and Aboriginal Relations - Resource Integration</v>
      </c>
      <c r="C47" s="134">
        <f>'Functionalized Accounts'!F47</f>
        <v>2082323</v>
      </c>
      <c r="D47" s="173">
        <f>+SUM('Summary by Class &amp; Accounts'!E47:'Summary by Class &amp; Accounts'!F47)</f>
        <v>2082323</v>
      </c>
      <c r="E47" s="198">
        <f t="shared" si="3"/>
        <v>0</v>
      </c>
    </row>
    <row r="48" spans="1:5" ht="13.2">
      <c r="A48" s="96"/>
      <c r="B48" s="237" t="str">
        <f>'Functionalized Accounts'!B48</f>
        <v>Planning, Law and Aboriginal Relations - Conservation Inegration</v>
      </c>
      <c r="C48" s="134">
        <f>'Functionalized Accounts'!F48</f>
        <v>1271096</v>
      </c>
      <c r="D48" s="173">
        <f>+SUM('Summary by Class &amp; Accounts'!E48:'Summary by Class &amp; Accounts'!F48)</f>
        <v>1271096</v>
      </c>
      <c r="E48" s="198">
        <f t="shared" si="3"/>
        <v>0</v>
      </c>
    </row>
    <row r="49" spans="1:5" ht="13.2">
      <c r="A49" s="96"/>
      <c r="B49" s="237" t="str">
        <f>'Functionalized Accounts'!B49</f>
        <v>Corporate Services - VP Office</v>
      </c>
      <c r="C49" s="134">
        <f>'Functionalized Accounts'!F49</f>
        <v>412624.17818913399</v>
      </c>
      <c r="D49" s="173">
        <f>+SUM('Summary by Class &amp; Accounts'!E49:'Summary by Class &amp; Accounts'!F49)</f>
        <v>412624.17818913388</v>
      </c>
      <c r="E49" s="198">
        <f t="shared" si="3"/>
        <v>0</v>
      </c>
    </row>
    <row r="50" spans="1:5" ht="13.2">
      <c r="A50" s="96"/>
      <c r="B50" s="237" t="str">
        <f>'Functionalized Accounts'!B50</f>
        <v>Corporate Services - Corporate Controller</v>
      </c>
      <c r="C50" s="134">
        <f>'Functionalized Accounts'!F50</f>
        <v>3465120.7125556199</v>
      </c>
      <c r="D50" s="173">
        <f>+SUM('Summary by Class &amp; Accounts'!E50:'Summary by Class &amp; Accounts'!F50)</f>
        <v>3465120.7125556204</v>
      </c>
      <c r="E50" s="198">
        <f t="shared" si="3"/>
        <v>0</v>
      </c>
    </row>
    <row r="51" spans="1:5" ht="13.2">
      <c r="A51" s="96"/>
      <c r="B51" s="237" t="str">
        <f>'Functionalized Accounts'!B51</f>
        <v>Corporate Services - Financial Planning &amp; Analysis</v>
      </c>
      <c r="C51" s="134">
        <f>'Functionalized Accounts'!F51</f>
        <v>1431913.1263141923</v>
      </c>
      <c r="D51" s="173">
        <f>+SUM('Summary by Class &amp; Accounts'!E51:'Summary by Class &amp; Accounts'!F51)</f>
        <v>1431913.1263141918</v>
      </c>
      <c r="E51" s="198">
        <f t="shared" si="3"/>
        <v>0</v>
      </c>
    </row>
    <row r="52" spans="1:5" ht="13.2">
      <c r="A52" s="96"/>
      <c r="B52" s="237" t="str">
        <f>'Functionalized Accounts'!B52</f>
        <v>Corporate Services - Treasury &amp; Pension Operations</v>
      </c>
      <c r="C52" s="134">
        <f>'Functionalized Accounts'!F52</f>
        <v>1704218.1798594706</v>
      </c>
      <c r="D52" s="173">
        <f>+SUM('Summary by Class &amp; Accounts'!E52:'Summary by Class &amp; Accounts'!F52)</f>
        <v>1704218.1798594701</v>
      </c>
      <c r="E52" s="198">
        <f t="shared" si="3"/>
        <v>0</v>
      </c>
    </row>
    <row r="53" spans="1:5" ht="13.2">
      <c r="A53" s="96"/>
      <c r="B53" s="237" t="str">
        <f>'Functionalized Accounts'!B53</f>
        <v>Corporate Services - Human Resources</v>
      </c>
      <c r="C53" s="134">
        <f>'Functionalized Accounts'!F53</f>
        <v>3969532.2769054407</v>
      </c>
      <c r="D53" s="173">
        <f>+SUM('Summary by Class &amp; Accounts'!E53:'Summary by Class &amp; Accounts'!F53)</f>
        <v>3969532.2769054393</v>
      </c>
      <c r="E53" s="198">
        <f t="shared" si="3"/>
        <v>0</v>
      </c>
    </row>
    <row r="54" spans="1:5" ht="13.2">
      <c r="A54" s="96"/>
      <c r="B54" s="237" t="str">
        <f>'Functionalized Accounts'!B54</f>
        <v>Corporate Services - Settlements</v>
      </c>
      <c r="C54" s="134">
        <f>'Functionalized Accounts'!F54</f>
        <v>5537836.5925250864</v>
      </c>
      <c r="D54" s="173">
        <f>+SUM('Summary by Class &amp; Accounts'!E54:'Summary by Class &amp; Accounts'!F54)</f>
        <v>5537836.5925250864</v>
      </c>
      <c r="E54" s="198">
        <f>+C54-D54</f>
        <v>0</v>
      </c>
    </row>
    <row r="55" spans="1:5" ht="13.2">
      <c r="A55" s="96"/>
      <c r="B55" s="237" t="str">
        <f>'Functionalized Accounts'!B55</f>
        <v>MACD</v>
      </c>
      <c r="C55" s="134">
        <f>'Functionalized Accounts'!F55</f>
        <v>3662308.5255546798</v>
      </c>
      <c r="D55" s="173">
        <f>+SUM('Summary by Class &amp; Accounts'!E55:'Summary by Class &amp; Accounts'!F55)</f>
        <v>3662308.5255546803</v>
      </c>
      <c r="E55" s="198">
        <f>+C55-D55</f>
        <v>0</v>
      </c>
    </row>
    <row r="56" spans="1:5" ht="13.2">
      <c r="A56" s="96"/>
      <c r="B56" s="237" t="str">
        <f>'Functionalized Accounts'!B56</f>
        <v>Others (IESO Corp Adj+Int+Amort) - Amortization</v>
      </c>
      <c r="C56" s="134">
        <f>'Functionalized Accounts'!F56</f>
        <v>17500000</v>
      </c>
      <c r="D56" s="173">
        <f>+SUM('Summary by Class &amp; Accounts'!E56:'Summary by Class &amp; Accounts'!F56)</f>
        <v>17500000</v>
      </c>
      <c r="E56" s="198">
        <f>+C56-D56</f>
        <v>0</v>
      </c>
    </row>
    <row r="57" spans="1:5" ht="13.2">
      <c r="A57" s="96"/>
      <c r="B57" s="237" t="str">
        <f>'Functionalized Accounts'!B57</f>
        <v>Others (IESO Corp Adj+Int+Amort) - Interest</v>
      </c>
      <c r="C57" s="134">
        <f>'Functionalized Accounts'!F57</f>
        <v>1017872.529923238</v>
      </c>
      <c r="D57" s="173">
        <f>+SUM('Summary by Class &amp; Accounts'!E57:'Summary by Class &amp; Accounts'!F57)</f>
        <v>1017872.5299232381</v>
      </c>
      <c r="E57" s="198">
        <f>+C57-D57</f>
        <v>0</v>
      </c>
    </row>
    <row r="58" spans="1:5" ht="13.2">
      <c r="A58" s="96"/>
      <c r="B58" s="237" t="str">
        <f>'Functionalized Accounts'!B58</f>
        <v>Others (IESO Corp Adj+Int+Amort) - Uncleared salary</v>
      </c>
      <c r="C58" s="134">
        <f>'Functionalized Accounts'!F58</f>
        <v>6197678.6594368378</v>
      </c>
      <c r="D58" s="173">
        <f>+SUM('Summary by Class &amp; Accounts'!E58:'Summary by Class &amp; Accounts'!F58)</f>
        <v>6197678.6594368359</v>
      </c>
      <c r="E58" s="198">
        <f t="shared" ref="E58:E67" si="4">+C58-D58</f>
        <v>0</v>
      </c>
    </row>
    <row r="59" spans="1:5" ht="13.2">
      <c r="A59" s="96"/>
      <c r="B59" s="237" t="str">
        <f>'Functionalized Accounts'!B64</f>
        <v>Former IESO - Assets</v>
      </c>
      <c r="C59" s="134">
        <f>'Functionalized Accounts'!F64</f>
        <v>52281000</v>
      </c>
      <c r="D59" s="173">
        <f>+SUM('Summary by Class &amp; Accounts'!E59:'Summary by Class &amp; Accounts'!F59)</f>
        <v>52281000.000000007</v>
      </c>
      <c r="E59" s="198">
        <f t="shared" si="4"/>
        <v>0</v>
      </c>
    </row>
    <row r="60" spans="1:5" ht="13.2">
      <c r="A60" s="96"/>
      <c r="B60" s="237" t="str">
        <f>'Functionalized Accounts'!B65</f>
        <v>Former IESO - Market systems &amp; applications</v>
      </c>
      <c r="C60" s="134">
        <f>'Functionalized Accounts'!F65</f>
        <v>278458000</v>
      </c>
      <c r="D60" s="173">
        <f>+SUM('Summary by Class &amp; Accounts'!E60:'Summary by Class &amp; Accounts'!F60)</f>
        <v>278458000</v>
      </c>
      <c r="E60" s="198">
        <f t="shared" si="4"/>
        <v>0</v>
      </c>
    </row>
    <row r="61" spans="1:5" ht="13.2">
      <c r="A61" s="96"/>
      <c r="B61" s="237" t="str">
        <f>'Functionalized Accounts'!B66</f>
        <v>Former IESO - Infrastructure &amp; other assets</v>
      </c>
      <c r="C61" s="134">
        <f>'Functionalized Accounts'!F66</f>
        <v>60180000</v>
      </c>
      <c r="D61" s="173">
        <f>+SUM('Summary by Class &amp; Accounts'!E61:'Summary by Class &amp; Accounts'!F61)</f>
        <v>60180000.000000007</v>
      </c>
      <c r="E61" s="198">
        <f t="shared" si="4"/>
        <v>0</v>
      </c>
    </row>
    <row r="62" spans="1:5" ht="13.2">
      <c r="A62" s="96"/>
      <c r="B62" s="237" t="str">
        <f>'Functionalized Accounts'!B67</f>
        <v>Former IESO - Assets Under Construction</v>
      </c>
      <c r="C62" s="134">
        <f>'Functionalized Accounts'!F67</f>
        <v>23268000</v>
      </c>
      <c r="D62" s="173">
        <f>+SUM('Summary by Class &amp; Accounts'!E62:'Summary by Class &amp; Accounts'!F62)</f>
        <v>23268000.000000004</v>
      </c>
      <c r="E62" s="198">
        <f t="shared" si="4"/>
        <v>0</v>
      </c>
    </row>
    <row r="63" spans="1:5" ht="13.2">
      <c r="A63" s="96"/>
      <c r="B63" s="237" t="str">
        <f>'Functionalized Accounts'!B68</f>
        <v>Former OPA - Furniture &amp; Equipment</v>
      </c>
      <c r="C63" s="134">
        <f>'Functionalized Accounts'!F68</f>
        <v>0</v>
      </c>
      <c r="D63" s="173">
        <f>+SUM('Summary by Class &amp; Accounts'!E63:'Summary by Class &amp; Accounts'!F63)</f>
        <v>0</v>
      </c>
      <c r="E63" s="198">
        <f t="shared" si="4"/>
        <v>0</v>
      </c>
    </row>
    <row r="64" spans="1:5" ht="13.2">
      <c r="A64" s="96"/>
      <c r="B64" s="237" t="str">
        <f>'Functionalized Accounts'!B69</f>
        <v>Former OPA - Audio Visual</v>
      </c>
      <c r="C64" s="134">
        <f>'Functionalized Accounts'!F69</f>
        <v>0</v>
      </c>
      <c r="D64" s="173">
        <f>+SUM('Summary by Class &amp; Accounts'!E64:'Summary by Class &amp; Accounts'!F64)</f>
        <v>0</v>
      </c>
      <c r="E64" s="198">
        <f t="shared" si="4"/>
        <v>0</v>
      </c>
    </row>
    <row r="65" spans="1:5" ht="13.2">
      <c r="A65" s="96"/>
      <c r="B65" s="237" t="str">
        <f>'Functionalized Accounts'!B70</f>
        <v>Former OPA - Telephone</v>
      </c>
      <c r="C65" s="134">
        <f>'Functionalized Accounts'!F70</f>
        <v>0</v>
      </c>
      <c r="D65" s="173">
        <f>+SUM('Summary by Class &amp; Accounts'!E65:'Summary by Class &amp; Accounts'!F65)</f>
        <v>0</v>
      </c>
      <c r="E65" s="198">
        <f t="shared" si="4"/>
        <v>0</v>
      </c>
    </row>
    <row r="66" spans="1:5" ht="13.2">
      <c r="A66" s="96"/>
      <c r="B66" s="237" t="str">
        <f>'Functionalized Accounts'!B71</f>
        <v>Former OPA - Leasehold improvements</v>
      </c>
      <c r="C66" s="134">
        <f>'Functionalized Accounts'!F71</f>
        <v>0</v>
      </c>
      <c r="D66" s="173">
        <f>+SUM('Summary by Class &amp; Accounts'!E66:'Summary by Class &amp; Accounts'!F66)</f>
        <v>0</v>
      </c>
      <c r="E66" s="198">
        <f t="shared" si="4"/>
        <v>0</v>
      </c>
    </row>
    <row r="67" spans="1:5" ht="13.2">
      <c r="A67" s="96"/>
      <c r="B67" s="237" t="str">
        <f>'Functionalized Accounts'!B72</f>
        <v>Former OPA - Computer Hardware</v>
      </c>
      <c r="C67" s="134">
        <f>'Functionalized Accounts'!F72</f>
        <v>0</v>
      </c>
      <c r="D67" s="173">
        <f>+SUM('Summary by Class &amp; Accounts'!E67:'Summary by Class &amp; Accounts'!F67)</f>
        <v>0</v>
      </c>
      <c r="E67" s="198">
        <f t="shared" si="4"/>
        <v>0</v>
      </c>
    </row>
    <row r="68" spans="1:5" ht="13.2">
      <c r="A68" s="96"/>
      <c r="B68" s="237" t="str">
        <f>'Functionalized Accounts'!B73</f>
        <v>Former OPA - Computer Software</v>
      </c>
      <c r="C68" s="134">
        <f>'Functionalized Accounts'!F73</f>
        <v>0</v>
      </c>
      <c r="D68" s="173">
        <f>+SUM('Summary by Class &amp; Accounts'!E68:'Summary by Class &amp; Accounts'!F68)</f>
        <v>0</v>
      </c>
      <c r="E68" s="198">
        <f t="shared" ref="E68:E69" si="5">+C68-D68</f>
        <v>0</v>
      </c>
    </row>
    <row r="69" spans="1:5" ht="13.8" thickBot="1">
      <c r="A69" s="96"/>
      <c r="B69" s="237" t="str">
        <f>'Functionalized Accounts'!B74</f>
        <v>Accumulated Amortization</v>
      </c>
      <c r="C69" s="134">
        <f>'Functionalized Accounts'!F74</f>
        <v>-321042000</v>
      </c>
      <c r="D69" s="173">
        <f>+SUM('Summary by Class &amp; Accounts'!E69:'Summary by Class &amp; Accounts'!F69)</f>
        <v>-321042000</v>
      </c>
      <c r="E69" s="198">
        <f t="shared" si="5"/>
        <v>0</v>
      </c>
    </row>
    <row r="70" spans="1:5" s="6" customFormat="1" ht="16.2" thickBot="1">
      <c r="A70" s="238"/>
      <c r="B70" s="397" t="s">
        <v>10</v>
      </c>
      <c r="C70" s="398">
        <f>IF(ISERROR(SUM(C9:C69)), "-", SUM(C9:C69))</f>
        <v>275276970.49331689</v>
      </c>
      <c r="D70" s="399">
        <f>IF(ISERROR(SUM(D9:D69)), "-", SUM(D9:D69))</f>
        <v>275276970.49331689</v>
      </c>
      <c r="E70" s="400">
        <f>IF(ISERROR(SUM(E9:E69)), "-", SUM(E9:E69))</f>
        <v>0</v>
      </c>
    </row>
    <row r="71" spans="1:5" ht="13.2">
      <c r="A71" s="109"/>
      <c r="B71" s="73"/>
      <c r="C71" s="172"/>
      <c r="D71" s="69"/>
      <c r="E71" s="69"/>
    </row>
  </sheetData>
  <phoneticPr fontId="6" type="noConversion"/>
  <pageMargins left="0.75" right="0.75" top="1" bottom="1" header="0.5" footer="0.5"/>
  <pageSetup scale="72" orientation="portrait" horizontalDpi="4294967294" r:id="rId1"/>
  <headerFooter alignWithMargins="0">
    <oddFooter>&amp;L&amp;Z&amp;F -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indexed="42"/>
  </sheetPr>
  <dimension ref="A1:K20"/>
  <sheetViews>
    <sheetView zoomScaleNormal="100" workbookViewId="0">
      <selection activeCell="E14" sqref="E14"/>
    </sheetView>
  </sheetViews>
  <sheetFormatPr defaultColWidth="9.109375" defaultRowHeight="10.199999999999999"/>
  <cols>
    <col min="1" max="1" width="2.6640625" style="7" customWidth="1"/>
    <col min="2" max="2" width="29.6640625" style="25" customWidth="1"/>
    <col min="3" max="3" width="16.109375" style="53" customWidth="1"/>
    <col min="4" max="4" width="15.6640625" style="25" customWidth="1"/>
    <col min="5" max="6" width="15.6640625" style="54" customWidth="1"/>
    <col min="7" max="7" width="14.109375" style="25" customWidth="1"/>
    <col min="8" max="8" width="13.5546875" style="25" customWidth="1"/>
    <col min="9" max="9" width="13" style="25" customWidth="1"/>
    <col min="10" max="10" width="12.33203125" style="25" customWidth="1"/>
    <col min="11" max="11" width="10.33203125" style="25" bestFit="1" customWidth="1"/>
    <col min="12" max="12" width="12.44140625" style="25" customWidth="1"/>
    <col min="13" max="16384" width="9.109375" style="25"/>
  </cols>
  <sheetData>
    <row r="1" spans="1:11" s="2" customFormat="1" ht="21" customHeight="1">
      <c r="B1" s="12" t="str">
        <f>"Asset Break Out Worksheet "</f>
        <v xml:space="preserve">Asset Break Out Worksheet </v>
      </c>
      <c r="C1" s="13"/>
    </row>
    <row r="2" spans="1:11" s="2" customFormat="1" ht="6" customHeight="1">
      <c r="A2" s="3"/>
      <c r="B2" s="3"/>
      <c r="C2" s="3"/>
      <c r="D2" s="3"/>
      <c r="E2" s="3"/>
      <c r="F2" s="3"/>
    </row>
    <row r="3" spans="1:11" ht="21.75" customHeight="1" thickBot="1">
      <c r="A3" s="26"/>
      <c r="B3" s="27"/>
      <c r="C3" s="28"/>
      <c r="D3" s="29"/>
      <c r="E3" s="30"/>
      <c r="F3" s="30"/>
    </row>
    <row r="4" spans="1:11" ht="18" customHeight="1" thickBot="1">
      <c r="A4" s="231"/>
      <c r="B4" s="419" t="s">
        <v>178</v>
      </c>
      <c r="C4" s="416" t="s">
        <v>14</v>
      </c>
      <c r="D4" s="417"/>
      <c r="E4" s="418"/>
      <c r="F4" s="416" t="s">
        <v>15</v>
      </c>
      <c r="G4" s="417"/>
      <c r="H4" s="417"/>
      <c r="I4" s="418"/>
    </row>
    <row r="5" spans="1:11" s="31" customFormat="1" ht="18" customHeight="1">
      <c r="A5" s="231"/>
      <c r="B5" s="420"/>
      <c r="C5" s="421"/>
      <c r="D5" s="422"/>
      <c r="E5" s="423"/>
      <c r="F5" s="37"/>
      <c r="G5" s="366"/>
      <c r="H5" s="366"/>
      <c r="I5" s="367"/>
    </row>
    <row r="6" spans="1:11" s="40" customFormat="1" ht="66">
      <c r="A6" s="231"/>
      <c r="B6" s="32" t="s">
        <v>6</v>
      </c>
      <c r="C6" s="33" t="s">
        <v>11</v>
      </c>
      <c r="D6" s="34" t="s">
        <v>109</v>
      </c>
      <c r="E6" s="36" t="s">
        <v>13</v>
      </c>
      <c r="F6" s="33" t="s">
        <v>111</v>
      </c>
      <c r="G6" s="35" t="s">
        <v>112</v>
      </c>
      <c r="H6" s="35" t="s">
        <v>112</v>
      </c>
      <c r="I6" s="368" t="s">
        <v>18</v>
      </c>
      <c r="J6" s="68"/>
      <c r="K6" s="68"/>
    </row>
    <row r="7" spans="1:11" s="41" customFormat="1" ht="13.2">
      <c r="A7" s="231"/>
      <c r="B7" s="38" t="str">
        <f>'Functionalized Accounts'!B64</f>
        <v>Former IESO - Assets</v>
      </c>
      <c r="C7" s="393">
        <f>+'Functionalized Accounts'!F64</f>
        <v>52281000</v>
      </c>
      <c r="D7" s="194">
        <v>-22604000</v>
      </c>
      <c r="E7" s="39">
        <f t="shared" ref="E7:E16" si="0">C7+D7</f>
        <v>29677000</v>
      </c>
      <c r="F7" s="369">
        <v>37</v>
      </c>
      <c r="G7" s="394">
        <f>MIN(C7/F7,E7)</f>
        <v>1413000</v>
      </c>
      <c r="H7" s="365">
        <f>G7/G$18</f>
        <v>3.5679279022842729E-2</v>
      </c>
      <c r="I7" s="370">
        <f t="shared" ref="I7:I16" si="1">I$20*G7/G$18</f>
        <v>624387.38289974781</v>
      </c>
      <c r="J7" s="190"/>
      <c r="K7" s="190"/>
    </row>
    <row r="8" spans="1:11" s="41" customFormat="1" ht="26.4">
      <c r="A8" s="231"/>
      <c r="B8" s="38" t="str">
        <f>'Functionalized Accounts'!B65</f>
        <v>Former IESO - Market systems &amp; applications</v>
      </c>
      <c r="C8" s="393">
        <f>+'Functionalized Accounts'!F65</f>
        <v>278458000</v>
      </c>
      <c r="D8" s="194">
        <v>-251210000</v>
      </c>
      <c r="E8" s="39">
        <f t="shared" si="0"/>
        <v>27248000</v>
      </c>
      <c r="F8" s="369">
        <f>AVERAGE(4,12)</f>
        <v>8</v>
      </c>
      <c r="G8" s="394">
        <f>MIN(C8/F8,E8)</f>
        <v>27248000</v>
      </c>
      <c r="H8" s="365">
        <f t="shared" ref="H8:H16" si="2">G8/G$18</f>
        <v>0.68803184346384905</v>
      </c>
      <c r="I8" s="370">
        <f t="shared" si="1"/>
        <v>12040557.260617359</v>
      </c>
      <c r="J8" s="190"/>
      <c r="K8" s="190"/>
    </row>
    <row r="9" spans="1:11" s="41" customFormat="1" ht="26.4">
      <c r="A9" s="231"/>
      <c r="B9" s="38" t="str">
        <f>'Functionalized Accounts'!B66</f>
        <v>Former IESO - Infrastructure &amp; other assets</v>
      </c>
      <c r="C9" s="393">
        <f>+'Functionalized Accounts'!F66</f>
        <v>60180000</v>
      </c>
      <c r="D9" s="194">
        <v>-47228000</v>
      </c>
      <c r="E9" s="39">
        <f t="shared" si="0"/>
        <v>12952000</v>
      </c>
      <c r="F9" s="369">
        <f>AVERAGE(4,7)</f>
        <v>5.5</v>
      </c>
      <c r="G9" s="394">
        <f>MIN(C9/F9,E9)</f>
        <v>10941818.181818182</v>
      </c>
      <c r="H9" s="365">
        <f t="shared" si="2"/>
        <v>0.27628887751330827</v>
      </c>
      <c r="I9" s="370">
        <f t="shared" si="1"/>
        <v>4835055.3564828951</v>
      </c>
      <c r="J9" s="190"/>
      <c r="K9" s="190"/>
    </row>
    <row r="10" spans="1:11" s="41" customFormat="1" ht="26.4">
      <c r="A10" s="231"/>
      <c r="B10" s="38" t="str">
        <f>'Functionalized Accounts'!B67</f>
        <v>Former IESO - Assets Under Construction</v>
      </c>
      <c r="C10" s="393">
        <f>+'Functionalized Accounts'!F67</f>
        <v>23268000</v>
      </c>
      <c r="D10" s="194"/>
      <c r="E10" s="39">
        <f t="shared" si="0"/>
        <v>23268000</v>
      </c>
      <c r="F10" s="369"/>
      <c r="G10" s="394"/>
      <c r="H10" s="365">
        <f t="shared" si="2"/>
        <v>0</v>
      </c>
      <c r="I10" s="370">
        <f t="shared" si="1"/>
        <v>0</v>
      </c>
      <c r="J10" s="190"/>
      <c r="K10" s="190"/>
    </row>
    <row r="11" spans="1:11" s="41" customFormat="1" ht="26.4">
      <c r="A11" s="231"/>
      <c r="B11" s="38" t="str">
        <f>'Functionalized Accounts'!B68</f>
        <v>Former OPA - Furniture &amp; Equipment</v>
      </c>
      <c r="C11" s="393">
        <f>+'Functionalized Accounts'!F68</f>
        <v>0</v>
      </c>
      <c r="D11" s="194"/>
      <c r="E11" s="39">
        <f t="shared" si="0"/>
        <v>0</v>
      </c>
      <c r="F11" s="369">
        <v>10</v>
      </c>
      <c r="G11" s="394">
        <f t="shared" ref="G11:G16" si="3">MIN(C11/F11,E11)</f>
        <v>0</v>
      </c>
      <c r="H11" s="365">
        <f t="shared" si="2"/>
        <v>0</v>
      </c>
      <c r="I11" s="370">
        <f t="shared" si="1"/>
        <v>0</v>
      </c>
      <c r="J11" s="190"/>
      <c r="K11" s="190"/>
    </row>
    <row r="12" spans="1:11" s="41" customFormat="1" ht="13.2">
      <c r="A12" s="231"/>
      <c r="B12" s="38" t="str">
        <f>'Functionalized Accounts'!B69</f>
        <v>Former OPA - Audio Visual</v>
      </c>
      <c r="C12" s="393">
        <f>+'Functionalized Accounts'!F69</f>
        <v>0</v>
      </c>
      <c r="D12" s="194"/>
      <c r="E12" s="39">
        <f t="shared" si="0"/>
        <v>0</v>
      </c>
      <c r="F12" s="369">
        <v>10</v>
      </c>
      <c r="G12" s="394">
        <f t="shared" si="3"/>
        <v>0</v>
      </c>
      <c r="H12" s="365">
        <f t="shared" si="2"/>
        <v>0</v>
      </c>
      <c r="I12" s="370">
        <f t="shared" si="1"/>
        <v>0</v>
      </c>
      <c r="J12" s="190"/>
      <c r="K12" s="190"/>
    </row>
    <row r="13" spans="1:11" s="41" customFormat="1" ht="13.2">
      <c r="A13" s="231"/>
      <c r="B13" s="38" t="str">
        <f>'Functionalized Accounts'!B70</f>
        <v>Former OPA - Telephone</v>
      </c>
      <c r="C13" s="393">
        <f>+'Functionalized Accounts'!F70</f>
        <v>0</v>
      </c>
      <c r="D13" s="194"/>
      <c r="E13" s="39">
        <f t="shared" si="0"/>
        <v>0</v>
      </c>
      <c r="F13" s="369">
        <v>5</v>
      </c>
      <c r="G13" s="394">
        <f t="shared" si="3"/>
        <v>0</v>
      </c>
      <c r="H13" s="365">
        <f t="shared" si="2"/>
        <v>0</v>
      </c>
      <c r="I13" s="370">
        <f t="shared" si="1"/>
        <v>0</v>
      </c>
      <c r="J13" s="190"/>
      <c r="K13" s="190"/>
    </row>
    <row r="14" spans="1:11" s="41" customFormat="1" ht="26.4">
      <c r="A14" s="231"/>
      <c r="B14" s="38" t="str">
        <f>'Functionalized Accounts'!B71</f>
        <v>Former OPA - Leasehold improvements</v>
      </c>
      <c r="C14" s="393">
        <f>+'Functionalized Accounts'!F71</f>
        <v>0</v>
      </c>
      <c r="D14" s="194"/>
      <c r="E14" s="39">
        <f t="shared" si="0"/>
        <v>0</v>
      </c>
      <c r="F14" s="369">
        <v>10</v>
      </c>
      <c r="G14" s="394">
        <f t="shared" si="3"/>
        <v>0</v>
      </c>
      <c r="H14" s="365">
        <f t="shared" si="2"/>
        <v>0</v>
      </c>
      <c r="I14" s="370">
        <f t="shared" si="1"/>
        <v>0</v>
      </c>
      <c r="J14" s="190"/>
      <c r="K14" s="190"/>
    </row>
    <row r="15" spans="1:11" s="41" customFormat="1" ht="26.4">
      <c r="A15" s="231"/>
      <c r="B15" s="38" t="str">
        <f>'Functionalized Accounts'!B72</f>
        <v>Former OPA - Computer Hardware</v>
      </c>
      <c r="C15" s="393">
        <f>+'Functionalized Accounts'!F72</f>
        <v>0</v>
      </c>
      <c r="D15" s="194"/>
      <c r="E15" s="39">
        <f t="shared" si="0"/>
        <v>0</v>
      </c>
      <c r="F15" s="369">
        <v>4</v>
      </c>
      <c r="G15" s="394">
        <f t="shared" si="3"/>
        <v>0</v>
      </c>
      <c r="H15" s="365">
        <f t="shared" si="2"/>
        <v>0</v>
      </c>
      <c r="I15" s="370">
        <f t="shared" si="1"/>
        <v>0</v>
      </c>
      <c r="J15" s="190"/>
      <c r="K15" s="190"/>
    </row>
    <row r="16" spans="1:11" s="41" customFormat="1" ht="13.8" thickBot="1">
      <c r="A16" s="231"/>
      <c r="B16" s="38" t="str">
        <f>'Functionalized Accounts'!B73</f>
        <v>Former OPA - Computer Software</v>
      </c>
      <c r="C16" s="395">
        <f>+'Functionalized Accounts'!F73</f>
        <v>0</v>
      </c>
      <c r="D16" s="374"/>
      <c r="E16" s="375">
        <f t="shared" si="0"/>
        <v>0</v>
      </c>
      <c r="F16" s="371">
        <f>AVERAGE(3,5)</f>
        <v>4</v>
      </c>
      <c r="G16" s="396">
        <f t="shared" si="3"/>
        <v>0</v>
      </c>
      <c r="H16" s="372">
        <f t="shared" si="2"/>
        <v>0</v>
      </c>
      <c r="I16" s="373">
        <f t="shared" si="1"/>
        <v>0</v>
      </c>
      <c r="J16" s="190"/>
      <c r="K16" s="190"/>
    </row>
    <row r="17" spans="1:11" s="41" customFormat="1" ht="13.8" thickBot="1">
      <c r="A17" s="44"/>
      <c r="B17" s="45"/>
      <c r="C17" s="46"/>
      <c r="D17" s="47"/>
      <c r="E17" s="48"/>
      <c r="F17" s="189"/>
      <c r="G17" s="191"/>
      <c r="H17" s="191"/>
      <c r="I17" s="49"/>
      <c r="J17" s="191"/>
      <c r="K17" s="191"/>
    </row>
    <row r="18" spans="1:11" s="51" customFormat="1" ht="13.8" thickBot="1">
      <c r="A18" s="50"/>
      <c r="B18" s="385" t="s">
        <v>10</v>
      </c>
      <c r="C18" s="55">
        <f t="shared" ref="C18:E18" si="4">SUM(C7:C16)</f>
        <v>414187000</v>
      </c>
      <c r="D18" s="55">
        <f t="shared" si="4"/>
        <v>-321042000</v>
      </c>
      <c r="E18" s="55">
        <f t="shared" si="4"/>
        <v>93145000</v>
      </c>
      <c r="F18" s="55"/>
      <c r="G18" s="55">
        <f>SUM(G7:G17)</f>
        <v>39602818.18181818</v>
      </c>
      <c r="H18" s="55"/>
      <c r="I18" s="384">
        <f>SUM(I7:I16)</f>
        <v>17500000</v>
      </c>
      <c r="J18" s="191"/>
      <c r="K18" s="191"/>
    </row>
    <row r="19" spans="1:11" s="27" customFormat="1" ht="13.8" thickBot="1">
      <c r="A19" s="50"/>
      <c r="B19" s="43" t="s">
        <v>2</v>
      </c>
      <c r="C19" s="390"/>
      <c r="D19" s="391"/>
      <c r="E19" s="392"/>
      <c r="F19" s="42"/>
      <c r="G19" s="42"/>
      <c r="H19" s="42"/>
      <c r="I19" s="383"/>
      <c r="J19" s="42"/>
      <c r="K19" s="42"/>
    </row>
    <row r="20" spans="1:11" s="27" customFormat="1" ht="13.8" thickBot="1">
      <c r="A20" s="50"/>
      <c r="B20" s="386" t="s">
        <v>171</v>
      </c>
      <c r="C20" s="387"/>
      <c r="D20" s="388">
        <f>ROUND('Functionalized Accounts'!F74,0)</f>
        <v>-321042000</v>
      </c>
      <c r="E20" s="55">
        <f>ROUND('Functionalized Accounts'!F75,0)</f>
        <v>93145000</v>
      </c>
      <c r="F20" s="387"/>
      <c r="G20" s="387"/>
      <c r="H20" s="387"/>
      <c r="I20" s="389">
        <f>'Functionalized Accounts'!F56</f>
        <v>17500000</v>
      </c>
      <c r="J20" s="42"/>
      <c r="K20" s="42"/>
    </row>
  </sheetData>
  <mergeCells count="4">
    <mergeCell ref="F4:I4"/>
    <mergeCell ref="B4:B5"/>
    <mergeCell ref="C4:E4"/>
    <mergeCell ref="C5:E5"/>
  </mergeCells>
  <phoneticPr fontId="6" type="noConversion"/>
  <pageMargins left="0.75" right="0.38" top="0.56000000000000005" bottom="0.57999999999999996" header="0.31" footer="0.3"/>
  <pageSetup scale="65" fitToHeight="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42"/>
    <pageSetUpPr fitToPage="1"/>
  </sheetPr>
  <dimension ref="A1:U23"/>
  <sheetViews>
    <sheetView workbookViewId="0">
      <selection activeCell="B10" sqref="B10"/>
    </sheetView>
  </sheetViews>
  <sheetFormatPr defaultColWidth="9.109375" defaultRowHeight="10.199999999999999"/>
  <cols>
    <col min="1" max="1" width="32.109375" style="7" customWidth="1"/>
    <col min="2" max="2" width="15.6640625" style="57" customWidth="1"/>
    <col min="3" max="3" width="16" style="58" customWidth="1"/>
    <col min="4" max="4" width="11.6640625" style="58" bestFit="1" customWidth="1"/>
    <col min="5" max="5" width="16" style="58" customWidth="1"/>
    <col min="6" max="11" width="9.109375" style="58"/>
    <col min="12" max="16384" width="9.109375" style="7"/>
  </cols>
  <sheetData>
    <row r="1" spans="1:21" s="2" customFormat="1" ht="21" customHeight="1">
      <c r="A1" s="59" t="str">
        <f>"Revenue Worksheet "</f>
        <v xml:space="preserve">Revenue Worksheet </v>
      </c>
      <c r="B1" s="60"/>
      <c r="C1" s="13"/>
      <c r="D1" s="61"/>
    </row>
    <row r="2" spans="1:21" s="2" customFormat="1" ht="6" customHeight="1">
      <c r="A2" s="3"/>
      <c r="B2" s="3"/>
      <c r="C2" s="3"/>
      <c r="D2" s="3"/>
    </row>
    <row r="4" spans="1:21" ht="2.25" customHeight="1">
      <c r="A4" s="56"/>
      <c r="D4" s="7"/>
    </row>
    <row r="5" spans="1:21" ht="20.25" customHeight="1">
      <c r="A5" s="62"/>
      <c r="D5" s="7"/>
      <c r="J5" s="7"/>
      <c r="K5" s="7"/>
    </row>
    <row r="6" spans="1:21" s="64" customFormat="1" ht="13.2">
      <c r="C6" s="66">
        <v>1</v>
      </c>
      <c r="D6" s="66">
        <v>2</v>
      </c>
      <c r="E6" s="63"/>
    </row>
    <row r="7" spans="1:21" s="174" customFormat="1" ht="45" customHeight="1">
      <c r="B7" s="176" t="s">
        <v>10</v>
      </c>
      <c r="C7" s="405" t="s">
        <v>27</v>
      </c>
      <c r="D7" s="406" t="s">
        <v>28</v>
      </c>
      <c r="E7" s="175"/>
      <c r="F7" s="175"/>
      <c r="G7" s="175"/>
      <c r="H7" s="175"/>
      <c r="I7" s="175"/>
      <c r="J7" s="175"/>
      <c r="K7" s="175"/>
    </row>
    <row r="8" spans="1:21" ht="9.75" customHeight="1">
      <c r="A8" s="424" t="s">
        <v>22</v>
      </c>
      <c r="B8" s="426"/>
      <c r="C8" s="426"/>
      <c r="D8" s="426"/>
    </row>
    <row r="9" spans="1:21">
      <c r="A9" s="425"/>
      <c r="B9" s="427"/>
      <c r="C9" s="427"/>
      <c r="D9" s="427"/>
    </row>
    <row r="10" spans="1:21" ht="24" customHeight="1">
      <c r="A10" s="249" t="s">
        <v>55</v>
      </c>
      <c r="B10" s="196">
        <f>SUM(C10:D10)</f>
        <v>158942411.08025455</v>
      </c>
      <c r="C10" s="287">
        <f>'Energy Throughput'!D12*1000000</f>
        <v>140190875.30247676</v>
      </c>
      <c r="D10" s="287">
        <f>'Energy Throughput'!E12*1000000</f>
        <v>18751535.77777778</v>
      </c>
      <c r="E10" s="179"/>
      <c r="F10" s="179"/>
      <c r="G10" s="179"/>
      <c r="H10" s="179"/>
      <c r="I10" s="179"/>
      <c r="J10" s="179"/>
      <c r="K10" s="179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 ht="6" customHeight="1">
      <c r="A11" s="177"/>
      <c r="B11" s="180"/>
      <c r="C11" s="180"/>
      <c r="D11" s="180"/>
      <c r="E11" s="179"/>
      <c r="F11" s="179"/>
      <c r="G11" s="179"/>
      <c r="H11" s="179"/>
      <c r="I11" s="179"/>
      <c r="J11" s="179"/>
      <c r="K11" s="179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1" s="65" customFormat="1" ht="13.2">
      <c r="A12" s="178" t="s">
        <v>48</v>
      </c>
      <c r="B12" s="183"/>
      <c r="C12" s="195">
        <v>0.80300000000000005</v>
      </c>
      <c r="D12" s="195">
        <v>0.80300000000000005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</row>
    <row r="13" spans="1:21" s="65" customFormat="1" ht="13.2">
      <c r="A13" s="178" t="s">
        <v>49</v>
      </c>
      <c r="B13" s="183"/>
      <c r="C13" s="195">
        <v>0.439</v>
      </c>
      <c r="D13" s="195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</row>
    <row r="14" spans="1:21" ht="6" customHeight="1">
      <c r="A14" s="177"/>
      <c r="B14" s="180"/>
      <c r="C14" s="180"/>
      <c r="D14" s="180"/>
      <c r="E14" s="179"/>
      <c r="F14" s="179"/>
      <c r="G14" s="179"/>
      <c r="H14" s="179"/>
      <c r="I14" s="179"/>
      <c r="J14" s="179"/>
      <c r="K14" s="179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 s="65" customFormat="1" ht="13.2">
      <c r="A15" s="184" t="s">
        <v>24</v>
      </c>
      <c r="B15" s="183">
        <f>+SUM(C15:D15)</f>
        <v>189174550.3552317</v>
      </c>
      <c r="C15" s="185">
        <f>C10*C12+C10*C13</f>
        <v>174117067.12567616</v>
      </c>
      <c r="D15" s="185">
        <f>D10*D12+D10*D13</f>
        <v>15057483.229555558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</row>
    <row r="16" spans="1:21" ht="6" customHeight="1">
      <c r="A16" s="177"/>
      <c r="B16" s="180"/>
      <c r="C16" s="181"/>
      <c r="D16" s="181"/>
      <c r="E16" s="179"/>
      <c r="F16" s="179"/>
      <c r="G16" s="179"/>
      <c r="H16" s="179"/>
      <c r="I16" s="179"/>
      <c r="J16" s="179"/>
      <c r="K16" s="179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8" spans="1:4">
      <c r="A18" s="428" t="s">
        <v>50</v>
      </c>
    </row>
    <row r="19" spans="1:4" ht="11.25" customHeight="1">
      <c r="A19" s="425" t="s">
        <v>50</v>
      </c>
    </row>
    <row r="20" spans="1:4" ht="12.75" customHeight="1">
      <c r="A20" s="178" t="s">
        <v>51</v>
      </c>
      <c r="B20" s="183">
        <f>'Functionalized Accounts'!F4</f>
        <v>182131970.49331689</v>
      </c>
      <c r="C20" s="185"/>
      <c r="D20" s="185"/>
    </row>
    <row r="21" spans="1:4" ht="12.75" customHeight="1">
      <c r="A21" s="178" t="s">
        <v>52</v>
      </c>
      <c r="B21" s="183"/>
      <c r="C21" s="286">
        <f>B20/B10</f>
        <v>1.145899129473714</v>
      </c>
      <c r="D21" s="286">
        <f>C21</f>
        <v>1.145899129473714</v>
      </c>
    </row>
    <row r="22" spans="1:4" ht="12.75" customHeight="1">
      <c r="A22" s="178" t="s">
        <v>53</v>
      </c>
      <c r="B22" s="183"/>
      <c r="C22" s="185">
        <f>C21*C10</f>
        <v>160644601.96926612</v>
      </c>
      <c r="D22" s="185">
        <f>D21*D10</f>
        <v>21487368.524050761</v>
      </c>
    </row>
    <row r="23" spans="1:4" ht="13.2">
      <c r="A23" s="177"/>
      <c r="B23" s="180"/>
      <c r="C23" s="181"/>
      <c r="D23" s="181"/>
    </row>
  </sheetData>
  <mergeCells count="3">
    <mergeCell ref="A8:A9"/>
    <mergeCell ref="B8:D9"/>
    <mergeCell ref="A18:A19"/>
  </mergeCells>
  <phoneticPr fontId="36" type="noConversion"/>
  <pageMargins left="0.39370078740157499" right="0.39370078740157499" top="0.74803149606299202" bottom="0.74803149606299202" header="0.31496062992126" footer="0.31496062992126"/>
  <pageSetup fitToHeight="5" orientation="landscape" r:id="rId1"/>
  <headerFooter>
    <oddFooter>&amp;L&amp;Z&amp;F -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2"/>
    <pageSetUpPr fitToPage="1"/>
  </sheetPr>
  <dimension ref="A1:E15"/>
  <sheetViews>
    <sheetView topLeftCell="B1" workbookViewId="0">
      <selection activeCell="F18" sqref="F18"/>
    </sheetView>
  </sheetViews>
  <sheetFormatPr defaultColWidth="8.44140625" defaultRowHeight="10.199999999999999"/>
  <cols>
    <col min="1" max="1" width="23.88671875" style="81" customWidth="1"/>
    <col min="2" max="2" width="12.5546875" style="81" customWidth="1"/>
    <col min="3" max="4" width="15.6640625" style="80" customWidth="1"/>
    <col min="5" max="5" width="11.33203125" style="80" bestFit="1" customWidth="1"/>
    <col min="6" max="16384" width="8.44140625" style="80"/>
  </cols>
  <sheetData>
    <row r="1" spans="1:5" s="2" customFormat="1" ht="21" customHeight="1">
      <c r="A1" s="59" t="str">
        <f>"Demand Data Worksheet "</f>
        <v xml:space="preserve">Demand Data Worksheet </v>
      </c>
      <c r="B1" s="60"/>
      <c r="C1" s="60"/>
      <c r="D1" s="13"/>
      <c r="E1" s="61"/>
    </row>
    <row r="2" spans="1:5" s="2" customFormat="1" ht="6" customHeight="1">
      <c r="A2" s="3"/>
      <c r="B2" s="3"/>
      <c r="C2" s="3"/>
      <c r="D2" s="3"/>
      <c r="E2" s="3"/>
    </row>
    <row r="3" spans="1:5" ht="10.8" thickBot="1"/>
    <row r="4" spans="1:5" ht="19.5" customHeight="1" thickBot="1">
      <c r="D4" s="87">
        <v>1</v>
      </c>
      <c r="E4" s="88">
        <v>2</v>
      </c>
    </row>
    <row r="5" spans="1:5" ht="16.2" thickBot="1">
      <c r="A5" s="431" t="s">
        <v>9</v>
      </c>
      <c r="B5" s="431"/>
      <c r="C5" s="85" t="s">
        <v>10</v>
      </c>
      <c r="D5" s="248" t="str">
        <f>Revenue!C7</f>
        <v>Domestic</v>
      </c>
      <c r="E5" s="84" t="str">
        <f>Revenue!D7</f>
        <v>Export</v>
      </c>
    </row>
    <row r="6" spans="1:5" ht="10.8" thickBot="1">
      <c r="C6" s="289"/>
      <c r="D6" s="291"/>
      <c r="E6" s="290"/>
    </row>
    <row r="7" spans="1:5" ht="14.4" thickTop="1" thickBot="1">
      <c r="A7" s="429" t="s">
        <v>39</v>
      </c>
      <c r="B7" s="430"/>
      <c r="C7" s="86"/>
      <c r="D7" s="292"/>
      <c r="E7" s="83"/>
    </row>
    <row r="8" spans="1:5" ht="10.8" thickTop="1">
      <c r="B8" s="82"/>
      <c r="C8" s="86"/>
      <c r="D8" s="292"/>
      <c r="E8" s="83"/>
    </row>
    <row r="9" spans="1:5" ht="13.2">
      <c r="A9" s="201" t="s">
        <v>136</v>
      </c>
      <c r="B9" s="82"/>
      <c r="C9" s="86"/>
      <c r="D9" s="294">
        <v>136.5641480056284</v>
      </c>
      <c r="E9" s="295"/>
    </row>
    <row r="10" spans="1:5" ht="13.2">
      <c r="A10" s="201" t="s">
        <v>137</v>
      </c>
      <c r="B10" s="82"/>
      <c r="C10" s="86"/>
      <c r="D10" s="312">
        <v>-3.0044112561238201</v>
      </c>
      <c r="E10" s="295"/>
    </row>
    <row r="11" spans="1:5" ht="13.2">
      <c r="A11" s="201" t="s">
        <v>138</v>
      </c>
      <c r="B11" s="82"/>
      <c r="C11" s="404"/>
      <c r="D11" s="294">
        <v>6.6311385529721987</v>
      </c>
      <c r="E11" s="295"/>
    </row>
    <row r="12" spans="1:5" ht="13.2">
      <c r="A12" s="201" t="s">
        <v>55</v>
      </c>
      <c r="B12" s="288" t="s">
        <v>127</v>
      </c>
      <c r="C12" s="293">
        <f>SUM(D12:E12)</f>
        <v>158.94241108025454</v>
      </c>
      <c r="D12" s="294">
        <f>SUM(D9:D11)</f>
        <v>140.19087530247677</v>
      </c>
      <c r="E12" s="295">
        <v>18.751535777777779</v>
      </c>
    </row>
    <row r="13" spans="1:5" ht="13.8" thickBot="1">
      <c r="A13" s="201" t="s">
        <v>40</v>
      </c>
      <c r="B13" s="288" t="s">
        <v>132</v>
      </c>
      <c r="C13" s="403">
        <f>SUM(D13:E13)</f>
        <v>140.19087530247677</v>
      </c>
      <c r="D13" s="296">
        <f>D12</f>
        <v>140.19087530247677</v>
      </c>
      <c r="E13" s="297"/>
    </row>
    <row r="14" spans="1:5">
      <c r="C14" s="298"/>
      <c r="D14" s="298"/>
      <c r="E14" s="298"/>
    </row>
    <row r="15" spans="1:5">
      <c r="C15" s="298"/>
      <c r="D15" s="298"/>
      <c r="E15" s="298"/>
    </row>
  </sheetData>
  <mergeCells count="2">
    <mergeCell ref="A7:B7"/>
    <mergeCell ref="A5:B5"/>
  </mergeCells>
  <phoneticPr fontId="0" type="noConversion"/>
  <pageMargins left="0.39370078740157499" right="0.39370078740157499" top="0.39370078740157499" bottom="0.39370078740157499" header="0.511811023622047" footer="0.511811023622047"/>
  <pageSetup orientation="landscape" horizontalDpi="300" verticalDpi="300" r:id="rId1"/>
  <headerFooter alignWithMargins="0">
    <oddFooter>&amp;L&amp;Z&amp;F -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9"/>
    <pageSetUpPr fitToPage="1"/>
  </sheetPr>
  <dimension ref="A1:N46"/>
  <sheetViews>
    <sheetView zoomScaleNormal="100" workbookViewId="0">
      <selection activeCell="B51" sqref="B51"/>
    </sheetView>
  </sheetViews>
  <sheetFormatPr defaultColWidth="9.109375" defaultRowHeight="10.199999999999999"/>
  <cols>
    <col min="1" max="1" width="10.5546875" style="75" customWidth="1"/>
    <col min="2" max="2" width="50.5546875" style="8" bestFit="1" customWidth="1"/>
    <col min="3" max="3" width="15.6640625" style="92" customWidth="1"/>
    <col min="4" max="4" width="15.6640625" style="93" customWidth="1"/>
    <col min="5" max="5" width="13.44140625" style="93" bestFit="1" customWidth="1"/>
    <col min="6" max="6" width="12.33203125" style="8" customWidth="1"/>
    <col min="7" max="7" width="9.21875" style="8" bestFit="1" customWidth="1"/>
    <col min="8" max="8" width="13.5546875" style="8" bestFit="1" customWidth="1"/>
    <col min="9" max="9" width="12.44140625" style="8" bestFit="1" customWidth="1"/>
    <col min="10" max="10" width="10" style="8" bestFit="1" customWidth="1"/>
    <col min="11" max="11" width="9" style="8" bestFit="1" customWidth="1"/>
    <col min="12" max="12" width="10" style="8" bestFit="1" customWidth="1"/>
    <col min="13" max="13" width="8.88671875" style="8" bestFit="1" customWidth="1"/>
    <col min="14" max="14" width="12" style="8" bestFit="1" customWidth="1"/>
    <col min="15" max="16384" width="9.109375" style="8"/>
  </cols>
  <sheetData>
    <row r="1" spans="1:14" s="2" customFormat="1" ht="21" customHeight="1">
      <c r="A1" s="59" t="str">
        <f>"Revenue to Cost Summary Worksheet "</f>
        <v xml:space="preserve">Revenue to Cost Summary Worksheet </v>
      </c>
      <c r="B1" s="60"/>
      <c r="C1" s="89"/>
      <c r="D1" s="89"/>
      <c r="E1" s="61"/>
    </row>
    <row r="2" spans="1:14" s="2" customFormat="1" ht="6" customHeight="1">
      <c r="A2" s="3"/>
      <c r="B2" s="3"/>
      <c r="C2" s="90"/>
      <c r="D2" s="90"/>
      <c r="E2" s="3"/>
    </row>
    <row r="3" spans="1:14" ht="12" customHeight="1"/>
    <row r="4" spans="1:14" ht="12" customHeight="1">
      <c r="A4" s="94"/>
      <c r="B4" s="95"/>
    </row>
    <row r="5" spans="1:14">
      <c r="B5" s="5"/>
      <c r="C5" s="5"/>
      <c r="D5" s="5"/>
      <c r="E5" s="5"/>
    </row>
    <row r="6" spans="1:14" ht="15.9" customHeight="1" thickBot="1">
      <c r="A6" s="96"/>
      <c r="B6" s="97"/>
      <c r="C6" s="435"/>
      <c r="D6" s="435"/>
      <c r="E6" s="435"/>
    </row>
    <row r="7" spans="1:14" s="100" customFormat="1" ht="15.9" customHeight="1">
      <c r="A7" s="98"/>
      <c r="B7" s="99"/>
      <c r="C7" s="105"/>
      <c r="D7" s="106">
        <v>1</v>
      </c>
      <c r="E7" s="106">
        <v>2</v>
      </c>
    </row>
    <row r="8" spans="1:14" ht="13.2">
      <c r="A8" s="103"/>
      <c r="B8" s="91"/>
      <c r="C8" s="110" t="s">
        <v>10</v>
      </c>
      <c r="D8" s="407" t="str">
        <f>Revenue!C7</f>
        <v>Domestic</v>
      </c>
      <c r="E8" s="407" t="str">
        <f>Revenue!D7</f>
        <v>Export</v>
      </c>
      <c r="G8" s="436" t="s">
        <v>151</v>
      </c>
      <c r="H8" s="436"/>
      <c r="I8" s="436"/>
      <c r="J8" s="436"/>
      <c r="K8" s="436"/>
      <c r="L8" s="436"/>
      <c r="M8" s="436"/>
      <c r="N8" s="436"/>
    </row>
    <row r="9" spans="1:14" ht="13.2">
      <c r="A9" s="103"/>
      <c r="B9" s="91"/>
      <c r="C9" s="110"/>
      <c r="D9" s="240"/>
      <c r="E9" s="240"/>
      <c r="G9" s="313"/>
      <c r="H9" s="438" t="s">
        <v>142</v>
      </c>
      <c r="I9" s="440" t="s">
        <v>143</v>
      </c>
      <c r="J9" s="437" t="s">
        <v>144</v>
      </c>
      <c r="K9" s="437"/>
      <c r="L9" s="437"/>
      <c r="M9" s="442" t="s">
        <v>148</v>
      </c>
      <c r="N9" s="443"/>
    </row>
    <row r="10" spans="1:14" ht="13.2">
      <c r="A10" s="103"/>
      <c r="B10" s="276" t="s">
        <v>43</v>
      </c>
      <c r="C10" s="111">
        <f>SUM(D10:E10)</f>
        <v>189174550.3552317</v>
      </c>
      <c r="D10" s="107">
        <f>Revenue!C15</f>
        <v>174117067.12567616</v>
      </c>
      <c r="E10" s="107">
        <f>Revenue!D15</f>
        <v>15057483.229555558</v>
      </c>
      <c r="G10" s="313"/>
      <c r="H10" s="439"/>
      <c r="I10" s="441"/>
      <c r="J10" s="316" t="s">
        <v>145</v>
      </c>
      <c r="K10" s="316" t="s">
        <v>146</v>
      </c>
      <c r="L10" s="316" t="s">
        <v>147</v>
      </c>
      <c r="M10" s="316" t="s">
        <v>149</v>
      </c>
      <c r="N10" s="316" t="s">
        <v>150</v>
      </c>
    </row>
    <row r="11" spans="1:14" ht="13.2">
      <c r="A11" s="103"/>
      <c r="B11" s="277" t="s">
        <v>179</v>
      </c>
      <c r="C11" s="278">
        <f>C29/C10</f>
        <v>0.96277205444024938</v>
      </c>
      <c r="D11" s="240"/>
      <c r="E11" s="240"/>
      <c r="G11" s="314" t="s">
        <v>27</v>
      </c>
      <c r="H11" s="315">
        <f>D29</f>
        <v>164124455.64635763</v>
      </c>
      <c r="I11" s="317">
        <f>D38</f>
        <v>140190875.30247676</v>
      </c>
      <c r="J11" s="318">
        <f>H11/I11</f>
        <v>1.1707213846282192</v>
      </c>
      <c r="K11" s="318">
        <f>H11/I11*0.8</f>
        <v>0.93657710770257541</v>
      </c>
      <c r="L11" s="318">
        <f>H11/I11*1.2</f>
        <v>1.4048656615538631</v>
      </c>
      <c r="M11" s="318">
        <f>J$13</f>
        <v>1.1458991294737135</v>
      </c>
      <c r="N11" s="319">
        <f>M11/J11</f>
        <v>0.97879747010652896</v>
      </c>
    </row>
    <row r="12" spans="1:14" ht="13.2">
      <c r="A12" s="103"/>
      <c r="B12" s="276" t="s">
        <v>54</v>
      </c>
      <c r="C12" s="111">
        <f>SUM(D12:E12)</f>
        <v>182131970.49331686</v>
      </c>
      <c r="D12" s="107">
        <f>D10*$C11</f>
        <v>167635046.42969805</v>
      </c>
      <c r="E12" s="107">
        <f>E10*$C11</f>
        <v>14496924.063618805</v>
      </c>
      <c r="G12" s="314" t="s">
        <v>28</v>
      </c>
      <c r="H12" s="315">
        <f>E33</f>
        <v>18007514.846959211</v>
      </c>
      <c r="I12" s="317">
        <f>E38</f>
        <v>18751535.77777778</v>
      </c>
      <c r="J12" s="318">
        <f>H12/I12</f>
        <v>0.96032213363023311</v>
      </c>
      <c r="K12" s="318">
        <f t="shared" ref="K12" si="0">H12/I12*0.8</f>
        <v>0.76825770690418649</v>
      </c>
      <c r="L12" s="318">
        <f t="shared" ref="L12" si="1">H12/I12*1.2</f>
        <v>1.1523865603562797</v>
      </c>
      <c r="M12" s="318">
        <f>J$13</f>
        <v>1.1458991294737135</v>
      </c>
      <c r="N12" s="319">
        <f t="shared" ref="N12:N13" si="2">M12/J12</f>
        <v>1.1932445263361344</v>
      </c>
    </row>
    <row r="13" spans="1:14" ht="13.2">
      <c r="A13" s="103"/>
      <c r="B13" s="276"/>
      <c r="C13" s="111"/>
      <c r="D13" s="107"/>
      <c r="E13" s="107"/>
      <c r="G13" s="314" t="s">
        <v>152</v>
      </c>
      <c r="H13" s="315">
        <f>C33</f>
        <v>182131970.49331683</v>
      </c>
      <c r="I13" s="317">
        <f>C38</f>
        <v>158942411.08025455</v>
      </c>
      <c r="J13" s="318">
        <f>H13/I13</f>
        <v>1.1458991294737135</v>
      </c>
      <c r="K13" s="318"/>
      <c r="L13" s="318"/>
      <c r="M13" s="318">
        <f>J$13</f>
        <v>1.1458991294737135</v>
      </c>
      <c r="N13" s="319">
        <f t="shared" si="2"/>
        <v>1</v>
      </c>
    </row>
    <row r="14" spans="1:14" ht="13.2">
      <c r="A14" s="103"/>
      <c r="B14" s="276" t="s">
        <v>44</v>
      </c>
      <c r="C14" s="111">
        <f>SUM(D14:E14)</f>
        <v>182131970.49331689</v>
      </c>
      <c r="D14" s="107">
        <f>Revenue!C22</f>
        <v>160644601.96926612</v>
      </c>
      <c r="E14" s="107">
        <f>Revenue!D22</f>
        <v>21487368.524050761</v>
      </c>
    </row>
    <row r="15" spans="1:14" ht="13.2">
      <c r="A15" s="103"/>
      <c r="B15" s="91"/>
      <c r="C15" s="110"/>
      <c r="D15" s="240"/>
      <c r="E15" s="240"/>
    </row>
    <row r="16" spans="1:14" ht="13.2">
      <c r="A16" s="103"/>
      <c r="B16" s="91"/>
      <c r="C16" s="110"/>
      <c r="D16" s="240"/>
      <c r="E16" s="240"/>
    </row>
    <row r="17" spans="1:5" ht="13.2">
      <c r="A17" s="112"/>
      <c r="B17" s="114" t="s">
        <v>12</v>
      </c>
      <c r="C17" s="111"/>
      <c r="D17" s="107"/>
      <c r="E17" s="107"/>
    </row>
    <row r="18" spans="1:5" ht="13.2">
      <c r="A18" s="112" t="s">
        <v>113</v>
      </c>
      <c r="B18" s="239" t="s">
        <v>113</v>
      </c>
      <c r="C18" s="111">
        <f>SUM(D18:E18)</f>
        <v>6804473.976169508</v>
      </c>
      <c r="D18" s="107">
        <f>SUMIF('Summary by Class &amp; Accounts'!$C$9:$C$69, 'Revenue to Cost|RR'!$A18,'Summary by Class &amp; Accounts'!E$9:E$69)</f>
        <v>4542774.9595486419</v>
      </c>
      <c r="E18" s="107">
        <f>SUMIF('Summary by Class &amp; Accounts'!$C$9:$C$69, 'Revenue to Cost|RR'!$A18,'Summary by Class &amp; Accounts'!F$9:F$69)</f>
        <v>2261699.0166208656</v>
      </c>
    </row>
    <row r="19" spans="1:5" ht="13.2">
      <c r="A19" s="112" t="s">
        <v>114</v>
      </c>
      <c r="B19" s="77" t="s">
        <v>60</v>
      </c>
      <c r="C19" s="111">
        <f t="shared" ref="C19:C26" si="3">SUM(D19:E19)</f>
        <v>34134529.418505199</v>
      </c>
      <c r="D19" s="107">
        <f>SUMIF('Summary by Class &amp; Accounts'!$C$9:$C$69, 'Revenue to Cost|RR'!$A19,'Summary by Class &amp; Accounts'!E$9:E$69)</f>
        <v>30107442.844830938</v>
      </c>
      <c r="E19" s="107">
        <f>SUMIF('Summary by Class &amp; Accounts'!$C$9:$C$69, 'Revenue to Cost|RR'!$A19,'Summary by Class &amp; Accounts'!F$9:F$69)</f>
        <v>4027086.573674262</v>
      </c>
    </row>
    <row r="20" spans="1:5" ht="13.2">
      <c r="A20" s="112" t="s">
        <v>115</v>
      </c>
      <c r="B20" s="239" t="s">
        <v>121</v>
      </c>
      <c r="C20" s="111">
        <f t="shared" si="3"/>
        <v>20382147</v>
      </c>
      <c r="D20" s="107">
        <f>SUMIF('Summary by Class &amp; Accounts'!$C$9:$C$69, 'Revenue to Cost|RR'!$A20,'Summary by Class &amp; Accounts'!E$9:E$69)</f>
        <v>19796167.398077775</v>
      </c>
      <c r="E20" s="107">
        <f>SUMIF('Summary by Class &amp; Accounts'!$C$9:$C$69, 'Revenue to Cost|RR'!$A20,'Summary by Class &amp; Accounts'!F$9:F$69)</f>
        <v>585979.60192222637</v>
      </c>
    </row>
    <row r="21" spans="1:5" ht="13.2">
      <c r="A21" s="112" t="s">
        <v>116</v>
      </c>
      <c r="B21" s="239" t="s">
        <v>120</v>
      </c>
      <c r="C21" s="111">
        <f t="shared" si="3"/>
        <v>16600019.317378476</v>
      </c>
      <c r="D21" s="107">
        <f>SUMIF('Summary by Class &amp; Accounts'!$C$9:$C$69, 'Revenue to Cost|RR'!$A21,'Summary by Class &amp; Accounts'!E$9:E$69)</f>
        <v>15668196.405469511</v>
      </c>
      <c r="E21" s="107">
        <f>SUMIF('Summary by Class &amp; Accounts'!$C$9:$C$69, 'Revenue to Cost|RR'!$A21,'Summary by Class &amp; Accounts'!F$9:F$69)</f>
        <v>931822.91190896649</v>
      </c>
    </row>
    <row r="22" spans="1:5" ht="13.2">
      <c r="A22" s="112" t="s">
        <v>126</v>
      </c>
      <c r="B22" s="239" t="s">
        <v>122</v>
      </c>
      <c r="C22" s="111">
        <f t="shared" si="3"/>
        <v>44073465.999999978</v>
      </c>
      <c r="D22" s="107">
        <f>SUMIF('Summary by Class &amp; Accounts'!$C$9:$C$69, 'Revenue to Cost|RR'!$A22,'Summary by Class &amp; Accounts'!E$9:E$69)</f>
        <v>39812521.2638046</v>
      </c>
      <c r="E22" s="107">
        <f>SUMIF('Summary by Class &amp; Accounts'!$C$9:$C$69, 'Revenue to Cost|RR'!$A22,'Summary by Class &amp; Accounts'!F$9:F$69)</f>
        <v>4260944.7361953789</v>
      </c>
    </row>
    <row r="23" spans="1:5" ht="13.2">
      <c r="A23" s="112" t="s">
        <v>117</v>
      </c>
      <c r="B23" s="239" t="s">
        <v>123</v>
      </c>
      <c r="C23" s="111">
        <f t="shared" si="3"/>
        <v>15238230</v>
      </c>
      <c r="D23" s="107">
        <f>SUMIF('Summary by Class &amp; Accounts'!$C$9:$C$69, 'Revenue to Cost|RR'!$A23,'Summary by Class &amp; Accounts'!E$9:E$69)</f>
        <v>14308085.647697106</v>
      </c>
      <c r="E23" s="107">
        <f>SUMIF('Summary by Class &amp; Accounts'!$C$9:$C$69, 'Revenue to Cost|RR'!$A23,'Summary by Class &amp; Accounts'!F$9:F$69)</f>
        <v>930144.35230289423</v>
      </c>
    </row>
    <row r="24" spans="1:5" ht="13.2">
      <c r="A24" s="112" t="s">
        <v>118</v>
      </c>
      <c r="B24" s="239" t="s">
        <v>124</v>
      </c>
      <c r="C24" s="111">
        <f t="shared" si="3"/>
        <v>16521245.066348944</v>
      </c>
      <c r="D24" s="107">
        <f>SUMIF('Summary by Class &amp; Accounts'!$C$9:$C$69, 'Revenue to Cost|RR'!$A24,'Summary by Class &amp; Accounts'!E$9:E$69)</f>
        <v>14727337.421102013</v>
      </c>
      <c r="E24" s="107">
        <f>SUMIF('Summary by Class &amp; Accounts'!$C$9:$C$69, 'Revenue to Cost|RR'!$A24,'Summary by Class &amp; Accounts'!F$9:F$69)</f>
        <v>1793907.64524693</v>
      </c>
    </row>
    <row r="25" spans="1:5" ht="13.2">
      <c r="A25" s="112" t="s">
        <v>94</v>
      </c>
      <c r="B25" s="77" t="s">
        <v>94</v>
      </c>
      <c r="C25" s="111">
        <f t="shared" si="3"/>
        <v>3662308.5255546803</v>
      </c>
      <c r="D25" s="107">
        <f>SUMIF('Summary by Class &amp; Accounts'!$C$9:$C$69, 'Revenue to Cost|RR'!$A25,'Summary by Class &amp; Accounts'!E$9:E$69)</f>
        <v>3230240.6534275627</v>
      </c>
      <c r="E25" s="107">
        <f>SUMIF('Summary by Class &amp; Accounts'!$C$9:$C$69, 'Revenue to Cost|RR'!$A25,'Summary by Class &amp; Accounts'!F$9:F$69)</f>
        <v>432067.87212711747</v>
      </c>
    </row>
    <row r="26" spans="1:5" ht="13.2">
      <c r="A26" s="112" t="s">
        <v>119</v>
      </c>
      <c r="B26" s="239" t="s">
        <v>125</v>
      </c>
      <c r="C26" s="111">
        <f t="shared" si="3"/>
        <v>6197678.6594368359</v>
      </c>
      <c r="D26" s="107">
        <f>SUMIF('Summary by Class &amp; Accounts'!$C$9:$C$69, 'Revenue to Cost|RR'!$A26,'Summary by Class &amp; Accounts'!E$9:E$69)</f>
        <v>5598498.0490315221</v>
      </c>
      <c r="E26" s="107">
        <f>SUMIF('Summary by Class &amp; Accounts'!$C$9:$C$69, 'Revenue to Cost|RR'!$A26,'Summary by Class &amp; Accounts'!F$9:F$69)</f>
        <v>599180.61040531343</v>
      </c>
    </row>
    <row r="27" spans="1:5" ht="13.2">
      <c r="A27" s="112" t="s">
        <v>110</v>
      </c>
      <c r="B27" s="239" t="s">
        <v>56</v>
      </c>
      <c r="C27" s="111">
        <f>SUM(D27:E27)</f>
        <v>1017872.5299232381</v>
      </c>
      <c r="D27" s="107">
        <f>SUMIF('Summary by Class &amp; Accounts'!$C$9:$C$69, 'Revenue to Cost|RR'!$A27,'Summary by Class &amp; Accounts'!E$9:E$69)</f>
        <v>897787.06606025831</v>
      </c>
      <c r="E27" s="107">
        <f>SUMIF('Summary by Class &amp; Accounts'!$C$9:$C$69, 'Revenue to Cost|RR'!$A27,'Summary by Class &amp; Accounts'!F$9:F$69)</f>
        <v>120085.46386297976</v>
      </c>
    </row>
    <row r="28" spans="1:5" ht="13.8" thickBot="1">
      <c r="A28" s="112" t="s">
        <v>31</v>
      </c>
      <c r="B28" s="77" t="s">
        <v>32</v>
      </c>
      <c r="C28" s="111">
        <f>SUM(D28:E28)</f>
        <v>17500000</v>
      </c>
      <c r="D28" s="107">
        <f>SUMIF('Summary by Class &amp; Accounts'!$C$9:$C$69, 'Revenue to Cost|RR'!$A28,'Summary by Class &amp; Accounts'!E$9:E$69)</f>
        <v>15435403.937307723</v>
      </c>
      <c r="E28" s="107">
        <f>SUMIF('Summary by Class &amp; Accounts'!$C$9:$C$69, 'Revenue to Cost|RR'!$A28,'Summary by Class &amp; Accounts'!F$9:F$69)</f>
        <v>2064596.0626922785</v>
      </c>
    </row>
    <row r="29" spans="1:5" s="6" customFormat="1" ht="13.8" thickBot="1">
      <c r="A29" s="112"/>
      <c r="B29" s="114" t="s">
        <v>51</v>
      </c>
      <c r="C29" s="274">
        <f>SUM(C18:C28)</f>
        <v>182131970.49331683</v>
      </c>
      <c r="D29" s="275">
        <f>SUM(D18:D28)</f>
        <v>164124455.64635763</v>
      </c>
      <c r="E29" s="275">
        <f>SUM(E18:E28)</f>
        <v>18007514.846959211</v>
      </c>
    </row>
    <row r="30" spans="1:5" ht="16.5" customHeight="1" thickTop="1">
      <c r="A30" s="113"/>
      <c r="B30" s="77"/>
      <c r="C30" s="432" t="str">
        <f>IFERROR(IF(ROUND('Functionalized Accounts'!F59-C29,-1)=0,"Revenue Requirement Input equals Output","Revenue Requirement Input Does Not Equal Output"),"-")</f>
        <v>Revenue Requirement Input equals Output</v>
      </c>
      <c r="D30" s="433"/>
      <c r="E30" s="434"/>
    </row>
    <row r="31" spans="1:5" ht="13.2">
      <c r="A31" s="112"/>
      <c r="B31" s="77"/>
      <c r="C31" s="111"/>
      <c r="D31" s="107"/>
      <c r="E31" s="107"/>
    </row>
    <row r="32" spans="1:5" ht="13.8" thickBot="1">
      <c r="A32" s="112"/>
      <c r="B32" s="77"/>
      <c r="C32" s="111"/>
      <c r="D32" s="107"/>
      <c r="E32" s="107"/>
    </row>
    <row r="33" spans="1:5" ht="13.8" thickBot="1">
      <c r="A33" s="112"/>
      <c r="B33" s="115" t="s">
        <v>37</v>
      </c>
      <c r="C33" s="116">
        <f>C29</f>
        <v>182131970.49331683</v>
      </c>
      <c r="D33" s="116">
        <f>D29</f>
        <v>164124455.64635763</v>
      </c>
      <c r="E33" s="116">
        <f>E29</f>
        <v>18007514.846959211</v>
      </c>
    </row>
    <row r="34" spans="1:5" ht="13.8" thickTop="1">
      <c r="A34" s="112"/>
      <c r="B34" s="77"/>
      <c r="C34" s="111"/>
      <c r="D34" s="410"/>
      <c r="E34" s="410"/>
    </row>
    <row r="35" spans="1:5" ht="13.2">
      <c r="A35" s="112"/>
      <c r="B35" s="114" t="s">
        <v>173</v>
      </c>
      <c r="C35" s="279">
        <v>1</v>
      </c>
      <c r="D35" s="280">
        <f>D12/D33</f>
        <v>1.0213898091513234</v>
      </c>
      <c r="E35" s="280">
        <f>E12/E33</f>
        <v>0.80504856926811241</v>
      </c>
    </row>
    <row r="36" spans="1:5" ht="13.2">
      <c r="A36" s="112"/>
      <c r="B36" s="114" t="s">
        <v>45</v>
      </c>
      <c r="C36" s="279">
        <v>1</v>
      </c>
      <c r="D36" s="280">
        <f>D14/D33</f>
        <v>0.97879747010652929</v>
      </c>
      <c r="E36" s="280">
        <f>E14/E33</f>
        <v>1.1932445263361349</v>
      </c>
    </row>
    <row r="37" spans="1:5" ht="13.2">
      <c r="A37" s="112"/>
      <c r="B37" s="239"/>
      <c r="C37" s="242"/>
      <c r="D37" s="107"/>
      <c r="E37" s="241"/>
    </row>
    <row r="38" spans="1:5" ht="13.2">
      <c r="A38" s="112"/>
      <c r="B38" s="239" t="s">
        <v>38</v>
      </c>
      <c r="C38" s="401">
        <f>SUM(D38:E38)</f>
        <v>158942411.08025455</v>
      </c>
      <c r="D38" s="402">
        <f>'Energy Throughput'!D12*1000000</f>
        <v>140190875.30247676</v>
      </c>
      <c r="E38" s="402">
        <f>'Energy Throughput'!E12*1000000</f>
        <v>18751535.77777778</v>
      </c>
    </row>
    <row r="39" spans="1:5" ht="13.8" thickBot="1">
      <c r="A39" s="8"/>
      <c r="B39" s="239"/>
      <c r="C39" s="246"/>
      <c r="D39" s="247"/>
      <c r="E39" s="247"/>
    </row>
    <row r="40" spans="1:5" s="6" customFormat="1" ht="23.25" customHeight="1" thickBot="1">
      <c r="B40" s="243" t="s">
        <v>46</v>
      </c>
      <c r="C40" s="244"/>
      <c r="D40" s="245">
        <f>D33/D38</f>
        <v>1.1707213846282192</v>
      </c>
      <c r="E40" s="245">
        <f>E33/E38</f>
        <v>0.96032213363023311</v>
      </c>
    </row>
    <row r="41" spans="1:5" ht="13.2">
      <c r="A41" s="112"/>
      <c r="B41" s="239"/>
      <c r="C41" s="242"/>
      <c r="D41" s="107"/>
      <c r="E41" s="241"/>
    </row>
    <row r="42" spans="1:5" ht="13.2">
      <c r="A42" s="112"/>
      <c r="B42" s="114" t="s">
        <v>47</v>
      </c>
      <c r="C42" s="282"/>
      <c r="D42" s="283"/>
      <c r="E42" s="284">
        <f>E40/D40</f>
        <v>0.82028238848237867</v>
      </c>
    </row>
    <row r="43" spans="1:5" ht="13.8" thickBot="1">
      <c r="A43" s="8"/>
      <c r="B43" s="239"/>
      <c r="C43" s="246"/>
      <c r="D43" s="247"/>
      <c r="E43" s="281"/>
    </row>
    <row r="44" spans="1:5" ht="13.2">
      <c r="A44" s="104"/>
      <c r="B44" s="69"/>
    </row>
    <row r="45" spans="1:5" ht="13.2">
      <c r="A45" s="102"/>
    </row>
    <row r="46" spans="1:5" ht="13.2">
      <c r="A46" s="102"/>
    </row>
  </sheetData>
  <mergeCells count="7">
    <mergeCell ref="C30:E30"/>
    <mergeCell ref="C6:E6"/>
    <mergeCell ref="G8:N8"/>
    <mergeCell ref="J9:L9"/>
    <mergeCell ref="H9:H10"/>
    <mergeCell ref="I9:I10"/>
    <mergeCell ref="M9:N9"/>
  </mergeCells>
  <phoneticPr fontId="6" type="noConversion"/>
  <conditionalFormatting sqref="C30">
    <cfRule type="cellIs" dxfId="0" priority="3" stopIfTrue="1" operator="equal">
      <formula>"Error"</formula>
    </cfRule>
  </conditionalFormatting>
  <pageMargins left="0.39370078740157499" right="0.39370078740157499" top="0.39370078740157499" bottom="0.39370078740157499" header="0.15748031496063" footer="0.511811023622047"/>
  <pageSetup scale="96" fitToHeight="3" orientation="portrait" r:id="rId1"/>
  <headerFooter alignWithMargins="0">
    <oddFooter>&amp;L&amp;Z&amp;F -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9"/>
    <pageSetUpPr fitToPage="1"/>
  </sheetPr>
  <dimension ref="B1:F73"/>
  <sheetViews>
    <sheetView topLeftCell="A43" workbookViewId="0">
      <selection activeCell="E72" sqref="E72"/>
    </sheetView>
  </sheetViews>
  <sheetFormatPr defaultColWidth="9.109375" defaultRowHeight="10.199999999999999"/>
  <cols>
    <col min="1" max="1" width="2.5546875" style="8" customWidth="1"/>
    <col min="2" max="2" width="60.109375" style="9" bestFit="1" customWidth="1"/>
    <col min="3" max="3" width="12.5546875" style="72" customWidth="1"/>
    <col min="4" max="4" width="19.33203125" style="93" customWidth="1"/>
    <col min="5" max="5" width="16.44140625" style="93" bestFit="1" customWidth="1"/>
    <col min="6" max="6" width="12.33203125" style="93" bestFit="1" customWidth="1"/>
    <col min="7" max="16384" width="9.109375" style="8"/>
  </cols>
  <sheetData>
    <row r="1" spans="2:6" s="2" customFormat="1" ht="21" customHeight="1">
      <c r="B1" s="59" t="s">
        <v>176</v>
      </c>
      <c r="C1" s="89"/>
      <c r="D1" s="89"/>
      <c r="E1" s="61"/>
    </row>
    <row r="2" spans="2:6" s="2" customFormat="1" ht="6" customHeight="1">
      <c r="B2" s="3"/>
      <c r="C2" s="90"/>
      <c r="D2" s="90"/>
      <c r="E2" s="3"/>
      <c r="F2" s="3"/>
    </row>
    <row r="4" spans="2:6" ht="11.25" customHeight="1">
      <c r="B4" s="232" t="s">
        <v>3</v>
      </c>
    </row>
    <row r="5" spans="2:6" ht="11.25" customHeight="1">
      <c r="B5" s="232"/>
    </row>
    <row r="6" spans="2:6" ht="10.8" thickBot="1">
      <c r="B6" s="119"/>
      <c r="E6" s="120"/>
      <c r="F6" s="120"/>
    </row>
    <row r="7" spans="2:6" s="122" customFormat="1" ht="25.5" customHeight="1" thickBot="1">
      <c r="B7" s="121"/>
      <c r="C7" s="127"/>
      <c r="D7" s="128"/>
      <c r="E7" s="129">
        <v>1</v>
      </c>
      <c r="F7" s="130">
        <v>2</v>
      </c>
    </row>
    <row r="8" spans="2:6" s="79" customFormat="1" ht="45.75" customHeight="1" thickBot="1">
      <c r="B8" s="108" t="s">
        <v>0</v>
      </c>
      <c r="C8" s="125" t="s">
        <v>7</v>
      </c>
      <c r="D8" s="126" t="s">
        <v>10</v>
      </c>
      <c r="E8" s="408" t="str">
        <f>'Revenue to Cost|RR'!D8</f>
        <v>Domestic</v>
      </c>
      <c r="F8" s="409" t="str">
        <f>'Revenue to Cost|RR'!E8</f>
        <v>Export</v>
      </c>
    </row>
    <row r="9" spans="2:6" ht="13.2">
      <c r="B9" s="233" t="str">
        <f>'Functionalized Accounts'!B9</f>
        <v>CEO - CEO Office</v>
      </c>
      <c r="C9" s="250" t="s">
        <v>113</v>
      </c>
      <c r="D9" s="123">
        <f>'Functionalized Accounts'!F9</f>
        <v>1189152.4940728098</v>
      </c>
      <c r="E9" s="101">
        <f>VLOOKUP('TB Allocation Details'!$C6, Allocators!$B$9:$E$195, MATCH(E$8, Allocators!$B$9:$E$9, 0),FALSE)*$D9</f>
        <v>1074187.3343063153</v>
      </c>
      <c r="F9" s="124">
        <f>VLOOKUP('TB Allocation Details'!$C6, Allocators!$B$9:$E$195, MATCH(F$8, Allocators!$B$9:$E$9, 0),FALSE)*$D9</f>
        <v>114965.15976649409</v>
      </c>
    </row>
    <row r="10" spans="2:6" ht="12.9" customHeight="1">
      <c r="B10" s="234" t="str">
        <f>'Functionalized Accounts'!B10</f>
        <v>CEO - CEO Office - NERC Membership</v>
      </c>
      <c r="C10" s="250" t="s">
        <v>113</v>
      </c>
      <c r="D10" s="123">
        <f>'Functionalized Accounts'!F10</f>
        <v>3976612.8</v>
      </c>
      <c r="E10" s="101">
        <f>VLOOKUP('TB Allocation Details'!$C7, Allocators!$B$9:$E$195, MATCH(E$8, Allocators!$B$9:$E$9, 0),FALSE)*$D10</f>
        <v>1988306.4</v>
      </c>
      <c r="F10" s="124">
        <f>VLOOKUP('TB Allocation Details'!$C7, Allocators!$B$9:$E$195, MATCH(F$8, Allocators!$B$9:$E$9, 0),FALSE)*$D10</f>
        <v>1988306.4</v>
      </c>
    </row>
    <row r="11" spans="2:6" ht="12.9" customHeight="1">
      <c r="B11" s="234" t="str">
        <f>'Functionalized Accounts'!B11</f>
        <v>CEO - Internal Audit</v>
      </c>
      <c r="C11" s="250" t="s">
        <v>113</v>
      </c>
      <c r="D11" s="123">
        <f>'Functionalized Accounts'!F11</f>
        <v>1638708.6820966986</v>
      </c>
      <c r="E11" s="101">
        <f>VLOOKUP('TB Allocation Details'!$C8, Allocators!$B$9:$E$195, MATCH(E$8, Allocators!$B$9:$E$9, 0),FALSE)*$D11</f>
        <v>1480281.2252423267</v>
      </c>
      <c r="F11" s="124">
        <f>VLOOKUP('TB Allocation Details'!$C8, Allocators!$B$9:$E$195, MATCH(F$8, Allocators!$B$9:$E$9, 0),FALSE)*$D11</f>
        <v>158427.45685437115</v>
      </c>
    </row>
    <row r="12" spans="2:6" ht="12.9" customHeight="1">
      <c r="B12" s="234" t="str">
        <f>'Functionalized Accounts'!B12</f>
        <v>Market and System Operations - VP Office</v>
      </c>
      <c r="C12" s="250" t="s">
        <v>114</v>
      </c>
      <c r="D12" s="123">
        <f>'Functionalized Accounts'!F12</f>
        <v>1588319.23703341</v>
      </c>
      <c r="E12" s="101">
        <f>VLOOKUP('TB Allocation Details'!$C9, Allocators!$B$9:$E$195, MATCH(E$8, Allocators!$B$9:$E$9, 0),FALSE)*$D12</f>
        <v>1400934.228857548</v>
      </c>
      <c r="F12" s="124">
        <f>VLOOKUP('TB Allocation Details'!$C9, Allocators!$B$9:$E$195, MATCH(F$8, Allocators!$B$9:$E$9, 0),FALSE)*$D12</f>
        <v>187385.00817586188</v>
      </c>
    </row>
    <row r="13" spans="2:6" ht="12.9" customHeight="1">
      <c r="B13" s="234" t="str">
        <f>'Functionalized Accounts'!B13</f>
        <v>Market and System Operations - System Performance</v>
      </c>
      <c r="C13" s="250" t="s">
        <v>114</v>
      </c>
      <c r="D13" s="123">
        <f>'Functionalized Accounts'!F13</f>
        <v>5599744.0100422697</v>
      </c>
      <c r="E13" s="101">
        <f>VLOOKUP('TB Allocation Details'!$C10, Allocators!$B$9:$E$195, MATCH(E$8, Allocators!$B$9:$E$9, 0),FALSE)*$D13</f>
        <v>4939103.4708869588</v>
      </c>
      <c r="F13" s="124">
        <f>VLOOKUP('TB Allocation Details'!$C10, Allocators!$B$9:$E$195, MATCH(F$8, Allocators!$B$9:$E$9, 0),FALSE)*$D13</f>
        <v>660640.53915531095</v>
      </c>
    </row>
    <row r="14" spans="2:6" ht="12.9" customHeight="1">
      <c r="B14" s="234" t="str">
        <f>'Functionalized Accounts'!B14</f>
        <v>Market and System Operations - Reliability Assessments</v>
      </c>
      <c r="C14" s="250" t="s">
        <v>114</v>
      </c>
      <c r="D14" s="123">
        <f>'Functionalized Accounts'!F14</f>
        <v>3282505.00706576</v>
      </c>
      <c r="E14" s="101">
        <f>VLOOKUP('TB Allocation Details'!$C11, Allocators!$B$9:$E$195, MATCH(E$8, Allocators!$B$9:$E$9, 0),FALSE)*$D14</f>
        <v>2895245.1834454369</v>
      </c>
      <c r="F14" s="124">
        <f>VLOOKUP('TB Allocation Details'!$C11, Allocators!$B$9:$E$195, MATCH(F$8, Allocators!$B$9:$E$9, 0),FALSE)*$D14</f>
        <v>387259.82362032332</v>
      </c>
    </row>
    <row r="15" spans="2:6" ht="12.9" customHeight="1">
      <c r="B15" s="234" t="str">
        <f>'Functionalized Accounts'!B15</f>
        <v>Market and System Operations - Connections &amp; Registration</v>
      </c>
      <c r="C15" s="250" t="s">
        <v>114</v>
      </c>
      <c r="D15" s="123">
        <f>'Functionalized Accounts'!F15</f>
        <v>4441271.3261546297</v>
      </c>
      <c r="E15" s="101">
        <f>VLOOKUP('TB Allocation Details'!$C12, Allocators!$B$9:$E$195, MATCH(E$8, Allocators!$B$9:$E$9, 0),FALSE)*$D15</f>
        <v>3917303.8236788036</v>
      </c>
      <c r="F15" s="124">
        <f>VLOOKUP('TB Allocation Details'!$C12, Allocators!$B$9:$E$195, MATCH(F$8, Allocators!$B$9:$E$9, 0),FALSE)*$D15</f>
        <v>523967.50247582648</v>
      </c>
    </row>
    <row r="16" spans="2:6" ht="12.9" customHeight="1">
      <c r="B16" s="234" t="str">
        <f>'Functionalized Accounts'!B16</f>
        <v>Market and System Operations - Operational Effectiveness</v>
      </c>
      <c r="C16" s="250" t="s">
        <v>114</v>
      </c>
      <c r="D16" s="123">
        <f>'Functionalized Accounts'!F16</f>
        <v>3876906.7601640099</v>
      </c>
      <c r="E16" s="101">
        <f>VLOOKUP('TB Allocation Details'!$C13, Allocators!$B$9:$E$195, MATCH(E$8, Allocators!$B$9:$E$9, 0),FALSE)*$D16</f>
        <v>3419521.2497377419</v>
      </c>
      <c r="F16" s="124">
        <f>VLOOKUP('TB Allocation Details'!$C13, Allocators!$B$9:$E$195, MATCH(F$8, Allocators!$B$9:$E$9, 0),FALSE)*$D16</f>
        <v>457385.51042626816</v>
      </c>
    </row>
    <row r="17" spans="2:6" ht="12.9" customHeight="1">
      <c r="B17" s="234" t="str">
        <f>'Functionalized Accounts'!B17</f>
        <v>Market and System Operations - System Operations</v>
      </c>
      <c r="C17" s="250" t="s">
        <v>114</v>
      </c>
      <c r="D17" s="123">
        <f>'Functionalized Accounts'!F17</f>
        <v>11499272.5088154</v>
      </c>
      <c r="E17" s="101">
        <f>VLOOKUP('TB Allocation Details'!$C14, Allocators!$B$9:$E$195, MATCH(E$8, Allocators!$B$9:$E$9, 0),FALSE)*$D17</f>
        <v>10142623.780499639</v>
      </c>
      <c r="F17" s="124">
        <f>VLOOKUP('TB Allocation Details'!$C14, Allocators!$B$9:$E$195, MATCH(F$8, Allocators!$B$9:$E$9, 0),FALSE)*$D17</f>
        <v>1356648.728315762</v>
      </c>
    </row>
    <row r="18" spans="2:6" ht="12.9" customHeight="1">
      <c r="B18" s="234" t="str">
        <f>'Functionalized Accounts'!B18</f>
        <v>Market and System Operations - Market Forecasts &amp; Integration</v>
      </c>
      <c r="C18" s="250" t="s">
        <v>114</v>
      </c>
      <c r="D18" s="123">
        <f>'Functionalized Accounts'!F18</f>
        <v>2662252.5258380398</v>
      </c>
      <c r="E18" s="101">
        <f>VLOOKUP('TB Allocation Details'!$C15, Allocators!$B$9:$E$195, MATCH(E$8, Allocators!$B$9:$E$9, 0),FALSE)*$D18</f>
        <v>2348168.1782530234</v>
      </c>
      <c r="F18" s="124">
        <f>VLOOKUP('TB Allocation Details'!$C15, Allocators!$B$9:$E$195, MATCH(F$8, Allocators!$B$9:$E$9, 0),FALSE)*$D18</f>
        <v>314084.34758501663</v>
      </c>
    </row>
    <row r="19" spans="2:6" ht="12.9" customHeight="1">
      <c r="B19" s="234" t="str">
        <f>'Functionalized Accounts'!B19</f>
        <v>Market and System Operations - Operations Change Initiatives</v>
      </c>
      <c r="C19" s="250" t="s">
        <v>114</v>
      </c>
      <c r="D19" s="123">
        <f>'Functionalized Accounts'!F19</f>
        <v>1184258.0433916801</v>
      </c>
      <c r="E19" s="101">
        <f>VLOOKUP('TB Allocation Details'!$C16, Allocators!$B$9:$E$195, MATCH(E$8, Allocators!$B$9:$E$9, 0),FALSE)*$D19</f>
        <v>1044542.9294717874</v>
      </c>
      <c r="F19" s="124">
        <f>VLOOKUP('TB Allocation Details'!$C16, Allocators!$B$9:$E$195, MATCH(F$8, Allocators!$B$9:$E$9, 0),FALSE)*$D19</f>
        <v>139715.11391989281</v>
      </c>
    </row>
    <row r="20" spans="2:6" ht="12.9" customHeight="1">
      <c r="B20" s="234" t="str">
        <f>'Functionalized Accounts'!B20</f>
        <v>Market and Resource Development - VP Office</v>
      </c>
      <c r="C20" s="250" t="s">
        <v>115</v>
      </c>
      <c r="D20" s="123">
        <f>'Functionalized Accounts'!F20</f>
        <v>1224063</v>
      </c>
      <c r="E20" s="101">
        <f>VLOOKUP('TB Allocation Details'!$C17, Allocators!$B$9:$E$195, MATCH(E$8, Allocators!$B$9:$E$9, 0),FALSE)*$D20</f>
        <v>1188871.6166061051</v>
      </c>
      <c r="F20" s="124">
        <f>VLOOKUP('TB Allocation Details'!$C17, Allocators!$B$9:$E$195, MATCH(F$8, Allocators!$B$9:$E$9, 0),FALSE)*$D20</f>
        <v>35191.383393894968</v>
      </c>
    </row>
    <row r="21" spans="2:6" ht="12.9" customHeight="1">
      <c r="B21" s="234" t="str">
        <f>'Functionalized Accounts'!B21</f>
        <v>Market and Resource Development - Contract Management</v>
      </c>
      <c r="C21" s="250" t="s">
        <v>115</v>
      </c>
      <c r="D21" s="123">
        <f>'Functionalized Accounts'!F21</f>
        <v>9101459</v>
      </c>
      <c r="E21" s="101">
        <f>VLOOKUP('TB Allocation Details'!$C18, Allocators!$B$9:$E$195, MATCH(E$8, Allocators!$B$9:$E$9, 0),FALSE)*$D21</f>
        <v>9101459</v>
      </c>
      <c r="F21" s="124">
        <f>VLOOKUP('TB Allocation Details'!$C18, Allocators!$B$9:$E$195, MATCH(F$8, Allocators!$B$9:$E$9, 0),FALSE)*$D21</f>
        <v>0</v>
      </c>
    </row>
    <row r="22" spans="2:6" ht="12.9" customHeight="1">
      <c r="B22" s="234" t="str">
        <f>'Functionalized Accounts'!B22</f>
        <v>Market and Resource Development - Renewable Procurement</v>
      </c>
      <c r="C22" s="250" t="s">
        <v>115</v>
      </c>
      <c r="D22" s="123">
        <f>'Functionalized Accounts'!F22</f>
        <v>3477961</v>
      </c>
      <c r="E22" s="101">
        <f>VLOOKUP('TB Allocation Details'!$C19, Allocators!$B$9:$E$195, MATCH(E$8, Allocators!$B$9:$E$9, 0),FALSE)*$D22</f>
        <v>3477961</v>
      </c>
      <c r="F22" s="124">
        <f>VLOOKUP('TB Allocation Details'!$C19, Allocators!$B$9:$E$195, MATCH(F$8, Allocators!$B$9:$E$9, 0),FALSE)*$D22</f>
        <v>0</v>
      </c>
    </row>
    <row r="23" spans="2:6" ht="12.9" customHeight="1">
      <c r="B23" s="234" t="str">
        <f>'Functionalized Accounts'!B23</f>
        <v>Market and Resource Development - Clean Energy Procurement</v>
      </c>
      <c r="C23" s="250" t="s">
        <v>115</v>
      </c>
      <c r="D23" s="123">
        <f>'Functionalized Accounts'!F23</f>
        <v>1910054</v>
      </c>
      <c r="E23" s="101">
        <f>VLOOKUP('TB Allocation Details'!$C20, Allocators!$B$9:$E$195, MATCH(E$8, Allocators!$B$9:$E$9, 0),FALSE)*$D23</f>
        <v>1910054</v>
      </c>
      <c r="F23" s="124">
        <f>VLOOKUP('TB Allocation Details'!$C20, Allocators!$B$9:$E$195, MATCH(F$8, Allocators!$B$9:$E$9, 0),FALSE)*$D23</f>
        <v>0</v>
      </c>
    </row>
    <row r="24" spans="2:6" ht="12.9" customHeight="1">
      <c r="B24" s="234" t="str">
        <f>'Functionalized Accounts'!B24</f>
        <v>Market and Resource Development - Policy &amp; Analysis</v>
      </c>
      <c r="C24" s="250" t="s">
        <v>115</v>
      </c>
      <c r="D24" s="123">
        <f>'Functionalized Accounts'!F24</f>
        <v>0</v>
      </c>
      <c r="E24" s="101">
        <f>VLOOKUP('TB Allocation Details'!$C21, Allocators!$B$9:$E$195, MATCH(E$8, Allocators!$B$9:$E$9, 0),FALSE)*$D24</f>
        <v>0</v>
      </c>
      <c r="F24" s="124">
        <f>VLOOKUP('TB Allocation Details'!$C21, Allocators!$B$9:$E$195, MATCH(F$8, Allocators!$B$9:$E$9, 0),FALSE)*$D24</f>
        <v>0</v>
      </c>
    </row>
    <row r="25" spans="2:6" ht="12.9" customHeight="1">
      <c r="B25" s="234" t="str">
        <f>'Functionalized Accounts'!B25</f>
        <v>Market and Resource Development - Markets</v>
      </c>
      <c r="C25" s="250" t="s">
        <v>115</v>
      </c>
      <c r="D25" s="123">
        <f>'Functionalized Accounts'!F25</f>
        <v>4668610</v>
      </c>
      <c r="E25" s="101">
        <f>VLOOKUP('TB Allocation Details'!$C22, Allocators!$B$9:$E$195, MATCH(E$8, Allocators!$B$9:$E$9, 0),FALSE)*$D25</f>
        <v>4117821.7814716687</v>
      </c>
      <c r="F25" s="124">
        <f>VLOOKUP('TB Allocation Details'!$C22, Allocators!$B$9:$E$195, MATCH(F$8, Allocators!$B$9:$E$9, 0),FALSE)*$D25</f>
        <v>550788.21852833137</v>
      </c>
    </row>
    <row r="26" spans="2:6" ht="12.9" customHeight="1">
      <c r="B26" s="234" t="str">
        <f>'Functionalized Accounts'!B26</f>
        <v>Conservation and Corporate Relations - VP Office</v>
      </c>
      <c r="C26" s="250" t="s">
        <v>116</v>
      </c>
      <c r="D26" s="123">
        <f>'Functionalized Accounts'!F26</f>
        <v>906519.23879315064</v>
      </c>
      <c r="E26" s="101">
        <f>VLOOKUP('TB Allocation Details'!$C23, Allocators!$B$9:$E$195, MATCH(E$8, Allocators!$B$9:$E$9, 0),FALSE)*$D26</f>
        <v>855632.82832316973</v>
      </c>
      <c r="F26" s="124">
        <f>VLOOKUP('TB Allocation Details'!$C23, Allocators!$B$9:$E$195, MATCH(F$8, Allocators!$B$9:$E$9, 0),FALSE)*$D26</f>
        <v>50886.410469980903</v>
      </c>
    </row>
    <row r="27" spans="2:6" ht="12.9" customHeight="1">
      <c r="B27" s="234" t="str">
        <f>'Functionalized Accounts'!B27</f>
        <v>Conservation and Corporate Relations - Conservation Performance</v>
      </c>
      <c r="C27" s="250" t="s">
        <v>116</v>
      </c>
      <c r="D27" s="123">
        <f>'Functionalized Accounts'!F27</f>
        <v>3398469.8461426906</v>
      </c>
      <c r="E27" s="101">
        <f>VLOOKUP('TB Allocation Details'!$C24, Allocators!$B$9:$E$195, MATCH(E$8, Allocators!$B$9:$E$9, 0),FALSE)*$D27</f>
        <v>3398469.8461426906</v>
      </c>
      <c r="F27" s="124">
        <f>VLOOKUP('TB Allocation Details'!$C24, Allocators!$B$9:$E$195, MATCH(F$8, Allocators!$B$9:$E$9, 0),FALSE)*$D27</f>
        <v>0</v>
      </c>
    </row>
    <row r="28" spans="2:6" ht="12.9" customHeight="1">
      <c r="B28" s="234" t="str">
        <f>'Functionalized Accounts'!B28</f>
        <v>Conservation and Corporate Relations - Business Development</v>
      </c>
      <c r="C28" s="250" t="s">
        <v>116</v>
      </c>
      <c r="D28" s="123">
        <f>'Functionalized Accounts'!F28</f>
        <v>2647841.456298661</v>
      </c>
      <c r="E28" s="101">
        <f>VLOOKUP('TB Allocation Details'!$C25, Allocators!$B$9:$E$195, MATCH(E$8, Allocators!$B$9:$E$9, 0),FALSE)*$D28</f>
        <v>2647841.456298661</v>
      </c>
      <c r="F28" s="124">
        <f>VLOOKUP('TB Allocation Details'!$C25, Allocators!$B$9:$E$195, MATCH(F$8, Allocators!$B$9:$E$9, 0),FALSE)*$D28</f>
        <v>0</v>
      </c>
    </row>
    <row r="29" spans="2:6" ht="26.4">
      <c r="B29" s="234" t="str">
        <f>'Functionalized Accounts'!B29</f>
        <v>Conservation and Corporate Relations - Strategic Engagement &amp; Innovation</v>
      </c>
      <c r="C29" s="250" t="s">
        <v>116</v>
      </c>
      <c r="D29" s="123">
        <f>'Functionalized Accounts'!F29</f>
        <v>2125674.8444633931</v>
      </c>
      <c r="E29" s="101">
        <f>VLOOKUP('TB Allocation Details'!$C26, Allocators!$B$9:$E$195, MATCH(E$8, Allocators!$B$9:$E$9, 0),FALSE)*$D29</f>
        <v>1874894.2779237852</v>
      </c>
      <c r="F29" s="124">
        <f>VLOOKUP('TB Allocation Details'!$C26, Allocators!$B$9:$E$195, MATCH(F$8, Allocators!$B$9:$E$9, 0),FALSE)*$D29</f>
        <v>250780.56653960817</v>
      </c>
    </row>
    <row r="30" spans="2:6" ht="12.9" customHeight="1">
      <c r="B30" s="234" t="str">
        <f>'Functionalized Accounts'!B30</f>
        <v>Conservation and Corporate Relations - Program Delivery &amp; Partner Services</v>
      </c>
      <c r="C30" s="250" t="s">
        <v>116</v>
      </c>
      <c r="D30" s="123">
        <f>'Functionalized Accounts'!F30</f>
        <v>2180164.5704119634</v>
      </c>
      <c r="E30" s="101">
        <f>VLOOKUP('TB Allocation Details'!$C27, Allocators!$B$9:$E$195, MATCH(E$8, Allocators!$B$9:$E$9, 0),FALSE)*$D30</f>
        <v>2180164.5704119634</v>
      </c>
      <c r="F30" s="124">
        <f>VLOOKUP('TB Allocation Details'!$C27, Allocators!$B$9:$E$195, MATCH(F$8, Allocators!$B$9:$E$9, 0),FALSE)*$D30</f>
        <v>0</v>
      </c>
    </row>
    <row r="31" spans="2:6" ht="12.9" customHeight="1">
      <c r="B31" s="234" t="str">
        <f>'Functionalized Accounts'!B31</f>
        <v>Conservation and Corporate Relations - Stakeholders &amp; Public Affairs</v>
      </c>
      <c r="C31" s="250" t="s">
        <v>116</v>
      </c>
      <c r="D31" s="123">
        <f>'Functionalized Accounts'!F31</f>
        <v>5341349.3612686172</v>
      </c>
      <c r="E31" s="101">
        <f>VLOOKUP('TB Allocation Details'!$C28, Allocators!$B$9:$E$195, MATCH(E$8, Allocators!$B$9:$E$9, 0),FALSE)*$D31</f>
        <v>4711193.4263692405</v>
      </c>
      <c r="F31" s="124">
        <f>VLOOKUP('TB Allocation Details'!$C28, Allocators!$B$9:$E$195, MATCH(F$8, Allocators!$B$9:$E$9, 0),FALSE)*$D31</f>
        <v>630155.9348993774</v>
      </c>
    </row>
    <row r="32" spans="2:6" ht="12.9" customHeight="1">
      <c r="B32" s="234" t="str">
        <f>'Functionalized Accounts'!B32</f>
        <v>Conservation and Corporate Relations - Marketing</v>
      </c>
      <c r="C32" s="250" t="s">
        <v>116</v>
      </c>
      <c r="D32" s="123">
        <f>'Functionalized Accounts'!F32</f>
        <v>0</v>
      </c>
      <c r="E32" s="101">
        <f>VLOOKUP('TB Allocation Details'!$C29, Allocators!$B$9:$E$195, MATCH(E$8, Allocators!$B$9:$E$9, 0),FALSE)*$D32</f>
        <v>0</v>
      </c>
      <c r="F32" s="124">
        <f>VLOOKUP('TB Allocation Details'!$C29, Allocators!$B$9:$E$195, MATCH(F$8, Allocators!$B$9:$E$9, 0),FALSE)*$D32</f>
        <v>0</v>
      </c>
    </row>
    <row r="33" spans="2:6" ht="12.9" customHeight="1">
      <c r="B33" s="234" t="str">
        <f>'Functionalized Accounts'!B33</f>
        <v>Information and Technology Services - VP Office</v>
      </c>
      <c r="C33" s="250" t="s">
        <v>126</v>
      </c>
      <c r="D33" s="123">
        <f>'Functionalized Accounts'!F33</f>
        <v>1011151</v>
      </c>
      <c r="E33" s="101">
        <f>VLOOKUP('TB Allocation Details'!$C30, Allocators!$B$9:$E$195, MATCH(E$8, Allocators!$B$9:$E$9, 0),FALSE)*$D33</f>
        <v>913394.7098332881</v>
      </c>
      <c r="F33" s="124">
        <f>VLOOKUP('TB Allocation Details'!$C30, Allocators!$B$9:$E$195, MATCH(F$8, Allocators!$B$9:$E$9, 0),FALSE)*$D33</f>
        <v>97756.290166711493</v>
      </c>
    </row>
    <row r="34" spans="2:6" ht="12.9" customHeight="1">
      <c r="B34" s="234" t="str">
        <f>'Functionalized Accounts'!B34</f>
        <v>Information and Technology Services - Organizational Governance</v>
      </c>
      <c r="C34" s="250" t="s">
        <v>126</v>
      </c>
      <c r="D34" s="123">
        <f>'Functionalized Accounts'!F34</f>
        <v>3701929</v>
      </c>
      <c r="E34" s="101">
        <f>VLOOKUP('TB Allocation Details'!$C31, Allocators!$B$9:$E$195, MATCH(E$8, Allocators!$B$9:$E$9, 0),FALSE)*$D34</f>
        <v>3344033.052213205</v>
      </c>
      <c r="F34" s="124">
        <f>VLOOKUP('TB Allocation Details'!$C31, Allocators!$B$9:$E$195, MATCH(F$8, Allocators!$B$9:$E$9, 0),FALSE)*$D34</f>
        <v>357895.94778679358</v>
      </c>
    </row>
    <row r="35" spans="2:6" ht="12.9" customHeight="1">
      <c r="B35" s="234" t="str">
        <f>'Functionalized Accounts'!B35</f>
        <v>Information and Technology Services - Business Solutions + Business Analysis</v>
      </c>
      <c r="C35" s="250" t="s">
        <v>126</v>
      </c>
      <c r="D35" s="123">
        <f>'Functionalized Accounts'!F35</f>
        <v>12175768</v>
      </c>
      <c r="E35" s="101">
        <f>VLOOKUP('TB Allocation Details'!$C32, Allocators!$B$9:$E$195, MATCH(E$8, Allocators!$B$9:$E$9, 0),FALSE)*$D35</f>
        <v>10998636.28613079</v>
      </c>
      <c r="F35" s="124">
        <f>VLOOKUP('TB Allocation Details'!$C32, Allocators!$B$9:$E$195, MATCH(F$8, Allocators!$B$9:$E$9, 0),FALSE)*$D35</f>
        <v>1177131.713869205</v>
      </c>
    </row>
    <row r="36" spans="2:6" ht="12.9" customHeight="1">
      <c r="B36" s="234" t="str">
        <f>'Functionalized Accounts'!B36</f>
        <v>Information and Technology Services - Technology Support*</v>
      </c>
      <c r="C36" s="250" t="s">
        <v>126</v>
      </c>
      <c r="D36" s="123">
        <f>'Functionalized Accounts'!F36</f>
        <v>15642927</v>
      </c>
      <c r="E36" s="101">
        <f>VLOOKUP('TB Allocation Details'!$C33, Allocators!$B$9:$E$195, MATCH(E$8, Allocators!$B$9:$E$9, 0),FALSE)*$D36</f>
        <v>14130596.48668528</v>
      </c>
      <c r="F36" s="124">
        <f>VLOOKUP('TB Allocation Details'!$C33, Allocators!$B$9:$E$195, MATCH(F$8, Allocators!$B$9:$E$9, 0),FALSE)*$D36</f>
        <v>1512330.5133147135</v>
      </c>
    </row>
    <row r="37" spans="2:6" ht="12.9" customHeight="1">
      <c r="B37" s="234" t="str">
        <f>'Functionalized Accounts'!B37</f>
        <v>Information and Technology Services - Solutions (Adelaide)*</v>
      </c>
      <c r="C37" s="250" t="s">
        <v>126</v>
      </c>
      <c r="D37" s="123">
        <f>'Functionalized Accounts'!F37</f>
        <v>637841</v>
      </c>
      <c r="E37" s="101">
        <f>VLOOKUP('TB Allocation Details'!$C34, Allocators!$B$9:$E$195, MATCH(E$8, Allocators!$B$9:$E$9, 0),FALSE)*$D37</f>
        <v>576175.66032647376</v>
      </c>
      <c r="F37" s="124">
        <f>VLOOKUP('TB Allocation Details'!$C34, Allocators!$B$9:$E$195, MATCH(F$8, Allocators!$B$9:$E$9, 0),FALSE)*$D37</f>
        <v>61665.339673525938</v>
      </c>
    </row>
    <row r="38" spans="2:6" ht="12.9" customHeight="1">
      <c r="B38" s="234" t="str">
        <f>'Functionalized Accounts'!B38</f>
        <v>Information and Technology Services - IT Operations</v>
      </c>
      <c r="C38" s="250" t="s">
        <v>126</v>
      </c>
      <c r="D38" s="123">
        <f>'Functionalized Accounts'!F38</f>
        <v>2266992</v>
      </c>
      <c r="E38" s="101">
        <f>VLOOKUP('TB Allocation Details'!$C35, Allocators!$B$9:$E$195, MATCH(E$8, Allocators!$B$9:$E$9, 0),FALSE)*$D38</f>
        <v>2047823.2232716829</v>
      </c>
      <c r="F38" s="124">
        <f>VLOOKUP('TB Allocation Details'!$C35, Allocators!$B$9:$E$195, MATCH(F$8, Allocators!$B$9:$E$9, 0),FALSE)*$D38</f>
        <v>219168.77672831618</v>
      </c>
    </row>
    <row r="39" spans="2:6" ht="12.9" customHeight="1">
      <c r="B39" s="234" t="str">
        <f>'Functionalized Accounts'!B39</f>
        <v>Information and Technology Services - Facilities</v>
      </c>
      <c r="C39" s="250" t="s">
        <v>126</v>
      </c>
      <c r="D39" s="123">
        <f>'Functionalized Accounts'!F39</f>
        <v>8636858</v>
      </c>
      <c r="E39" s="101">
        <f>VLOOKUP('TB Allocation Details'!$C36, Allocators!$B$9:$E$195, MATCH(E$8, Allocators!$B$9:$E$9, 0),FALSE)*$D39</f>
        <v>7801861.8453438831</v>
      </c>
      <c r="F39" s="124">
        <f>VLOOKUP('TB Allocation Details'!$C36, Allocators!$B$9:$E$195, MATCH(F$8, Allocators!$B$9:$E$9, 0),FALSE)*$D39</f>
        <v>834996.15465611324</v>
      </c>
    </row>
    <row r="40" spans="2:6" ht="12.9" customHeight="1">
      <c r="B40" s="234" t="str">
        <f>'Functionalized Accounts'!B40</f>
        <v>Information and Technology Services - Support of Market and System Operation</v>
      </c>
      <c r="C40" s="250" t="s">
        <v>126</v>
      </c>
      <c r="D40" s="123">
        <f>'Functionalized Accounts'!F40</f>
        <v>0</v>
      </c>
      <c r="E40" s="101">
        <f>VLOOKUP('TB Allocation Details'!$C37, Allocators!$B$9:$E$195, MATCH(E$8, Allocators!$B$9:$E$9, 0),FALSE)*$D40</f>
        <v>0</v>
      </c>
      <c r="F40" s="124">
        <f>VLOOKUP('TB Allocation Details'!$C37, Allocators!$B$9:$E$195, MATCH(F$8, Allocators!$B$9:$E$9, 0),FALSE)*$D40</f>
        <v>0</v>
      </c>
    </row>
    <row r="41" spans="2:6" ht="12.9" customHeight="1">
      <c r="B41" s="234" t="str">
        <f>'Functionalized Accounts'!B41</f>
        <v>Planning, Law and Aboriginal Relations - VP Office</v>
      </c>
      <c r="C41" s="250" t="s">
        <v>117</v>
      </c>
      <c r="D41" s="123">
        <f>'Functionalized Accounts'!F41</f>
        <v>1168340</v>
      </c>
      <c r="E41" s="101">
        <f>VLOOKUP('TB Allocation Details'!$C38, Allocators!$B$9:$E$195, MATCH(E$8, Allocators!$B$9:$E$9, 0),FALSE)*$D41</f>
        <v>1097024.312248236</v>
      </c>
      <c r="F41" s="124">
        <f>VLOOKUP('TB Allocation Details'!$C38, Allocators!$B$9:$E$195, MATCH(F$8, Allocators!$B$9:$E$9, 0),FALSE)*$D41</f>
        <v>71315.687751764053</v>
      </c>
    </row>
    <row r="42" spans="2:6" ht="12.9" customHeight="1">
      <c r="B42" s="234" t="str">
        <f>'Functionalized Accounts'!B42</f>
        <v>Planning, Law and Aboriginal Relations - General Counsel</v>
      </c>
      <c r="C42" s="250" t="s">
        <v>117</v>
      </c>
      <c r="D42" s="123">
        <f>'Functionalized Accounts'!F42</f>
        <v>4378174</v>
      </c>
      <c r="E42" s="101">
        <f>VLOOKUP('TB Allocation Details'!$C39, Allocators!$B$9:$E$195, MATCH(E$8, Allocators!$B$9:$E$9, 0),FALSE)*$D42</f>
        <v>3861650.525589617</v>
      </c>
      <c r="F42" s="124">
        <f>VLOOKUP('TB Allocation Details'!$C39, Allocators!$B$9:$E$195, MATCH(F$8, Allocators!$B$9:$E$9, 0),FALSE)*$D42</f>
        <v>516523.47441038309</v>
      </c>
    </row>
    <row r="43" spans="2:6" ht="12.9" customHeight="1">
      <c r="B43" s="234" t="str">
        <f>'Functionalized Accounts'!B43</f>
        <v>Planning, Law and Aboriginal Relations - Regulatory Affairs</v>
      </c>
      <c r="C43" s="250" t="s">
        <v>117</v>
      </c>
      <c r="D43" s="123">
        <f>'Functionalized Accounts'!F43</f>
        <v>2186249</v>
      </c>
      <c r="E43" s="101">
        <f>VLOOKUP('TB Allocation Details'!$C40, Allocators!$B$9:$E$195, MATCH(E$8, Allocators!$B$9:$E$9, 0),FALSE)*$D43</f>
        <v>1928322.0812877184</v>
      </c>
      <c r="F43" s="124">
        <f>VLOOKUP('TB Allocation Details'!$C40, Allocators!$B$9:$E$195, MATCH(F$8, Allocators!$B$9:$E$9, 0),FALSE)*$D43</f>
        <v>257926.9187122818</v>
      </c>
    </row>
    <row r="44" spans="2:6" ht="12.9" customHeight="1">
      <c r="B44" s="234" t="str">
        <f>'Functionalized Accounts'!B44</f>
        <v>Planning, Law and Aboriginal Relations - Board</v>
      </c>
      <c r="C44" s="250" t="s">
        <v>117</v>
      </c>
      <c r="D44" s="123">
        <f>'Functionalized Accounts'!F44</f>
        <v>715210</v>
      </c>
      <c r="E44" s="101">
        <f>VLOOKUP('TB Allocation Details'!$C41, Allocators!$B$9:$E$195, MATCH(E$8, Allocators!$B$9:$E$9, 0),FALSE)*$D44</f>
        <v>630831.72857153462</v>
      </c>
      <c r="F44" s="124">
        <f>VLOOKUP('TB Allocation Details'!$C41, Allocators!$B$9:$E$195, MATCH(F$8, Allocators!$B$9:$E$9, 0),FALSE)*$D44</f>
        <v>84378.271428465407</v>
      </c>
    </row>
    <row r="45" spans="2:6" ht="12.9" customHeight="1">
      <c r="B45" s="234" t="str">
        <f>'Functionalized Accounts'!B45</f>
        <v>Planning, Law and Aboriginal Relations - First Nations &amp; Metis Relations</v>
      </c>
      <c r="C45" s="250" t="s">
        <v>117</v>
      </c>
      <c r="D45" s="123">
        <f>'Functionalized Accounts'!F45</f>
        <v>898421</v>
      </c>
      <c r="E45" s="101">
        <f>VLOOKUP('TB Allocation Details'!$C42, Allocators!$B$9:$E$195, MATCH(E$8, Allocators!$B$9:$E$9, 0),FALSE)*$D45</f>
        <v>898421</v>
      </c>
      <c r="F45" s="124">
        <f>VLOOKUP('TB Allocation Details'!$C42, Allocators!$B$9:$E$195, MATCH(F$8, Allocators!$B$9:$E$9, 0),FALSE)*$D45</f>
        <v>0</v>
      </c>
    </row>
    <row r="46" spans="2:6" ht="12.9" customHeight="1">
      <c r="B46" s="234" t="str">
        <f>'Functionalized Accounts'!B46</f>
        <v xml:space="preserve">Planning, Law and Aboriginal Relations - Transmission Integration </v>
      </c>
      <c r="C46" s="250" t="s">
        <v>117</v>
      </c>
      <c r="D46" s="123">
        <f>'Functionalized Accounts'!F46</f>
        <v>2538417</v>
      </c>
      <c r="E46" s="101">
        <f>VLOOKUP('TB Allocation Details'!$C43, Allocators!$B$9:$E$195, MATCH(E$8, Allocators!$B$9:$E$9, 0),FALSE)*$D46</f>
        <v>2538417</v>
      </c>
      <c r="F46" s="124">
        <f>VLOOKUP('TB Allocation Details'!$C43, Allocators!$B$9:$E$195, MATCH(F$8, Allocators!$B$9:$E$9, 0),FALSE)*$D46</f>
        <v>0</v>
      </c>
    </row>
    <row r="47" spans="2:6" ht="12.9" customHeight="1">
      <c r="B47" s="234" t="str">
        <f>'Functionalized Accounts'!B47</f>
        <v>Planning, Law and Aboriginal Relations - Resource Integration</v>
      </c>
      <c r="C47" s="250" t="s">
        <v>117</v>
      </c>
      <c r="D47" s="123">
        <f>'Functionalized Accounts'!F47</f>
        <v>2082323</v>
      </c>
      <c r="E47" s="101">
        <f>VLOOKUP('TB Allocation Details'!$C44, Allocators!$B$9:$E$195, MATCH(E$8, Allocators!$B$9:$E$9, 0),FALSE)*$D47</f>
        <v>2082323</v>
      </c>
      <c r="F47" s="124">
        <f>VLOOKUP('TB Allocation Details'!$C44, Allocators!$B$9:$E$195, MATCH(F$8, Allocators!$B$9:$E$9, 0),FALSE)*$D47</f>
        <v>0</v>
      </c>
    </row>
    <row r="48" spans="2:6" ht="12.9" customHeight="1">
      <c r="B48" s="234" t="str">
        <f>'Functionalized Accounts'!B48</f>
        <v>Planning, Law and Aboriginal Relations - Conservation Inegration</v>
      </c>
      <c r="C48" s="250" t="s">
        <v>117</v>
      </c>
      <c r="D48" s="123">
        <f>'Functionalized Accounts'!F48</f>
        <v>1271096</v>
      </c>
      <c r="E48" s="101">
        <f>VLOOKUP('TB Allocation Details'!$C45, Allocators!$B$9:$E$195, MATCH(E$8, Allocators!$B$9:$E$9, 0),FALSE)*$D48</f>
        <v>1271096</v>
      </c>
      <c r="F48" s="124">
        <f>VLOOKUP('TB Allocation Details'!$C45, Allocators!$B$9:$E$195, MATCH(F$8, Allocators!$B$9:$E$9, 0),FALSE)*$D48</f>
        <v>0</v>
      </c>
    </row>
    <row r="49" spans="2:6" ht="12.9" customHeight="1">
      <c r="B49" s="234" t="str">
        <f>'Functionalized Accounts'!B49</f>
        <v>Corporate Services - VP Office</v>
      </c>
      <c r="C49" s="250" t="s">
        <v>118</v>
      </c>
      <c r="D49" s="123">
        <f>'Functionalized Accounts'!F49</f>
        <v>412624.17818913399</v>
      </c>
      <c r="E49" s="101">
        <f>VLOOKUP('TB Allocation Details'!$C46, Allocators!$B$9:$E$195, MATCH(E$8, Allocators!$B$9:$E$9, 0),FALSE)*$D49</f>
        <v>367820.67428282695</v>
      </c>
      <c r="F49" s="124">
        <f>VLOOKUP('TB Allocation Details'!$C46, Allocators!$B$9:$E$195, MATCH(F$8, Allocators!$B$9:$E$9, 0),FALSE)*$D49</f>
        <v>44803.503906306927</v>
      </c>
    </row>
    <row r="50" spans="2:6" ht="12.9" customHeight="1">
      <c r="B50" s="234" t="str">
        <f>'Functionalized Accounts'!B50</f>
        <v>Corporate Services - Corporate Controller</v>
      </c>
      <c r="C50" s="250" t="s">
        <v>118</v>
      </c>
      <c r="D50" s="123">
        <f>'Functionalized Accounts'!F50</f>
        <v>3465120.7125556199</v>
      </c>
      <c r="E50" s="101">
        <f>VLOOKUP('TB Allocation Details'!$C47, Allocators!$B$9:$E$195, MATCH(E$8, Allocators!$B$9:$E$9, 0),FALSE)*$D50</f>
        <v>3056316.4508472891</v>
      </c>
      <c r="F50" s="124">
        <f>VLOOKUP('TB Allocation Details'!$C47, Allocators!$B$9:$E$195, MATCH(F$8, Allocators!$B$9:$E$9, 0),FALSE)*$D50</f>
        <v>408804.26170833118</v>
      </c>
    </row>
    <row r="51" spans="2:6" ht="12.9" customHeight="1">
      <c r="B51" s="234" t="str">
        <f>'Functionalized Accounts'!B51</f>
        <v>Corporate Services - Financial Planning &amp; Analysis</v>
      </c>
      <c r="C51" s="250" t="s">
        <v>118</v>
      </c>
      <c r="D51" s="123">
        <f>'Functionalized Accounts'!F51</f>
        <v>1431913.1263141923</v>
      </c>
      <c r="E51" s="101">
        <f>VLOOKUP('TB Allocation Details'!$C48, Allocators!$B$9:$E$195, MATCH(E$8, Allocators!$B$9:$E$9, 0),FALSE)*$D51</f>
        <v>1293478.2980150622</v>
      </c>
      <c r="F51" s="124">
        <f>VLOOKUP('TB Allocation Details'!$C48, Allocators!$B$9:$E$195, MATCH(F$8, Allocators!$B$9:$E$9, 0),FALSE)*$D51</f>
        <v>138434.82829912961</v>
      </c>
    </row>
    <row r="52" spans="2:6" ht="12.9" customHeight="1">
      <c r="B52" s="234" t="str">
        <f>'Functionalized Accounts'!B52</f>
        <v>Corporate Services - Treasury &amp; Pension Operations</v>
      </c>
      <c r="C52" s="250" t="s">
        <v>118</v>
      </c>
      <c r="D52" s="123">
        <f>'Functionalized Accounts'!F52</f>
        <v>1704218.1798594706</v>
      </c>
      <c r="E52" s="101">
        <f>VLOOKUP('TB Allocation Details'!$C49, Allocators!$B$9:$E$195, MATCH(E$8, Allocators!$B$9:$E$9, 0),FALSE)*$D52</f>
        <v>1539457.3806339069</v>
      </c>
      <c r="F52" s="124">
        <f>VLOOKUP('TB Allocation Details'!$C49, Allocators!$B$9:$E$195, MATCH(F$8, Allocators!$B$9:$E$9, 0),FALSE)*$D52</f>
        <v>164760.79922556307</v>
      </c>
    </row>
    <row r="53" spans="2:6" ht="12.9" customHeight="1">
      <c r="B53" s="234" t="str">
        <f>'Functionalized Accounts'!B53</f>
        <v>Corporate Services - Human Resources</v>
      </c>
      <c r="C53" s="250" t="s">
        <v>118</v>
      </c>
      <c r="D53" s="123">
        <f>'Functionalized Accounts'!F53</f>
        <v>3969532.2769054407</v>
      </c>
      <c r="E53" s="101">
        <f>VLOOKUP('TB Allocation Details'!$C50, Allocators!$B$9:$E$195, MATCH(E$8, Allocators!$B$9:$E$9, 0),FALSE)*$D53</f>
        <v>3585764.9176412984</v>
      </c>
      <c r="F53" s="124">
        <f>VLOOKUP('TB Allocation Details'!$C50, Allocators!$B$9:$E$195, MATCH(F$8, Allocators!$B$9:$E$9, 0),FALSE)*$D53</f>
        <v>383767.35926414083</v>
      </c>
    </row>
    <row r="54" spans="2:6" ht="15.9" customHeight="1">
      <c r="B54" s="234" t="str">
        <f>'Functionalized Accounts'!B54</f>
        <v>Corporate Services - Settlements</v>
      </c>
      <c r="C54" s="250" t="s">
        <v>118</v>
      </c>
      <c r="D54" s="123">
        <f>'Functionalized Accounts'!F54</f>
        <v>5537836.5925250864</v>
      </c>
      <c r="E54" s="101">
        <f>VLOOKUP('TB Allocation Details'!$C51, Allocators!$B$9:$E$195, MATCH(E$8, Allocators!$B$9:$E$9, 0),FALSE)*$D54</f>
        <v>4884499.6996816285</v>
      </c>
      <c r="F54" s="124">
        <f>VLOOKUP('TB Allocation Details'!$C51, Allocators!$B$9:$E$195, MATCH(F$8, Allocators!$B$9:$E$9, 0),FALSE)*$D54</f>
        <v>653336.89284345822</v>
      </c>
    </row>
    <row r="55" spans="2:6" ht="15.9" customHeight="1">
      <c r="B55" s="234" t="str">
        <f>'Functionalized Accounts'!B55</f>
        <v>MACD</v>
      </c>
      <c r="C55" s="250" t="s">
        <v>94</v>
      </c>
      <c r="D55" s="123">
        <f>'Functionalized Accounts'!F55</f>
        <v>3662308.5255546798</v>
      </c>
      <c r="E55" s="101">
        <f>VLOOKUP('TB Allocation Details'!$C52, Allocators!$B$9:$E$195, MATCH(E$8, Allocators!$B$9:$E$9, 0),FALSE)*$D55</f>
        <v>3230240.6534275627</v>
      </c>
      <c r="F55" s="124">
        <f>VLOOKUP('TB Allocation Details'!$C52, Allocators!$B$9:$E$195, MATCH(F$8, Allocators!$B$9:$E$9, 0),FALSE)*$D55</f>
        <v>432067.87212711747</v>
      </c>
    </row>
    <row r="56" spans="2:6" ht="15.9" customHeight="1">
      <c r="B56" s="234" t="str">
        <f>'Functionalized Accounts'!B56</f>
        <v>Others (IESO Corp Adj+Int+Amort) - Amortization</v>
      </c>
      <c r="C56" s="250" t="s">
        <v>31</v>
      </c>
      <c r="D56" s="123">
        <f>'Functionalized Accounts'!F56</f>
        <v>17500000</v>
      </c>
      <c r="E56" s="101">
        <f>VLOOKUP('TB Allocation Details'!$C53, Allocators!$B$9:$E$195, MATCH(E$8, Allocators!$B$9:$E$9, 0),FALSE)*$D56</f>
        <v>15435403.937307723</v>
      </c>
      <c r="F56" s="124">
        <f>VLOOKUP('TB Allocation Details'!$C53, Allocators!$B$9:$E$195, MATCH(F$8, Allocators!$B$9:$E$9, 0),FALSE)*$D56</f>
        <v>2064596.0626922785</v>
      </c>
    </row>
    <row r="57" spans="2:6" ht="15.9" customHeight="1">
      <c r="B57" s="234" t="str">
        <f>'Functionalized Accounts'!B57</f>
        <v>Others (IESO Corp Adj+Int+Amort) - Interest</v>
      </c>
      <c r="C57" s="250" t="s">
        <v>110</v>
      </c>
      <c r="D57" s="123">
        <f>'Functionalized Accounts'!F57</f>
        <v>1017872.529923238</v>
      </c>
      <c r="E57" s="101">
        <f>VLOOKUP('TB Allocation Details'!$C54, Allocators!$B$9:$E$195, MATCH(E$8, Allocators!$B$9:$E$9, 0),FALSE)*$D57</f>
        <v>897787.06606025831</v>
      </c>
      <c r="F57" s="124">
        <f>VLOOKUP('TB Allocation Details'!$C54, Allocators!$B$9:$E$195, MATCH(F$8, Allocators!$B$9:$E$9, 0),FALSE)*$D57</f>
        <v>120085.46386297976</v>
      </c>
    </row>
    <row r="58" spans="2:6" ht="15.9" customHeight="1">
      <c r="B58" s="234" t="str">
        <f>'Functionalized Accounts'!B58</f>
        <v>Others (IESO Corp Adj+Int+Amort) - Uncleared salary</v>
      </c>
      <c r="C58" s="250" t="s">
        <v>119</v>
      </c>
      <c r="D58" s="123">
        <f>'Functionalized Accounts'!F58</f>
        <v>6197678.6594368378</v>
      </c>
      <c r="E58" s="101">
        <f>VLOOKUP('TB Allocation Details'!$C55, Allocators!$B$9:$E$195, MATCH(E$8, Allocators!$B$9:$E$9, 0),FALSE)*$D58</f>
        <v>5598498.0490315221</v>
      </c>
      <c r="F58" s="124">
        <f>VLOOKUP('TB Allocation Details'!$C55, Allocators!$B$9:$E$195, MATCH(F$8, Allocators!$B$9:$E$9, 0),FALSE)*$D58</f>
        <v>599180.61040531343</v>
      </c>
    </row>
    <row r="59" spans="2:6" ht="15.9" customHeight="1">
      <c r="B59" s="234" t="str">
        <f>'Functionalized Accounts'!B64</f>
        <v>Former IESO - Assets</v>
      </c>
      <c r="C59" s="250" t="s">
        <v>30</v>
      </c>
      <c r="D59" s="123">
        <f>'Functionalized Accounts'!F64</f>
        <v>52281000</v>
      </c>
      <c r="E59" s="101">
        <f>VLOOKUP('TB Allocation Details'!$C56, Allocators!$B$9:$E$195, MATCH(E$8, Allocators!$B$9:$E$9, 0),FALSE)*$D59</f>
        <v>46113048.756936289</v>
      </c>
      <c r="F59" s="124">
        <f>VLOOKUP('TB Allocation Details'!$C56, Allocators!$B$9:$E$195, MATCH(F$8, Allocators!$B$9:$E$9, 0),FALSE)*$D59</f>
        <v>6167951.2430637153</v>
      </c>
    </row>
    <row r="60" spans="2:6" ht="15.9" customHeight="1">
      <c r="B60" s="234" t="str">
        <f>'Functionalized Accounts'!B65</f>
        <v>Former IESO - Market systems &amp; applications</v>
      </c>
      <c r="C60" s="250" t="s">
        <v>30</v>
      </c>
      <c r="D60" s="123">
        <f>'Functionalized Accounts'!F65</f>
        <v>278458000</v>
      </c>
      <c r="E60" s="101">
        <f>VLOOKUP('TB Allocation Details'!$C57, Allocators!$B$9:$E$195, MATCH(E$8, Allocators!$B$9:$E$9, 0),FALSE)*$D60</f>
        <v>245606383.40427622</v>
      </c>
      <c r="F60" s="124">
        <f>VLOOKUP('TB Allocation Details'!$C57, Allocators!$B$9:$E$195, MATCH(F$8, Allocators!$B$9:$E$9, 0),FALSE)*$D60</f>
        <v>32851616.5957238</v>
      </c>
    </row>
    <row r="61" spans="2:6" ht="15.9" customHeight="1">
      <c r="B61" s="234" t="str">
        <f>'Functionalized Accounts'!B66</f>
        <v>Former IESO - Infrastructure &amp; other assets</v>
      </c>
      <c r="C61" s="250" t="s">
        <v>30</v>
      </c>
      <c r="D61" s="123">
        <f>'Functionalized Accounts'!F66</f>
        <v>60180000</v>
      </c>
      <c r="E61" s="101">
        <f>VLOOKUP('TB Allocation Details'!$C58, Allocators!$B$9:$E$195, MATCH(E$8, Allocators!$B$9:$E$9, 0),FALSE)*$D61</f>
        <v>53080149.082695931</v>
      </c>
      <c r="F61" s="124">
        <f>VLOOKUP('TB Allocation Details'!$C58, Allocators!$B$9:$E$195, MATCH(F$8, Allocators!$B$9:$E$9, 0),FALSE)*$D61</f>
        <v>7099850.9173040763</v>
      </c>
    </row>
    <row r="62" spans="2:6" ht="15.9" customHeight="1">
      <c r="B62" s="234" t="str">
        <f>'Functionalized Accounts'!B67</f>
        <v>Former IESO - Assets Under Construction</v>
      </c>
      <c r="C62" s="250" t="s">
        <v>30</v>
      </c>
      <c r="D62" s="123">
        <f>'Functionalized Accounts'!F67</f>
        <v>23268000</v>
      </c>
      <c r="E62" s="101">
        <f>VLOOKUP('TB Allocation Details'!$C59, Allocators!$B$9:$E$195, MATCH(E$8, Allocators!$B$9:$E$9, 0),FALSE)*$D62</f>
        <v>20522913.075044349</v>
      </c>
      <c r="F62" s="124">
        <f>VLOOKUP('TB Allocation Details'!$C59, Allocators!$B$9:$E$195, MATCH(F$8, Allocators!$B$9:$E$9, 0),FALSE)*$D62</f>
        <v>2745086.9249556535</v>
      </c>
    </row>
    <row r="63" spans="2:6" ht="15.9" customHeight="1">
      <c r="B63" s="234" t="str">
        <f>'Functionalized Accounts'!B68</f>
        <v>Former OPA - Furniture &amp; Equipment</v>
      </c>
      <c r="C63" s="250" t="s">
        <v>30</v>
      </c>
      <c r="D63" s="123">
        <f>'Functionalized Accounts'!F68</f>
        <v>0</v>
      </c>
      <c r="E63" s="101">
        <f>VLOOKUP('TB Allocation Details'!$C60, Allocators!$B$9:$E$195, MATCH(E$8, Allocators!$B$9:$E$9, 0),FALSE)*$D63</f>
        <v>0</v>
      </c>
      <c r="F63" s="124">
        <f>VLOOKUP('TB Allocation Details'!$C60, Allocators!$B$9:$E$195, MATCH(F$8, Allocators!$B$9:$E$9, 0),FALSE)*$D63</f>
        <v>0</v>
      </c>
    </row>
    <row r="64" spans="2:6" ht="15.9" customHeight="1">
      <c r="B64" s="234" t="str">
        <f>'Functionalized Accounts'!B69</f>
        <v>Former OPA - Audio Visual</v>
      </c>
      <c r="C64" s="250" t="s">
        <v>30</v>
      </c>
      <c r="D64" s="123">
        <f>'Functionalized Accounts'!F69</f>
        <v>0</v>
      </c>
      <c r="E64" s="101">
        <f>VLOOKUP('TB Allocation Details'!$C61, Allocators!$B$9:$E$195, MATCH(E$8, Allocators!$B$9:$E$9, 0),FALSE)*$D64</f>
        <v>0</v>
      </c>
      <c r="F64" s="124">
        <f>VLOOKUP('TB Allocation Details'!$C61, Allocators!$B$9:$E$195, MATCH(F$8, Allocators!$B$9:$E$9, 0),FALSE)*$D64</f>
        <v>0</v>
      </c>
    </row>
    <row r="65" spans="2:6" ht="15.9" customHeight="1">
      <c r="B65" s="234" t="str">
        <f>'Functionalized Accounts'!B70</f>
        <v>Former OPA - Telephone</v>
      </c>
      <c r="C65" s="250" t="s">
        <v>30</v>
      </c>
      <c r="D65" s="123">
        <f>'Functionalized Accounts'!F70</f>
        <v>0</v>
      </c>
      <c r="E65" s="101">
        <f>VLOOKUP('TB Allocation Details'!$C62, Allocators!$B$9:$E$195, MATCH(E$8, Allocators!$B$9:$E$9, 0),FALSE)*$D65</f>
        <v>0</v>
      </c>
      <c r="F65" s="124">
        <f>VLOOKUP('TB Allocation Details'!$C62, Allocators!$B$9:$E$195, MATCH(F$8, Allocators!$B$9:$E$9, 0),FALSE)*$D65</f>
        <v>0</v>
      </c>
    </row>
    <row r="66" spans="2:6" ht="15.9" customHeight="1">
      <c r="B66" s="234" t="str">
        <f>'Functionalized Accounts'!B71</f>
        <v>Former OPA - Leasehold improvements</v>
      </c>
      <c r="C66" s="250" t="s">
        <v>30</v>
      </c>
      <c r="D66" s="123">
        <f>'Functionalized Accounts'!F71</f>
        <v>0</v>
      </c>
      <c r="E66" s="101">
        <f>VLOOKUP('TB Allocation Details'!$C63, Allocators!$B$9:$E$195, MATCH(E$8, Allocators!$B$9:$E$9, 0),FALSE)*$D66</f>
        <v>0</v>
      </c>
      <c r="F66" s="124">
        <f>VLOOKUP('TB Allocation Details'!$C63, Allocators!$B$9:$E$195, MATCH(F$8, Allocators!$B$9:$E$9, 0),FALSE)*$D66</f>
        <v>0</v>
      </c>
    </row>
    <row r="67" spans="2:6" ht="15.9" customHeight="1">
      <c r="B67" s="234" t="str">
        <f>'Functionalized Accounts'!B72</f>
        <v>Former OPA - Computer Hardware</v>
      </c>
      <c r="C67" s="250" t="s">
        <v>30</v>
      </c>
      <c r="D67" s="123">
        <f>'Functionalized Accounts'!F72</f>
        <v>0</v>
      </c>
      <c r="E67" s="101">
        <f>VLOOKUP('TB Allocation Details'!$C64, Allocators!$B$9:$E$195, MATCH(E$8, Allocators!$B$9:$E$9, 0),FALSE)*$D67</f>
        <v>0</v>
      </c>
      <c r="F67" s="124">
        <f>VLOOKUP('TB Allocation Details'!$C64, Allocators!$B$9:$E$195, MATCH(F$8, Allocators!$B$9:$E$9, 0),FALSE)*$D67</f>
        <v>0</v>
      </c>
    </row>
    <row r="68" spans="2:6" ht="15.9" customHeight="1">
      <c r="B68" s="234" t="str">
        <f>'Functionalized Accounts'!B73</f>
        <v>Former OPA - Computer Software</v>
      </c>
      <c r="C68" s="250" t="s">
        <v>30</v>
      </c>
      <c r="D68" s="123">
        <f>'Functionalized Accounts'!F73</f>
        <v>0</v>
      </c>
      <c r="E68" s="101">
        <f>VLOOKUP('TB Allocation Details'!$C65, Allocators!$B$9:$E$195, MATCH(E$8, Allocators!$B$9:$E$9, 0),FALSE)*$D68</f>
        <v>0</v>
      </c>
      <c r="F68" s="124">
        <f>VLOOKUP('TB Allocation Details'!$C65, Allocators!$B$9:$E$195, MATCH(F$8, Allocators!$B$9:$E$9, 0),FALSE)*$D68</f>
        <v>0</v>
      </c>
    </row>
    <row r="69" spans="2:6" ht="15.9" customHeight="1" thickBot="1">
      <c r="B69" s="235" t="str">
        <f>'Functionalized Accounts'!B74</f>
        <v>Accumulated Amortization</v>
      </c>
      <c r="C69" s="251" t="s">
        <v>30</v>
      </c>
      <c r="D69" s="252">
        <f>'Functionalized Accounts'!F74</f>
        <v>-321042000</v>
      </c>
      <c r="E69" s="253">
        <f>'Source Data for Allocators'!D34</f>
        <v>-283166454.33377975</v>
      </c>
      <c r="F69" s="254">
        <f>'Source Data for Allocators'!E34</f>
        <v>-37875545.666220255</v>
      </c>
    </row>
    <row r="70" spans="2:6" ht="15.9" customHeight="1" thickBot="1">
      <c r="C70" s="103"/>
      <c r="D70" s="101"/>
      <c r="E70" s="101"/>
      <c r="F70" s="101"/>
    </row>
    <row r="71" spans="2:6" s="200" customFormat="1" ht="15.9" customHeight="1">
      <c r="B71" s="320" t="s">
        <v>156</v>
      </c>
      <c r="C71" s="321"/>
      <c r="D71" s="322">
        <f>SUM(D9:D69)</f>
        <v>275276970.49331689</v>
      </c>
      <c r="E71" s="322">
        <f>SUM(E9:E69)</f>
        <v>246280495.63153064</v>
      </c>
      <c r="F71" s="323">
        <f>SUM(F9:F69)</f>
        <v>28996474.861786202</v>
      </c>
    </row>
    <row r="72" spans="2:6" ht="15.9" customHeight="1" thickBot="1">
      <c r="B72" s="324" t="s">
        <v>157</v>
      </c>
      <c r="C72" s="325"/>
      <c r="D72" s="326" t="str">
        <f>IF(D71=SUM(E71:F71),"Okay","Error")</f>
        <v>Okay</v>
      </c>
      <c r="E72" s="327"/>
      <c r="F72" s="328"/>
    </row>
    <row r="73" spans="2:6" ht="15.9" customHeight="1">
      <c r="B73" s="24"/>
      <c r="C73" s="103"/>
      <c r="D73" s="101"/>
      <c r="E73" s="101"/>
      <c r="F73" s="101"/>
    </row>
  </sheetData>
  <phoneticPr fontId="6" type="noConversion"/>
  <pageMargins left="0.75" right="0.75" top="1" bottom="1" header="0.5" footer="0.5"/>
  <pageSetup scale="75" orientation="portrait" r:id="rId1"/>
  <headerFooter alignWithMargins="0">
    <oddFooter>&amp;L&amp;Z&amp;F -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9"/>
  </sheetPr>
  <dimension ref="A1:H92"/>
  <sheetViews>
    <sheetView tabSelected="1" topLeftCell="A85" workbookViewId="0">
      <pane xSplit="2" topLeftCell="C1" activePane="topRight" state="frozenSplit"/>
      <selection activeCell="A148" sqref="A148"/>
      <selection pane="topRight" activeCell="D126" sqref="D126"/>
    </sheetView>
  </sheetViews>
  <sheetFormatPr defaultColWidth="9.109375" defaultRowHeight="10.199999999999999"/>
  <cols>
    <col min="1" max="1" width="2.6640625" style="212" customWidth="1"/>
    <col min="2" max="2" width="40.33203125" style="209" customWidth="1"/>
    <col min="3" max="3" width="15.6640625" style="210" customWidth="1"/>
    <col min="4" max="4" width="15.6640625" style="211" customWidth="1"/>
    <col min="5" max="5" width="12.33203125" style="211" bestFit="1" customWidth="1"/>
    <col min="6" max="7" width="9.109375" style="202"/>
    <col min="8" max="8" width="7.6640625" style="214" bestFit="1" customWidth="1"/>
    <col min="9" max="16384" width="9.109375" style="202"/>
  </cols>
  <sheetData>
    <row r="1" spans="1:8" ht="21" customHeight="1">
      <c r="A1" s="203" t="s">
        <v>181</v>
      </c>
      <c r="B1" s="204"/>
      <c r="C1" s="205"/>
      <c r="D1" s="205"/>
      <c r="E1" s="206"/>
    </row>
    <row r="2" spans="1:8" ht="6" customHeight="1">
      <c r="A2" s="207"/>
      <c r="B2" s="207"/>
      <c r="C2" s="208"/>
      <c r="D2" s="208"/>
      <c r="E2" s="207"/>
    </row>
    <row r="3" spans="1:8" s="217" customFormat="1" ht="15.75" customHeight="1">
      <c r="A3" s="215"/>
      <c r="B3" s="216"/>
      <c r="C3" s="444"/>
      <c r="D3" s="444"/>
      <c r="E3" s="444"/>
      <c r="H3" s="218"/>
    </row>
    <row r="4" spans="1:8" s="222" customFormat="1" ht="13.2">
      <c r="A4" s="219"/>
      <c r="B4" s="220"/>
      <c r="C4" s="361"/>
      <c r="D4" s="221">
        <v>1</v>
      </c>
      <c r="E4" s="364">
        <v>2</v>
      </c>
      <c r="H4" s="223"/>
    </row>
    <row r="5" spans="1:8" s="213" customFormat="1" ht="15">
      <c r="A5" s="215"/>
      <c r="B5" s="216"/>
      <c r="C5" s="362" t="s">
        <v>33</v>
      </c>
      <c r="D5" s="363" t="str">
        <f>'Revenue to Cost|RR'!D8</f>
        <v>Domestic</v>
      </c>
      <c r="E5" s="363" t="str">
        <f>'Revenue to Cost|RR'!E8</f>
        <v>Export</v>
      </c>
      <c r="H5" s="224"/>
    </row>
    <row r="6" spans="1:8" s="213" customFormat="1" ht="6" customHeight="1">
      <c r="A6" s="215"/>
      <c r="B6" s="230"/>
      <c r="C6" s="226"/>
      <c r="D6" s="225"/>
      <c r="E6" s="225"/>
      <c r="H6" s="224"/>
    </row>
    <row r="7" spans="1:8" s="213" customFormat="1" ht="26.25" customHeight="1" thickBot="1">
      <c r="A7" s="227" t="s">
        <v>177</v>
      </c>
      <c r="B7" s="230"/>
      <c r="C7" s="226"/>
      <c r="D7" s="225"/>
      <c r="E7" s="225"/>
      <c r="H7" s="224"/>
    </row>
    <row r="8" spans="1:8" s="213" customFormat="1" ht="13.2">
      <c r="A8" s="212"/>
      <c r="B8" s="329" t="str">
        <f>'Summary by Class &amp; Accounts'!B59</f>
        <v>Former IESO - Assets</v>
      </c>
      <c r="C8" s="330">
        <f>SUM(D8:E8)</f>
        <v>52281000.000000007</v>
      </c>
      <c r="D8" s="331">
        <f>'Summary by Class &amp; Accounts'!E59</f>
        <v>46113048.756936289</v>
      </c>
      <c r="E8" s="332">
        <f>'Summary by Class &amp; Accounts'!F59</f>
        <v>6167951.2430637153</v>
      </c>
      <c r="H8" s="228"/>
    </row>
    <row r="9" spans="1:8" s="213" customFormat="1" ht="13.2">
      <c r="A9" s="212"/>
      <c r="B9" s="333" t="str">
        <f>'Summary by Class &amp; Accounts'!B60</f>
        <v>Former IESO - Market systems &amp; applications</v>
      </c>
      <c r="C9" s="334">
        <f>SUM(D9:E9)</f>
        <v>278458000</v>
      </c>
      <c r="D9" s="335">
        <f>'Summary by Class &amp; Accounts'!E60</f>
        <v>245606383.40427622</v>
      </c>
      <c r="E9" s="336">
        <f>'Summary by Class &amp; Accounts'!F60</f>
        <v>32851616.5957238</v>
      </c>
      <c r="H9" s="228"/>
    </row>
    <row r="10" spans="1:8" s="213" customFormat="1" ht="13.2">
      <c r="A10" s="212"/>
      <c r="B10" s="333" t="str">
        <f>'Summary by Class &amp; Accounts'!B61</f>
        <v>Former IESO - Infrastructure &amp; other assets</v>
      </c>
      <c r="C10" s="334">
        <f>SUM(D10:E10)</f>
        <v>60180000.000000007</v>
      </c>
      <c r="D10" s="335">
        <f>'Summary by Class &amp; Accounts'!E61</f>
        <v>53080149.082695931</v>
      </c>
      <c r="E10" s="336">
        <f>'Summary by Class &amp; Accounts'!F61</f>
        <v>7099850.9173040763</v>
      </c>
      <c r="H10" s="228"/>
    </row>
    <row r="11" spans="1:8" s="213" customFormat="1" ht="13.2">
      <c r="A11" s="212"/>
      <c r="B11" s="333" t="str">
        <f>'Summary by Class &amp; Accounts'!B62</f>
        <v>Former IESO - Assets Under Construction</v>
      </c>
      <c r="C11" s="334">
        <f>SUM(D11:E11)</f>
        <v>23268000.000000004</v>
      </c>
      <c r="D11" s="335">
        <f>'Summary by Class &amp; Accounts'!E62</f>
        <v>20522913.075044349</v>
      </c>
      <c r="E11" s="336">
        <f>'Summary by Class &amp; Accounts'!F62</f>
        <v>2745086.9249556535</v>
      </c>
      <c r="H11" s="228"/>
    </row>
    <row r="12" spans="1:8" s="213" customFormat="1" ht="13.2">
      <c r="A12" s="212"/>
      <c r="B12" s="333" t="str">
        <f>'Summary by Class &amp; Accounts'!B63</f>
        <v>Former OPA - Furniture &amp; Equipment</v>
      </c>
      <c r="C12" s="334">
        <f t="shared" ref="C12:C16" si="0">SUM(D12:E12)</f>
        <v>0</v>
      </c>
      <c r="D12" s="335">
        <f>'Summary by Class &amp; Accounts'!E63</f>
        <v>0</v>
      </c>
      <c r="E12" s="336">
        <f>'Summary by Class &amp; Accounts'!F63</f>
        <v>0</v>
      </c>
      <c r="H12" s="228"/>
    </row>
    <row r="13" spans="1:8" s="213" customFormat="1" ht="13.2">
      <c r="A13" s="212"/>
      <c r="B13" s="333" t="str">
        <f>'Summary by Class &amp; Accounts'!B64</f>
        <v>Former OPA - Audio Visual</v>
      </c>
      <c r="C13" s="334">
        <f t="shared" si="0"/>
        <v>0</v>
      </c>
      <c r="D13" s="335">
        <f>'Summary by Class &amp; Accounts'!E64</f>
        <v>0</v>
      </c>
      <c r="E13" s="336">
        <f>'Summary by Class &amp; Accounts'!F64</f>
        <v>0</v>
      </c>
      <c r="H13" s="228"/>
    </row>
    <row r="14" spans="1:8" s="213" customFormat="1" ht="13.2">
      <c r="A14" s="212"/>
      <c r="B14" s="333" t="str">
        <f>'Summary by Class &amp; Accounts'!B65</f>
        <v>Former OPA - Telephone</v>
      </c>
      <c r="C14" s="334">
        <f t="shared" si="0"/>
        <v>0</v>
      </c>
      <c r="D14" s="335">
        <f>'Summary by Class &amp; Accounts'!E65</f>
        <v>0</v>
      </c>
      <c r="E14" s="336">
        <f>'Summary by Class &amp; Accounts'!F65</f>
        <v>0</v>
      </c>
      <c r="H14" s="228"/>
    </row>
    <row r="15" spans="1:8" s="213" customFormat="1" ht="13.2">
      <c r="A15" s="212"/>
      <c r="B15" s="333" t="str">
        <f>'Summary by Class &amp; Accounts'!B66</f>
        <v>Former OPA - Leasehold improvements</v>
      </c>
      <c r="C15" s="334">
        <f t="shared" si="0"/>
        <v>0</v>
      </c>
      <c r="D15" s="335">
        <f>'Summary by Class &amp; Accounts'!E66</f>
        <v>0</v>
      </c>
      <c r="E15" s="336">
        <f>'Summary by Class &amp; Accounts'!F66</f>
        <v>0</v>
      </c>
      <c r="H15" s="228"/>
    </row>
    <row r="16" spans="1:8" s="213" customFormat="1" ht="13.2">
      <c r="A16" s="212"/>
      <c r="B16" s="333" t="str">
        <f>'Summary by Class &amp; Accounts'!B67</f>
        <v>Former OPA - Computer Hardware</v>
      </c>
      <c r="C16" s="334">
        <f t="shared" si="0"/>
        <v>0</v>
      </c>
      <c r="D16" s="335">
        <f>'Summary by Class &amp; Accounts'!E67</f>
        <v>0</v>
      </c>
      <c r="E16" s="336">
        <f>'Summary by Class &amp; Accounts'!F67</f>
        <v>0</v>
      </c>
      <c r="H16" s="228"/>
    </row>
    <row r="17" spans="1:8" s="213" customFormat="1" ht="13.8" thickBot="1">
      <c r="A17" s="212"/>
      <c r="B17" s="337" t="str">
        <f>'Summary by Class &amp; Accounts'!B68</f>
        <v>Former OPA - Computer Software</v>
      </c>
      <c r="C17" s="338">
        <f>SUM(D17:E17)</f>
        <v>0</v>
      </c>
      <c r="D17" s="339">
        <f>'Summary by Class &amp; Accounts'!E68</f>
        <v>0</v>
      </c>
      <c r="E17" s="340">
        <f>'Summary by Class &amp; Accounts'!F68</f>
        <v>0</v>
      </c>
      <c r="H17" s="228"/>
    </row>
    <row r="18" spans="1:8" s="213" customFormat="1" ht="13.8" thickBot="1">
      <c r="A18" s="212"/>
      <c r="B18" s="230"/>
      <c r="C18" s="226"/>
      <c r="D18" s="225"/>
      <c r="E18" s="225"/>
      <c r="H18" s="228"/>
    </row>
    <row r="19" spans="1:8" s="213" customFormat="1" ht="13.8" thickBot="1">
      <c r="A19" s="212"/>
      <c r="B19" s="341" t="s">
        <v>130</v>
      </c>
      <c r="C19" s="342">
        <f>SUM(D19:E19)</f>
        <v>414187000</v>
      </c>
      <c r="D19" s="343">
        <f>SUM(D8:D17)</f>
        <v>365322494.31895274</v>
      </c>
      <c r="E19" s="344">
        <f>SUM(E8:E17)</f>
        <v>48864505.681047246</v>
      </c>
      <c r="H19" s="228"/>
    </row>
    <row r="20" spans="1:8" s="213" customFormat="1" ht="13.2">
      <c r="A20" s="212"/>
      <c r="B20" s="230"/>
      <c r="C20" s="226"/>
      <c r="D20" s="225"/>
      <c r="E20" s="225"/>
      <c r="H20" s="228"/>
    </row>
    <row r="21" spans="1:8" s="213" customFormat="1" ht="15.6">
      <c r="A21" s="227" t="s">
        <v>108</v>
      </c>
      <c r="B21" s="230"/>
      <c r="C21" s="226"/>
      <c r="D21" s="225"/>
      <c r="E21" s="225"/>
      <c r="H21" s="228"/>
    </row>
    <row r="22" spans="1:8" s="213" customFormat="1" ht="16.2" thickBot="1">
      <c r="A22" s="227"/>
      <c r="B22" s="230"/>
      <c r="C22" s="226"/>
      <c r="D22" s="225"/>
      <c r="E22" s="225"/>
      <c r="H22" s="228"/>
    </row>
    <row r="23" spans="1:8" s="213" customFormat="1" ht="13.2">
      <c r="A23" s="212"/>
      <c r="B23" s="329" t="str">
        <f>B8</f>
        <v>Former IESO - Assets</v>
      </c>
      <c r="C23" s="330">
        <f>Assets!D7</f>
        <v>-22604000</v>
      </c>
      <c r="D23" s="331">
        <f>$C23*D8/$C8</f>
        <v>-19937249.748508785</v>
      </c>
      <c r="E23" s="332">
        <f>$C23*E8/$C8</f>
        <v>-2666750.2514912146</v>
      </c>
      <c r="H23" s="228"/>
    </row>
    <row r="24" spans="1:8" s="213" customFormat="1" ht="13.2">
      <c r="A24" s="212"/>
      <c r="B24" s="333" t="str">
        <f t="shared" ref="B24:B32" si="1">B9</f>
        <v>Former IESO - Market systems &amp; applications</v>
      </c>
      <c r="C24" s="334">
        <f>Assets!D8</f>
        <v>-251210000</v>
      </c>
      <c r="D24" s="335">
        <f t="shared" ref="D24:E24" si="2">$C24*D9/$C9</f>
        <v>-221573018.46234703</v>
      </c>
      <c r="E24" s="336">
        <f t="shared" si="2"/>
        <v>-29636981.537652988</v>
      </c>
      <c r="H24" s="228"/>
    </row>
    <row r="25" spans="1:8" s="213" customFormat="1" ht="13.2">
      <c r="A25" s="212"/>
      <c r="B25" s="333" t="str">
        <f t="shared" si="1"/>
        <v>Former IESO - Infrastructure &amp; other assets</v>
      </c>
      <c r="C25" s="334">
        <f>Assets!D9</f>
        <v>-47228000</v>
      </c>
      <c r="D25" s="335">
        <f t="shared" ref="D25:E25" si="3">$C25*D10/$C10</f>
        <v>-41656186.122923948</v>
      </c>
      <c r="E25" s="336">
        <f t="shared" si="3"/>
        <v>-5571813.8770760531</v>
      </c>
      <c r="H25" s="228"/>
    </row>
    <row r="26" spans="1:8" s="213" customFormat="1" ht="13.2">
      <c r="A26" s="212"/>
      <c r="B26" s="333" t="str">
        <f t="shared" si="1"/>
        <v>Former IESO - Assets Under Construction</v>
      </c>
      <c r="C26" s="334">
        <f>Assets!D10</f>
        <v>0</v>
      </c>
      <c r="D26" s="335">
        <f t="shared" ref="D26:E26" si="4">$C26*D11/$C11</f>
        <v>0</v>
      </c>
      <c r="E26" s="336">
        <f t="shared" si="4"/>
        <v>0</v>
      </c>
      <c r="H26" s="228"/>
    </row>
    <row r="27" spans="1:8" s="213" customFormat="1" ht="13.2">
      <c r="A27" s="212"/>
      <c r="B27" s="333" t="str">
        <f t="shared" si="1"/>
        <v>Former OPA - Furniture &amp; Equipment</v>
      </c>
      <c r="C27" s="334">
        <f>Assets!D11</f>
        <v>0</v>
      </c>
      <c r="D27" s="335">
        <f>IFERROR($C27*D12/$C12,0)</f>
        <v>0</v>
      </c>
      <c r="E27" s="336">
        <f>IFERROR($C27*E12/$C12,0)</f>
        <v>0</v>
      </c>
      <c r="H27" s="228"/>
    </row>
    <row r="28" spans="1:8" s="213" customFormat="1" ht="13.2">
      <c r="A28" s="212"/>
      <c r="B28" s="333" t="str">
        <f t="shared" si="1"/>
        <v>Former OPA - Audio Visual</v>
      </c>
      <c r="C28" s="334">
        <f>Assets!D12</f>
        <v>0</v>
      </c>
      <c r="D28" s="335">
        <f t="shared" ref="D28:E28" si="5">IFERROR($C28*D13/$C13,0)</f>
        <v>0</v>
      </c>
      <c r="E28" s="336">
        <f t="shared" si="5"/>
        <v>0</v>
      </c>
      <c r="H28" s="228"/>
    </row>
    <row r="29" spans="1:8" s="213" customFormat="1" ht="13.2">
      <c r="A29" s="212"/>
      <c r="B29" s="333" t="str">
        <f t="shared" si="1"/>
        <v>Former OPA - Telephone</v>
      </c>
      <c r="C29" s="334">
        <f>Assets!D13</f>
        <v>0</v>
      </c>
      <c r="D29" s="335">
        <f t="shared" ref="D29:E29" si="6">IFERROR($C29*D14/$C14,0)</f>
        <v>0</v>
      </c>
      <c r="E29" s="336">
        <f t="shared" si="6"/>
        <v>0</v>
      </c>
      <c r="H29" s="228"/>
    </row>
    <row r="30" spans="1:8" s="213" customFormat="1" ht="13.2">
      <c r="A30" s="212"/>
      <c r="B30" s="333" t="str">
        <f t="shared" si="1"/>
        <v>Former OPA - Leasehold improvements</v>
      </c>
      <c r="C30" s="334">
        <f>Assets!D14</f>
        <v>0</v>
      </c>
      <c r="D30" s="335">
        <f t="shared" ref="D30:E30" si="7">IFERROR($C30*D15/$C15,0)</f>
        <v>0</v>
      </c>
      <c r="E30" s="336">
        <f t="shared" si="7"/>
        <v>0</v>
      </c>
      <c r="H30" s="228"/>
    </row>
    <row r="31" spans="1:8" s="213" customFormat="1" ht="13.2">
      <c r="A31" s="212"/>
      <c r="B31" s="333" t="str">
        <f t="shared" si="1"/>
        <v>Former OPA - Computer Hardware</v>
      </c>
      <c r="C31" s="334">
        <f>Assets!D15</f>
        <v>0</v>
      </c>
      <c r="D31" s="335">
        <f t="shared" ref="D31:E31" si="8">IFERROR($C31*D16/$C16,0)</f>
        <v>0</v>
      </c>
      <c r="E31" s="336">
        <f t="shared" si="8"/>
        <v>0</v>
      </c>
      <c r="H31" s="228"/>
    </row>
    <row r="32" spans="1:8" s="213" customFormat="1" ht="13.8" thickBot="1">
      <c r="A32" s="212"/>
      <c r="B32" s="337" t="str">
        <f t="shared" si="1"/>
        <v>Former OPA - Computer Software</v>
      </c>
      <c r="C32" s="338">
        <f>Assets!D16</f>
        <v>0</v>
      </c>
      <c r="D32" s="339">
        <f t="shared" ref="D32:E32" si="9">IFERROR($C32*D17/$C17,0)</f>
        <v>0</v>
      </c>
      <c r="E32" s="340">
        <f t="shared" si="9"/>
        <v>0</v>
      </c>
      <c r="H32" s="228"/>
    </row>
    <row r="33" spans="1:8" s="213" customFormat="1" ht="13.8" thickBot="1">
      <c r="A33" s="212"/>
      <c r="B33" s="230"/>
      <c r="C33" s="226"/>
      <c r="D33" s="225"/>
      <c r="E33" s="225"/>
      <c r="H33" s="228"/>
    </row>
    <row r="34" spans="1:8" s="213" customFormat="1" ht="13.8" thickBot="1">
      <c r="A34" s="212"/>
      <c r="B34" s="341" t="s">
        <v>108</v>
      </c>
      <c r="C34" s="342">
        <f>SUM(D34:E34)</f>
        <v>-321042000</v>
      </c>
      <c r="D34" s="343">
        <f>SUM(D23:D32)</f>
        <v>-283166454.33377975</v>
      </c>
      <c r="E34" s="344">
        <f>SUM(E23:E32)</f>
        <v>-37875545.666220255</v>
      </c>
      <c r="H34" s="228"/>
    </row>
    <row r="35" spans="1:8" s="213" customFormat="1" ht="13.8" thickBot="1">
      <c r="A35" s="212"/>
      <c r="B35" s="230"/>
      <c r="C35" s="226"/>
      <c r="D35" s="225"/>
      <c r="E35" s="225"/>
      <c r="H35" s="228"/>
    </row>
    <row r="36" spans="1:8" s="213" customFormat="1" ht="17.25" customHeight="1" thickBot="1">
      <c r="A36" s="212"/>
      <c r="B36" s="341" t="s">
        <v>25</v>
      </c>
      <c r="C36" s="342">
        <f>SUM(D36:E36)</f>
        <v>93144999.99999997</v>
      </c>
      <c r="D36" s="345">
        <f>D19+D34</f>
        <v>82156039.985172987</v>
      </c>
      <c r="E36" s="346">
        <f>E19+E34</f>
        <v>10988960.014826991</v>
      </c>
      <c r="H36" s="228"/>
    </row>
    <row r="37" spans="1:8" s="213" customFormat="1" ht="13.2">
      <c r="A37" s="229"/>
      <c r="B37" s="230"/>
      <c r="C37" s="226"/>
      <c r="D37" s="225"/>
      <c r="E37" s="225"/>
      <c r="H37" s="228"/>
    </row>
    <row r="39" spans="1:8" ht="15.6">
      <c r="A39" s="227" t="s">
        <v>131</v>
      </c>
      <c r="B39" s="230"/>
      <c r="C39" s="226"/>
      <c r="D39" s="225"/>
      <c r="E39" s="225"/>
    </row>
    <row r="40" spans="1:8" ht="16.2" thickBot="1">
      <c r="A40" s="227"/>
      <c r="B40" s="230"/>
      <c r="C40" s="226"/>
      <c r="D40" s="225"/>
      <c r="E40" s="225"/>
    </row>
    <row r="41" spans="1:8" ht="13.2">
      <c r="B41" s="329" t="str">
        <f>B8</f>
        <v>Former IESO - Assets</v>
      </c>
      <c r="C41" s="330">
        <f>Assets!I7</f>
        <v>624387.38289974781</v>
      </c>
      <c r="D41" s="331">
        <f>$C41*D8/$C8</f>
        <v>550724.08390948747</v>
      </c>
      <c r="E41" s="332">
        <f>$C41*E8/$C8</f>
        <v>73663.2989902603</v>
      </c>
    </row>
    <row r="42" spans="1:8" ht="13.2">
      <c r="B42" s="333" t="str">
        <f t="shared" ref="B42:B50" si="10">B9</f>
        <v>Former IESO - Market systems &amp; applications</v>
      </c>
      <c r="C42" s="334">
        <f>Assets!I8</f>
        <v>12040557.260617359</v>
      </c>
      <c r="D42" s="335">
        <f t="shared" ref="D42:E42" si="11">$C42*D9/$C9</f>
        <v>10620049.425594987</v>
      </c>
      <c r="E42" s="336">
        <f t="shared" si="11"/>
        <v>1420507.8350223729</v>
      </c>
    </row>
    <row r="43" spans="1:8" ht="13.2">
      <c r="B43" s="333" t="str">
        <f t="shared" si="10"/>
        <v>Former IESO - Infrastructure &amp; other assets</v>
      </c>
      <c r="C43" s="334">
        <f>Assets!I9</f>
        <v>4835055.3564828951</v>
      </c>
      <c r="D43" s="335">
        <f t="shared" ref="D43:E43" si="12">$C43*D10/$C10</f>
        <v>4264630.42780325</v>
      </c>
      <c r="E43" s="336">
        <f t="shared" si="12"/>
        <v>570424.92867964553</v>
      </c>
    </row>
    <row r="44" spans="1:8" ht="13.2">
      <c r="B44" s="333" t="str">
        <f t="shared" si="10"/>
        <v>Former IESO - Assets Under Construction</v>
      </c>
      <c r="C44" s="334">
        <f>Assets!I10</f>
        <v>0</v>
      </c>
      <c r="D44" s="335">
        <f t="shared" ref="D44:E44" si="13">$C44*D11/$C11</f>
        <v>0</v>
      </c>
      <c r="E44" s="336">
        <f t="shared" si="13"/>
        <v>0</v>
      </c>
    </row>
    <row r="45" spans="1:8" ht="13.2">
      <c r="B45" s="333" t="str">
        <f t="shared" si="10"/>
        <v>Former OPA - Furniture &amp; Equipment</v>
      </c>
      <c r="C45" s="334">
        <f>Assets!I11</f>
        <v>0</v>
      </c>
      <c r="D45" s="335">
        <f>IFERROR($C45*D12/$C12,0)</f>
        <v>0</v>
      </c>
      <c r="E45" s="336">
        <f t="shared" ref="E45:E50" si="14">IFERROR($C45*E12/$C12,0)</f>
        <v>0</v>
      </c>
    </row>
    <row r="46" spans="1:8" ht="13.2">
      <c r="B46" s="333" t="str">
        <f t="shared" si="10"/>
        <v>Former OPA - Audio Visual</v>
      </c>
      <c r="C46" s="334">
        <f>Assets!I12</f>
        <v>0</v>
      </c>
      <c r="D46" s="335">
        <f t="shared" ref="D46:E46" si="15">IFERROR($C46*D13/$C13,0)</f>
        <v>0</v>
      </c>
      <c r="E46" s="336">
        <f t="shared" si="14"/>
        <v>0</v>
      </c>
    </row>
    <row r="47" spans="1:8" ht="13.2">
      <c r="B47" s="333" t="str">
        <f t="shared" si="10"/>
        <v>Former OPA - Telephone</v>
      </c>
      <c r="C47" s="334">
        <f>Assets!I13</f>
        <v>0</v>
      </c>
      <c r="D47" s="335">
        <f t="shared" ref="D47:E47" si="16">IFERROR($C47*D14/$C14,0)</f>
        <v>0</v>
      </c>
      <c r="E47" s="336">
        <f t="shared" si="14"/>
        <v>0</v>
      </c>
    </row>
    <row r="48" spans="1:8" ht="13.2">
      <c r="B48" s="333" t="str">
        <f t="shared" si="10"/>
        <v>Former OPA - Leasehold improvements</v>
      </c>
      <c r="C48" s="334">
        <f>Assets!I14</f>
        <v>0</v>
      </c>
      <c r="D48" s="335">
        <f t="shared" ref="D48:E48" si="17">IFERROR($C48*D15/$C15,0)</f>
        <v>0</v>
      </c>
      <c r="E48" s="336">
        <f t="shared" si="14"/>
        <v>0</v>
      </c>
    </row>
    <row r="49" spans="1:5" ht="13.2">
      <c r="B49" s="333" t="str">
        <f t="shared" si="10"/>
        <v>Former OPA - Computer Hardware</v>
      </c>
      <c r="C49" s="334">
        <f>Assets!I15</f>
        <v>0</v>
      </c>
      <c r="D49" s="335">
        <f t="shared" ref="D49:E49" si="18">IFERROR($C49*D16/$C16,0)</f>
        <v>0</v>
      </c>
      <c r="E49" s="336">
        <f t="shared" si="14"/>
        <v>0</v>
      </c>
    </row>
    <row r="50" spans="1:5" ht="13.8" thickBot="1">
      <c r="B50" s="337" t="str">
        <f t="shared" si="10"/>
        <v>Former OPA - Computer Software</v>
      </c>
      <c r="C50" s="338">
        <f>Assets!I16</f>
        <v>0</v>
      </c>
      <c r="D50" s="339">
        <f t="shared" ref="D50:E50" si="19">IFERROR($C50*D17/$C17,0)</f>
        <v>0</v>
      </c>
      <c r="E50" s="340">
        <f t="shared" si="14"/>
        <v>0</v>
      </c>
    </row>
    <row r="51" spans="1:5" ht="13.8" thickBot="1">
      <c r="B51" s="230"/>
      <c r="C51" s="226"/>
      <c r="D51" s="225"/>
      <c r="E51" s="225"/>
    </row>
    <row r="52" spans="1:5" ht="13.8" thickBot="1">
      <c r="B52" s="341" t="s">
        <v>155</v>
      </c>
      <c r="C52" s="342">
        <f>SUM(D52:E52)</f>
        <v>17500000.000000004</v>
      </c>
      <c r="D52" s="343">
        <f>SUM(D41:D50)</f>
        <v>15435403.937307725</v>
      </c>
      <c r="E52" s="344">
        <f>SUM(E41:E50)</f>
        <v>2064596.0626922788</v>
      </c>
    </row>
    <row r="55" spans="1:5" ht="15.6">
      <c r="A55" s="227" t="s">
        <v>140</v>
      </c>
    </row>
    <row r="56" spans="1:5" ht="10.8" thickBot="1"/>
    <row r="57" spans="1:5" ht="13.2">
      <c r="B57" s="329" t="str">
        <f>'Summary by Class &amp; Accounts'!B10</f>
        <v>CEO - CEO Office - NERC Membership</v>
      </c>
      <c r="C57" s="330">
        <f>'Summary by Class &amp; Accounts'!D10</f>
        <v>3976612.8</v>
      </c>
      <c r="D57" s="331">
        <f>'Summary by Class &amp; Accounts'!E10</f>
        <v>1988306.4</v>
      </c>
      <c r="E57" s="332">
        <f>'Summary by Class &amp; Accounts'!F10</f>
        <v>1988306.4</v>
      </c>
    </row>
    <row r="58" spans="1:5" ht="13.2">
      <c r="B58" s="333" t="str">
        <f>'Summary by Class &amp; Accounts'!B12</f>
        <v>Market and System Operations - VP Office</v>
      </c>
      <c r="C58" s="334">
        <f>'Summary by Class &amp; Accounts'!D12</f>
        <v>1588319.23703341</v>
      </c>
      <c r="D58" s="335">
        <f>'Summary by Class &amp; Accounts'!E12</f>
        <v>1400934.228857548</v>
      </c>
      <c r="E58" s="336">
        <f>'Summary by Class &amp; Accounts'!F12</f>
        <v>187385.00817586188</v>
      </c>
    </row>
    <row r="59" spans="1:5" ht="26.4">
      <c r="B59" s="333" t="str">
        <f>'Summary by Class &amp; Accounts'!B13</f>
        <v>Market and System Operations - System Performance</v>
      </c>
      <c r="C59" s="334">
        <f>'Summary by Class &amp; Accounts'!D13</f>
        <v>5599744.0100422697</v>
      </c>
      <c r="D59" s="335">
        <f>'Summary by Class &amp; Accounts'!E13</f>
        <v>4939103.4708869588</v>
      </c>
      <c r="E59" s="336">
        <f>'Summary by Class &amp; Accounts'!F13</f>
        <v>660640.53915531095</v>
      </c>
    </row>
    <row r="60" spans="1:5" ht="26.4">
      <c r="B60" s="333" t="str">
        <f>'Summary by Class &amp; Accounts'!B14</f>
        <v>Market and System Operations - Reliability Assessments</v>
      </c>
      <c r="C60" s="334">
        <f>'Summary by Class &amp; Accounts'!D14</f>
        <v>3282505.00706576</v>
      </c>
      <c r="D60" s="335">
        <f>'Summary by Class &amp; Accounts'!E14</f>
        <v>2895245.1834454369</v>
      </c>
      <c r="E60" s="336">
        <f>'Summary by Class &amp; Accounts'!F14</f>
        <v>387259.82362032332</v>
      </c>
    </row>
    <row r="61" spans="1:5" ht="26.4">
      <c r="B61" s="333" t="str">
        <f>'Summary by Class &amp; Accounts'!B15</f>
        <v>Market and System Operations - Connections &amp; Registration</v>
      </c>
      <c r="C61" s="334">
        <f>'Summary by Class &amp; Accounts'!D15</f>
        <v>4441271.3261546297</v>
      </c>
      <c r="D61" s="335">
        <f>'Summary by Class &amp; Accounts'!E15</f>
        <v>3917303.8236788036</v>
      </c>
      <c r="E61" s="336">
        <f>'Summary by Class &amp; Accounts'!F15</f>
        <v>523967.50247582648</v>
      </c>
    </row>
    <row r="62" spans="1:5" ht="26.4">
      <c r="B62" s="333" t="str">
        <f>'Summary by Class &amp; Accounts'!B16</f>
        <v>Market and System Operations - Operational Effectiveness</v>
      </c>
      <c r="C62" s="334">
        <f>'Summary by Class &amp; Accounts'!D16</f>
        <v>3876906.7601640099</v>
      </c>
      <c r="D62" s="335">
        <f>'Summary by Class &amp; Accounts'!E16</f>
        <v>3419521.2497377419</v>
      </c>
      <c r="E62" s="336">
        <f>'Summary by Class &amp; Accounts'!F16</f>
        <v>457385.51042626816</v>
      </c>
    </row>
    <row r="63" spans="1:5" ht="26.4">
      <c r="B63" s="333" t="str">
        <f>'Summary by Class &amp; Accounts'!B17</f>
        <v>Market and System Operations - System Operations</v>
      </c>
      <c r="C63" s="334">
        <f>'Summary by Class &amp; Accounts'!D17</f>
        <v>11499272.5088154</v>
      </c>
      <c r="D63" s="335">
        <f>'Summary by Class &amp; Accounts'!E17</f>
        <v>10142623.780499639</v>
      </c>
      <c r="E63" s="336">
        <f>'Summary by Class &amp; Accounts'!F17</f>
        <v>1356648.728315762</v>
      </c>
    </row>
    <row r="64" spans="1:5" ht="26.4">
      <c r="B64" s="333" t="str">
        <f>'Summary by Class &amp; Accounts'!B18</f>
        <v>Market and System Operations - Market Forecasts &amp; Integration</v>
      </c>
      <c r="C64" s="334">
        <f>'Summary by Class &amp; Accounts'!D18</f>
        <v>2662252.5258380398</v>
      </c>
      <c r="D64" s="335">
        <f>'Summary by Class &amp; Accounts'!E18</f>
        <v>2348168.1782530234</v>
      </c>
      <c r="E64" s="336">
        <f>'Summary by Class &amp; Accounts'!F18</f>
        <v>314084.34758501663</v>
      </c>
    </row>
    <row r="65" spans="2:5" ht="26.4">
      <c r="B65" s="333" t="str">
        <f>'Summary by Class &amp; Accounts'!B19</f>
        <v>Market and System Operations - Operations Change Initiatives</v>
      </c>
      <c r="C65" s="334">
        <f>'Summary by Class &amp; Accounts'!D19</f>
        <v>1184258.0433916801</v>
      </c>
      <c r="D65" s="335">
        <f>'Summary by Class &amp; Accounts'!E19</f>
        <v>1044542.9294717874</v>
      </c>
      <c r="E65" s="336">
        <f>'Summary by Class &amp; Accounts'!F19</f>
        <v>139715.11391989281</v>
      </c>
    </row>
    <row r="66" spans="2:5" ht="13.2">
      <c r="B66" s="333" t="str">
        <f>'Summary by Class &amp; Accounts'!B20</f>
        <v>Market and Resource Development - VP Office</v>
      </c>
      <c r="C66" s="334">
        <f>'Summary by Class &amp; Accounts'!D20</f>
        <v>1224063</v>
      </c>
      <c r="D66" s="335">
        <f>'Summary by Class &amp; Accounts'!E20</f>
        <v>1188871.6166061051</v>
      </c>
      <c r="E66" s="336">
        <f>'Summary by Class &amp; Accounts'!F20</f>
        <v>35191.383393894968</v>
      </c>
    </row>
    <row r="67" spans="2:5" ht="26.4">
      <c r="B67" s="333" t="str">
        <f>'Summary by Class &amp; Accounts'!B21</f>
        <v>Market and Resource Development - Contract Management</v>
      </c>
      <c r="C67" s="334">
        <f>'Summary by Class &amp; Accounts'!D21</f>
        <v>9101459</v>
      </c>
      <c r="D67" s="335">
        <f>'Summary by Class &amp; Accounts'!E21</f>
        <v>9101459</v>
      </c>
      <c r="E67" s="336">
        <f>'Summary by Class &amp; Accounts'!F21</f>
        <v>0</v>
      </c>
    </row>
    <row r="68" spans="2:5" ht="26.4">
      <c r="B68" s="333" t="str">
        <f>'Summary by Class &amp; Accounts'!B22</f>
        <v>Market and Resource Development - Renewable Procurement</v>
      </c>
      <c r="C68" s="334">
        <f>'Summary by Class &amp; Accounts'!D22</f>
        <v>3477961</v>
      </c>
      <c r="D68" s="335">
        <f>'Summary by Class &amp; Accounts'!E22</f>
        <v>3477961</v>
      </c>
      <c r="E68" s="336">
        <f>'Summary by Class &amp; Accounts'!F22</f>
        <v>0</v>
      </c>
    </row>
    <row r="69" spans="2:5" ht="26.4">
      <c r="B69" s="333" t="str">
        <f>'Summary by Class &amp; Accounts'!B23</f>
        <v>Market and Resource Development - Clean Energy Procurement</v>
      </c>
      <c r="C69" s="334">
        <f>'Summary by Class &amp; Accounts'!D23</f>
        <v>1910054</v>
      </c>
      <c r="D69" s="335">
        <f>'Summary by Class &amp; Accounts'!E23</f>
        <v>1910054</v>
      </c>
      <c r="E69" s="336">
        <f>'Summary by Class &amp; Accounts'!F23</f>
        <v>0</v>
      </c>
    </row>
    <row r="70" spans="2:5" ht="26.4">
      <c r="B70" s="333" t="str">
        <f>'Summary by Class &amp; Accounts'!B24</f>
        <v>Market and Resource Development - Policy &amp; Analysis</v>
      </c>
      <c r="C70" s="334">
        <f>'Summary by Class &amp; Accounts'!D24</f>
        <v>0</v>
      </c>
      <c r="D70" s="335">
        <f>'Summary by Class &amp; Accounts'!E24</f>
        <v>0</v>
      </c>
      <c r="E70" s="336">
        <f>'Summary by Class &amp; Accounts'!F24</f>
        <v>0</v>
      </c>
    </row>
    <row r="71" spans="2:5" ht="13.2">
      <c r="B71" s="333" t="str">
        <f>'Summary by Class &amp; Accounts'!B25</f>
        <v>Market and Resource Development - Markets</v>
      </c>
      <c r="C71" s="334">
        <f>'Summary by Class &amp; Accounts'!D25</f>
        <v>4668610</v>
      </c>
      <c r="D71" s="335">
        <f>'Summary by Class &amp; Accounts'!E25</f>
        <v>4117821.7814716687</v>
      </c>
      <c r="E71" s="336">
        <f>'Summary by Class &amp; Accounts'!F25</f>
        <v>550788.21852833137</v>
      </c>
    </row>
    <row r="72" spans="2:5" ht="26.4">
      <c r="B72" s="333" t="str">
        <f>'Summary by Class &amp; Accounts'!B26</f>
        <v>Conservation and Corporate Relations - VP Office</v>
      </c>
      <c r="C72" s="334">
        <f>'Summary by Class &amp; Accounts'!D26</f>
        <v>906519.23879315064</v>
      </c>
      <c r="D72" s="335">
        <f>'Summary by Class &amp; Accounts'!E26</f>
        <v>855632.82832316973</v>
      </c>
      <c r="E72" s="336">
        <f>'Summary by Class &amp; Accounts'!F26</f>
        <v>50886.410469980903</v>
      </c>
    </row>
    <row r="73" spans="2:5" ht="26.4">
      <c r="B73" s="333" t="str">
        <f>'Summary by Class &amp; Accounts'!B27</f>
        <v>Conservation and Corporate Relations - Conservation Performance</v>
      </c>
      <c r="C73" s="334">
        <f>'Summary by Class &amp; Accounts'!D27</f>
        <v>3398469.8461426906</v>
      </c>
      <c r="D73" s="335">
        <f>'Summary by Class &amp; Accounts'!E27</f>
        <v>3398469.8461426906</v>
      </c>
      <c r="E73" s="336">
        <f>'Summary by Class &amp; Accounts'!F27</f>
        <v>0</v>
      </c>
    </row>
    <row r="74" spans="2:5" ht="26.4">
      <c r="B74" s="333" t="str">
        <f>'Summary by Class &amp; Accounts'!B28</f>
        <v>Conservation and Corporate Relations - Business Development</v>
      </c>
      <c r="C74" s="334">
        <f>'Summary by Class &amp; Accounts'!D28</f>
        <v>2647841.456298661</v>
      </c>
      <c r="D74" s="335">
        <f>'Summary by Class &amp; Accounts'!E28</f>
        <v>2647841.456298661</v>
      </c>
      <c r="E74" s="336">
        <f>'Summary by Class &amp; Accounts'!F28</f>
        <v>0</v>
      </c>
    </row>
    <row r="75" spans="2:5" ht="26.4">
      <c r="B75" s="333" t="str">
        <f>'Summary by Class &amp; Accounts'!B29</f>
        <v>Conservation and Corporate Relations - Strategic Engagement &amp; Innovation</v>
      </c>
      <c r="C75" s="334">
        <f>'Summary by Class &amp; Accounts'!D29</f>
        <v>2125674.8444633931</v>
      </c>
      <c r="D75" s="335">
        <f>'Summary by Class &amp; Accounts'!E29</f>
        <v>1874894.2779237852</v>
      </c>
      <c r="E75" s="336">
        <f>'Summary by Class &amp; Accounts'!F29</f>
        <v>250780.56653960817</v>
      </c>
    </row>
    <row r="76" spans="2:5" ht="26.4">
      <c r="B76" s="333" t="str">
        <f>'Summary by Class &amp; Accounts'!B30</f>
        <v>Conservation and Corporate Relations - Program Delivery &amp; Partner Services</v>
      </c>
      <c r="C76" s="334">
        <f>'Summary by Class &amp; Accounts'!D30</f>
        <v>2180164.5704119634</v>
      </c>
      <c r="D76" s="335">
        <f>'Summary by Class &amp; Accounts'!E30</f>
        <v>2180164.5704119634</v>
      </c>
      <c r="E76" s="336">
        <f>'Summary by Class &amp; Accounts'!F30</f>
        <v>0</v>
      </c>
    </row>
    <row r="77" spans="2:5" ht="26.4">
      <c r="B77" s="333" t="str">
        <f>'Summary by Class &amp; Accounts'!B31</f>
        <v>Conservation and Corporate Relations - Stakeholders &amp; Public Affairs</v>
      </c>
      <c r="C77" s="334">
        <f>'Summary by Class &amp; Accounts'!D31</f>
        <v>5341349.3612686172</v>
      </c>
      <c r="D77" s="335">
        <f>'Summary by Class &amp; Accounts'!E31</f>
        <v>4711193.4263692405</v>
      </c>
      <c r="E77" s="336">
        <f>'Summary by Class &amp; Accounts'!F31</f>
        <v>630155.9348993774</v>
      </c>
    </row>
    <row r="78" spans="2:5" ht="26.4">
      <c r="B78" s="333" t="str">
        <f>'Summary by Class &amp; Accounts'!B32</f>
        <v>Conservation and Corporate Relations - Marketing</v>
      </c>
      <c r="C78" s="334">
        <f>'Summary by Class &amp; Accounts'!D32</f>
        <v>0</v>
      </c>
      <c r="D78" s="335">
        <f>'Summary by Class &amp; Accounts'!E32</f>
        <v>0</v>
      </c>
      <c r="E78" s="336">
        <f>'Summary by Class &amp; Accounts'!F32</f>
        <v>0</v>
      </c>
    </row>
    <row r="79" spans="2:5" ht="26.4">
      <c r="B79" s="333" t="str">
        <f>'Summary by Class &amp; Accounts'!B40</f>
        <v>Information and Technology Services - Support of Market and System Operation</v>
      </c>
      <c r="C79" s="334">
        <f>'Summary by Class &amp; Accounts'!D40</f>
        <v>0</v>
      </c>
      <c r="D79" s="335">
        <f>'Summary by Class &amp; Accounts'!E40</f>
        <v>0</v>
      </c>
      <c r="E79" s="336">
        <f>'Summary by Class &amp; Accounts'!F40</f>
        <v>0</v>
      </c>
    </row>
    <row r="80" spans="2:5" ht="26.4">
      <c r="B80" s="333" t="str">
        <f>'Summary by Class &amp; Accounts'!B41</f>
        <v>Planning, Law and Aboriginal Relations - VP Office</v>
      </c>
      <c r="C80" s="334">
        <f>'Summary by Class &amp; Accounts'!D41</f>
        <v>1168340</v>
      </c>
      <c r="D80" s="335">
        <f>'Summary by Class &amp; Accounts'!E41</f>
        <v>1097024.312248236</v>
      </c>
      <c r="E80" s="336">
        <f>'Summary by Class &amp; Accounts'!F41</f>
        <v>71315.687751764053</v>
      </c>
    </row>
    <row r="81" spans="2:5" ht="26.4">
      <c r="B81" s="333" t="str">
        <f>'Summary by Class &amp; Accounts'!B42</f>
        <v>Planning, Law and Aboriginal Relations - General Counsel</v>
      </c>
      <c r="C81" s="334">
        <f>'Summary by Class &amp; Accounts'!D42</f>
        <v>4378174</v>
      </c>
      <c r="D81" s="335">
        <f>'Summary by Class &amp; Accounts'!E42</f>
        <v>3861650.525589617</v>
      </c>
      <c r="E81" s="336">
        <f>'Summary by Class &amp; Accounts'!F42</f>
        <v>516523.47441038309</v>
      </c>
    </row>
    <row r="82" spans="2:5" ht="26.4">
      <c r="B82" s="333" t="str">
        <f>'Summary by Class &amp; Accounts'!B43</f>
        <v>Planning, Law and Aboriginal Relations - Regulatory Affairs</v>
      </c>
      <c r="C82" s="334">
        <f>'Summary by Class &amp; Accounts'!D43</f>
        <v>2186249</v>
      </c>
      <c r="D82" s="335">
        <f>'Summary by Class &amp; Accounts'!E43</f>
        <v>1928322.0812877184</v>
      </c>
      <c r="E82" s="336">
        <f>'Summary by Class &amp; Accounts'!F43</f>
        <v>257926.9187122818</v>
      </c>
    </row>
    <row r="83" spans="2:5" ht="13.2">
      <c r="B83" s="333" t="str">
        <f>'Summary by Class &amp; Accounts'!B44</f>
        <v>Planning, Law and Aboriginal Relations - Board</v>
      </c>
      <c r="C83" s="334">
        <f>'Summary by Class &amp; Accounts'!D44</f>
        <v>715210</v>
      </c>
      <c r="D83" s="335">
        <f>'Summary by Class &amp; Accounts'!E44</f>
        <v>630831.72857153462</v>
      </c>
      <c r="E83" s="336">
        <f>'Summary by Class &amp; Accounts'!F44</f>
        <v>84378.271428465407</v>
      </c>
    </row>
    <row r="84" spans="2:5" ht="26.4">
      <c r="B84" s="333" t="str">
        <f>'Summary by Class &amp; Accounts'!B45</f>
        <v>Planning, Law and Aboriginal Relations - First Nations &amp; Metis Relations</v>
      </c>
      <c r="C84" s="334">
        <f>'Summary by Class &amp; Accounts'!D45</f>
        <v>898421</v>
      </c>
      <c r="D84" s="335">
        <f>'Summary by Class &amp; Accounts'!E45</f>
        <v>898421</v>
      </c>
      <c r="E84" s="336">
        <f>'Summary by Class &amp; Accounts'!F45</f>
        <v>0</v>
      </c>
    </row>
    <row r="85" spans="2:5" ht="26.4">
      <c r="B85" s="333" t="str">
        <f>'Summary by Class &amp; Accounts'!B46</f>
        <v xml:space="preserve">Planning, Law and Aboriginal Relations - Transmission Integration </v>
      </c>
      <c r="C85" s="334">
        <f>'Summary by Class &amp; Accounts'!D46</f>
        <v>2538417</v>
      </c>
      <c r="D85" s="335">
        <f>'Summary by Class &amp; Accounts'!E46</f>
        <v>2538417</v>
      </c>
      <c r="E85" s="336">
        <f>'Summary by Class &amp; Accounts'!F46</f>
        <v>0</v>
      </c>
    </row>
    <row r="86" spans="2:5" ht="26.4">
      <c r="B86" s="333" t="str">
        <f>'Summary by Class &amp; Accounts'!B47</f>
        <v>Planning, Law and Aboriginal Relations - Resource Integration</v>
      </c>
      <c r="C86" s="334">
        <f>'Summary by Class &amp; Accounts'!D47</f>
        <v>2082323</v>
      </c>
      <c r="D86" s="335">
        <f>'Summary by Class &amp; Accounts'!E47</f>
        <v>2082323</v>
      </c>
      <c r="E86" s="336">
        <f>'Summary by Class &amp; Accounts'!F47</f>
        <v>0</v>
      </c>
    </row>
    <row r="87" spans="2:5" ht="26.4">
      <c r="B87" s="333" t="str">
        <f>'Summary by Class &amp; Accounts'!B48</f>
        <v>Planning, Law and Aboriginal Relations - Conservation Inegration</v>
      </c>
      <c r="C87" s="334">
        <f>'Summary by Class &amp; Accounts'!D48</f>
        <v>1271096</v>
      </c>
      <c r="D87" s="335">
        <f>'Summary by Class &amp; Accounts'!E48</f>
        <v>1271096</v>
      </c>
      <c r="E87" s="336">
        <f>'Summary by Class &amp; Accounts'!F48</f>
        <v>0</v>
      </c>
    </row>
    <row r="88" spans="2:5" ht="13.2">
      <c r="B88" s="333" t="str">
        <f>'Summary by Class &amp; Accounts'!B50</f>
        <v>Corporate Services - Corporate Controller</v>
      </c>
      <c r="C88" s="334">
        <f>'Summary by Class &amp; Accounts'!D50</f>
        <v>3465120.7125556199</v>
      </c>
      <c r="D88" s="335">
        <f>'Summary by Class &amp; Accounts'!E50</f>
        <v>3056316.4508472891</v>
      </c>
      <c r="E88" s="336">
        <f>'Summary by Class &amp; Accounts'!F50</f>
        <v>408804.26170833118</v>
      </c>
    </row>
    <row r="89" spans="2:5" ht="13.2">
      <c r="B89" s="333" t="str">
        <f>'Summary by Class &amp; Accounts'!B54</f>
        <v>Corporate Services - Settlements</v>
      </c>
      <c r="C89" s="334">
        <f>'Summary by Class &amp; Accounts'!D54</f>
        <v>5537836.5925250864</v>
      </c>
      <c r="D89" s="335">
        <f>'Summary by Class &amp; Accounts'!E54</f>
        <v>4884499.6996816285</v>
      </c>
      <c r="E89" s="336">
        <f>'Summary by Class &amp; Accounts'!F54</f>
        <v>653336.89284345822</v>
      </c>
    </row>
    <row r="90" spans="2:5" ht="13.8" thickBot="1">
      <c r="B90" s="337" t="str">
        <f>'Summary by Class &amp; Accounts'!B55</f>
        <v>MACD</v>
      </c>
      <c r="C90" s="338">
        <f>'Summary by Class &amp; Accounts'!D55</f>
        <v>3662308.5255546798</v>
      </c>
      <c r="D90" s="339">
        <f>'Summary by Class &amp; Accounts'!E55</f>
        <v>3230240.6534275627</v>
      </c>
      <c r="E90" s="340">
        <f>'Summary by Class &amp; Accounts'!F55</f>
        <v>432067.87212711747</v>
      </c>
    </row>
    <row r="91" spans="2:5" ht="13.8" thickBot="1">
      <c r="B91" s="230"/>
      <c r="C91" s="226"/>
      <c r="D91" s="225"/>
      <c r="E91" s="225"/>
    </row>
    <row r="92" spans="2:5" ht="13.8" thickBot="1">
      <c r="B92" s="341" t="s">
        <v>154</v>
      </c>
      <c r="C92" s="342">
        <f>SUM(C57:C90)</f>
        <v>102996804.36651908</v>
      </c>
      <c r="D92" s="343">
        <f>SUM(D57:D90)</f>
        <v>93039255.500031784</v>
      </c>
      <c r="E92" s="344">
        <f>SUM(E57:E90)</f>
        <v>9957548.8664872572</v>
      </c>
    </row>
  </sheetData>
  <mergeCells count="1">
    <mergeCell ref="C3:E3"/>
  </mergeCells>
  <printOptions headings="1" gridLines="1"/>
  <pageMargins left="0.74803149606299213" right="0.74803149606299213" top="0.19685039370078741" bottom="0.19685039370078741" header="0.11811023622047245" footer="0"/>
  <pageSetup scale="6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indexed="34"/>
  </sheetPr>
  <dimension ref="A1:F34"/>
  <sheetViews>
    <sheetView workbookViewId="0">
      <selection activeCell="E20" sqref="E20"/>
    </sheetView>
  </sheetViews>
  <sheetFormatPr defaultColWidth="7.5546875" defaultRowHeight="10.199999999999999"/>
  <cols>
    <col min="1" max="1" width="69.33203125" style="71" customWidth="1"/>
    <col min="2" max="2" width="11.5546875" style="75" customWidth="1"/>
    <col min="3" max="3" width="10.6640625" style="144" customWidth="1"/>
    <col min="4" max="4" width="11.44140625" style="137" customWidth="1"/>
    <col min="5" max="5" width="7.44140625" style="137" bestFit="1" customWidth="1"/>
    <col min="6" max="16384" width="7.5546875" style="8"/>
  </cols>
  <sheetData>
    <row r="1" spans="1:5" s="2" customFormat="1" ht="21" customHeight="1">
      <c r="A1" s="59" t="str">
        <f>"Allocator Worksheet "</f>
        <v xml:space="preserve">Allocator Worksheet </v>
      </c>
      <c r="B1" s="60"/>
      <c r="C1" s="89"/>
      <c r="D1" s="89"/>
      <c r="E1" s="61"/>
    </row>
    <row r="2" spans="1:5" s="2" customFormat="1" ht="6" customHeight="1">
      <c r="A2" s="3"/>
      <c r="B2" s="3"/>
      <c r="C2" s="90"/>
      <c r="D2" s="90"/>
      <c r="E2" s="3"/>
    </row>
    <row r="3" spans="1:5" ht="15">
      <c r="A3" s="140"/>
      <c r="C3" s="141"/>
      <c r="D3" s="142"/>
      <c r="E3" s="142"/>
    </row>
    <row r="4" spans="1:5">
      <c r="A4" s="143"/>
    </row>
    <row r="5" spans="1:5" s="136" customFormat="1" ht="13.2">
      <c r="A5" s="17"/>
      <c r="B5" s="75"/>
      <c r="C5" s="145"/>
      <c r="D5" s="135"/>
      <c r="E5" s="135"/>
    </row>
    <row r="6" spans="1:5" s="136" customFormat="1">
      <c r="B6" s="75"/>
      <c r="C6" s="144"/>
      <c r="D6" s="135"/>
      <c r="E6" s="135"/>
    </row>
    <row r="8" spans="1:5" s="156" customFormat="1" ht="13.8" thickBot="1">
      <c r="A8" s="138"/>
      <c r="C8" s="157"/>
      <c r="D8" s="255">
        <v>1</v>
      </c>
      <c r="E8" s="255">
        <v>2</v>
      </c>
    </row>
    <row r="9" spans="1:5" s="139" customFormat="1" ht="26.4">
      <c r="A9" s="256" t="s">
        <v>17</v>
      </c>
      <c r="B9" s="257" t="s">
        <v>16</v>
      </c>
      <c r="C9" s="258" t="s">
        <v>10</v>
      </c>
      <c r="D9" s="259" t="str">
        <f>'Revenue to Cost|RR'!D8</f>
        <v>Domestic</v>
      </c>
      <c r="E9" s="260" t="str">
        <f>'Revenue to Cost|RR'!E8</f>
        <v>Export</v>
      </c>
    </row>
    <row r="10" spans="1:5">
      <c r="A10" s="261"/>
      <c r="E10" s="262"/>
    </row>
    <row r="11" spans="1:5" s="69" customFormat="1" ht="13.2">
      <c r="A11" s="273" t="s">
        <v>41</v>
      </c>
      <c r="B11" s="102"/>
      <c r="C11" s="147"/>
      <c r="D11" s="148"/>
      <c r="E11" s="263"/>
    </row>
    <row r="12" spans="1:5" s="69" customFormat="1" ht="13.2">
      <c r="A12" s="264"/>
      <c r="B12" s="197"/>
      <c r="C12" s="147"/>
      <c r="D12" s="148"/>
      <c r="E12" s="263"/>
    </row>
    <row r="13" spans="1:5" s="69" customFormat="1" ht="13.2">
      <c r="A13" s="266" t="s">
        <v>133</v>
      </c>
      <c r="B13" s="197" t="s">
        <v>127</v>
      </c>
      <c r="C13" s="149">
        <f>IF(+SUM(D13:E13)=0,"-",+SUM(D13:E13))</f>
        <v>1</v>
      </c>
      <c r="D13" s="150">
        <f>'Energy Throughput'!D12/'Energy Throughput'!C12</f>
        <v>0.88202308213186986</v>
      </c>
      <c r="E13" s="265">
        <f>'Energy Throughput'!E12/'Energy Throughput'!C12</f>
        <v>0.11797691786813021</v>
      </c>
    </row>
    <row r="14" spans="1:5" s="69" customFormat="1" ht="13.2">
      <c r="A14" s="266" t="s">
        <v>134</v>
      </c>
      <c r="B14" s="197" t="s">
        <v>132</v>
      </c>
      <c r="C14" s="149">
        <f>IF(+SUM(D14:E14)=0,"-",+SUM(D14:E14))</f>
        <v>1</v>
      </c>
      <c r="D14" s="150">
        <f>'Energy Throughput'!D13/'Energy Throughput'!C13</f>
        <v>1</v>
      </c>
      <c r="E14" s="265">
        <f>'Energy Throughput'!E13/'Energy Throughput'!C13</f>
        <v>0</v>
      </c>
    </row>
    <row r="15" spans="1:5" s="69" customFormat="1" ht="13.2">
      <c r="A15" s="264"/>
      <c r="B15" s="102"/>
      <c r="C15" s="151"/>
      <c r="D15" s="152"/>
      <c r="E15" s="267"/>
    </row>
    <row r="16" spans="1:5" s="69" customFormat="1" ht="13.2">
      <c r="A16" s="268" t="s">
        <v>21</v>
      </c>
      <c r="B16" s="102"/>
      <c r="C16" s="149"/>
      <c r="D16" s="152"/>
      <c r="E16" s="267"/>
    </row>
    <row r="17" spans="1:6" s="69" customFormat="1" ht="13.2">
      <c r="A17" s="264"/>
      <c r="B17" s="102"/>
      <c r="C17" s="149"/>
      <c r="D17" s="152"/>
      <c r="E17" s="267"/>
    </row>
    <row r="18" spans="1:6" s="70" customFormat="1" ht="13.2">
      <c r="A18" s="269" t="s">
        <v>26</v>
      </c>
      <c r="B18" s="153"/>
      <c r="C18" s="154"/>
      <c r="D18" s="150"/>
      <c r="E18" s="265"/>
    </row>
    <row r="19" spans="1:6" s="70" customFormat="1" ht="13.2">
      <c r="A19" s="270" t="s">
        <v>36</v>
      </c>
      <c r="B19" s="153" t="s">
        <v>35</v>
      </c>
      <c r="C19" s="154">
        <f>IF(+SUM(D19:E19)=0,"-",+SUM(D19:E19))</f>
        <v>1</v>
      </c>
      <c r="D19" s="150">
        <f>'Source Data for Allocators'!D19/'Source Data for Allocators'!$C19</f>
        <v>0.88202308213186975</v>
      </c>
      <c r="E19" s="265">
        <f>'Source Data for Allocators'!E19/'Source Data for Allocators'!$C19</f>
        <v>0.11797691786813021</v>
      </c>
    </row>
    <row r="20" spans="1:6" s="70" customFormat="1" ht="13.2">
      <c r="A20" s="271" t="s">
        <v>25</v>
      </c>
      <c r="B20" s="153" t="s">
        <v>23</v>
      </c>
      <c r="C20" s="154">
        <f>IF(+SUM(D20:E20)=0,"-",+SUM(D20:E20))</f>
        <v>1.0000000000000002</v>
      </c>
      <c r="D20" s="150">
        <f>'Source Data for Allocators'!D36/'Source Data for Allocators'!$C36</f>
        <v>0.88202308213186986</v>
      </c>
      <c r="E20" s="265">
        <f>'Source Data for Allocators'!E36/'Source Data for Allocators'!$C36</f>
        <v>0.11797691786813028</v>
      </c>
    </row>
    <row r="21" spans="1:6" s="70" customFormat="1" ht="13.2">
      <c r="A21" s="270" t="s">
        <v>140</v>
      </c>
      <c r="B21" s="153" t="s">
        <v>139</v>
      </c>
      <c r="C21" s="154">
        <f>IF(+SUM(D21:E21)=0,"-",+SUM(D21:E21))</f>
        <v>0.99999999999999956</v>
      </c>
      <c r="D21" s="150">
        <f>'Source Data for Allocators'!D92/'Source Data for Allocators'!$C92</f>
        <v>0.9033217687895162</v>
      </c>
      <c r="E21" s="265">
        <f>'Source Data for Allocators'!E92/'Source Data for Allocators'!$C92</f>
        <v>9.6678231210483398E-2</v>
      </c>
    </row>
    <row r="22" spans="1:6" s="69" customFormat="1" ht="15" customHeight="1">
      <c r="A22" s="264"/>
      <c r="B22" s="197"/>
      <c r="C22" s="187"/>
      <c r="D22" s="188"/>
      <c r="E22" s="272"/>
      <c r="F22" s="188"/>
    </row>
    <row r="23" spans="1:6" s="69" customFormat="1" ht="15" customHeight="1">
      <c r="A23" s="266" t="s">
        <v>34</v>
      </c>
      <c r="B23" s="197" t="s">
        <v>29</v>
      </c>
      <c r="C23" s="154">
        <f>IF(+SUM(D23:E23)=0,"-",+SUM(D23:E23))</f>
        <v>1</v>
      </c>
      <c r="D23" s="304">
        <v>1</v>
      </c>
      <c r="E23" s="305">
        <v>0</v>
      </c>
    </row>
    <row r="24" spans="1:6" s="69" customFormat="1" ht="15" customHeight="1">
      <c r="A24" s="266" t="s">
        <v>42</v>
      </c>
      <c r="B24" s="197" t="s">
        <v>135</v>
      </c>
      <c r="C24" s="154">
        <f>IF(+SUM(D24:E24)=0,"-",+SUM(D24:E24))</f>
        <v>1</v>
      </c>
      <c r="D24" s="304">
        <v>0</v>
      </c>
      <c r="E24" s="305">
        <v>1</v>
      </c>
    </row>
    <row r="25" spans="1:6" s="69" customFormat="1" ht="15" customHeight="1">
      <c r="A25" s="266" t="s">
        <v>129</v>
      </c>
      <c r="B25" s="197" t="s">
        <v>128</v>
      </c>
      <c r="C25" s="303">
        <f>IF(+SUM(D25:E25)=0,"-",+SUM(D25:E25))</f>
        <v>1</v>
      </c>
      <c r="D25" s="306">
        <v>0.5</v>
      </c>
      <c r="E25" s="307">
        <v>0.5</v>
      </c>
    </row>
    <row r="26" spans="1:6" s="69" customFormat="1" ht="15" customHeight="1">
      <c r="A26" s="264"/>
      <c r="B26" s="102"/>
      <c r="C26" s="151"/>
      <c r="D26" s="155"/>
      <c r="E26" s="299"/>
    </row>
    <row r="27" spans="1:6" s="69" customFormat="1" ht="15" customHeight="1">
      <c r="A27" s="266" t="s">
        <v>60</v>
      </c>
      <c r="B27" s="102" t="s">
        <v>114</v>
      </c>
      <c r="C27" s="154">
        <f t="shared" ref="C27" si="0">IF(+SUM(D27:E27)=0,"-",+SUM(D27:E27))</f>
        <v>1</v>
      </c>
      <c r="D27" s="308">
        <f>SUM('Summary by Class &amp; Accounts'!E13:E19)/SUM('Summary by Class &amp; Accounts'!$D13:$D19)</f>
        <v>0.88202308213186975</v>
      </c>
      <c r="E27" s="309">
        <f>SUM('Summary by Class &amp; Accounts'!F13:F19)/SUM('Summary by Class &amp; Accounts'!$D13:$D19)</f>
        <v>0.11797691786813022</v>
      </c>
    </row>
    <row r="28" spans="1:6" s="69" customFormat="1" ht="15" customHeight="1">
      <c r="A28" s="264" t="s">
        <v>121</v>
      </c>
      <c r="B28" s="102" t="s">
        <v>115</v>
      </c>
      <c r="C28" s="154">
        <f t="shared" ref="C28:C32" si="1">IF(+SUM(D28:E28)=0,"-",+SUM(D28:E28))</f>
        <v>1</v>
      </c>
      <c r="D28" s="308">
        <f>SUM('Summary by Class &amp; Accounts'!E21:E25)/SUM('Summary by Class &amp; Accounts'!$D21:$D25)</f>
        <v>0.97125034953765055</v>
      </c>
      <c r="E28" s="309">
        <f>SUM('Summary by Class &amp; Accounts'!F21:F25)/SUM('Summary by Class &amp; Accounts'!$D21:$D25)</f>
        <v>2.8749650462349542E-2</v>
      </c>
    </row>
    <row r="29" spans="1:6" s="69" customFormat="1" ht="15" customHeight="1">
      <c r="A29" s="264" t="s">
        <v>120</v>
      </c>
      <c r="B29" s="102" t="s">
        <v>116</v>
      </c>
      <c r="C29" s="154">
        <f t="shared" si="1"/>
        <v>1</v>
      </c>
      <c r="D29" s="308">
        <f>SUM('Summary by Class &amp; Accounts'!E27:E32)/SUM('Summary by Class &amp; Accounts'!$D27:$D32)</f>
        <v>0.94386615496685322</v>
      </c>
      <c r="E29" s="309">
        <f>SUM('Summary by Class &amp; Accounts'!F27:F32)/SUM('Summary by Class &amp; Accounts'!$D27:$D32)</f>
        <v>5.6133845033146786E-2</v>
      </c>
    </row>
    <row r="30" spans="1:6" s="69" customFormat="1" ht="15" customHeight="1">
      <c r="A30" s="264" t="s">
        <v>122</v>
      </c>
      <c r="B30" s="102" t="s">
        <v>126</v>
      </c>
      <c r="C30" s="154">
        <f t="shared" si="1"/>
        <v>0.99999999999999956</v>
      </c>
      <c r="D30" s="308">
        <f>SUM('Summary by Class &amp; Accounts'!E34:E39)/SUM('Summary by Class &amp; Accounts'!$D34:$D39)</f>
        <v>0.9033217687895162</v>
      </c>
      <c r="E30" s="309">
        <f>SUM('Summary by Class &amp; Accounts'!F34:F39)/SUM('Summary by Class &amp; Accounts'!$D34:$D39)</f>
        <v>9.6678231210483398E-2</v>
      </c>
    </row>
    <row r="31" spans="1:6" s="69" customFormat="1" ht="15" customHeight="1">
      <c r="A31" s="264" t="s">
        <v>123</v>
      </c>
      <c r="B31" s="102" t="s">
        <v>117</v>
      </c>
      <c r="C31" s="154">
        <f t="shared" si="1"/>
        <v>1</v>
      </c>
      <c r="D31" s="308">
        <f>SUM('Summary by Class &amp; Accounts'!E42:E48)/SUM('Summary by Class &amp; Accounts'!$D42:$D48)</f>
        <v>0.93895981670424367</v>
      </c>
      <c r="E31" s="309">
        <f>SUM('Summary by Class &amp; Accounts'!F42:F48)/SUM('Summary by Class &amp; Accounts'!$D42:$D48)</f>
        <v>6.1040183295756417E-2</v>
      </c>
    </row>
    <row r="32" spans="1:6" s="69" customFormat="1" ht="15" customHeight="1" thickBot="1">
      <c r="A32" s="300" t="s">
        <v>124</v>
      </c>
      <c r="B32" s="301" t="s">
        <v>118</v>
      </c>
      <c r="C32" s="302">
        <f t="shared" si="1"/>
        <v>0.99999999999999978</v>
      </c>
      <c r="D32" s="310">
        <f>SUM('Summary by Class &amp; Accounts'!E50:E54)/SUM('Summary by Class &amp; Accounts'!$D50:$D54)</f>
        <v>0.89141813234761413</v>
      </c>
      <c r="E32" s="311">
        <f>SUM('Summary by Class &amp; Accounts'!F50:F54)/SUM('Summary by Class &amp; Accounts'!$D50:$D54)</f>
        <v>0.10858186765238562</v>
      </c>
    </row>
    <row r="33" spans="1:5" s="69" customFormat="1" ht="15" customHeight="1">
      <c r="A33" s="78"/>
      <c r="B33" s="102"/>
      <c r="C33" s="151"/>
      <c r="D33" s="155"/>
      <c r="E33" s="155"/>
    </row>
    <row r="34" spans="1:5" s="69" customFormat="1" ht="15" customHeight="1">
      <c r="A34" s="78"/>
      <c r="B34" s="102"/>
      <c r="C34" s="151"/>
      <c r="D34" s="155"/>
      <c r="E34" s="155"/>
    </row>
  </sheetData>
  <phoneticPr fontId="0" type="noConversion"/>
  <printOptions headings="1" gridLines="1"/>
  <pageMargins left="0" right="0" top="0" bottom="0" header="0.31496062992126" footer="0"/>
  <pageSetup orientation="portrait" horizontalDpi="4294967294" r:id="rId1"/>
  <headerFooter alignWithMargins="0">
    <oddFooter>&amp;L&amp;Z&amp;F - 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34"/>
  </sheetPr>
  <dimension ref="A1:C67"/>
  <sheetViews>
    <sheetView topLeftCell="A5" zoomScale="90" zoomScaleNormal="90" workbookViewId="0">
      <selection activeCell="C5" sqref="C5"/>
    </sheetView>
  </sheetViews>
  <sheetFormatPr defaultColWidth="9.109375" defaultRowHeight="10.199999999999999"/>
  <cols>
    <col min="1" max="1" width="2.6640625" style="132" customWidth="1"/>
    <col min="2" max="2" width="72.6640625" style="132" customWidth="1"/>
    <col min="3" max="3" width="16.5546875" style="118" customWidth="1"/>
    <col min="4" max="16384" width="9.109375" style="118"/>
  </cols>
  <sheetData>
    <row r="1" spans="1:3" s="2" customFormat="1" ht="20.399999999999999">
      <c r="A1" s="59" t="str">
        <f>"Allocation Detail Worksheet "</f>
        <v xml:space="preserve">Allocation Detail Worksheet </v>
      </c>
      <c r="B1" s="60"/>
    </row>
    <row r="2" spans="1:3" s="2" customFormat="1">
      <c r="A2" s="3"/>
      <c r="B2" s="3"/>
      <c r="C2" s="3"/>
    </row>
    <row r="3" spans="1:3">
      <c r="A3" s="445" t="s">
        <v>174</v>
      </c>
      <c r="B3" s="445"/>
      <c r="C3" s="445"/>
    </row>
    <row r="4" spans="1:3" s="160" customFormat="1" ht="13.8" thickBot="1">
      <c r="A4" s="158"/>
      <c r="B4" s="159"/>
    </row>
    <row r="5" spans="1:3" s="159" customFormat="1" ht="27" thickBot="1">
      <c r="A5" s="52"/>
      <c r="B5" s="131" t="s">
        <v>0</v>
      </c>
      <c r="C5" s="131" t="s">
        <v>8</v>
      </c>
    </row>
    <row r="6" spans="1:3" s="160" customFormat="1" ht="13.2">
      <c r="A6" s="52"/>
      <c r="B6" s="285" t="str">
        <f>'Functionalized Accounts'!B9</f>
        <v>CEO - CEO Office</v>
      </c>
      <c r="C6" s="164" t="s">
        <v>139</v>
      </c>
    </row>
    <row r="7" spans="1:3" s="160" customFormat="1" ht="13.2">
      <c r="A7" s="52"/>
      <c r="B7" s="162" t="str">
        <f>'Functionalized Accounts'!B10</f>
        <v>CEO - CEO Office - NERC Membership</v>
      </c>
      <c r="C7" s="166" t="s">
        <v>128</v>
      </c>
    </row>
    <row r="8" spans="1:3" s="160" customFormat="1" ht="13.2">
      <c r="A8" s="52"/>
      <c r="B8" s="161" t="str">
        <f>'Functionalized Accounts'!B11</f>
        <v>CEO - Internal Audit</v>
      </c>
      <c r="C8" s="165" t="s">
        <v>139</v>
      </c>
    </row>
    <row r="9" spans="1:3" s="160" customFormat="1" ht="13.2">
      <c r="A9" s="52"/>
      <c r="B9" s="162" t="str">
        <f>'Functionalized Accounts'!B12</f>
        <v>Market and System Operations - VP Office</v>
      </c>
      <c r="C9" s="166" t="s">
        <v>114</v>
      </c>
    </row>
    <row r="10" spans="1:3" s="160" customFormat="1" ht="13.2">
      <c r="A10" s="52"/>
      <c r="B10" s="161" t="str">
        <f>'Functionalized Accounts'!B13</f>
        <v>Market and System Operations - System Performance</v>
      </c>
      <c r="C10" s="165" t="s">
        <v>127</v>
      </c>
    </row>
    <row r="11" spans="1:3" s="160" customFormat="1" ht="13.2">
      <c r="A11" s="52"/>
      <c r="B11" s="162" t="str">
        <f>'Functionalized Accounts'!B14</f>
        <v>Market and System Operations - Reliability Assessments</v>
      </c>
      <c r="C11" s="166" t="s">
        <v>127</v>
      </c>
    </row>
    <row r="12" spans="1:3" s="160" customFormat="1" ht="13.2">
      <c r="A12" s="52"/>
      <c r="B12" s="161" t="str">
        <f>'Functionalized Accounts'!B15</f>
        <v>Market and System Operations - Connections &amp; Registration</v>
      </c>
      <c r="C12" s="165" t="s">
        <v>127</v>
      </c>
    </row>
    <row r="13" spans="1:3" s="160" customFormat="1" ht="13.2">
      <c r="A13" s="52"/>
      <c r="B13" s="162" t="str">
        <f>'Functionalized Accounts'!B16</f>
        <v>Market and System Operations - Operational Effectiveness</v>
      </c>
      <c r="C13" s="166" t="s">
        <v>127</v>
      </c>
    </row>
    <row r="14" spans="1:3" s="160" customFormat="1" ht="13.2">
      <c r="A14" s="52"/>
      <c r="B14" s="161" t="str">
        <f>'Functionalized Accounts'!B17</f>
        <v>Market and System Operations - System Operations</v>
      </c>
      <c r="C14" s="165" t="s">
        <v>127</v>
      </c>
    </row>
    <row r="15" spans="1:3" s="160" customFormat="1" ht="13.2">
      <c r="A15" s="52"/>
      <c r="B15" s="162" t="str">
        <f>'Functionalized Accounts'!B18</f>
        <v>Market and System Operations - Market Forecasts &amp; Integration</v>
      </c>
      <c r="C15" s="166" t="s">
        <v>127</v>
      </c>
    </row>
    <row r="16" spans="1:3" s="160" customFormat="1" ht="13.2">
      <c r="A16" s="52"/>
      <c r="B16" s="161" t="str">
        <f>'Functionalized Accounts'!B19</f>
        <v>Market and System Operations - Operations Change Initiatives</v>
      </c>
      <c r="C16" s="165" t="s">
        <v>127</v>
      </c>
    </row>
    <row r="17" spans="1:3" s="160" customFormat="1" ht="13.2">
      <c r="A17" s="52"/>
      <c r="B17" s="162" t="str">
        <f>'Functionalized Accounts'!B20</f>
        <v>Market and Resource Development - VP Office</v>
      </c>
      <c r="C17" s="166" t="s">
        <v>115</v>
      </c>
    </row>
    <row r="18" spans="1:3" s="160" customFormat="1" ht="13.2">
      <c r="A18" s="52"/>
      <c r="B18" s="161" t="str">
        <f>'Functionalized Accounts'!B21</f>
        <v>Market and Resource Development - Contract Management</v>
      </c>
      <c r="C18" s="165" t="s">
        <v>29</v>
      </c>
    </row>
    <row r="19" spans="1:3" s="160" customFormat="1" ht="13.2">
      <c r="A19" s="52"/>
      <c r="B19" s="162" t="str">
        <f>'Functionalized Accounts'!B22</f>
        <v>Market and Resource Development - Renewable Procurement</v>
      </c>
      <c r="C19" s="166" t="str">
        <f t="shared" ref="C19:C65" si="0">C18</f>
        <v>DOM</v>
      </c>
    </row>
    <row r="20" spans="1:3" s="160" customFormat="1" ht="13.2">
      <c r="A20" s="52"/>
      <c r="B20" s="161" t="str">
        <f>'Functionalized Accounts'!B23</f>
        <v>Market and Resource Development - Clean Energy Procurement</v>
      </c>
      <c r="C20" s="165" t="str">
        <f t="shared" si="0"/>
        <v>DOM</v>
      </c>
    </row>
    <row r="21" spans="1:3" s="160" customFormat="1" ht="13.2">
      <c r="A21" s="52"/>
      <c r="B21" s="162" t="str">
        <f>'Functionalized Accounts'!B24</f>
        <v>Market and Resource Development - Policy &amp; Analysis</v>
      </c>
      <c r="C21" s="166" t="str">
        <f t="shared" si="0"/>
        <v>DOM</v>
      </c>
    </row>
    <row r="22" spans="1:3" s="160" customFormat="1" ht="13.2">
      <c r="A22" s="52"/>
      <c r="B22" s="161" t="str">
        <f>'Functionalized Accounts'!B25</f>
        <v>Market and Resource Development - Markets</v>
      </c>
      <c r="C22" s="165" t="s">
        <v>127</v>
      </c>
    </row>
    <row r="23" spans="1:3" s="160" customFormat="1" ht="13.2">
      <c r="A23" s="52"/>
      <c r="B23" s="162" t="str">
        <f>'Functionalized Accounts'!B26</f>
        <v>Conservation and Corporate Relations - VP Office</v>
      </c>
      <c r="C23" s="166" t="s">
        <v>116</v>
      </c>
    </row>
    <row r="24" spans="1:3" s="160" customFormat="1" ht="13.2">
      <c r="A24" s="52"/>
      <c r="B24" s="161" t="str">
        <f>'Functionalized Accounts'!B27</f>
        <v>Conservation and Corporate Relations - Conservation Performance</v>
      </c>
      <c r="C24" s="165" t="s">
        <v>29</v>
      </c>
    </row>
    <row r="25" spans="1:3" s="160" customFormat="1" ht="13.2">
      <c r="A25" s="52"/>
      <c r="B25" s="162" t="str">
        <f>'Functionalized Accounts'!B28</f>
        <v>Conservation and Corporate Relations - Business Development</v>
      </c>
      <c r="C25" s="166" t="str">
        <f t="shared" si="0"/>
        <v>DOM</v>
      </c>
    </row>
    <row r="26" spans="1:3" s="160" customFormat="1" ht="13.2">
      <c r="A26" s="52"/>
      <c r="B26" s="161" t="str">
        <f>'Functionalized Accounts'!B29</f>
        <v>Conservation and Corporate Relations - Strategic Engagement &amp; Innovation</v>
      </c>
      <c r="C26" s="165" t="s">
        <v>127</v>
      </c>
    </row>
    <row r="27" spans="1:3" s="160" customFormat="1" ht="13.2">
      <c r="A27" s="52"/>
      <c r="B27" s="162" t="str">
        <f>'Functionalized Accounts'!B30</f>
        <v>Conservation and Corporate Relations - Program Delivery &amp; Partner Services</v>
      </c>
      <c r="C27" s="166" t="s">
        <v>29</v>
      </c>
    </row>
    <row r="28" spans="1:3" s="160" customFormat="1" ht="13.2">
      <c r="A28" s="52"/>
      <c r="B28" s="161" t="str">
        <f>'Functionalized Accounts'!B31</f>
        <v>Conservation and Corporate Relations - Stakeholders &amp; Public Affairs</v>
      </c>
      <c r="C28" s="165" t="s">
        <v>127</v>
      </c>
    </row>
    <row r="29" spans="1:3" s="160" customFormat="1" ht="13.2">
      <c r="A29" s="52"/>
      <c r="B29" s="162" t="str">
        <f>'Functionalized Accounts'!B32</f>
        <v>Conservation and Corporate Relations - Marketing</v>
      </c>
      <c r="C29" s="166" t="s">
        <v>127</v>
      </c>
    </row>
    <row r="30" spans="1:3" s="160" customFormat="1" ht="13.2">
      <c r="A30" s="52"/>
      <c r="B30" s="161" t="str">
        <f>'Functionalized Accounts'!B33</f>
        <v>Information and Technology Services - VP Office</v>
      </c>
      <c r="C30" s="165" t="s">
        <v>126</v>
      </c>
    </row>
    <row r="31" spans="1:3" s="160" customFormat="1" ht="13.2">
      <c r="A31" s="52"/>
      <c r="B31" s="162" t="str">
        <f>'Functionalized Accounts'!B34</f>
        <v>Information and Technology Services - Organizational Governance</v>
      </c>
      <c r="C31" s="166" t="s">
        <v>139</v>
      </c>
    </row>
    <row r="32" spans="1:3" s="160" customFormat="1" ht="13.2">
      <c r="A32" s="52"/>
      <c r="B32" s="161" t="str">
        <f>'Functionalized Accounts'!B35</f>
        <v>Information and Technology Services - Business Solutions + Business Analysis</v>
      </c>
      <c r="C32" s="165" t="str">
        <f t="shared" si="0"/>
        <v>O&amp;M</v>
      </c>
    </row>
    <row r="33" spans="1:3" s="160" customFormat="1" ht="13.2">
      <c r="A33" s="52"/>
      <c r="B33" s="162" t="str">
        <f>'Functionalized Accounts'!B36</f>
        <v>Information and Technology Services - Technology Support*</v>
      </c>
      <c r="C33" s="166" t="str">
        <f t="shared" si="0"/>
        <v>O&amp;M</v>
      </c>
    </row>
    <row r="34" spans="1:3" s="160" customFormat="1" ht="13.2">
      <c r="A34" s="52"/>
      <c r="B34" s="161" t="str">
        <f>'Functionalized Accounts'!B37</f>
        <v>Information and Technology Services - Solutions (Adelaide)*</v>
      </c>
      <c r="C34" s="165" t="str">
        <f t="shared" si="0"/>
        <v>O&amp;M</v>
      </c>
    </row>
    <row r="35" spans="1:3" s="160" customFormat="1" ht="13.2">
      <c r="A35" s="52"/>
      <c r="B35" s="162" t="str">
        <f>'Functionalized Accounts'!B38</f>
        <v>Information and Technology Services - IT Operations</v>
      </c>
      <c r="C35" s="166" t="s">
        <v>139</v>
      </c>
    </row>
    <row r="36" spans="1:3" s="160" customFormat="1" ht="13.2">
      <c r="A36" s="52"/>
      <c r="B36" s="161" t="str">
        <f>'Functionalized Accounts'!B39</f>
        <v>Information and Technology Services - Facilities</v>
      </c>
      <c r="C36" s="165" t="s">
        <v>139</v>
      </c>
    </row>
    <row r="37" spans="1:3" s="160" customFormat="1" ht="26.4">
      <c r="A37" s="52"/>
      <c r="B37" s="162" t="str">
        <f>'Functionalized Accounts'!B40</f>
        <v>Information and Technology Services - Support of Market and System Operation</v>
      </c>
      <c r="C37" s="166" t="s">
        <v>127</v>
      </c>
    </row>
    <row r="38" spans="1:3" s="160" customFormat="1" ht="13.2">
      <c r="A38" s="52"/>
      <c r="B38" s="161" t="str">
        <f>'Functionalized Accounts'!B41</f>
        <v>Planning, Law and Aboriginal Relations - VP Office</v>
      </c>
      <c r="C38" s="165" t="s">
        <v>117</v>
      </c>
    </row>
    <row r="39" spans="1:3" s="160" customFormat="1" ht="13.2">
      <c r="A39" s="52"/>
      <c r="B39" s="162" t="str">
        <f>'Functionalized Accounts'!B42</f>
        <v>Planning, Law and Aboriginal Relations - General Counsel</v>
      </c>
      <c r="C39" s="166" t="s">
        <v>127</v>
      </c>
    </row>
    <row r="40" spans="1:3" s="160" customFormat="1" ht="13.2">
      <c r="A40" s="52"/>
      <c r="B40" s="161" t="str">
        <f>'Functionalized Accounts'!B43</f>
        <v>Planning, Law and Aboriginal Relations - Regulatory Affairs</v>
      </c>
      <c r="C40" s="165" t="str">
        <f t="shared" si="0"/>
        <v>TWh</v>
      </c>
    </row>
    <row r="41" spans="1:3" s="160" customFormat="1" ht="13.2">
      <c r="A41" s="52"/>
      <c r="B41" s="162" t="str">
        <f>'Functionalized Accounts'!B44</f>
        <v>Planning, Law and Aboriginal Relations - Board</v>
      </c>
      <c r="C41" s="166" t="str">
        <f t="shared" si="0"/>
        <v>TWh</v>
      </c>
    </row>
    <row r="42" spans="1:3" s="160" customFormat="1" ht="13.2">
      <c r="A42" s="52"/>
      <c r="B42" s="161" t="str">
        <f>'Functionalized Accounts'!B45</f>
        <v>Planning, Law and Aboriginal Relations - First Nations &amp; Metis Relations</v>
      </c>
      <c r="C42" s="165" t="s">
        <v>29</v>
      </c>
    </row>
    <row r="43" spans="1:3" s="160" customFormat="1" ht="13.2">
      <c r="A43" s="52"/>
      <c r="B43" s="162" t="str">
        <f>'Functionalized Accounts'!B46</f>
        <v xml:space="preserve">Planning, Law and Aboriginal Relations - Transmission Integration </v>
      </c>
      <c r="C43" s="166" t="s">
        <v>29</v>
      </c>
    </row>
    <row r="44" spans="1:3" s="160" customFormat="1" ht="13.2">
      <c r="A44" s="52"/>
      <c r="B44" s="161" t="str">
        <f>'Functionalized Accounts'!B47</f>
        <v>Planning, Law and Aboriginal Relations - Resource Integration</v>
      </c>
      <c r="C44" s="165" t="s">
        <v>29</v>
      </c>
    </row>
    <row r="45" spans="1:3" s="160" customFormat="1" ht="13.2">
      <c r="A45" s="52"/>
      <c r="B45" s="162" t="str">
        <f>'Functionalized Accounts'!B48</f>
        <v>Planning, Law and Aboriginal Relations - Conservation Inegration</v>
      </c>
      <c r="C45" s="166" t="str">
        <f t="shared" si="0"/>
        <v>DOM</v>
      </c>
    </row>
    <row r="46" spans="1:3" s="160" customFormat="1" ht="13.2">
      <c r="A46" s="52"/>
      <c r="B46" s="161" t="str">
        <f>'Functionalized Accounts'!B49</f>
        <v>Corporate Services - VP Office</v>
      </c>
      <c r="C46" s="165" t="s">
        <v>118</v>
      </c>
    </row>
    <row r="47" spans="1:3" s="160" customFormat="1" ht="13.2">
      <c r="A47" s="52"/>
      <c r="B47" s="162" t="str">
        <f>'Functionalized Accounts'!B50</f>
        <v>Corporate Services - Corporate Controller</v>
      </c>
      <c r="C47" s="166" t="s">
        <v>127</v>
      </c>
    </row>
    <row r="48" spans="1:3" s="160" customFormat="1" ht="13.2">
      <c r="A48" s="52"/>
      <c r="B48" s="161" t="str">
        <f>'Functionalized Accounts'!B51</f>
        <v>Corporate Services - Financial Planning &amp; Analysis</v>
      </c>
      <c r="C48" s="165" t="s">
        <v>139</v>
      </c>
    </row>
    <row r="49" spans="1:3" s="160" customFormat="1" ht="13.2">
      <c r="A49" s="52"/>
      <c r="B49" s="162" t="str">
        <f>'Functionalized Accounts'!B52</f>
        <v>Corporate Services - Treasury &amp; Pension Operations</v>
      </c>
      <c r="C49" s="166" t="s">
        <v>139</v>
      </c>
    </row>
    <row r="50" spans="1:3" s="160" customFormat="1" ht="13.2">
      <c r="A50" s="52"/>
      <c r="B50" s="161" t="str">
        <f>'Functionalized Accounts'!B53</f>
        <v>Corporate Services - Human Resources</v>
      </c>
      <c r="C50" s="165" t="s">
        <v>139</v>
      </c>
    </row>
    <row r="51" spans="1:3" s="160" customFormat="1" ht="13.2">
      <c r="A51" s="52"/>
      <c r="B51" s="162" t="str">
        <f>'Functionalized Accounts'!B54</f>
        <v>Corporate Services - Settlements</v>
      </c>
      <c r="C51" s="166" t="s">
        <v>127</v>
      </c>
    </row>
    <row r="52" spans="1:3" s="160" customFormat="1" ht="13.2">
      <c r="A52" s="52"/>
      <c r="B52" s="161" t="str">
        <f>'Functionalized Accounts'!B55</f>
        <v>MACD</v>
      </c>
      <c r="C52" s="165" t="str">
        <f t="shared" si="0"/>
        <v>TWh</v>
      </c>
    </row>
    <row r="53" spans="1:3" s="160" customFormat="1" ht="13.2">
      <c r="A53" s="52"/>
      <c r="B53" s="162" t="str">
        <f>'Functionalized Accounts'!B56</f>
        <v>Others (IESO Corp Adj+Int+Amort) - Amortization</v>
      </c>
      <c r="C53" s="166" t="s">
        <v>127</v>
      </c>
    </row>
    <row r="54" spans="1:3" s="160" customFormat="1" ht="13.2">
      <c r="A54" s="52"/>
      <c r="B54" s="161" t="str">
        <f>'Functionalized Accounts'!B57</f>
        <v>Others (IESO Corp Adj+Int+Amort) - Interest</v>
      </c>
      <c r="C54" s="165" t="s">
        <v>127</v>
      </c>
    </row>
    <row r="55" spans="1:3" s="160" customFormat="1" ht="13.2">
      <c r="A55" s="52"/>
      <c r="B55" s="162" t="str">
        <f>'Functionalized Accounts'!B58</f>
        <v>Others (IESO Corp Adj+Int+Amort) - Uncleared salary</v>
      </c>
      <c r="C55" s="166" t="s">
        <v>139</v>
      </c>
    </row>
    <row r="56" spans="1:3" s="160" customFormat="1" ht="13.2">
      <c r="A56" s="52"/>
      <c r="B56" s="161" t="str">
        <f>'Functionalized Accounts'!B64</f>
        <v>Former IESO - Assets</v>
      </c>
      <c r="C56" s="165" t="s">
        <v>127</v>
      </c>
    </row>
    <row r="57" spans="1:3" s="160" customFormat="1" ht="13.2">
      <c r="A57" s="52"/>
      <c r="B57" s="162" t="str">
        <f>'Functionalized Accounts'!B65</f>
        <v>Former IESO - Market systems &amp; applications</v>
      </c>
      <c r="C57" s="166" t="str">
        <f t="shared" si="0"/>
        <v>TWh</v>
      </c>
    </row>
    <row r="58" spans="1:3" s="160" customFormat="1" ht="13.2">
      <c r="A58" s="52"/>
      <c r="B58" s="161" t="str">
        <f>'Functionalized Accounts'!B66</f>
        <v>Former IESO - Infrastructure &amp; other assets</v>
      </c>
      <c r="C58" s="165" t="str">
        <f t="shared" si="0"/>
        <v>TWh</v>
      </c>
    </row>
    <row r="59" spans="1:3" s="160" customFormat="1" ht="13.2">
      <c r="A59" s="52"/>
      <c r="B59" s="162" t="str">
        <f>'Functionalized Accounts'!B67</f>
        <v>Former IESO - Assets Under Construction</v>
      </c>
      <c r="C59" s="166" t="str">
        <f t="shared" si="0"/>
        <v>TWh</v>
      </c>
    </row>
    <row r="60" spans="1:3" s="160" customFormat="1" ht="13.2">
      <c r="A60" s="52"/>
      <c r="B60" s="161" t="str">
        <f>'Functionalized Accounts'!B68</f>
        <v>Former OPA - Furniture &amp; Equipment</v>
      </c>
      <c r="C60" s="165" t="s">
        <v>139</v>
      </c>
    </row>
    <row r="61" spans="1:3" s="160" customFormat="1" ht="13.2">
      <c r="A61" s="52"/>
      <c r="B61" s="162" t="str">
        <f>'Functionalized Accounts'!B69</f>
        <v>Former OPA - Audio Visual</v>
      </c>
      <c r="C61" s="166" t="str">
        <f t="shared" si="0"/>
        <v>O&amp;M</v>
      </c>
    </row>
    <row r="62" spans="1:3" s="160" customFormat="1" ht="13.2">
      <c r="A62" s="52"/>
      <c r="B62" s="161" t="str">
        <f>'Functionalized Accounts'!B70</f>
        <v>Former OPA - Telephone</v>
      </c>
      <c r="C62" s="165" t="str">
        <f t="shared" si="0"/>
        <v>O&amp;M</v>
      </c>
    </row>
    <row r="63" spans="1:3" s="160" customFormat="1" ht="13.2">
      <c r="A63" s="52"/>
      <c r="B63" s="162" t="str">
        <f>'Functionalized Accounts'!B71</f>
        <v>Former OPA - Leasehold improvements</v>
      </c>
      <c r="C63" s="166" t="str">
        <f t="shared" si="0"/>
        <v>O&amp;M</v>
      </c>
    </row>
    <row r="64" spans="1:3" s="160" customFormat="1" ht="13.2">
      <c r="A64" s="52"/>
      <c r="B64" s="161" t="str">
        <f>'Functionalized Accounts'!B72</f>
        <v>Former OPA - Computer Hardware</v>
      </c>
      <c r="C64" s="165" t="str">
        <f t="shared" si="0"/>
        <v>O&amp;M</v>
      </c>
    </row>
    <row r="65" spans="1:3" s="160" customFormat="1" ht="13.2">
      <c r="A65" s="52"/>
      <c r="B65" s="162" t="str">
        <f>'Functionalized Accounts'!B73</f>
        <v>Former OPA - Computer Software</v>
      </c>
      <c r="C65" s="166" t="str">
        <f t="shared" si="0"/>
        <v>O&amp;M</v>
      </c>
    </row>
    <row r="66" spans="1:3" s="160" customFormat="1" ht="13.8" thickBot="1">
      <c r="A66" s="52"/>
      <c r="B66" s="376" t="str">
        <f>'Functionalized Accounts'!B74</f>
        <v>Accumulated Amortization</v>
      </c>
      <c r="C66" s="377" t="s">
        <v>141</v>
      </c>
    </row>
    <row r="67" spans="1:3" s="160" customFormat="1" ht="13.2">
      <c r="A67" s="52"/>
      <c r="B67" s="52"/>
      <c r="C67" s="163"/>
    </row>
  </sheetData>
  <mergeCells count="1">
    <mergeCell ref="A3:C3"/>
  </mergeCells>
  <phoneticPr fontId="0" type="noConversion"/>
  <printOptions gridLines="1"/>
  <pageMargins left="0.39370078740157483" right="0.39370078740157483" top="0.39370078740157483" bottom="0.39370078740157483" header="0.19685039370078741" footer="0.19685039370078741"/>
  <pageSetup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Functionalized Accounts</vt:lpstr>
      <vt:lpstr>Assets</vt:lpstr>
      <vt:lpstr>Revenue</vt:lpstr>
      <vt:lpstr>Energy Throughput</vt:lpstr>
      <vt:lpstr>Revenue to Cost|RR</vt:lpstr>
      <vt:lpstr>Summary by Class &amp; Accounts</vt:lpstr>
      <vt:lpstr>Source Data for Allocators</vt:lpstr>
      <vt:lpstr>Allocators</vt:lpstr>
      <vt:lpstr>TB Allocation Details</vt:lpstr>
      <vt:lpstr>Reconciliation</vt:lpstr>
      <vt:lpstr>Allocators!Print_Area</vt:lpstr>
      <vt:lpstr>'Energy Throughput'!Print_Area</vt:lpstr>
      <vt:lpstr>'Functionalized Accounts'!Print_Area</vt:lpstr>
      <vt:lpstr>Reconciliation!Print_Area</vt:lpstr>
      <vt:lpstr>Revenue!Print_Area</vt:lpstr>
      <vt:lpstr>'Revenue to Cost|RR'!Print_Area</vt:lpstr>
      <vt:lpstr>'Summary by Class &amp; Accounts'!Print_Area</vt:lpstr>
      <vt:lpstr>Assets!Print_Titles</vt:lpstr>
    </vt:vector>
  </TitlesOfParts>
  <Company>Ontario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AbramoMa</dc:creator>
  <cp:lastModifiedBy>Andrew Frank</cp:lastModifiedBy>
  <cp:lastPrinted>2015-12-04T19:52:46Z</cp:lastPrinted>
  <dcterms:created xsi:type="dcterms:W3CDTF">2005-08-12T15:39:31Z</dcterms:created>
  <dcterms:modified xsi:type="dcterms:W3CDTF">2016-05-10T16:44:08Z</dcterms:modified>
</cp:coreProperties>
</file>