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5. TESI UTILITIES\ORPC\4.Final Rates\Settlement Conference May 19\"/>
    </mc:Choice>
  </mc:AlternateContent>
  <bookViews>
    <workbookView xWindow="0" yWindow="0" windowWidth="25545" windowHeight="12000"/>
  </bookViews>
  <sheets>
    <sheet name="Bill Impact - Res 10 Pct" sheetId="1" r:id="rId1"/>
    <sheet name="Bill Impact - Residential" sheetId="2" r:id="rId2"/>
    <sheet name="Bill Impact - GS&lt;50" sheetId="3" r:id="rId3"/>
    <sheet name="Bill Impact - GS&gt;50" sheetId="4" r:id="rId4"/>
    <sheet name="Bill Impact - Sentinel" sheetId="5" r:id="rId5"/>
    <sheet name="Bill Impact - StreetLight" sheetId="6" r:id="rId6"/>
    <sheet name="Bill Impact - USL" sheetId="7" r:id="rId7"/>
  </sheets>
  <externalReferences>
    <externalReference r:id="rId8"/>
    <externalReference r:id="rId9"/>
    <externalReference r:id="rId10"/>
  </externalReferences>
  <definedNames>
    <definedName name="_xlnm.Print_Area" localSheetId="2">'Bill Impact - GS&lt;50'!$A$1:$P$77</definedName>
    <definedName name="_xlnm.Print_Area" localSheetId="3">'Bill Impact - GS&gt;50'!$A$1:$P$77</definedName>
    <definedName name="_xlnm.Print_Area" localSheetId="0">'Bill Impact - Res 10 Pct'!$A$1:$P$77</definedName>
    <definedName name="_xlnm.Print_Area" localSheetId="1">'Bill Impact - Residential'!$A$1:$P$77</definedName>
    <definedName name="_xlnm.Print_Area" localSheetId="4">'Bill Impact - Sentinel'!$A$1:$P$77</definedName>
    <definedName name="_xlnm.Print_Area" localSheetId="5">'Bill Impact - StreetLight'!$A$1:$P$77</definedName>
    <definedName name="_xlnm.Print_Area" localSheetId="6">'Bill Impact - USL'!$A$1:$Q$78</definedName>
    <definedName name="RebaseYear">'[1]LDC Info'!$E$28</definedName>
    <definedName name="TestYear">'[1]LDC Info'!$E$24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0" i="1" l="1"/>
  <c r="G57" i="1"/>
  <c r="G58" i="1"/>
  <c r="G59" i="1"/>
  <c r="J51" i="7" l="1"/>
  <c r="J50" i="7"/>
  <c r="J46" i="7"/>
  <c r="J51" i="6"/>
  <c r="J50" i="6"/>
  <c r="J46" i="6"/>
  <c r="J51" i="5"/>
  <c r="J50" i="5"/>
  <c r="J46" i="5"/>
  <c r="J51" i="4"/>
  <c r="J50" i="4"/>
  <c r="J46" i="4"/>
  <c r="J51" i="3"/>
  <c r="J50" i="3"/>
  <c r="J46" i="3"/>
  <c r="J51" i="2"/>
  <c r="J50" i="2"/>
  <c r="J46" i="2"/>
  <c r="J51" i="1"/>
  <c r="J50" i="1"/>
  <c r="J46" i="1"/>
  <c r="J26" i="3"/>
  <c r="J26" i="2"/>
  <c r="J45" i="7"/>
  <c r="J44" i="7"/>
  <c r="J43" i="7"/>
  <c r="J41" i="7"/>
  <c r="J40" i="7"/>
  <c r="B45" i="7"/>
  <c r="B44" i="7"/>
  <c r="B43" i="7"/>
  <c r="B42" i="7"/>
  <c r="B41" i="7"/>
  <c r="B40" i="7"/>
  <c r="J45" i="6"/>
  <c r="J44" i="6"/>
  <c r="J43" i="6"/>
  <c r="J42" i="6"/>
  <c r="J41" i="6"/>
  <c r="J40" i="6"/>
  <c r="B45" i="6"/>
  <c r="B44" i="6"/>
  <c r="B43" i="6"/>
  <c r="B42" i="6"/>
  <c r="B41" i="6"/>
  <c r="B40" i="6"/>
  <c r="J45" i="5"/>
  <c r="J44" i="5"/>
  <c r="J43" i="5"/>
  <c r="J41" i="5"/>
  <c r="J40" i="5"/>
  <c r="B45" i="5"/>
  <c r="B44" i="5"/>
  <c r="B43" i="5"/>
  <c r="B42" i="5"/>
  <c r="B41" i="5"/>
  <c r="B40" i="5"/>
  <c r="J45" i="4"/>
  <c r="J44" i="4"/>
  <c r="J43" i="4"/>
  <c r="J42" i="4"/>
  <c r="J41" i="4"/>
  <c r="J40" i="4"/>
  <c r="B45" i="4"/>
  <c r="B44" i="4"/>
  <c r="B43" i="4"/>
  <c r="B42" i="4"/>
  <c r="B41" i="4"/>
  <c r="B40" i="4"/>
  <c r="J45" i="3"/>
  <c r="J44" i="3"/>
  <c r="J43" i="3"/>
  <c r="J41" i="3"/>
  <c r="J40" i="3"/>
  <c r="B45" i="3"/>
  <c r="B44" i="3"/>
  <c r="B43" i="3"/>
  <c r="B42" i="3"/>
  <c r="B41" i="3"/>
  <c r="B40" i="3"/>
  <c r="J45" i="2"/>
  <c r="J44" i="2"/>
  <c r="J43" i="2"/>
  <c r="J41" i="2"/>
  <c r="J40" i="2"/>
  <c r="B45" i="2"/>
  <c r="B44" i="2"/>
  <c r="B43" i="2"/>
  <c r="B42" i="2"/>
  <c r="B41" i="2"/>
  <c r="B40" i="2"/>
  <c r="J45" i="1"/>
  <c r="J44" i="1"/>
  <c r="J43" i="1"/>
  <c r="J41" i="1"/>
  <c r="J40" i="1"/>
  <c r="B45" i="1"/>
  <c r="B44" i="1"/>
  <c r="B43" i="1"/>
  <c r="B42" i="1"/>
  <c r="B41" i="1"/>
  <c r="B40" i="1"/>
  <c r="J26" i="1"/>
  <c r="J25" i="4"/>
  <c r="J25" i="3"/>
  <c r="J25" i="2"/>
  <c r="J25" i="1"/>
  <c r="J29" i="7"/>
  <c r="J23" i="7"/>
  <c r="J29" i="6"/>
  <c r="J23" i="6"/>
  <c r="J29" i="5"/>
  <c r="J23" i="5"/>
  <c r="J29" i="4"/>
  <c r="J23" i="4"/>
  <c r="J29" i="3"/>
  <c r="J23" i="3"/>
  <c r="J29" i="2"/>
  <c r="J23" i="2"/>
  <c r="J29" i="1"/>
  <c r="J23" i="1"/>
  <c r="F29" i="7"/>
  <c r="F23" i="7"/>
  <c r="F29" i="6"/>
  <c r="F23" i="6"/>
  <c r="F29" i="5"/>
  <c r="F23" i="5"/>
  <c r="F29" i="4"/>
  <c r="F23" i="4"/>
  <c r="F29" i="3"/>
  <c r="F23" i="3"/>
  <c r="F51" i="2"/>
  <c r="F50" i="2"/>
  <c r="F29" i="2"/>
  <c r="F23" i="2"/>
  <c r="F51" i="1"/>
  <c r="F50" i="1"/>
  <c r="F29" i="1"/>
  <c r="F23" i="1"/>
  <c r="G61" i="7" l="1"/>
  <c r="H61" i="7" s="1"/>
  <c r="K60" i="7"/>
  <c r="L60" i="7" s="1"/>
  <c r="G60" i="7"/>
  <c r="H60" i="7" s="1"/>
  <c r="G59" i="7"/>
  <c r="H59" i="7" s="1"/>
  <c r="K58" i="7"/>
  <c r="L58" i="7" s="1"/>
  <c r="G58" i="7"/>
  <c r="H58" i="7" s="1"/>
  <c r="G57" i="7"/>
  <c r="H57" i="7" s="1"/>
  <c r="K56" i="7"/>
  <c r="L56" i="7" s="1"/>
  <c r="G56" i="7"/>
  <c r="H56" i="7" s="1"/>
  <c r="N55" i="7"/>
  <c r="L55" i="7"/>
  <c r="H55" i="7"/>
  <c r="O55" i="7" s="1"/>
  <c r="K51" i="7"/>
  <c r="K53" i="7" s="1"/>
  <c r="L53" i="7" s="1"/>
  <c r="K50" i="7"/>
  <c r="L50" i="7"/>
  <c r="G50" i="7"/>
  <c r="H50" i="7" s="1"/>
  <c r="L48" i="7"/>
  <c r="N48" i="7" s="1"/>
  <c r="H48" i="7"/>
  <c r="K47" i="7"/>
  <c r="J47" i="7"/>
  <c r="L47" i="7" s="1"/>
  <c r="G47" i="7"/>
  <c r="H47" i="7" s="1"/>
  <c r="F47" i="7"/>
  <c r="K46" i="7"/>
  <c r="L46" i="7"/>
  <c r="G46" i="7"/>
  <c r="H46" i="7" s="1"/>
  <c r="K45" i="7"/>
  <c r="L45" i="7" s="1"/>
  <c r="N45" i="7" s="1"/>
  <c r="H45" i="7"/>
  <c r="O45" i="7" s="1"/>
  <c r="G45" i="7"/>
  <c r="K44" i="7"/>
  <c r="L44" i="7" s="1"/>
  <c r="N44" i="7" s="1"/>
  <c r="H44" i="7"/>
  <c r="O44" i="7" s="1"/>
  <c r="G44" i="7"/>
  <c r="O43" i="7"/>
  <c r="K43" i="7"/>
  <c r="L43" i="7" s="1"/>
  <c r="N43" i="7" s="1"/>
  <c r="G43" i="7"/>
  <c r="O42" i="7"/>
  <c r="N42" i="7"/>
  <c r="L42" i="7"/>
  <c r="K42" i="7"/>
  <c r="G42" i="7"/>
  <c r="L41" i="7"/>
  <c r="K41" i="7"/>
  <c r="G41" i="7"/>
  <c r="H41" i="7" s="1"/>
  <c r="O41" i="7" s="1"/>
  <c r="L40" i="7"/>
  <c r="N40" i="7" s="1"/>
  <c r="K40" i="7"/>
  <c r="G40" i="7"/>
  <c r="H40" i="7" s="1"/>
  <c r="O40" i="7" s="1"/>
  <c r="K38" i="7"/>
  <c r="L38" i="7" s="1"/>
  <c r="N38" i="7" s="1"/>
  <c r="H38" i="7"/>
  <c r="O38" i="7" s="1"/>
  <c r="G38" i="7"/>
  <c r="L37" i="7"/>
  <c r="K37" i="7"/>
  <c r="G37" i="7"/>
  <c r="H37" i="7" s="1"/>
  <c r="K36" i="7"/>
  <c r="L36" i="7" s="1"/>
  <c r="N36" i="7" s="1"/>
  <c r="H36" i="7"/>
  <c r="O36" i="7" s="1"/>
  <c r="G36" i="7"/>
  <c r="L35" i="7"/>
  <c r="K35" i="7"/>
  <c r="G35" i="7"/>
  <c r="H35" i="7" s="1"/>
  <c r="K34" i="7"/>
  <c r="L34" i="7" s="1"/>
  <c r="N34" i="7" s="1"/>
  <c r="H34" i="7"/>
  <c r="O34" i="7" s="1"/>
  <c r="G34" i="7"/>
  <c r="L33" i="7"/>
  <c r="K33" i="7"/>
  <c r="G33" i="7"/>
  <c r="H33" i="7" s="1"/>
  <c r="K32" i="7"/>
  <c r="L32" i="7" s="1"/>
  <c r="N32" i="7" s="1"/>
  <c r="H32" i="7"/>
  <c r="O32" i="7" s="1"/>
  <c r="G32" i="7"/>
  <c r="L31" i="7"/>
  <c r="K31" i="7"/>
  <c r="G31" i="7"/>
  <c r="H31" i="7" s="1"/>
  <c r="K30" i="7"/>
  <c r="L30" i="7" s="1"/>
  <c r="N30" i="7" s="1"/>
  <c r="H30" i="7"/>
  <c r="O30" i="7" s="1"/>
  <c r="G30" i="7"/>
  <c r="K29" i="7"/>
  <c r="H29" i="7"/>
  <c r="G29" i="7"/>
  <c r="O28" i="7"/>
  <c r="N28" i="7"/>
  <c r="L28" i="7"/>
  <c r="H28" i="7"/>
  <c r="O27" i="7"/>
  <c r="N27" i="7"/>
  <c r="L27" i="7"/>
  <c r="H27" i="7"/>
  <c r="O26" i="7"/>
  <c r="N26" i="7"/>
  <c r="L26" i="7"/>
  <c r="H26" i="7"/>
  <c r="O25" i="7"/>
  <c r="N25" i="7"/>
  <c r="L25" i="7"/>
  <c r="H25" i="7"/>
  <c r="O24" i="7"/>
  <c r="N24" i="7"/>
  <c r="L24" i="7"/>
  <c r="H24" i="7"/>
  <c r="L23" i="7"/>
  <c r="H23" i="7"/>
  <c r="L61" i="6"/>
  <c r="N61" i="6" s="1"/>
  <c r="K61" i="6"/>
  <c r="G61" i="6"/>
  <c r="H61" i="6" s="1"/>
  <c r="O61" i="6" s="1"/>
  <c r="G60" i="6"/>
  <c r="K60" i="6" s="1"/>
  <c r="L60" i="6" s="1"/>
  <c r="K59" i="6"/>
  <c r="L59" i="6" s="1"/>
  <c r="N59" i="6" s="1"/>
  <c r="G59" i="6"/>
  <c r="H59" i="6" s="1"/>
  <c r="G58" i="6"/>
  <c r="K58" i="6" s="1"/>
  <c r="L58" i="6" s="1"/>
  <c r="K57" i="6"/>
  <c r="L57" i="6" s="1"/>
  <c r="G57" i="6"/>
  <c r="H57" i="6" s="1"/>
  <c r="K56" i="6"/>
  <c r="L56" i="6" s="1"/>
  <c r="N56" i="6" s="1"/>
  <c r="G56" i="6"/>
  <c r="H56" i="6" s="1"/>
  <c r="L55" i="6"/>
  <c r="N55" i="6" s="1"/>
  <c r="H55" i="6"/>
  <c r="O55" i="6" s="1"/>
  <c r="G51" i="6"/>
  <c r="G53" i="6" s="1"/>
  <c r="H53" i="6" s="1"/>
  <c r="K50" i="6"/>
  <c r="K51" i="6" s="1"/>
  <c r="G50" i="6"/>
  <c r="H50" i="6" s="1"/>
  <c r="L48" i="6"/>
  <c r="N48" i="6" s="1"/>
  <c r="H48" i="6"/>
  <c r="L47" i="6"/>
  <c r="N47" i="6" s="1"/>
  <c r="K47" i="6"/>
  <c r="J47" i="6"/>
  <c r="G47" i="6"/>
  <c r="H47" i="6" s="1"/>
  <c r="F47" i="6"/>
  <c r="K46" i="6"/>
  <c r="L46" i="6"/>
  <c r="G46" i="6"/>
  <c r="H46" i="6" s="1"/>
  <c r="K45" i="6"/>
  <c r="L45" i="6" s="1"/>
  <c r="N45" i="6" s="1"/>
  <c r="G45" i="6"/>
  <c r="H45" i="6" s="1"/>
  <c r="O45" i="6" s="1"/>
  <c r="K44" i="6"/>
  <c r="L44" i="6" s="1"/>
  <c r="N44" i="6" s="1"/>
  <c r="G44" i="6"/>
  <c r="H44" i="6" s="1"/>
  <c r="O44" i="6" s="1"/>
  <c r="O43" i="6"/>
  <c r="K43" i="6"/>
  <c r="L43" i="6" s="1"/>
  <c r="N43" i="6" s="1"/>
  <c r="G43" i="6"/>
  <c r="O42" i="6"/>
  <c r="K42" i="6"/>
  <c r="L42" i="6" s="1"/>
  <c r="N42" i="6" s="1"/>
  <c r="G42" i="6"/>
  <c r="L41" i="6"/>
  <c r="K41" i="6"/>
  <c r="H41" i="6"/>
  <c r="G41" i="6"/>
  <c r="L40" i="6"/>
  <c r="K40" i="6"/>
  <c r="H40" i="6"/>
  <c r="G40" i="6"/>
  <c r="L38" i="6"/>
  <c r="K38" i="6"/>
  <c r="G38" i="6"/>
  <c r="H38" i="6" s="1"/>
  <c r="K37" i="6"/>
  <c r="L37" i="6" s="1"/>
  <c r="N37" i="6" s="1"/>
  <c r="H37" i="6"/>
  <c r="O37" i="6" s="1"/>
  <c r="G37" i="6"/>
  <c r="L36" i="6"/>
  <c r="K36" i="6"/>
  <c r="G36" i="6"/>
  <c r="H36" i="6" s="1"/>
  <c r="O36" i="6" s="1"/>
  <c r="O35" i="6"/>
  <c r="K35" i="6"/>
  <c r="L35" i="6" s="1"/>
  <c r="H35" i="6"/>
  <c r="G35" i="6"/>
  <c r="L34" i="6"/>
  <c r="K34" i="6"/>
  <c r="G34" i="6"/>
  <c r="H34" i="6" s="1"/>
  <c r="O34" i="6" s="1"/>
  <c r="O33" i="6"/>
  <c r="K33" i="6"/>
  <c r="L33" i="6" s="1"/>
  <c r="H33" i="6"/>
  <c r="G33" i="6"/>
  <c r="L32" i="6"/>
  <c r="K32" i="6"/>
  <c r="H32" i="6"/>
  <c r="O32" i="6" s="1"/>
  <c r="G32" i="6"/>
  <c r="K31" i="6"/>
  <c r="L31" i="6" s="1"/>
  <c r="N31" i="6" s="1"/>
  <c r="H31" i="6"/>
  <c r="O31" i="6" s="1"/>
  <c r="G31" i="6"/>
  <c r="L30" i="6"/>
  <c r="K30" i="6"/>
  <c r="G30" i="6"/>
  <c r="H30" i="6" s="1"/>
  <c r="K29" i="6"/>
  <c r="G29" i="6"/>
  <c r="H29" i="6" s="1"/>
  <c r="L28" i="6"/>
  <c r="N28" i="6" s="1"/>
  <c r="H28" i="6"/>
  <c r="O28" i="6" s="1"/>
  <c r="L27" i="6"/>
  <c r="N27" i="6" s="1"/>
  <c r="H27" i="6"/>
  <c r="O27" i="6" s="1"/>
  <c r="L26" i="6"/>
  <c r="N26" i="6" s="1"/>
  <c r="H26" i="6"/>
  <c r="O26" i="6" s="1"/>
  <c r="L25" i="6"/>
  <c r="N25" i="6" s="1"/>
  <c r="H25" i="6"/>
  <c r="O25" i="6" s="1"/>
  <c r="L24" i="6"/>
  <c r="N24" i="6" s="1"/>
  <c r="H24" i="6"/>
  <c r="O24" i="6" s="1"/>
  <c r="L23" i="6"/>
  <c r="H23" i="6"/>
  <c r="G61" i="5"/>
  <c r="K61" i="5" s="1"/>
  <c r="L61" i="5" s="1"/>
  <c r="K60" i="5"/>
  <c r="L60" i="5" s="1"/>
  <c r="G60" i="5"/>
  <c r="H60" i="5" s="1"/>
  <c r="G59" i="5"/>
  <c r="K59" i="5" s="1"/>
  <c r="L59" i="5" s="1"/>
  <c r="K58" i="5"/>
  <c r="L58" i="5" s="1"/>
  <c r="G58" i="5"/>
  <c r="H58" i="5" s="1"/>
  <c r="G57" i="5"/>
  <c r="K57" i="5" s="1"/>
  <c r="L57" i="5" s="1"/>
  <c r="K56" i="5"/>
  <c r="L56" i="5" s="1"/>
  <c r="N56" i="5" s="1"/>
  <c r="G56" i="5"/>
  <c r="H56" i="5" s="1"/>
  <c r="N55" i="5"/>
  <c r="O55" i="5" s="1"/>
  <c r="L55" i="5"/>
  <c r="H55" i="5"/>
  <c r="L53" i="5"/>
  <c r="N53" i="5" s="1"/>
  <c r="H53" i="5"/>
  <c r="G51" i="5"/>
  <c r="H51" i="5" s="1"/>
  <c r="K50" i="5"/>
  <c r="L50" i="5" s="1"/>
  <c r="G50" i="5"/>
  <c r="H50" i="5" s="1"/>
  <c r="L48" i="5"/>
  <c r="N48" i="5" s="1"/>
  <c r="H48" i="5"/>
  <c r="L47" i="5"/>
  <c r="N47" i="5" s="1"/>
  <c r="K47" i="5"/>
  <c r="J47" i="5"/>
  <c r="G47" i="5"/>
  <c r="H47" i="5" s="1"/>
  <c r="F47" i="5"/>
  <c r="L46" i="5"/>
  <c r="N46" i="5" s="1"/>
  <c r="K46" i="5"/>
  <c r="G46" i="5"/>
  <c r="H46" i="5" s="1"/>
  <c r="K45" i="5"/>
  <c r="L45" i="5" s="1"/>
  <c r="N45" i="5" s="1"/>
  <c r="G45" i="5"/>
  <c r="H45" i="5" s="1"/>
  <c r="O45" i="5" s="1"/>
  <c r="K44" i="5"/>
  <c r="L44" i="5" s="1"/>
  <c r="N44" i="5" s="1"/>
  <c r="G44" i="5"/>
  <c r="H44" i="5" s="1"/>
  <c r="O44" i="5" s="1"/>
  <c r="K43" i="5"/>
  <c r="L43" i="5" s="1"/>
  <c r="N43" i="5" s="1"/>
  <c r="G43" i="5"/>
  <c r="L42" i="5"/>
  <c r="N42" i="5" s="1"/>
  <c r="K42" i="5"/>
  <c r="G42" i="5"/>
  <c r="K41" i="5"/>
  <c r="L41" i="5" s="1"/>
  <c r="N41" i="5" s="1"/>
  <c r="G41" i="5"/>
  <c r="H41" i="5" s="1"/>
  <c r="O41" i="5" s="1"/>
  <c r="K40" i="5"/>
  <c r="L40" i="5" s="1"/>
  <c r="N40" i="5" s="1"/>
  <c r="G40" i="5"/>
  <c r="H40" i="5" s="1"/>
  <c r="O40" i="5" s="1"/>
  <c r="K38" i="5"/>
  <c r="L38" i="5" s="1"/>
  <c r="N38" i="5" s="1"/>
  <c r="H38" i="5"/>
  <c r="O38" i="5" s="1"/>
  <c r="G38" i="5"/>
  <c r="L37" i="5"/>
  <c r="K37" i="5"/>
  <c r="G37" i="5"/>
  <c r="H37" i="5" s="1"/>
  <c r="O37" i="5" s="1"/>
  <c r="K36" i="5"/>
  <c r="L36" i="5" s="1"/>
  <c r="N36" i="5" s="1"/>
  <c r="H36" i="5"/>
  <c r="O36" i="5" s="1"/>
  <c r="G36" i="5"/>
  <c r="L35" i="5"/>
  <c r="N35" i="5" s="1"/>
  <c r="K35" i="5"/>
  <c r="G35" i="5"/>
  <c r="H35" i="5" s="1"/>
  <c r="O35" i="5" s="1"/>
  <c r="K34" i="5"/>
  <c r="L34" i="5" s="1"/>
  <c r="N34" i="5" s="1"/>
  <c r="H34" i="5"/>
  <c r="O34" i="5" s="1"/>
  <c r="G34" i="5"/>
  <c r="L33" i="5"/>
  <c r="K33" i="5"/>
  <c r="G33" i="5"/>
  <c r="H33" i="5" s="1"/>
  <c r="O33" i="5" s="1"/>
  <c r="K32" i="5"/>
  <c r="L32" i="5" s="1"/>
  <c r="N32" i="5" s="1"/>
  <c r="H32" i="5"/>
  <c r="O32" i="5" s="1"/>
  <c r="G32" i="5"/>
  <c r="L31" i="5"/>
  <c r="N31" i="5" s="1"/>
  <c r="K31" i="5"/>
  <c r="G31" i="5"/>
  <c r="H31" i="5" s="1"/>
  <c r="O31" i="5" s="1"/>
  <c r="K30" i="5"/>
  <c r="L30" i="5" s="1"/>
  <c r="N30" i="5" s="1"/>
  <c r="H30" i="5"/>
  <c r="O30" i="5" s="1"/>
  <c r="G30" i="5"/>
  <c r="K29" i="5"/>
  <c r="G29" i="5"/>
  <c r="H29" i="5" s="1"/>
  <c r="O28" i="5"/>
  <c r="L28" i="5"/>
  <c r="N28" i="5" s="1"/>
  <c r="H28" i="5"/>
  <c r="O27" i="5"/>
  <c r="L27" i="5"/>
  <c r="N27" i="5" s="1"/>
  <c r="H27" i="5"/>
  <c r="O26" i="5"/>
  <c r="L26" i="5"/>
  <c r="N26" i="5" s="1"/>
  <c r="H26" i="5"/>
  <c r="O25" i="5"/>
  <c r="L25" i="5"/>
  <c r="N25" i="5" s="1"/>
  <c r="H25" i="5"/>
  <c r="O24" i="5"/>
  <c r="L24" i="5"/>
  <c r="N24" i="5" s="1"/>
  <c r="H24" i="5"/>
  <c r="L23" i="5"/>
  <c r="H23" i="5"/>
  <c r="K61" i="4"/>
  <c r="L61" i="4" s="1"/>
  <c r="N61" i="4" s="1"/>
  <c r="H61" i="4"/>
  <c r="O61" i="4" s="1"/>
  <c r="G61" i="4"/>
  <c r="G60" i="4"/>
  <c r="H60" i="4" s="1"/>
  <c r="K59" i="4"/>
  <c r="L59" i="4" s="1"/>
  <c r="N59" i="4" s="1"/>
  <c r="H59" i="4"/>
  <c r="O59" i="4" s="1"/>
  <c r="G59" i="4"/>
  <c r="G58" i="4"/>
  <c r="O57" i="4"/>
  <c r="K57" i="4"/>
  <c r="L57" i="4" s="1"/>
  <c r="N57" i="4" s="1"/>
  <c r="H57" i="4"/>
  <c r="G57" i="4"/>
  <c r="L56" i="4"/>
  <c r="K56" i="4"/>
  <c r="G56" i="4"/>
  <c r="H56" i="4" s="1"/>
  <c r="L55" i="4"/>
  <c r="H55" i="4"/>
  <c r="G51" i="4"/>
  <c r="K50" i="4"/>
  <c r="K51" i="4" s="1"/>
  <c r="H50" i="4"/>
  <c r="G50" i="4"/>
  <c r="L48" i="4"/>
  <c r="N48" i="4" s="1"/>
  <c r="H48" i="4"/>
  <c r="K47" i="4"/>
  <c r="L47" i="4" s="1"/>
  <c r="N47" i="4" s="1"/>
  <c r="J47" i="4"/>
  <c r="H47" i="4"/>
  <c r="G47" i="4"/>
  <c r="F47" i="4"/>
  <c r="K46" i="4"/>
  <c r="L46" i="4"/>
  <c r="H46" i="4"/>
  <c r="G46" i="4"/>
  <c r="K45" i="4"/>
  <c r="L45" i="4" s="1"/>
  <c r="N45" i="4" s="1"/>
  <c r="G45" i="4"/>
  <c r="H45" i="4" s="1"/>
  <c r="O45" i="4" s="1"/>
  <c r="L44" i="4"/>
  <c r="K44" i="4"/>
  <c r="G44" i="4"/>
  <c r="H44" i="4" s="1"/>
  <c r="O44" i="4" s="1"/>
  <c r="O43" i="4"/>
  <c r="K43" i="4"/>
  <c r="L43" i="4" s="1"/>
  <c r="N43" i="4" s="1"/>
  <c r="G43" i="4"/>
  <c r="O42" i="4"/>
  <c r="K42" i="4"/>
  <c r="G42" i="4"/>
  <c r="L41" i="4"/>
  <c r="K41" i="4"/>
  <c r="G41" i="4"/>
  <c r="H41" i="4" s="1"/>
  <c r="O41" i="4" s="1"/>
  <c r="L40" i="4"/>
  <c r="K40" i="4"/>
  <c r="G40" i="4"/>
  <c r="H40" i="4" s="1"/>
  <c r="O40" i="4" s="1"/>
  <c r="K38" i="4"/>
  <c r="L38" i="4" s="1"/>
  <c r="G38" i="4"/>
  <c r="H38" i="4" s="1"/>
  <c r="O38" i="4" s="1"/>
  <c r="K37" i="4"/>
  <c r="L37" i="4" s="1"/>
  <c r="N37" i="4" s="1"/>
  <c r="G37" i="4"/>
  <c r="H37" i="4" s="1"/>
  <c r="O37" i="4" s="1"/>
  <c r="K36" i="4"/>
  <c r="L36" i="4" s="1"/>
  <c r="G36" i="4"/>
  <c r="H36" i="4" s="1"/>
  <c r="O36" i="4" s="1"/>
  <c r="K35" i="4"/>
  <c r="L35" i="4" s="1"/>
  <c r="N35" i="4" s="1"/>
  <c r="G35" i="4"/>
  <c r="H35" i="4" s="1"/>
  <c r="O35" i="4" s="1"/>
  <c r="L34" i="4"/>
  <c r="K34" i="4"/>
  <c r="G34" i="4"/>
  <c r="H34" i="4" s="1"/>
  <c r="O34" i="4" s="1"/>
  <c r="K33" i="4"/>
  <c r="L33" i="4" s="1"/>
  <c r="N33" i="4" s="1"/>
  <c r="H33" i="4"/>
  <c r="O33" i="4" s="1"/>
  <c r="G33" i="4"/>
  <c r="L32" i="4"/>
  <c r="N32" i="4" s="1"/>
  <c r="K32" i="4"/>
  <c r="G32" i="4"/>
  <c r="H32" i="4" s="1"/>
  <c r="O32" i="4" s="1"/>
  <c r="K31" i="4"/>
  <c r="L31" i="4" s="1"/>
  <c r="N31" i="4" s="1"/>
  <c r="H31" i="4"/>
  <c r="O31" i="4" s="1"/>
  <c r="G31" i="4"/>
  <c r="L30" i="4"/>
  <c r="K30" i="4"/>
  <c r="G30" i="4"/>
  <c r="H30" i="4" s="1"/>
  <c r="O30" i="4" s="1"/>
  <c r="K29" i="4"/>
  <c r="H29" i="4"/>
  <c r="G29" i="4"/>
  <c r="O28" i="4"/>
  <c r="N28" i="4"/>
  <c r="L28" i="4"/>
  <c r="H28" i="4"/>
  <c r="O27" i="4"/>
  <c r="N27" i="4"/>
  <c r="L27" i="4"/>
  <c r="H27" i="4"/>
  <c r="O26" i="4"/>
  <c r="N26" i="4"/>
  <c r="L26" i="4"/>
  <c r="H26" i="4"/>
  <c r="H25" i="4"/>
  <c r="O25" i="4" s="1"/>
  <c r="L24" i="4"/>
  <c r="N24" i="4" s="1"/>
  <c r="H24" i="4"/>
  <c r="O24" i="4" s="1"/>
  <c r="L23" i="4"/>
  <c r="H23" i="4"/>
  <c r="G61" i="3"/>
  <c r="H61" i="3" s="1"/>
  <c r="K60" i="3"/>
  <c r="L60" i="3" s="1"/>
  <c r="H60" i="3"/>
  <c r="G60" i="3"/>
  <c r="G59" i="3"/>
  <c r="H59" i="3" s="1"/>
  <c r="K58" i="3"/>
  <c r="L58" i="3" s="1"/>
  <c r="N58" i="3" s="1"/>
  <c r="H58" i="3"/>
  <c r="O58" i="3" s="1"/>
  <c r="G58" i="3"/>
  <c r="G57" i="3"/>
  <c r="H57" i="3" s="1"/>
  <c r="K56" i="3"/>
  <c r="L56" i="3" s="1"/>
  <c r="N56" i="3" s="1"/>
  <c r="H56" i="3"/>
  <c r="O56" i="3" s="1"/>
  <c r="G56" i="3"/>
  <c r="N55" i="3"/>
  <c r="O55" i="3" s="1"/>
  <c r="L55" i="3"/>
  <c r="H55" i="3"/>
  <c r="K50" i="3"/>
  <c r="K51" i="3" s="1"/>
  <c r="L50" i="3"/>
  <c r="G50" i="3"/>
  <c r="H50" i="3" s="1"/>
  <c r="N48" i="3"/>
  <c r="L48" i="3"/>
  <c r="H48" i="3"/>
  <c r="K47" i="3"/>
  <c r="L47" i="3" s="1"/>
  <c r="N47" i="3" s="1"/>
  <c r="O47" i="3" s="1"/>
  <c r="J47" i="3"/>
  <c r="H47" i="3"/>
  <c r="G47" i="3"/>
  <c r="F47" i="3"/>
  <c r="K46" i="3"/>
  <c r="H46" i="3"/>
  <c r="G46" i="3"/>
  <c r="L45" i="3"/>
  <c r="K45" i="3"/>
  <c r="H45" i="3"/>
  <c r="O45" i="3" s="1"/>
  <c r="G45" i="3"/>
  <c r="L44" i="3"/>
  <c r="K44" i="3"/>
  <c r="H44" i="3"/>
  <c r="O44" i="3" s="1"/>
  <c r="G44" i="3"/>
  <c r="L43" i="3"/>
  <c r="N43" i="3" s="1"/>
  <c r="K43" i="3"/>
  <c r="G43" i="3"/>
  <c r="K42" i="3"/>
  <c r="L42" i="3" s="1"/>
  <c r="N42" i="3" s="1"/>
  <c r="G42" i="3"/>
  <c r="L41" i="3"/>
  <c r="K41" i="3"/>
  <c r="G41" i="3"/>
  <c r="H41" i="3" s="1"/>
  <c r="O41" i="3" s="1"/>
  <c r="L40" i="3"/>
  <c r="N40" i="3" s="1"/>
  <c r="K40" i="3"/>
  <c r="G40" i="3"/>
  <c r="H40" i="3" s="1"/>
  <c r="O40" i="3" s="1"/>
  <c r="L38" i="3"/>
  <c r="N38" i="3" s="1"/>
  <c r="K38" i="3"/>
  <c r="G38" i="3"/>
  <c r="H38" i="3" s="1"/>
  <c r="O38" i="3" s="1"/>
  <c r="K37" i="3"/>
  <c r="L37" i="3" s="1"/>
  <c r="N37" i="3" s="1"/>
  <c r="H37" i="3"/>
  <c r="O37" i="3" s="1"/>
  <c r="G37" i="3"/>
  <c r="L36" i="3"/>
  <c r="K36" i="3"/>
  <c r="G36" i="3"/>
  <c r="H36" i="3" s="1"/>
  <c r="O36" i="3" s="1"/>
  <c r="K35" i="3"/>
  <c r="L35" i="3" s="1"/>
  <c r="N35" i="3" s="1"/>
  <c r="H35" i="3"/>
  <c r="O35" i="3" s="1"/>
  <c r="G35" i="3"/>
  <c r="L34" i="3"/>
  <c r="N34" i="3" s="1"/>
  <c r="K34" i="3"/>
  <c r="G34" i="3"/>
  <c r="H34" i="3" s="1"/>
  <c r="O34" i="3" s="1"/>
  <c r="K33" i="3"/>
  <c r="L33" i="3" s="1"/>
  <c r="N33" i="3" s="1"/>
  <c r="H33" i="3"/>
  <c r="O33" i="3" s="1"/>
  <c r="G33" i="3"/>
  <c r="L32" i="3"/>
  <c r="K32" i="3"/>
  <c r="G32" i="3"/>
  <c r="H32" i="3" s="1"/>
  <c r="O32" i="3" s="1"/>
  <c r="K31" i="3"/>
  <c r="L31" i="3" s="1"/>
  <c r="N31" i="3" s="1"/>
  <c r="H31" i="3"/>
  <c r="O31" i="3" s="1"/>
  <c r="G31" i="3"/>
  <c r="L30" i="3"/>
  <c r="N30" i="3" s="1"/>
  <c r="K30" i="3"/>
  <c r="G30" i="3"/>
  <c r="H30" i="3" s="1"/>
  <c r="O30" i="3" s="1"/>
  <c r="K29" i="3"/>
  <c r="H29" i="3"/>
  <c r="G29" i="3"/>
  <c r="O28" i="3"/>
  <c r="N28" i="3"/>
  <c r="L28" i="3"/>
  <c r="H28" i="3"/>
  <c r="O27" i="3"/>
  <c r="N27" i="3"/>
  <c r="L27" i="3"/>
  <c r="H27" i="3"/>
  <c r="O26" i="3"/>
  <c r="L26" i="3"/>
  <c r="N26" i="3" s="1"/>
  <c r="H26" i="3"/>
  <c r="H25" i="3"/>
  <c r="O25" i="3" s="1"/>
  <c r="L24" i="3"/>
  <c r="N24" i="3" s="1"/>
  <c r="H24" i="3"/>
  <c r="O24" i="3" s="1"/>
  <c r="L23" i="3"/>
  <c r="H23" i="3"/>
  <c r="G61" i="2"/>
  <c r="H61" i="2" s="1"/>
  <c r="H60" i="2"/>
  <c r="G60" i="2"/>
  <c r="K60" i="2" s="1"/>
  <c r="L60" i="2" s="1"/>
  <c r="G59" i="2"/>
  <c r="H59" i="2" s="1"/>
  <c r="H58" i="2"/>
  <c r="G58" i="2"/>
  <c r="K58" i="2" s="1"/>
  <c r="L58" i="2" s="1"/>
  <c r="N58" i="2" s="1"/>
  <c r="G57" i="2"/>
  <c r="H57" i="2" s="1"/>
  <c r="K56" i="2"/>
  <c r="L56" i="2" s="1"/>
  <c r="H56" i="2"/>
  <c r="G56" i="2"/>
  <c r="N55" i="2"/>
  <c r="L55" i="2"/>
  <c r="H55" i="2"/>
  <c r="O55" i="2" s="1"/>
  <c r="K50" i="2"/>
  <c r="K51" i="2" s="1"/>
  <c r="G50" i="2"/>
  <c r="G51" i="2" s="1"/>
  <c r="L48" i="2"/>
  <c r="N48" i="2" s="1"/>
  <c r="H48" i="2"/>
  <c r="K47" i="2"/>
  <c r="L47" i="2" s="1"/>
  <c r="J47" i="2"/>
  <c r="G47" i="2"/>
  <c r="F47" i="2"/>
  <c r="L46" i="2"/>
  <c r="K46" i="2"/>
  <c r="G46" i="2"/>
  <c r="H46" i="2" s="1"/>
  <c r="K45" i="2"/>
  <c r="L45" i="2" s="1"/>
  <c r="G45" i="2"/>
  <c r="H45" i="2" s="1"/>
  <c r="O45" i="2" s="1"/>
  <c r="K44" i="2"/>
  <c r="L44" i="2" s="1"/>
  <c r="G44" i="2"/>
  <c r="H44" i="2" s="1"/>
  <c r="O44" i="2" s="1"/>
  <c r="O43" i="2"/>
  <c r="L43" i="2"/>
  <c r="N43" i="2" s="1"/>
  <c r="G43" i="2"/>
  <c r="O42" i="2"/>
  <c r="L42" i="2"/>
  <c r="N42" i="2" s="1"/>
  <c r="K42" i="2"/>
  <c r="G42" i="2"/>
  <c r="K41" i="2"/>
  <c r="L41" i="2" s="1"/>
  <c r="G41" i="2"/>
  <c r="H41" i="2" s="1"/>
  <c r="O41" i="2" s="1"/>
  <c r="K40" i="2"/>
  <c r="L40" i="2" s="1"/>
  <c r="G40" i="2"/>
  <c r="H40" i="2" s="1"/>
  <c r="O40" i="2" s="1"/>
  <c r="K38" i="2"/>
  <c r="L38" i="2" s="1"/>
  <c r="H38" i="2"/>
  <c r="O38" i="2" s="1"/>
  <c r="G38" i="2"/>
  <c r="K37" i="2"/>
  <c r="L37" i="2" s="1"/>
  <c r="N37" i="2" s="1"/>
  <c r="G37" i="2"/>
  <c r="H37" i="2" s="1"/>
  <c r="O37" i="2" s="1"/>
  <c r="K36" i="2"/>
  <c r="L36" i="2" s="1"/>
  <c r="G36" i="2"/>
  <c r="H36" i="2" s="1"/>
  <c r="O36" i="2" s="1"/>
  <c r="K35" i="2"/>
  <c r="L35" i="2" s="1"/>
  <c r="G35" i="2"/>
  <c r="H35" i="2" s="1"/>
  <c r="O35" i="2" s="1"/>
  <c r="K34" i="2"/>
  <c r="L34" i="2" s="1"/>
  <c r="G34" i="2"/>
  <c r="H34" i="2" s="1"/>
  <c r="O34" i="2" s="1"/>
  <c r="K33" i="2"/>
  <c r="L33" i="2" s="1"/>
  <c r="G33" i="2"/>
  <c r="H33" i="2" s="1"/>
  <c r="O33" i="2" s="1"/>
  <c r="K32" i="2"/>
  <c r="L32" i="2" s="1"/>
  <c r="G32" i="2"/>
  <c r="H32" i="2" s="1"/>
  <c r="O32" i="2" s="1"/>
  <c r="K31" i="2"/>
  <c r="L31" i="2" s="1"/>
  <c r="G31" i="2"/>
  <c r="H31" i="2" s="1"/>
  <c r="O31" i="2" s="1"/>
  <c r="K30" i="2"/>
  <c r="L30" i="2" s="1"/>
  <c r="G30" i="2"/>
  <c r="H30" i="2" s="1"/>
  <c r="O30" i="2" s="1"/>
  <c r="K29" i="2"/>
  <c r="H29" i="2"/>
  <c r="G29" i="2"/>
  <c r="O28" i="2"/>
  <c r="N28" i="2"/>
  <c r="L28" i="2"/>
  <c r="H28" i="2"/>
  <c r="O27" i="2"/>
  <c r="N27" i="2"/>
  <c r="L27" i="2"/>
  <c r="H27" i="2"/>
  <c r="O26" i="2"/>
  <c r="L26" i="2"/>
  <c r="N26" i="2" s="1"/>
  <c r="H26" i="2"/>
  <c r="H25" i="2"/>
  <c r="O25" i="2" s="1"/>
  <c r="O24" i="2"/>
  <c r="N24" i="2"/>
  <c r="L24" i="2"/>
  <c r="H24" i="2"/>
  <c r="H23" i="2"/>
  <c r="G61" i="1"/>
  <c r="H61" i="1" s="1"/>
  <c r="O61" i="1" s="1"/>
  <c r="K60" i="1"/>
  <c r="L60" i="1" s="1"/>
  <c r="H60" i="1"/>
  <c r="K59" i="1"/>
  <c r="L59" i="1" s="1"/>
  <c r="K58" i="1"/>
  <c r="L58" i="1" s="1"/>
  <c r="H58" i="1"/>
  <c r="H57" i="1"/>
  <c r="K56" i="1"/>
  <c r="L56" i="1" s="1"/>
  <c r="N56" i="1" s="1"/>
  <c r="H56" i="1"/>
  <c r="O56" i="1" s="1"/>
  <c r="G56" i="1"/>
  <c r="N55" i="1"/>
  <c r="O55" i="1" s="1"/>
  <c r="L55" i="1"/>
  <c r="H55" i="1"/>
  <c r="L50" i="1"/>
  <c r="K50" i="1"/>
  <c r="K51" i="1" s="1"/>
  <c r="H50" i="1"/>
  <c r="G50" i="1"/>
  <c r="G51" i="1" s="1"/>
  <c r="L48" i="1"/>
  <c r="N48" i="1" s="1"/>
  <c r="H48" i="1"/>
  <c r="L47" i="1"/>
  <c r="N47" i="1" s="1"/>
  <c r="K47" i="1"/>
  <c r="J47" i="1"/>
  <c r="G47" i="1"/>
  <c r="H47" i="1" s="1"/>
  <c r="F47" i="1"/>
  <c r="L46" i="1"/>
  <c r="N46" i="1" s="1"/>
  <c r="K46" i="1"/>
  <c r="G46" i="1"/>
  <c r="H46" i="1" s="1"/>
  <c r="K45" i="1"/>
  <c r="L45" i="1" s="1"/>
  <c r="N45" i="1" s="1"/>
  <c r="G45" i="1"/>
  <c r="H45" i="1" s="1"/>
  <c r="O45" i="1" s="1"/>
  <c r="K44" i="1"/>
  <c r="L44" i="1" s="1"/>
  <c r="N44" i="1" s="1"/>
  <c r="G44" i="1"/>
  <c r="H44" i="1" s="1"/>
  <c r="O44" i="1" s="1"/>
  <c r="O43" i="1"/>
  <c r="L43" i="1"/>
  <c r="N43" i="1" s="1"/>
  <c r="G43" i="1"/>
  <c r="O42" i="1"/>
  <c r="L42" i="1"/>
  <c r="N42" i="1" s="1"/>
  <c r="K42" i="1"/>
  <c r="G42" i="1"/>
  <c r="K41" i="1"/>
  <c r="L41" i="1" s="1"/>
  <c r="G41" i="1"/>
  <c r="H41" i="1" s="1"/>
  <c r="O41" i="1" s="1"/>
  <c r="K40" i="1"/>
  <c r="L40" i="1" s="1"/>
  <c r="G40" i="1"/>
  <c r="H40" i="1" s="1"/>
  <c r="O40" i="1" s="1"/>
  <c r="K38" i="1"/>
  <c r="L38" i="1" s="1"/>
  <c r="N38" i="1" s="1"/>
  <c r="H38" i="1"/>
  <c r="O38" i="1" s="1"/>
  <c r="G38" i="1"/>
  <c r="L37" i="1"/>
  <c r="K37" i="1"/>
  <c r="G37" i="1"/>
  <c r="H37" i="1" s="1"/>
  <c r="O37" i="1" s="1"/>
  <c r="K36" i="1"/>
  <c r="L36" i="1" s="1"/>
  <c r="N36" i="1" s="1"/>
  <c r="H36" i="1"/>
  <c r="O36" i="1" s="1"/>
  <c r="G36" i="1"/>
  <c r="L35" i="1"/>
  <c r="N35" i="1" s="1"/>
  <c r="K35" i="1"/>
  <c r="G35" i="1"/>
  <c r="H35" i="1" s="1"/>
  <c r="O35" i="1" s="1"/>
  <c r="K34" i="1"/>
  <c r="L34" i="1" s="1"/>
  <c r="N34" i="1" s="1"/>
  <c r="H34" i="1"/>
  <c r="O34" i="1" s="1"/>
  <c r="G34" i="1"/>
  <c r="L33" i="1"/>
  <c r="K33" i="1"/>
  <c r="G33" i="1"/>
  <c r="H33" i="1" s="1"/>
  <c r="O33" i="1" s="1"/>
  <c r="K32" i="1"/>
  <c r="L32" i="1" s="1"/>
  <c r="N32" i="1" s="1"/>
  <c r="H32" i="1"/>
  <c r="O32" i="1" s="1"/>
  <c r="G32" i="1"/>
  <c r="L31" i="1"/>
  <c r="N31" i="1" s="1"/>
  <c r="K31" i="1"/>
  <c r="G31" i="1"/>
  <c r="H31" i="1" s="1"/>
  <c r="O31" i="1" s="1"/>
  <c r="K30" i="1"/>
  <c r="L30" i="1" s="1"/>
  <c r="N30" i="1" s="1"/>
  <c r="H30" i="1"/>
  <c r="O30" i="1" s="1"/>
  <c r="G30" i="1"/>
  <c r="K29" i="1"/>
  <c r="G29" i="1"/>
  <c r="H29" i="1" s="1"/>
  <c r="O28" i="1"/>
  <c r="L28" i="1"/>
  <c r="N28" i="1" s="1"/>
  <c r="H28" i="1"/>
  <c r="O27" i="1"/>
  <c r="L27" i="1"/>
  <c r="N27" i="1" s="1"/>
  <c r="H27" i="1"/>
  <c r="O26" i="1"/>
  <c r="L26" i="1"/>
  <c r="N26" i="1" s="1"/>
  <c r="H26" i="1"/>
  <c r="H25" i="1"/>
  <c r="O25" i="1" s="1"/>
  <c r="O24" i="1"/>
  <c r="N24" i="1"/>
  <c r="L24" i="1"/>
  <c r="H24" i="1"/>
  <c r="H23" i="1"/>
  <c r="N40" i="6" l="1"/>
  <c r="N41" i="6"/>
  <c r="N44" i="2"/>
  <c r="N38" i="2"/>
  <c r="H50" i="2"/>
  <c r="N56" i="2"/>
  <c r="O56" i="2" s="1"/>
  <c r="N40" i="2"/>
  <c r="N45" i="2"/>
  <c r="N36" i="2"/>
  <c r="H47" i="2"/>
  <c r="N41" i="2"/>
  <c r="L50" i="2"/>
  <c r="N50" i="2" s="1"/>
  <c r="O50" i="2" s="1"/>
  <c r="N58" i="1"/>
  <c r="O58" i="1" s="1"/>
  <c r="H39" i="4"/>
  <c r="H49" i="4" s="1"/>
  <c r="H39" i="3"/>
  <c r="L46" i="3"/>
  <c r="N46" i="3" s="1"/>
  <c r="O46" i="3" s="1"/>
  <c r="K53" i="1"/>
  <c r="L53" i="1" s="1"/>
  <c r="L51" i="1"/>
  <c r="K54" i="1"/>
  <c r="L54" i="1" s="1"/>
  <c r="O46" i="1"/>
  <c r="H51" i="1"/>
  <c r="G53" i="1"/>
  <c r="H53" i="1" s="1"/>
  <c r="G54" i="1"/>
  <c r="H54" i="1" s="1"/>
  <c r="N60" i="1"/>
  <c r="O60" i="1" s="1"/>
  <c r="N40" i="1"/>
  <c r="O47" i="1"/>
  <c r="N33" i="1"/>
  <c r="N37" i="1"/>
  <c r="H39" i="2"/>
  <c r="H39" i="1"/>
  <c r="N41" i="1"/>
  <c r="H59" i="1"/>
  <c r="N59" i="1" s="1"/>
  <c r="K61" i="1"/>
  <c r="L61" i="1" s="1"/>
  <c r="N61" i="1" s="1"/>
  <c r="K57" i="1"/>
  <c r="L57" i="1" s="1"/>
  <c r="N57" i="1" s="1"/>
  <c r="O57" i="1" s="1"/>
  <c r="N30" i="2"/>
  <c r="N32" i="2"/>
  <c r="N34" i="2"/>
  <c r="N35" i="2"/>
  <c r="N32" i="3"/>
  <c r="N36" i="3"/>
  <c r="N41" i="3"/>
  <c r="N50" i="3"/>
  <c r="O50" i="3" s="1"/>
  <c r="O59" i="3"/>
  <c r="O61" i="3"/>
  <c r="N40" i="4"/>
  <c r="K53" i="4"/>
  <c r="L53" i="4" s="1"/>
  <c r="L51" i="4"/>
  <c r="N51" i="4" s="1"/>
  <c r="K54" i="4"/>
  <c r="L54" i="4" s="1"/>
  <c r="N31" i="2"/>
  <c r="N33" i="2"/>
  <c r="N46" i="2"/>
  <c r="O46" i="2" s="1"/>
  <c r="K53" i="2"/>
  <c r="L53" i="2" s="1"/>
  <c r="L51" i="2"/>
  <c r="K54" i="2"/>
  <c r="L54" i="2" s="1"/>
  <c r="O58" i="2"/>
  <c r="H49" i="3"/>
  <c r="N41" i="4"/>
  <c r="O56" i="4"/>
  <c r="N56" i="4"/>
  <c r="N50" i="1"/>
  <c r="O50" i="1" s="1"/>
  <c r="G54" i="2"/>
  <c r="H54" i="2" s="1"/>
  <c r="H51" i="2"/>
  <c r="G53" i="2"/>
  <c r="H53" i="2" s="1"/>
  <c r="N60" i="2"/>
  <c r="O60" i="2" s="1"/>
  <c r="N23" i="3"/>
  <c r="O23" i="3" s="1"/>
  <c r="O60" i="3"/>
  <c r="K53" i="3"/>
  <c r="L53" i="3" s="1"/>
  <c r="L51" i="3"/>
  <c r="K54" i="3"/>
  <c r="L54" i="3" s="1"/>
  <c r="N60" i="3"/>
  <c r="N23" i="4"/>
  <c r="O23" i="4" s="1"/>
  <c r="N30" i="4"/>
  <c r="N34" i="4"/>
  <c r="N36" i="4"/>
  <c r="N38" i="4"/>
  <c r="K57" i="2"/>
  <c r="L57" i="2" s="1"/>
  <c r="N57" i="2" s="1"/>
  <c r="O57" i="2" s="1"/>
  <c r="K59" i="2"/>
  <c r="L59" i="2" s="1"/>
  <c r="N59" i="2" s="1"/>
  <c r="O59" i="2" s="1"/>
  <c r="K61" i="2"/>
  <c r="L61" i="2" s="1"/>
  <c r="N61" i="2" s="1"/>
  <c r="O61" i="2" s="1"/>
  <c r="K57" i="3"/>
  <c r="L57" i="3" s="1"/>
  <c r="N57" i="3" s="1"/>
  <c r="O57" i="3" s="1"/>
  <c r="K59" i="3"/>
  <c r="L59" i="3" s="1"/>
  <c r="N59" i="3" s="1"/>
  <c r="K61" i="3"/>
  <c r="L61" i="3" s="1"/>
  <c r="N61" i="3" s="1"/>
  <c r="L42" i="4"/>
  <c r="N42" i="4" s="1"/>
  <c r="N55" i="4"/>
  <c r="O55" i="4" s="1"/>
  <c r="O47" i="5"/>
  <c r="N50" i="5"/>
  <c r="O50" i="5" s="1"/>
  <c r="O56" i="5"/>
  <c r="N58" i="5"/>
  <c r="O58" i="5" s="1"/>
  <c r="N61" i="5"/>
  <c r="G51" i="3"/>
  <c r="N44" i="4"/>
  <c r="O47" i="4"/>
  <c r="H39" i="6"/>
  <c r="N44" i="3"/>
  <c r="N45" i="3"/>
  <c r="N46" i="4"/>
  <c r="O46" i="4" s="1"/>
  <c r="G54" i="4"/>
  <c r="H54" i="4" s="1"/>
  <c r="H51" i="4"/>
  <c r="G53" i="4"/>
  <c r="H53" i="4" s="1"/>
  <c r="O30" i="6"/>
  <c r="N30" i="6"/>
  <c r="L50" i="4"/>
  <c r="N50" i="4" s="1"/>
  <c r="O50" i="4" s="1"/>
  <c r="H58" i="4"/>
  <c r="K58" i="4"/>
  <c r="L58" i="4" s="1"/>
  <c r="N58" i="4" s="1"/>
  <c r="N33" i="5"/>
  <c r="N37" i="5"/>
  <c r="O46" i="5"/>
  <c r="N60" i="5"/>
  <c r="O60" i="5" s="1"/>
  <c r="K60" i="4"/>
  <c r="L60" i="4" s="1"/>
  <c r="O53" i="5"/>
  <c r="N33" i="6"/>
  <c r="N35" i="6"/>
  <c r="O56" i="6"/>
  <c r="H39" i="7"/>
  <c r="N41" i="7"/>
  <c r="N50" i="7"/>
  <c r="O50" i="7" s="1"/>
  <c r="N56" i="7"/>
  <c r="K51" i="5"/>
  <c r="G54" i="5"/>
  <c r="H54" i="5" s="1"/>
  <c r="N32" i="6"/>
  <c r="N34" i="6"/>
  <c r="N36" i="6"/>
  <c r="N38" i="6"/>
  <c r="O38" i="6"/>
  <c r="N46" i="6"/>
  <c r="O46" i="6" s="1"/>
  <c r="O59" i="6"/>
  <c r="N33" i="7"/>
  <c r="O33" i="7"/>
  <c r="N37" i="7"/>
  <c r="O37" i="7"/>
  <c r="N23" i="5"/>
  <c r="O23" i="5" s="1"/>
  <c r="H39" i="5"/>
  <c r="H57" i="5"/>
  <c r="H59" i="5"/>
  <c r="H61" i="5"/>
  <c r="O61" i="5" s="1"/>
  <c r="O57" i="6"/>
  <c r="O47" i="7"/>
  <c r="N60" i="7"/>
  <c r="O60" i="7" s="1"/>
  <c r="N23" i="6"/>
  <c r="O23" i="6" s="1"/>
  <c r="O47" i="6"/>
  <c r="K54" i="6"/>
  <c r="L54" i="6" s="1"/>
  <c r="K53" i="6"/>
  <c r="L53" i="6" s="1"/>
  <c r="L51" i="6"/>
  <c r="N51" i="6" s="1"/>
  <c r="N57" i="6"/>
  <c r="N31" i="7"/>
  <c r="O31" i="7"/>
  <c r="N35" i="7"/>
  <c r="O35" i="7"/>
  <c r="N46" i="7"/>
  <c r="O46" i="7" s="1"/>
  <c r="N47" i="7"/>
  <c r="O56" i="7"/>
  <c r="N58" i="7"/>
  <c r="O58" i="7" s="1"/>
  <c r="O61" i="7"/>
  <c r="O40" i="6"/>
  <c r="O41" i="6"/>
  <c r="H58" i="6"/>
  <c r="N58" i="6" s="1"/>
  <c r="H60" i="6"/>
  <c r="N60" i="6" s="1"/>
  <c r="K54" i="7"/>
  <c r="L54" i="7" s="1"/>
  <c r="K57" i="7"/>
  <c r="L57" i="7" s="1"/>
  <c r="N57" i="7" s="1"/>
  <c r="O57" i="7" s="1"/>
  <c r="K59" i="7"/>
  <c r="L59" i="7" s="1"/>
  <c r="N59" i="7" s="1"/>
  <c r="O59" i="7" s="1"/>
  <c r="K61" i="7"/>
  <c r="L61" i="7" s="1"/>
  <c r="N61" i="7" s="1"/>
  <c r="L50" i="6"/>
  <c r="N50" i="6" s="1"/>
  <c r="O50" i="6" s="1"/>
  <c r="H51" i="6"/>
  <c r="G54" i="6"/>
  <c r="H54" i="6" s="1"/>
  <c r="G51" i="7"/>
  <c r="L51" i="7"/>
  <c r="N23" i="7"/>
  <c r="O23" i="7" s="1"/>
  <c r="N47" i="2" l="1"/>
  <c r="O47" i="2" s="1"/>
  <c r="N51" i="2"/>
  <c r="O51" i="2" s="1"/>
  <c r="K54" i="5"/>
  <c r="L54" i="5" s="1"/>
  <c r="L51" i="5"/>
  <c r="N51" i="5" s="1"/>
  <c r="O51" i="5" s="1"/>
  <c r="O51" i="6"/>
  <c r="N60" i="4"/>
  <c r="O60" i="4" s="1"/>
  <c r="O51" i="4"/>
  <c r="H49" i="6"/>
  <c r="O59" i="1"/>
  <c r="O54" i="1"/>
  <c r="N54" i="1"/>
  <c r="N53" i="6"/>
  <c r="O53" i="6" s="1"/>
  <c r="G54" i="7"/>
  <c r="H54" i="7" s="1"/>
  <c r="H51" i="7"/>
  <c r="N51" i="7" s="1"/>
  <c r="G53" i="7"/>
  <c r="H53" i="7" s="1"/>
  <c r="N57" i="5"/>
  <c r="O57" i="5" s="1"/>
  <c r="O54" i="4"/>
  <c r="N59" i="5"/>
  <c r="O59" i="5" s="1"/>
  <c r="H52" i="4"/>
  <c r="H52" i="3"/>
  <c r="N54" i="2"/>
  <c r="O54" i="2" s="1"/>
  <c r="N54" i="4"/>
  <c r="N51" i="1"/>
  <c r="O51" i="1" s="1"/>
  <c r="H49" i="1"/>
  <c r="H49" i="2"/>
  <c r="N53" i="1"/>
  <c r="O53" i="1" s="1"/>
  <c r="O60" i="6"/>
  <c r="O58" i="6"/>
  <c r="N54" i="6"/>
  <c r="O54" i="6" s="1"/>
  <c r="H49" i="5"/>
  <c r="H49" i="7"/>
  <c r="O58" i="4"/>
  <c r="O53" i="4"/>
  <c r="G54" i="3"/>
  <c r="H54" i="3" s="1"/>
  <c r="H51" i="3"/>
  <c r="G53" i="3"/>
  <c r="H53" i="3" s="1"/>
  <c r="O53" i="2"/>
  <c r="N53" i="2"/>
  <c r="N53" i="4"/>
  <c r="H52" i="1" l="1"/>
  <c r="H69" i="3"/>
  <c r="H63" i="3"/>
  <c r="H52" i="7"/>
  <c r="H63" i="7" s="1"/>
  <c r="H52" i="2"/>
  <c r="N51" i="3"/>
  <c r="O51" i="3" s="1"/>
  <c r="H52" i="6"/>
  <c r="H52" i="5"/>
  <c r="N53" i="7"/>
  <c r="O53" i="7" s="1"/>
  <c r="N54" i="3"/>
  <c r="O54" i="3" s="1"/>
  <c r="H69" i="4"/>
  <c r="O51" i="7"/>
  <c r="H63" i="4"/>
  <c r="N53" i="3"/>
  <c r="O53" i="3" s="1"/>
  <c r="O54" i="7"/>
  <c r="N54" i="7"/>
  <c r="N54" i="5"/>
  <c r="O54" i="5" s="1"/>
  <c r="H69" i="5" l="1"/>
  <c r="H63" i="5"/>
  <c r="H69" i="1"/>
  <c r="H63" i="1"/>
  <c r="H70" i="3"/>
  <c r="H71" i="3" s="1"/>
  <c r="H70" i="4"/>
  <c r="H64" i="4"/>
  <c r="H69" i="6"/>
  <c r="H63" i="6"/>
  <c r="H69" i="2"/>
  <c r="H63" i="2"/>
  <c r="H69" i="7"/>
  <c r="H64" i="3"/>
  <c r="H64" i="7"/>
  <c r="H72" i="3" l="1"/>
  <c r="H70" i="7"/>
  <c r="H71" i="7" s="1"/>
  <c r="H64" i="2"/>
  <c r="H65" i="2" s="1"/>
  <c r="H70" i="6"/>
  <c r="H71" i="6" s="1"/>
  <c r="H64" i="5"/>
  <c r="H65" i="5" s="1"/>
  <c r="H70" i="2"/>
  <c r="H70" i="5"/>
  <c r="H71" i="5" s="1"/>
  <c r="H64" i="1"/>
  <c r="H65" i="3"/>
  <c r="H71" i="4"/>
  <c r="H70" i="1"/>
  <c r="H71" i="1" s="1"/>
  <c r="H65" i="7"/>
  <c r="H64" i="6"/>
  <c r="H65" i="4"/>
  <c r="H66" i="2" l="1"/>
  <c r="H72" i="1"/>
  <c r="H73" i="1" s="1"/>
  <c r="H65" i="6"/>
  <c r="H65" i="1"/>
  <c r="H66" i="7"/>
  <c r="H71" i="2"/>
  <c r="H66" i="4"/>
  <c r="H67" i="4" s="1"/>
  <c r="H72" i="4"/>
  <c r="H66" i="3"/>
  <c r="H66" i="5"/>
  <c r="H72" i="6"/>
  <c r="H73" i="6" s="1"/>
  <c r="H72" i="7"/>
  <c r="H73" i="7" s="1"/>
  <c r="H72" i="5"/>
  <c r="H73" i="5" s="1"/>
  <c r="H73" i="3"/>
  <c r="H67" i="3" l="1"/>
  <c r="H73" i="4"/>
  <c r="H72" i="2"/>
  <c r="H73" i="2" s="1"/>
  <c r="H67" i="7"/>
  <c r="H66" i="1"/>
  <c r="H67" i="1" s="1"/>
  <c r="H67" i="5"/>
  <c r="H66" i="6"/>
  <c r="H67" i="2"/>
  <c r="H67" i="6" l="1"/>
  <c r="L25" i="4" l="1"/>
  <c r="L25" i="3"/>
  <c r="L25" i="1" l="1"/>
  <c r="N25" i="1" s="1"/>
  <c r="L25" i="2"/>
  <c r="N25" i="2" s="1"/>
  <c r="N25" i="4"/>
  <c r="N25" i="3"/>
  <c r="L29" i="6" l="1"/>
  <c r="L29" i="7"/>
  <c r="L29" i="4"/>
  <c r="L29" i="3"/>
  <c r="L29" i="5"/>
  <c r="N29" i="6" l="1"/>
  <c r="O29" i="6" s="1"/>
  <c r="L39" i="6"/>
  <c r="N29" i="7"/>
  <c r="O29" i="7" s="1"/>
  <c r="L39" i="7"/>
  <c r="N29" i="3"/>
  <c r="O29" i="3" s="1"/>
  <c r="L39" i="3"/>
  <c r="N29" i="5"/>
  <c r="O29" i="5" s="1"/>
  <c r="L39" i="5"/>
  <c r="N29" i="4"/>
  <c r="O29" i="4" s="1"/>
  <c r="L39" i="4"/>
  <c r="N39" i="4" l="1"/>
  <c r="O39" i="4" s="1"/>
  <c r="L49" i="4"/>
  <c r="L49" i="3"/>
  <c r="N39" i="3"/>
  <c r="O39" i="3" s="1"/>
  <c r="L49" i="6"/>
  <c r="N39" i="6"/>
  <c r="O39" i="6" s="1"/>
  <c r="L49" i="5"/>
  <c r="N39" i="5"/>
  <c r="O39" i="5" s="1"/>
  <c r="L49" i="7"/>
  <c r="N39" i="7"/>
  <c r="O39" i="7" s="1"/>
  <c r="L52" i="5" l="1"/>
  <c r="N49" i="5"/>
  <c r="O49" i="5" s="1"/>
  <c r="L52" i="3"/>
  <c r="N49" i="3"/>
  <c r="O49" i="3" s="1"/>
  <c r="N49" i="4"/>
  <c r="O49" i="4" s="1"/>
  <c r="L52" i="4"/>
  <c r="N49" i="7"/>
  <c r="O49" i="7" s="1"/>
  <c r="L52" i="7"/>
  <c r="N49" i="6"/>
  <c r="O49" i="6" s="1"/>
  <c r="L52" i="6"/>
  <c r="L69" i="7" l="1"/>
  <c r="L63" i="7"/>
  <c r="N52" i="7"/>
  <c r="O52" i="7" s="1"/>
  <c r="L23" i="2"/>
  <c r="L23" i="1"/>
  <c r="L63" i="3"/>
  <c r="N52" i="3"/>
  <c r="O52" i="3" s="1"/>
  <c r="L69" i="3"/>
  <c r="L69" i="6"/>
  <c r="L63" i="6"/>
  <c r="N52" i="6"/>
  <c r="O52" i="6" s="1"/>
  <c r="N52" i="4"/>
  <c r="O52" i="4" s="1"/>
  <c r="L63" i="4"/>
  <c r="L69" i="4"/>
  <c r="L69" i="5"/>
  <c r="L63" i="5"/>
  <c r="N52" i="5"/>
  <c r="O52" i="5" s="1"/>
  <c r="L70" i="5" l="1"/>
  <c r="N70" i="5" s="1"/>
  <c r="O70" i="5" s="1"/>
  <c r="N69" i="5"/>
  <c r="O69" i="5" s="1"/>
  <c r="L70" i="4"/>
  <c r="N70" i="4" s="1"/>
  <c r="O70" i="4" s="1"/>
  <c r="N69" i="4"/>
  <c r="O69" i="4" s="1"/>
  <c r="N63" i="6"/>
  <c r="O63" i="6" s="1"/>
  <c r="L64" i="6"/>
  <c r="N64" i="6" s="1"/>
  <c r="O64" i="6" s="1"/>
  <c r="N63" i="3"/>
  <c r="O63" i="3" s="1"/>
  <c r="L64" i="3"/>
  <c r="N64" i="3" s="1"/>
  <c r="O64" i="3" s="1"/>
  <c r="N63" i="4"/>
  <c r="O63" i="4" s="1"/>
  <c r="L64" i="4"/>
  <c r="N64" i="4" s="1"/>
  <c r="O64" i="4" s="1"/>
  <c r="N23" i="1"/>
  <c r="O23" i="1" s="1"/>
  <c r="N63" i="7"/>
  <c r="O63" i="7" s="1"/>
  <c r="L64" i="7"/>
  <c r="N64" i="7" s="1"/>
  <c r="O64" i="7" s="1"/>
  <c r="N69" i="6"/>
  <c r="O69" i="6" s="1"/>
  <c r="L70" i="6"/>
  <c r="N70" i="6" s="1"/>
  <c r="O70" i="6" s="1"/>
  <c r="N63" i="5"/>
  <c r="O63" i="5" s="1"/>
  <c r="L64" i="5"/>
  <c r="N64" i="5" s="1"/>
  <c r="O64" i="5" s="1"/>
  <c r="N69" i="3"/>
  <c r="O69" i="3" s="1"/>
  <c r="L70" i="3"/>
  <c r="N70" i="3" s="1"/>
  <c r="O70" i="3" s="1"/>
  <c r="N23" i="2"/>
  <c r="O23" i="2" s="1"/>
  <c r="L70" i="7"/>
  <c r="N70" i="7" s="1"/>
  <c r="O70" i="7" s="1"/>
  <c r="N69" i="7"/>
  <c r="O69" i="7" s="1"/>
  <c r="L71" i="3" l="1"/>
  <c r="N71" i="3" s="1"/>
  <c r="O71" i="3" s="1"/>
  <c r="L65" i="3"/>
  <c r="N65" i="3" s="1"/>
  <c r="O65" i="3" s="1"/>
  <c r="L65" i="7"/>
  <c r="N65" i="7" s="1"/>
  <c r="O65" i="7" s="1"/>
  <c r="L71" i="4"/>
  <c r="N71" i="4" s="1"/>
  <c r="O71" i="4" s="1"/>
  <c r="L71" i="6"/>
  <c r="L65" i="4"/>
  <c r="L71" i="5"/>
  <c r="L66" i="7"/>
  <c r="N66" i="7" s="1"/>
  <c r="O66" i="7" s="1"/>
  <c r="L71" i="7"/>
  <c r="L65" i="5"/>
  <c r="L65" i="6"/>
  <c r="L72" i="3" l="1"/>
  <c r="N72" i="3" s="1"/>
  <c r="O72" i="3" s="1"/>
  <c r="L66" i="3"/>
  <c r="N66" i="3" s="1"/>
  <c r="O66" i="3" s="1"/>
  <c r="L72" i="4"/>
  <c r="N72" i="4" s="1"/>
  <c r="O72" i="4" s="1"/>
  <c r="N65" i="6"/>
  <c r="O65" i="6" s="1"/>
  <c r="L66" i="6"/>
  <c r="N66" i="6" s="1"/>
  <c r="O66" i="6" s="1"/>
  <c r="L66" i="5"/>
  <c r="N66" i="5" s="1"/>
  <c r="O66" i="5" s="1"/>
  <c r="N65" i="5"/>
  <c r="O65" i="5" s="1"/>
  <c r="N71" i="5"/>
  <c r="O71" i="5" s="1"/>
  <c r="L72" i="5"/>
  <c r="N72" i="5" s="1"/>
  <c r="O72" i="5" s="1"/>
  <c r="N71" i="6"/>
  <c r="O71" i="6" s="1"/>
  <c r="L72" i="6"/>
  <c r="N72" i="6" s="1"/>
  <c r="O72" i="6" s="1"/>
  <c r="L29" i="2"/>
  <c r="L29" i="1"/>
  <c r="N71" i="7"/>
  <c r="O71" i="7" s="1"/>
  <c r="L72" i="7"/>
  <c r="N72" i="7" s="1"/>
  <c r="O72" i="7" s="1"/>
  <c r="L67" i="7"/>
  <c r="N67" i="7" s="1"/>
  <c r="O67" i="7" s="1"/>
  <c r="L66" i="4"/>
  <c r="N66" i="4" s="1"/>
  <c r="O66" i="4" s="1"/>
  <c r="N65" i="4"/>
  <c r="O65" i="4" s="1"/>
  <c r="L73" i="3" l="1"/>
  <c r="N73" i="3" s="1"/>
  <c r="O73" i="3" s="1"/>
  <c r="L67" i="3"/>
  <c r="N67" i="3" s="1"/>
  <c r="O67" i="3" s="1"/>
  <c r="L73" i="6"/>
  <c r="N73" i="6" s="1"/>
  <c r="O73" i="6" s="1"/>
  <c r="L73" i="4"/>
  <c r="N73" i="4" s="1"/>
  <c r="O73" i="4" s="1"/>
  <c r="L67" i="6"/>
  <c r="N67" i="6" s="1"/>
  <c r="O67" i="6" s="1"/>
  <c r="L73" i="7"/>
  <c r="N73" i="7" s="1"/>
  <c r="O73" i="7" s="1"/>
  <c r="L67" i="4"/>
  <c r="N67" i="4" s="1"/>
  <c r="O67" i="4" s="1"/>
  <c r="N29" i="1"/>
  <c r="O29" i="1" s="1"/>
  <c r="L39" i="1"/>
  <c r="L67" i="5"/>
  <c r="N67" i="5" s="1"/>
  <c r="O67" i="5" s="1"/>
  <c r="N29" i="2"/>
  <c r="O29" i="2" s="1"/>
  <c r="L39" i="2"/>
  <c r="L73" i="5"/>
  <c r="N73" i="5" s="1"/>
  <c r="O73" i="5" s="1"/>
  <c r="L49" i="1" l="1"/>
  <c r="N39" i="1"/>
  <c r="O39" i="1" s="1"/>
  <c r="N39" i="2"/>
  <c r="O39" i="2" s="1"/>
  <c r="L49" i="2"/>
  <c r="N49" i="2" l="1"/>
  <c r="O49" i="2" s="1"/>
  <c r="L52" i="2"/>
  <c r="L52" i="1"/>
  <c r="N49" i="1"/>
  <c r="O49" i="1" s="1"/>
  <c r="N52" i="1" l="1"/>
  <c r="O52" i="1" s="1"/>
  <c r="L63" i="1"/>
  <c r="L69" i="1"/>
  <c r="L69" i="2"/>
  <c r="L63" i="2"/>
  <c r="N52" i="2"/>
  <c r="O52" i="2" s="1"/>
  <c r="N69" i="1" l="1"/>
  <c r="O69" i="1" s="1"/>
  <c r="L70" i="1"/>
  <c r="N70" i="1" s="1"/>
  <c r="O70" i="1" s="1"/>
  <c r="N69" i="2"/>
  <c r="O69" i="2" s="1"/>
  <c r="L70" i="2"/>
  <c r="N70" i="2" s="1"/>
  <c r="O70" i="2" s="1"/>
  <c r="N63" i="1"/>
  <c r="O63" i="1" s="1"/>
  <c r="L64" i="1"/>
  <c r="N64" i="1" s="1"/>
  <c r="O64" i="1" s="1"/>
  <c r="L64" i="2"/>
  <c r="N64" i="2" s="1"/>
  <c r="O64" i="2" s="1"/>
  <c r="N63" i="2"/>
  <c r="O63" i="2" s="1"/>
  <c r="L65" i="1" l="1"/>
  <c r="N65" i="1" s="1"/>
  <c r="O65" i="1" s="1"/>
  <c r="L65" i="2"/>
  <c r="N65" i="2" s="1"/>
  <c r="O65" i="2" s="1"/>
  <c r="L71" i="1"/>
  <c r="L71" i="2"/>
  <c r="L66" i="1" l="1"/>
  <c r="N66" i="1" s="1"/>
  <c r="O66" i="1" s="1"/>
  <c r="L66" i="2"/>
  <c r="N66" i="2" s="1"/>
  <c r="O66" i="2" s="1"/>
  <c r="N71" i="2"/>
  <c r="O71" i="2" s="1"/>
  <c r="L72" i="2"/>
  <c r="N72" i="2" s="1"/>
  <c r="O72" i="2" s="1"/>
  <c r="L72" i="1"/>
  <c r="N72" i="1" s="1"/>
  <c r="O72" i="1" s="1"/>
  <c r="N71" i="1"/>
  <c r="O71" i="1" s="1"/>
  <c r="L67" i="2" l="1"/>
  <c r="N67" i="2" s="1"/>
  <c r="O67" i="2" s="1"/>
  <c r="L67" i="1"/>
  <c r="N67" i="1" s="1"/>
  <c r="O67" i="1" s="1"/>
  <c r="L73" i="1"/>
  <c r="N73" i="1" s="1"/>
  <c r="O73" i="1" s="1"/>
  <c r="L73" i="2"/>
  <c r="N73" i="2" s="1"/>
  <c r="O73" i="2" s="1"/>
</calcChain>
</file>

<file path=xl/sharedStrings.xml><?xml version="1.0" encoding="utf-8"?>
<sst xmlns="http://schemas.openxmlformats.org/spreadsheetml/2006/main" count="659" uniqueCount="71">
  <si>
    <t>Appendix 2-W</t>
  </si>
  <si>
    <t>Bill Impacts</t>
  </si>
  <si>
    <t>Customer Class:</t>
  </si>
  <si>
    <t>Residential</t>
  </si>
  <si>
    <t>TOU / non-TOU:</t>
  </si>
  <si>
    <t>TOU</t>
  </si>
  <si>
    <t>Consumption</t>
  </si>
  <si>
    <t xml:space="preserve"> kWh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</si>
  <si>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</si>
  <si>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</si>
  <si>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</si>
  <si>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</si>
  <si>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</si>
  <si>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</si>
  <si>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</si>
  <si>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</si>
  <si>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</si>
  <si>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</si>
  <si>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</si>
  <si>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Monthly</t>
  </si>
  <si>
    <t>Smart Meter Rate Adder</t>
  </si>
  <si>
    <t>Stranded Meter Rate Rider</t>
  </si>
  <si>
    <t>Smart Meter Disposition Rider</t>
  </si>
  <si>
    <t>Distribution Volumetric Rate</t>
  </si>
  <si>
    <t>per kWh</t>
  </si>
  <si>
    <t>LRAM &amp; SSM Rate Rider</t>
  </si>
  <si>
    <t>Sub-Total A (excluding pass through)</t>
  </si>
  <si>
    <t>Low Voltage Charges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</si>
  <si>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</si>
  <si>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</si>
  <si>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</si>
  <si>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</si>
  <si>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</si>
  <si>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</si>
  <si>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</si>
  <si>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</si>
  <si>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</si>
  <si>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OEAP</t>
  </si>
  <si>
    <t>TOU - Off Peak</t>
  </si>
  <si>
    <t>TOU - Mid Peak</t>
  </si>
  <si>
    <t>TOU - On Peak</t>
  </si>
  <si>
    <t>Energy - RPP - Tier 1</t>
  </si>
  <si>
    <t>Energy - RPP - Tier 2</t>
  </si>
  <si>
    <t>Total Bill on TOU (before Taxes)</t>
  </si>
  <si>
    <t>HST</t>
  </si>
  <si>
    <r>
      <t xml:space="preserve">Total Bill </t>
    </r>
    <r>
      <rPr>
        <sz val="10"/>
        <rFont val="Arial"/>
        <family val="2"/>
        <charset val="1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</si>
  <si>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  <charset val="1"/>
      </rPr>
      <t>1</t>
    </r>
  </si>
  <si>
    <t>Total Bill on TOU (including OCEB)</t>
  </si>
  <si>
    <t>Total Bill on RPP (before Taxes)</t>
  </si>
  <si>
    <t>Total Bill on RPP (including OCEB)</t>
  </si>
  <si>
    <t>Loss Factor (%)</t>
  </si>
  <si>
    <r>
      <t>1</t>
    </r>
    <r>
      <rPr>
        <sz val="10"/>
        <rFont val="Arial"/>
        <family val="2"/>
        <charset val="1"/>
      </rPr>
      <t xml:space="preserve"> Applicable to eligible customers only.  Refer to the </t>
    </r>
    <r>
      <rPr>
        <i/>
        <sz val="10"/>
        <rFont val="Arial"/>
        <family val="2"/>
        <charset val="1"/>
      </rPr>
      <t>Ontario Clean Energy Benefit Act, 2010.</t>
    </r>
  </si>
  <si>
    <t xml:space="preserve">Note that the "Charge $" columns provide breakdowns of the amounts that each bill component contributes to the total monthly bill at the referenced </t>
  </si>
  <si>
    <t>consumption level at existing and proposed rates.</t>
  </si>
  <si>
    <t>Applicants must provide bill impacts for residential at 800 kWh and GS&lt;50kW at 2000 kWh. In addition, their filing must cover the range that is relevant</t>
  </si>
  <si>
    <t>to their service territory, class by class. A general guideline of consumption levels follows:</t>
  </si>
  <si>
    <t>Residential (kWh) - 100, 250, 500, 800, 1000, 1500, 2000</t>
  </si>
  <si>
    <t>GS&lt;50kW (kWh) - 1000, 2000, 5000, 10000, 15000</t>
  </si>
  <si>
    <t>GS&gt;50kW (kW) - 60, 100, 500, 1000</t>
  </si>
  <si>
    <t>Large User - range appropriate for utility</t>
  </si>
  <si>
    <t>Lighting Classes and USL - 150 kWh and 1 kW, range appropriate for utility.</t>
  </si>
  <si>
    <t>Note that cells with the highlighted color shown to the left indicate quantities that are loss adjusted.</t>
  </si>
  <si>
    <t>General Service &lt; 50KW</t>
  </si>
  <si>
    <t xml:space="preserve"> </t>
  </si>
  <si>
    <t>General Service &gt; 50KW</t>
  </si>
  <si>
    <t>per kW</t>
  </si>
  <si>
    <t>Sentinel</t>
  </si>
  <si>
    <t>kW</t>
  </si>
  <si>
    <t>StreetLight</t>
  </si>
  <si>
    <t>USL</t>
  </si>
  <si>
    <t>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</si>
</sst>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-;\-* #,##0.00_-;_-* \-??_-;_-@_-"/>
    <numFmt numFmtId="165" formatCode="_-* #,##0_-;\-* #,##0_-;_-* \-??_-;_-@_-"/>
    <numFmt numFmtId="166" formatCode="_-\$* #,##0.00_-;&quot;-$&quot;* #,##0.00_-;_-\$* \-??_-;_-@_-"/>
    <numFmt numFmtId="167" formatCode="_-\$* #,##0.0000_-;&quot;-$&quot;* #,##0.0000_-;_-\$* \-??_-;_-@_-"/>
    <numFmt numFmtId="168" formatCode="_-\$* #,##0.000_-;&quot;-$&quot;* #,##0.000_-;_-\$* \-??_-;_-@_-"/>
    <numFmt numFmtId="169" formatCode="_-\$* #,##0.00000_-;&quot;-$&quot;* #,##0.00000_-;_-\$* \-??_-;_-@_-"/>
  </numFmts>
  <fonts count="21">
    <font>
      <sz val="10"/>
      <name val="Arial"/>
      <family val="2"/>
    </font>
    <font>
      <sz val="8"/>
      <color rgb="FF000000"/>
      <name val="Tahoma"/>
      <family val="2"/>
    </font>
    <font>
      <sz val="16"/>
      <color indexed="12"/>
      <name val="comic"/>
      <family val="5"/>
      <charset val="1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  <charset val="1"/>
    </font>
    <font>
      <b/>
      <sz val="12"/>
      <name val="Arial"/>
      <family val="2"/>
      <charset val="1"/>
    </font>
    <font>
      <sz val="18"/>
      <name val="Arial"/>
      <family val="2"/>
    </font>
    <font>
      <b/>
      <sz val="18"/>
      <name val="Arial"/>
      <family val="2"/>
      <charset val="1"/>
    </font>
    <font>
      <b/>
      <sz val="14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2"/>
      <name val="Arial"/>
      <family val="2"/>
      <charset val="1"/>
    </font>
    <font>
      <sz val="10"/>
      <name val="Mangal"/>
      <family val="2"/>
    </font>
    <font>
      <i/>
      <sz val="10"/>
      <name val="Arial"/>
      <family val="2"/>
    </font>
    <font>
      <i/>
      <sz val="10"/>
      <color theme="0" tint="-0.34998626667073579"/>
      <name val="Arial"/>
      <family val="2"/>
    </font>
    <font>
      <b/>
      <i/>
      <sz val="10"/>
      <name val="Arial"/>
      <family val="2"/>
      <charset val="1"/>
    </font>
    <font>
      <b/>
      <i/>
      <vertAlign val="superscript"/>
      <sz val="10"/>
      <name val="Arial"/>
      <family val="2"/>
      <charset val="1"/>
    </font>
    <font>
      <sz val="10"/>
      <color indexed="10"/>
      <name val="Arial"/>
      <family val="2"/>
      <charset val="1"/>
    </font>
    <font>
      <vertAlign val="superscript"/>
      <sz val="10"/>
      <name val="Arial"/>
      <family val="2"/>
      <charset val="1"/>
    </font>
    <font>
      <i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</borders>
  <cellStyleXfs count="5">
    <xf numFmtId="0" fontId="0" fillId="0" borderId="0"/>
    <xf numFmtId="164" fontId="13" fillId="0" borderId="0" applyFill="0" applyBorder="0" applyAlignment="0" applyProtection="0"/>
    <xf numFmtId="166" fontId="13" fillId="0" borderId="0" applyFill="0" applyBorder="0" applyAlignment="0" applyProtection="0"/>
    <xf numFmtId="9" fontId="13" fillId="0" borderId="0" applyFill="0" applyBorder="0" applyAlignment="0" applyProtection="0"/>
    <xf numFmtId="0" fontId="11" fillId="0" borderId="0"/>
  </cellStyleXfs>
  <cellXfs count="300">
    <xf numFmtId="0" fontId="0" fillId="0" borderId="0" xfId="0"/>
    <xf numFmtId="0" fontId="2" fillId="0" borderId="0" xfId="0" applyFont="1" applyFill="1" applyBorder="1" applyAlignment="1" applyProtection="1">
      <alignment vertical="top" wrapText="1"/>
    </xf>
    <xf numFmtId="0" fontId="0" fillId="0" borderId="0" xfId="0" applyFill="1" applyBorder="1" applyProtection="1"/>
    <xf numFmtId="0" fontId="3" fillId="0" borderId="0" xfId="0" applyFont="1" applyFill="1"/>
    <xf numFmtId="0" fontId="4" fillId="0" borderId="0" xfId="0" applyFont="1" applyFill="1" applyAlignment="1">
      <alignment horizontal="center" vertical="top"/>
    </xf>
    <xf numFmtId="0" fontId="5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>
      <alignment horizontal="center" vertical="top"/>
    </xf>
    <xf numFmtId="0" fontId="0" fillId="0" borderId="0" xfId="0" applyFill="1" applyBorder="1" applyAlignment="1" applyProtection="1">
      <alignment horizontal="left" indent="1"/>
    </xf>
    <xf numFmtId="0" fontId="0" fillId="0" borderId="0" xfId="0" applyFill="1" applyBorder="1" applyAlignment="1" applyProtection="1">
      <alignment wrapText="1"/>
    </xf>
    <xf numFmtId="0" fontId="6" fillId="0" borderId="0" xfId="0" applyFont="1" applyFill="1" applyBorder="1" applyAlignment="1" applyProtection="1"/>
    <xf numFmtId="0" fontId="0" fillId="0" borderId="0" xfId="0" applyFill="1"/>
    <xf numFmtId="0" fontId="0" fillId="0" borderId="0" xfId="0" applyFill="1" applyProtection="1"/>
    <xf numFmtId="0" fontId="0" fillId="0" borderId="0" xfId="0" applyFill="1" applyAlignment="1" applyProtection="1">
      <alignment wrapText="1"/>
    </xf>
    <xf numFmtId="0" fontId="0" fillId="0" borderId="0" xfId="0" applyFill="1" applyAlignment="1" applyProtection="1">
      <alignment vertical="top"/>
    </xf>
    <xf numFmtId="0" fontId="0" fillId="0" borderId="7" xfId="0" applyFill="1" applyBorder="1" applyAlignment="1" applyProtection="1">
      <alignment vertical="center"/>
    </xf>
    <xf numFmtId="166" fontId="11" fillId="0" borderId="3" xfId="2" applyFont="1" applyFill="1" applyBorder="1" applyAlignment="1" applyProtection="1">
      <alignment vertical="center"/>
    </xf>
    <xf numFmtId="0" fontId="0" fillId="0" borderId="3" xfId="0" applyFill="1" applyBorder="1" applyAlignment="1" applyProtection="1">
      <alignment vertical="center"/>
    </xf>
    <xf numFmtId="10" fontId="11" fillId="0" borderId="3" xfId="3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Font="1" applyFill="1" applyAlignment="1" applyProtection="1">
      <alignment vertical="top"/>
    </xf>
    <xf numFmtId="0" fontId="0" fillId="0" borderId="7" xfId="0" applyFont="1" applyFill="1" applyBorder="1" applyAlignment="1" applyProtection="1">
      <alignment horizontal="right" vertical="center"/>
    </xf>
    <xf numFmtId="166" fontId="0" fillId="0" borderId="3" xfId="2" applyFont="1" applyFill="1" applyBorder="1" applyAlignment="1" applyProtection="1">
      <alignment horizontal="right" vertical="center"/>
    </xf>
    <xf numFmtId="10" fontId="0" fillId="0" borderId="3" xfId="3" applyNumberFormat="1" applyFont="1" applyFill="1" applyBorder="1" applyAlignment="1" applyProtection="1">
      <alignment vertical="center"/>
    </xf>
    <xf numFmtId="10" fontId="0" fillId="0" borderId="3" xfId="3" applyNumberFormat="1" applyFont="1" applyFill="1" applyBorder="1" applyAlignment="1" applyProtection="1">
      <alignment horizontal="right" vertical="center"/>
    </xf>
    <xf numFmtId="0" fontId="0" fillId="0" borderId="7" xfId="0" applyFill="1" applyBorder="1" applyAlignment="1" applyProtection="1">
      <alignment horizontal="right" vertical="center"/>
    </xf>
    <xf numFmtId="166" fontId="11" fillId="0" borderId="3" xfId="2" applyFont="1" applyFill="1" applyBorder="1" applyAlignment="1" applyProtection="1">
      <alignment horizontal="right" vertical="center"/>
    </xf>
    <xf numFmtId="10" fontId="11" fillId="0" borderId="3" xfId="3" applyNumberFormat="1" applyFont="1" applyFill="1" applyBorder="1" applyAlignment="1" applyProtection="1">
      <alignment horizontal="right" vertical="center"/>
    </xf>
    <xf numFmtId="0" fontId="0" fillId="0" borderId="0" xfId="0" applyFill="1" applyAlignment="1" applyProtection="1">
      <alignment vertical="center"/>
    </xf>
    <xf numFmtId="1" fontId="0" fillId="0" borderId="7" xfId="0" applyNumberFormat="1" applyFill="1" applyBorder="1" applyAlignment="1" applyProtection="1">
      <alignment vertical="center"/>
    </xf>
    <xf numFmtId="1" fontId="0" fillId="0" borderId="3" xfId="0" applyNumberFormat="1" applyFill="1" applyBorder="1" applyAlignment="1" applyProtection="1">
      <alignment vertical="center"/>
    </xf>
    <xf numFmtId="167" fontId="11" fillId="0" borderId="7" xfId="2" applyNumberFormat="1" applyFont="1" applyFill="1" applyBorder="1" applyAlignment="1" applyProtection="1">
      <alignment vertical="center"/>
      <protection locked="0"/>
    </xf>
    <xf numFmtId="0" fontId="11" fillId="0" borderId="0" xfId="4" applyFill="1" applyAlignment="1" applyProtection="1">
      <alignment vertical="top"/>
    </xf>
    <xf numFmtId="0" fontId="10" fillId="0" borderId="0" xfId="0" applyFont="1" applyFill="1" applyAlignment="1" applyProtection="1">
      <alignment vertical="top" wrapText="1"/>
    </xf>
    <xf numFmtId="9" fontId="0" fillId="0" borderId="7" xfId="0" applyNumberForma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center"/>
    </xf>
    <xf numFmtId="166" fontId="10" fillId="0" borderId="16" xfId="0" applyNumberFormat="1" applyFont="1" applyFill="1" applyBorder="1" applyAlignment="1" applyProtection="1">
      <alignment vertical="center"/>
    </xf>
    <xf numFmtId="0" fontId="10" fillId="0" borderId="7" xfId="0" applyFont="1" applyFill="1" applyBorder="1" applyAlignment="1" applyProtection="1">
      <alignment vertical="center"/>
    </xf>
    <xf numFmtId="9" fontId="10" fillId="0" borderId="7" xfId="0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166" fontId="10" fillId="0" borderId="7" xfId="0" applyNumberFormat="1" applyFont="1" applyFill="1" applyBorder="1" applyAlignment="1" applyProtection="1">
      <alignment vertical="center"/>
    </xf>
    <xf numFmtId="10" fontId="10" fillId="0" borderId="3" xfId="3" applyNumberFormat="1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horizontal="left" vertical="top" wrapText="1"/>
    </xf>
    <xf numFmtId="9" fontId="0" fillId="0" borderId="7" xfId="0" applyNumberFormat="1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vertical="center"/>
    </xf>
    <xf numFmtId="166" fontId="11" fillId="0" borderId="16" xfId="0" applyNumberFormat="1" applyFont="1" applyFill="1" applyBorder="1" applyAlignment="1" applyProtection="1">
      <alignment vertical="center"/>
    </xf>
    <xf numFmtId="0" fontId="11" fillId="0" borderId="7" xfId="0" applyFont="1" applyFill="1" applyBorder="1" applyAlignment="1" applyProtection="1">
      <alignment vertical="center"/>
    </xf>
    <xf numFmtId="9" fontId="11" fillId="0" borderId="7" xfId="0" applyNumberFormat="1" applyFont="1" applyFill="1" applyBorder="1" applyAlignment="1" applyProtection="1">
      <alignment vertical="center"/>
      <protection locked="0"/>
    </xf>
    <xf numFmtId="166" fontId="11" fillId="0" borderId="3" xfId="0" applyNumberFormat="1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166" fontId="11" fillId="0" borderId="7" xfId="0" applyNumberFormat="1" applyFont="1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top"/>
    </xf>
    <xf numFmtId="166" fontId="18" fillId="0" borderId="16" xfId="0" applyNumberFormat="1" applyFont="1" applyFill="1" applyBorder="1" applyAlignment="1" applyProtection="1">
      <alignment vertical="center"/>
    </xf>
    <xf numFmtId="166" fontId="18" fillId="0" borderId="3" xfId="0" applyNumberFormat="1" applyFont="1" applyFill="1" applyBorder="1" applyAlignment="1" applyProtection="1">
      <alignment vertical="center"/>
    </xf>
    <xf numFmtId="166" fontId="18" fillId="0" borderId="7" xfId="0" applyNumberFormat="1" applyFont="1" applyFill="1" applyBorder="1" applyAlignment="1" applyProtection="1">
      <alignment vertical="center"/>
    </xf>
    <xf numFmtId="10" fontId="18" fillId="0" borderId="3" xfId="3" applyNumberFormat="1" applyFont="1" applyFill="1" applyBorder="1" applyAlignment="1" applyProtection="1">
      <alignment vertical="center"/>
    </xf>
    <xf numFmtId="0" fontId="10" fillId="0" borderId="0" xfId="4" applyFont="1" applyFill="1" applyAlignment="1" applyProtection="1">
      <alignment vertical="top" wrapText="1"/>
    </xf>
    <xf numFmtId="9" fontId="11" fillId="0" borderId="7" xfId="4" applyNumberFormat="1" applyFill="1" applyBorder="1" applyAlignment="1" applyProtection="1">
      <alignment vertical="top"/>
    </xf>
    <xf numFmtId="9" fontId="11" fillId="0" borderId="0" xfId="4" applyNumberFormat="1" applyFill="1" applyBorder="1" applyAlignment="1" applyProtection="1">
      <alignment vertical="center"/>
    </xf>
    <xf numFmtId="166" fontId="10" fillId="0" borderId="16" xfId="4" applyNumberFormat="1" applyFont="1" applyFill="1" applyBorder="1" applyAlignment="1" applyProtection="1">
      <alignment vertical="center"/>
    </xf>
    <xf numFmtId="0" fontId="10" fillId="0" borderId="7" xfId="4" applyFont="1" applyFill="1" applyBorder="1" applyAlignment="1" applyProtection="1">
      <alignment vertical="center"/>
    </xf>
    <xf numFmtId="9" fontId="10" fillId="0" borderId="7" xfId="4" applyNumberFormat="1" applyFont="1" applyFill="1" applyBorder="1" applyAlignment="1" applyProtection="1">
      <alignment vertical="center"/>
    </xf>
    <xf numFmtId="0" fontId="10" fillId="0" borderId="0" xfId="4" applyFont="1" applyFill="1" applyBorder="1" applyAlignment="1" applyProtection="1">
      <alignment vertical="center"/>
    </xf>
    <xf numFmtId="166" fontId="10" fillId="0" borderId="7" xfId="4" applyNumberFormat="1" applyFont="1" applyFill="1" applyBorder="1" applyAlignment="1" applyProtection="1">
      <alignment vertical="center"/>
    </xf>
    <xf numFmtId="0" fontId="11" fillId="0" borderId="0" xfId="4" applyFont="1" applyFill="1" applyAlignment="1" applyProtection="1">
      <alignment horizontal="left" vertical="top" wrapText="1"/>
    </xf>
    <xf numFmtId="9" fontId="11" fillId="0" borderId="7" xfId="4" applyNumberFormat="1" applyFill="1" applyBorder="1" applyAlignment="1" applyProtection="1">
      <alignment vertical="top"/>
      <protection locked="0"/>
    </xf>
    <xf numFmtId="166" fontId="11" fillId="0" borderId="16" xfId="4" applyNumberFormat="1" applyFont="1" applyFill="1" applyBorder="1" applyAlignment="1" applyProtection="1">
      <alignment vertical="center"/>
    </xf>
    <xf numFmtId="0" fontId="11" fillId="0" borderId="7" xfId="4" applyFont="1" applyFill="1" applyBorder="1" applyAlignment="1" applyProtection="1">
      <alignment vertical="center"/>
    </xf>
    <xf numFmtId="9" fontId="11" fillId="0" borderId="7" xfId="4" applyNumberFormat="1" applyFont="1" applyFill="1" applyBorder="1" applyAlignment="1" applyProtection="1">
      <alignment vertical="top"/>
      <protection locked="0"/>
    </xf>
    <xf numFmtId="9" fontId="11" fillId="0" borderId="7" xfId="4" applyNumberFormat="1" applyFont="1" applyFill="1" applyBorder="1" applyAlignment="1" applyProtection="1">
      <alignment vertical="center"/>
    </xf>
    <xf numFmtId="166" fontId="11" fillId="0" borderId="3" xfId="4" applyNumberFormat="1" applyFont="1" applyFill="1" applyBorder="1" applyAlignment="1" applyProtection="1">
      <alignment vertical="center"/>
    </xf>
    <xf numFmtId="0" fontId="11" fillId="0" borderId="0" xfId="4" applyFont="1" applyFill="1" applyBorder="1" applyAlignment="1" applyProtection="1">
      <alignment vertical="center"/>
    </xf>
    <xf numFmtId="166" fontId="11" fillId="0" borderId="7" xfId="4" applyNumberFormat="1" applyFont="1" applyFill="1" applyBorder="1" applyAlignment="1" applyProtection="1">
      <alignment vertical="center"/>
    </xf>
    <xf numFmtId="0" fontId="11" fillId="0" borderId="7" xfId="4" applyFill="1" applyBorder="1" applyAlignment="1" applyProtection="1">
      <alignment vertical="top"/>
    </xf>
    <xf numFmtId="0" fontId="11" fillId="0" borderId="0" xfId="4" applyFill="1" applyBorder="1" applyAlignment="1" applyProtection="1">
      <alignment vertical="center"/>
    </xf>
    <xf numFmtId="166" fontId="18" fillId="0" borderId="16" xfId="4" applyNumberFormat="1" applyFont="1" applyFill="1" applyBorder="1" applyAlignment="1" applyProtection="1">
      <alignment vertical="center"/>
    </xf>
    <xf numFmtId="166" fontId="18" fillId="0" borderId="3" xfId="4" applyNumberFormat="1" applyFont="1" applyFill="1" applyBorder="1" applyAlignment="1" applyProtection="1">
      <alignment vertical="center"/>
    </xf>
    <xf numFmtId="166" fontId="18" fillId="0" borderId="7" xfId="4" applyNumberFormat="1" applyFont="1" applyFill="1" applyBorder="1" applyAlignment="1" applyProtection="1">
      <alignment vertical="center"/>
    </xf>
    <xf numFmtId="166" fontId="11" fillId="0" borderId="3" xfId="2" applyFont="1" applyFill="1" applyBorder="1" applyAlignment="1" applyProtection="1"/>
    <xf numFmtId="10" fontId="11" fillId="0" borderId="3" xfId="3" applyNumberFormat="1" applyFont="1" applyFill="1" applyBorder="1" applyAlignment="1" applyProtection="1"/>
    <xf numFmtId="0" fontId="0" fillId="0" borderId="7" xfId="0" applyFill="1" applyBorder="1" applyAlignment="1" applyProtection="1"/>
    <xf numFmtId="0" fontId="0" fillId="0" borderId="3" xfId="0" applyFill="1" applyBorder="1" applyAlignment="1" applyProtection="1"/>
    <xf numFmtId="1" fontId="0" fillId="0" borderId="7" xfId="0" applyNumberFormat="1" applyFill="1" applyBorder="1" applyAlignment="1" applyProtection="1"/>
    <xf numFmtId="1" fontId="0" fillId="0" borderId="3" xfId="0" applyNumberFormat="1" applyFill="1" applyBorder="1" applyAlignment="1" applyProtection="1"/>
    <xf numFmtId="167" fontId="11" fillId="0" borderId="7" xfId="2" applyNumberFormat="1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right" vertical="top" wrapText="1"/>
    </xf>
    <xf numFmtId="0" fontId="2" fillId="0" borderId="0" xfId="0" applyFont="1" applyFill="1" applyBorder="1" applyAlignment="1" applyProtection="1">
      <alignment horizontal="right" vertical="top" wrapText="1" indent="1"/>
    </xf>
    <xf numFmtId="0" fontId="5" fillId="0" borderId="0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right" indent="1"/>
    </xf>
    <xf numFmtId="0" fontId="0" fillId="0" borderId="0" xfId="0" applyFill="1" applyBorder="1" applyAlignment="1" applyProtection="1">
      <alignment horizontal="right" indent="2"/>
    </xf>
    <xf numFmtId="0" fontId="0" fillId="0" borderId="0" xfId="0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right" indent="1"/>
    </xf>
    <xf numFmtId="0" fontId="0" fillId="0" borderId="0" xfId="0" applyFill="1" applyAlignment="1" applyProtection="1">
      <alignment horizontal="right"/>
    </xf>
    <xf numFmtId="0" fontId="0" fillId="0" borderId="0" xfId="0" applyFill="1" applyAlignment="1" applyProtection="1">
      <alignment horizontal="right" indent="1"/>
    </xf>
    <xf numFmtId="0" fontId="0" fillId="0" borderId="3" xfId="0" applyFill="1" applyBorder="1" applyAlignment="1" applyProtection="1">
      <alignment horizontal="right" vertical="center" indent="1"/>
    </xf>
    <xf numFmtId="0" fontId="0" fillId="0" borderId="7" xfId="0" applyFill="1" applyBorder="1" applyAlignment="1" applyProtection="1">
      <alignment horizontal="right" vertical="center" indent="1"/>
    </xf>
    <xf numFmtId="0" fontId="0" fillId="0" borderId="7" xfId="0" applyFont="1" applyFill="1" applyBorder="1" applyAlignment="1" applyProtection="1">
      <alignment horizontal="right" vertical="center" indent="1"/>
    </xf>
    <xf numFmtId="168" fontId="11" fillId="0" borderId="3" xfId="2" applyNumberFormat="1" applyFont="1" applyFill="1" applyBorder="1" applyAlignment="1" applyProtection="1">
      <alignment horizontal="center" vertical="center"/>
    </xf>
    <xf numFmtId="169" fontId="11" fillId="0" borderId="3" xfId="2" applyNumberFormat="1" applyFont="1" applyFill="1" applyBorder="1" applyAlignment="1" applyProtection="1">
      <alignment vertical="center"/>
    </xf>
    <xf numFmtId="166" fontId="11" fillId="0" borderId="3" xfId="2" applyFont="1" applyFill="1" applyBorder="1" applyAlignment="1" applyProtection="1">
      <alignment horizontal="center" vertical="center"/>
    </xf>
    <xf numFmtId="1" fontId="0" fillId="0" borderId="7" xfId="0" applyNumberFormat="1" applyFill="1" applyBorder="1" applyAlignment="1" applyProtection="1">
      <alignment horizontal="right" vertical="center"/>
    </xf>
    <xf numFmtId="1" fontId="0" fillId="0" borderId="3" xfId="0" applyNumberFormat="1" applyFill="1" applyBorder="1" applyAlignment="1" applyProtection="1">
      <alignment horizontal="right" vertical="center" indent="1"/>
    </xf>
    <xf numFmtId="167" fontId="11" fillId="0" borderId="7" xfId="2" applyNumberFormat="1" applyFont="1" applyFill="1" applyBorder="1" applyAlignment="1" applyProtection="1">
      <alignment horizontal="center" vertical="top"/>
      <protection locked="0"/>
    </xf>
    <xf numFmtId="9" fontId="0" fillId="0" borderId="0" xfId="0" applyNumberFormat="1" applyFill="1" applyBorder="1" applyAlignment="1" applyProtection="1">
      <alignment horizontal="right" vertical="center"/>
    </xf>
    <xf numFmtId="9" fontId="10" fillId="0" borderId="7" xfId="0" applyNumberFormat="1" applyFont="1" applyFill="1" applyBorder="1" applyAlignment="1" applyProtection="1">
      <alignment horizontal="right" vertical="center" indent="1"/>
    </xf>
    <xf numFmtId="0" fontId="0" fillId="0" borderId="0" xfId="0" applyFill="1" applyBorder="1" applyAlignment="1" applyProtection="1">
      <alignment horizontal="right" vertical="center"/>
    </xf>
    <xf numFmtId="0" fontId="11" fillId="0" borderId="7" xfId="0" applyFont="1" applyFill="1" applyBorder="1" applyAlignment="1" applyProtection="1">
      <alignment horizontal="right" vertical="center" indent="1"/>
    </xf>
    <xf numFmtId="9" fontId="11" fillId="0" borderId="0" xfId="4" applyNumberFormat="1" applyFill="1" applyBorder="1" applyAlignment="1" applyProtection="1">
      <alignment horizontal="right" vertical="center"/>
    </xf>
    <xf numFmtId="9" fontId="10" fillId="0" borderId="7" xfId="4" applyNumberFormat="1" applyFont="1" applyFill="1" applyBorder="1" applyAlignment="1" applyProtection="1">
      <alignment horizontal="right" vertical="center" indent="1"/>
    </xf>
    <xf numFmtId="9" fontId="11" fillId="0" borderId="7" xfId="4" applyNumberFormat="1" applyFont="1" applyFill="1" applyBorder="1" applyAlignment="1" applyProtection="1">
      <alignment horizontal="right" vertical="center" indent="1"/>
    </xf>
    <xf numFmtId="0" fontId="11" fillId="0" borderId="0" xfId="4" applyFill="1" applyBorder="1" applyAlignment="1" applyProtection="1">
      <alignment horizontal="right" vertical="center"/>
    </xf>
    <xf numFmtId="0" fontId="11" fillId="0" borderId="7" xfId="4" applyFont="1" applyFill="1" applyBorder="1" applyAlignment="1" applyProtection="1">
      <alignment horizontal="right" vertical="center" indent="1"/>
    </xf>
    <xf numFmtId="0" fontId="0" fillId="0" borderId="3" xfId="0" applyFill="1" applyBorder="1" applyAlignment="1" applyProtection="1">
      <alignment horizontal="right" vertical="center"/>
    </xf>
    <xf numFmtId="1" fontId="0" fillId="0" borderId="3" xfId="0" applyNumberFormat="1" applyFill="1" applyBorder="1" applyAlignment="1" applyProtection="1">
      <alignment horizontal="right" vertical="center"/>
    </xf>
    <xf numFmtId="9" fontId="10" fillId="0" borderId="7" xfId="0" applyNumberFormat="1" applyFont="1" applyFill="1" applyBorder="1" applyAlignment="1" applyProtection="1">
      <alignment horizontal="right" vertical="center"/>
    </xf>
    <xf numFmtId="0" fontId="11" fillId="0" borderId="7" xfId="0" applyFont="1" applyFill="1" applyBorder="1" applyAlignment="1" applyProtection="1">
      <alignment horizontal="right" vertical="center"/>
    </xf>
    <xf numFmtId="9" fontId="10" fillId="0" borderId="7" xfId="4" applyNumberFormat="1" applyFont="1" applyFill="1" applyBorder="1" applyAlignment="1" applyProtection="1">
      <alignment horizontal="right" vertical="center"/>
    </xf>
    <xf numFmtId="9" fontId="11" fillId="0" borderId="7" xfId="4" applyNumberFormat="1" applyFont="1" applyFill="1" applyBorder="1" applyAlignment="1" applyProtection="1">
      <alignment horizontal="right" vertical="center"/>
    </xf>
    <xf numFmtId="0" fontId="11" fillId="0" borderId="7" xfId="4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right" wrapText="1"/>
    </xf>
    <xf numFmtId="0" fontId="0" fillId="0" borderId="3" xfId="0" applyFill="1" applyBorder="1" applyAlignment="1" applyProtection="1">
      <alignment horizontal="right"/>
    </xf>
    <xf numFmtId="0" fontId="0" fillId="0" borderId="7" xfId="0" applyFill="1" applyBorder="1" applyAlignment="1" applyProtection="1">
      <alignment horizontal="right"/>
    </xf>
    <xf numFmtId="0" fontId="0" fillId="0" borderId="7" xfId="0" applyFont="1" applyFill="1" applyBorder="1" applyAlignment="1" applyProtection="1">
      <alignment horizontal="right"/>
    </xf>
    <xf numFmtId="10" fontId="11" fillId="0" borderId="3" xfId="3" applyNumberFormat="1" applyFont="1" applyFill="1" applyBorder="1" applyAlignment="1" applyProtection="1">
      <alignment horizontal="center" vertical="center"/>
    </xf>
    <xf numFmtId="1" fontId="0" fillId="0" borderId="3" xfId="0" applyNumberFormat="1" applyFill="1" applyBorder="1" applyAlignment="1" applyProtection="1">
      <alignment horizontal="right"/>
    </xf>
    <xf numFmtId="9" fontId="10" fillId="0" borderId="7" xfId="0" applyNumberFormat="1" applyFont="1" applyFill="1" applyBorder="1" applyAlignment="1" applyProtection="1">
      <alignment horizontal="right"/>
    </xf>
    <xf numFmtId="0" fontId="11" fillId="0" borderId="7" xfId="0" applyFont="1" applyFill="1" applyBorder="1" applyAlignment="1" applyProtection="1">
      <alignment horizontal="right"/>
    </xf>
    <xf numFmtId="9" fontId="10" fillId="0" borderId="7" xfId="4" applyNumberFormat="1" applyFont="1" applyFill="1" applyBorder="1" applyAlignment="1" applyProtection="1">
      <alignment horizontal="right"/>
    </xf>
    <xf numFmtId="9" fontId="11" fillId="0" borderId="7" xfId="4" applyNumberFormat="1" applyFont="1" applyFill="1" applyBorder="1" applyAlignment="1" applyProtection="1">
      <alignment horizontal="right"/>
    </xf>
    <xf numFmtId="0" fontId="11" fillId="0" borderId="7" xfId="4" applyFont="1" applyFill="1" applyBorder="1" applyAlignment="1" applyProtection="1">
      <alignment horizontal="right"/>
    </xf>
    <xf numFmtId="0" fontId="7" fillId="0" borderId="0" xfId="0" applyFont="1" applyFill="1" applyAlignment="1" applyProtection="1">
      <alignment horizontal="left" vertical="center"/>
    </xf>
    <xf numFmtId="0" fontId="10" fillId="0" borderId="0" xfId="0" applyFont="1" applyFill="1" applyAlignment="1" applyProtection="1">
      <alignment horizontal="right" wrapText="1"/>
    </xf>
    <xf numFmtId="0" fontId="11" fillId="0" borderId="0" xfId="0" applyFont="1" applyFill="1" applyAlignment="1" applyProtection="1">
      <alignment horizontal="right" wrapText="1"/>
    </xf>
    <xf numFmtId="0" fontId="6" fillId="0" borderId="0" xfId="0" applyFont="1" applyFill="1" applyAlignment="1" applyProtection="1">
      <alignment horizontal="center"/>
    </xf>
    <xf numFmtId="0" fontId="12" fillId="0" borderId="0" xfId="0" applyFont="1" applyFill="1" applyAlignment="1" applyProtection="1">
      <alignment horizontal="center"/>
    </xf>
    <xf numFmtId="0" fontId="11" fillId="0" borderId="0" xfId="0" applyFont="1" applyFill="1" applyAlignment="1" applyProtection="1">
      <alignment wrapText="1"/>
    </xf>
    <xf numFmtId="0" fontId="10" fillId="0" borderId="0" xfId="0" applyFont="1" applyFill="1" applyProtection="1"/>
    <xf numFmtId="165" fontId="10" fillId="0" borderId="1" xfId="1" applyNumberFormat="1" applyFont="1" applyFill="1" applyBorder="1" applyAlignment="1" applyProtection="1">
      <protection locked="0"/>
    </xf>
    <xf numFmtId="0" fontId="10" fillId="0" borderId="0" xfId="0" applyFont="1" applyFill="1" applyAlignment="1" applyProtection="1"/>
    <xf numFmtId="0" fontId="10" fillId="0" borderId="0" xfId="0" applyFont="1" applyFill="1" applyAlignment="1" applyProtection="1">
      <alignment horizontal="center"/>
    </xf>
    <xf numFmtId="0" fontId="10" fillId="0" borderId="2" xfId="0" applyFont="1" applyFill="1" applyBorder="1" applyAlignment="1" applyProtection="1">
      <alignment horizontal="center"/>
    </xf>
    <xf numFmtId="0" fontId="10" fillId="0" borderId="3" xfId="0" applyFont="1" applyFill="1" applyBorder="1" applyAlignment="1" applyProtection="1">
      <alignment horizontal="center"/>
    </xf>
    <xf numFmtId="0" fontId="10" fillId="0" borderId="4" xfId="0" applyFont="1" applyFill="1" applyBorder="1" applyAlignment="1" applyProtection="1">
      <alignment horizontal="center"/>
    </xf>
    <xf numFmtId="0" fontId="10" fillId="0" borderId="5" xfId="0" applyFont="1" applyFill="1" applyBorder="1" applyAlignment="1" applyProtection="1">
      <alignment horizontal="center"/>
    </xf>
    <xf numFmtId="0" fontId="10" fillId="0" borderId="6" xfId="0" applyFont="1" applyFill="1" applyBorder="1" applyAlignment="1" applyProtection="1">
      <alignment horizontal="center"/>
    </xf>
    <xf numFmtId="0" fontId="0" fillId="0" borderId="0" xfId="0" applyFont="1" applyFill="1" applyAlignment="1" applyProtection="1">
      <alignment vertical="top" wrapText="1"/>
    </xf>
    <xf numFmtId="0" fontId="0" fillId="0" borderId="0" xfId="0" applyFill="1" applyAlignment="1" applyProtection="1">
      <alignment horizontal="center" vertical="top"/>
      <protection locked="0"/>
    </xf>
    <xf numFmtId="166" fontId="11" fillId="0" borderId="7" xfId="2" applyNumberFormat="1" applyFont="1" applyFill="1" applyBorder="1" applyAlignment="1" applyProtection="1">
      <alignment vertical="top"/>
      <protection locked="0"/>
    </xf>
    <xf numFmtId="166" fontId="11" fillId="0" borderId="7" xfId="2" applyNumberFormat="1" applyFont="1" applyFill="1" applyBorder="1" applyAlignment="1" applyProtection="1">
      <alignment vertical="center"/>
      <protection locked="0"/>
    </xf>
    <xf numFmtId="166" fontId="0" fillId="0" borderId="7" xfId="0" applyNumberFormat="1" applyFill="1" applyBorder="1" applyAlignment="1" applyProtection="1">
      <alignment vertical="center"/>
    </xf>
    <xf numFmtId="167" fontId="11" fillId="0" borderId="7" xfId="2" applyNumberFormat="1" applyFont="1" applyFill="1" applyBorder="1" applyAlignment="1" applyProtection="1">
      <alignment vertical="top"/>
      <protection locked="0"/>
    </xf>
    <xf numFmtId="0" fontId="0" fillId="0" borderId="0" xfId="0" applyFill="1" applyAlignment="1" applyProtection="1">
      <alignment vertical="top" wrapText="1"/>
      <protection locked="0"/>
    </xf>
    <xf numFmtId="0" fontId="0" fillId="0" borderId="0" xfId="0" applyFill="1" applyAlignment="1" applyProtection="1">
      <alignment vertical="top" wrapText="1"/>
    </xf>
    <xf numFmtId="0" fontId="10" fillId="0" borderId="8" xfId="0" applyFont="1" applyFill="1" applyBorder="1" applyAlignment="1" applyProtection="1">
      <alignment vertical="top"/>
      <protection locked="0"/>
    </xf>
    <xf numFmtId="0" fontId="0" fillId="0" borderId="9" xfId="0" applyFill="1" applyBorder="1" applyAlignment="1" applyProtection="1">
      <alignment vertical="top"/>
    </xf>
    <xf numFmtId="0" fontId="0" fillId="0" borderId="9" xfId="0" applyFill="1" applyBorder="1" applyAlignment="1" applyProtection="1">
      <alignment vertical="top"/>
      <protection locked="0"/>
    </xf>
    <xf numFmtId="167" fontId="11" fillId="0" borderId="1" xfId="2" applyNumberFormat="1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center"/>
      <protection locked="0"/>
    </xf>
    <xf numFmtId="166" fontId="11" fillId="0" borderId="10" xfId="2" applyFont="1" applyFill="1" applyBorder="1" applyAlignment="1" applyProtection="1">
      <alignment vertical="center"/>
    </xf>
    <xf numFmtId="167" fontId="11" fillId="0" borderId="1" xfId="2" applyNumberFormat="1" applyFont="1" applyFill="1" applyBorder="1" applyAlignment="1" applyProtection="1">
      <alignment vertical="center"/>
      <protection locked="0"/>
    </xf>
    <xf numFmtId="0" fontId="0" fillId="0" borderId="10" xfId="0" applyFill="1" applyBorder="1" applyAlignment="1" applyProtection="1">
      <alignment vertical="center"/>
      <protection locked="0"/>
    </xf>
    <xf numFmtId="166" fontId="10" fillId="0" borderId="1" xfId="0" applyNumberFormat="1" applyFont="1" applyFill="1" applyBorder="1" applyAlignment="1" applyProtection="1">
      <alignment vertical="center"/>
    </xf>
    <xf numFmtId="10" fontId="10" fillId="0" borderId="10" xfId="3" applyNumberFormat="1" applyFont="1" applyFill="1" applyBorder="1" applyAlignment="1" applyProtection="1">
      <alignment vertical="center"/>
    </xf>
    <xf numFmtId="0" fontId="14" fillId="0" borderId="0" xfId="0" applyFont="1" applyFill="1" applyAlignment="1" applyProtection="1">
      <alignment horizontal="center" vertical="center"/>
    </xf>
    <xf numFmtId="0" fontId="0" fillId="0" borderId="0" xfId="0" applyFont="1" applyFill="1" applyAlignment="1" applyProtection="1">
      <alignment vertical="top" wrapText="1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167" fontId="0" fillId="0" borderId="7" xfId="2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Alignment="1" applyProtection="1">
      <alignment horizontal="right" vertical="center"/>
    </xf>
    <xf numFmtId="166" fontId="0" fillId="0" borderId="7" xfId="0" applyNumberFormat="1" applyFont="1" applyFill="1" applyBorder="1" applyAlignment="1" applyProtection="1">
      <alignment horizontal="right" vertical="center"/>
    </xf>
    <xf numFmtId="0" fontId="15" fillId="0" borderId="0" xfId="0" applyFont="1" applyFill="1" applyAlignment="1" applyProtection="1">
      <alignment horizontal="center" vertical="center"/>
    </xf>
    <xf numFmtId="0" fontId="11" fillId="0" borderId="0" xfId="0" applyFont="1" applyFill="1" applyAlignment="1" applyProtection="1">
      <alignment vertical="top" wrapText="1"/>
    </xf>
    <xf numFmtId="0" fontId="0" fillId="0" borderId="0" xfId="0" applyFill="1" applyAlignment="1" applyProtection="1">
      <alignment horizontal="center" vertical="center"/>
      <protection locked="0"/>
    </xf>
    <xf numFmtId="167" fontId="11" fillId="0" borderId="7" xfId="2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Alignment="1" applyProtection="1">
      <alignment horizontal="right" vertical="center"/>
    </xf>
    <xf numFmtId="166" fontId="0" fillId="0" borderId="7" xfId="0" applyNumberFormat="1" applyFill="1" applyBorder="1" applyAlignment="1" applyProtection="1">
      <alignment horizontal="right" vertical="center"/>
    </xf>
    <xf numFmtId="0" fontId="10" fillId="0" borderId="8" xfId="0" applyFont="1" applyFill="1" applyBorder="1" applyAlignment="1" applyProtection="1">
      <alignment vertical="top" wrapText="1"/>
    </xf>
    <xf numFmtId="0" fontId="0" fillId="0" borderId="9" xfId="0" applyFill="1" applyBorder="1" applyProtection="1"/>
    <xf numFmtId="0" fontId="0" fillId="0" borderId="1" xfId="0" applyFill="1" applyBorder="1" applyProtection="1"/>
    <xf numFmtId="0" fontId="0" fillId="0" borderId="1" xfId="0" applyFill="1" applyBorder="1" applyAlignment="1" applyProtection="1">
      <alignment vertical="center"/>
    </xf>
    <xf numFmtId="166" fontId="10" fillId="0" borderId="10" xfId="0" applyNumberFormat="1" applyFont="1" applyFill="1" applyBorder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 wrapText="1"/>
    </xf>
    <xf numFmtId="0" fontId="0" fillId="0" borderId="1" xfId="0" applyFill="1" applyBorder="1" applyAlignment="1" applyProtection="1">
      <alignment vertical="top"/>
    </xf>
    <xf numFmtId="0" fontId="10" fillId="0" borderId="0" xfId="0" applyFont="1" applyFill="1" applyAlignment="1" applyProtection="1">
      <alignment vertical="center"/>
    </xf>
    <xf numFmtId="0" fontId="10" fillId="0" borderId="1" xfId="0" applyFont="1" applyFill="1" applyBorder="1" applyAlignment="1" applyProtection="1">
      <alignment vertical="center"/>
    </xf>
    <xf numFmtId="0" fontId="10" fillId="0" borderId="10" xfId="0" applyFont="1" applyFill="1" applyBorder="1" applyAlignment="1" applyProtection="1">
      <alignment vertical="center"/>
    </xf>
    <xf numFmtId="0" fontId="0" fillId="0" borderId="0" xfId="0" applyFill="1" applyAlignment="1" applyProtection="1">
      <alignment vertical="top"/>
      <protection locked="0"/>
    </xf>
    <xf numFmtId="1" fontId="11" fillId="0" borderId="7" xfId="0" applyNumberFormat="1" applyFont="1" applyFill="1" applyBorder="1" applyAlignment="1" applyProtection="1">
      <alignment vertical="center"/>
    </xf>
    <xf numFmtId="166" fontId="0" fillId="0" borderId="0" xfId="0" applyNumberFormat="1" applyFill="1" applyProtection="1"/>
    <xf numFmtId="0" fontId="11" fillId="0" borderId="0" xfId="4" applyFont="1" applyFill="1" applyAlignment="1" applyProtection="1">
      <alignment vertical="top" wrapText="1"/>
    </xf>
    <xf numFmtId="1" fontId="11" fillId="0" borderId="7" xfId="4" applyNumberFormat="1" applyFill="1" applyBorder="1" applyAlignment="1" applyProtection="1">
      <alignment vertical="center"/>
    </xf>
    <xf numFmtId="0" fontId="11" fillId="0" borderId="0" xfId="4" applyFill="1" applyAlignment="1" applyProtection="1">
      <alignment vertical="center"/>
    </xf>
    <xf numFmtId="166" fontId="11" fillId="0" borderId="7" xfId="4" applyNumberFormat="1" applyFill="1" applyBorder="1" applyAlignment="1" applyProtection="1">
      <alignment vertical="center"/>
    </xf>
    <xf numFmtId="0" fontId="11" fillId="0" borderId="0" xfId="4" applyFill="1" applyProtection="1"/>
    <xf numFmtId="0" fontId="11" fillId="0" borderId="11" xfId="0" applyFont="1" applyFill="1" applyBorder="1" applyAlignment="1" applyProtection="1">
      <alignment wrapText="1"/>
    </xf>
    <xf numFmtId="0" fontId="0" fillId="0" borderId="12" xfId="0" applyFill="1" applyBorder="1" applyAlignment="1" applyProtection="1">
      <alignment vertical="top"/>
    </xf>
    <xf numFmtId="0" fontId="0" fillId="0" borderId="12" xfId="0" applyFill="1" applyBorder="1" applyAlignment="1" applyProtection="1">
      <alignment vertical="top"/>
      <protection locked="0"/>
    </xf>
    <xf numFmtId="167" fontId="11" fillId="0" borderId="13" xfId="2" applyNumberFormat="1" applyFont="1" applyFill="1" applyBorder="1" applyAlignment="1" applyProtection="1">
      <alignment vertical="top"/>
      <protection locked="0"/>
    </xf>
    <xf numFmtId="0" fontId="0" fillId="0" borderId="14" xfId="0" applyFill="1" applyBorder="1" applyAlignment="1" applyProtection="1">
      <alignment vertical="center"/>
      <protection locked="0"/>
    </xf>
    <xf numFmtId="166" fontId="11" fillId="0" borderId="12" xfId="2" applyFont="1" applyFill="1" applyBorder="1" applyAlignment="1" applyProtection="1">
      <alignment vertical="center"/>
    </xf>
    <xf numFmtId="0" fontId="0" fillId="0" borderId="12" xfId="0" applyFill="1" applyBorder="1" applyAlignment="1" applyProtection="1">
      <alignment vertical="center"/>
    </xf>
    <xf numFmtId="0" fontId="0" fillId="0" borderId="13" xfId="0" applyFill="1" applyBorder="1" applyAlignment="1" applyProtection="1">
      <alignment vertical="center"/>
      <protection locked="0"/>
    </xf>
    <xf numFmtId="166" fontId="0" fillId="0" borderId="13" xfId="0" applyNumberFormat="1" applyFill="1" applyBorder="1" applyAlignment="1" applyProtection="1">
      <alignment vertical="center"/>
    </xf>
    <xf numFmtId="10" fontId="11" fillId="0" borderId="15" xfId="3" applyNumberFormat="1" applyFont="1" applyFill="1" applyBorder="1" applyAlignment="1" applyProtection="1">
      <alignment vertical="center"/>
    </xf>
    <xf numFmtId="0" fontId="10" fillId="0" borderId="0" xfId="0" applyFont="1" applyFill="1" applyAlignment="1" applyProtection="1">
      <alignment horizontal="left" vertical="top" wrapText="1"/>
    </xf>
    <xf numFmtId="0" fontId="0" fillId="0" borderId="5" xfId="0" applyFill="1" applyBorder="1" applyAlignment="1" applyProtection="1">
      <alignment vertical="top"/>
    </xf>
    <xf numFmtId="0" fontId="0" fillId="0" borderId="17" xfId="0" applyFill="1" applyBorder="1" applyAlignment="1" applyProtection="1">
      <alignment vertical="center"/>
    </xf>
    <xf numFmtId="166" fontId="10" fillId="0" borderId="18" xfId="0" applyNumberFormat="1" applyFont="1" applyFill="1" applyBorder="1" applyAlignment="1" applyProtection="1">
      <alignment vertical="center"/>
    </xf>
    <xf numFmtId="0" fontId="10" fillId="0" borderId="5" xfId="0" applyFont="1" applyFill="1" applyBorder="1" applyAlignment="1" applyProtection="1">
      <alignment vertical="center"/>
    </xf>
    <xf numFmtId="166" fontId="10" fillId="0" borderId="6" xfId="0" applyNumberFormat="1" applyFont="1" applyFill="1" applyBorder="1" applyAlignment="1" applyProtection="1">
      <alignment vertical="center"/>
    </xf>
    <xf numFmtId="0" fontId="10" fillId="0" borderId="17" xfId="0" applyFont="1" applyFill="1" applyBorder="1" applyAlignment="1" applyProtection="1">
      <alignment vertical="center"/>
    </xf>
    <xf numFmtId="166" fontId="10" fillId="0" borderId="5" xfId="0" applyNumberFormat="1" applyFont="1" applyFill="1" applyBorder="1" applyAlignment="1" applyProtection="1">
      <alignment vertical="center"/>
    </xf>
    <xf numFmtId="10" fontId="10" fillId="0" borderId="6" xfId="3" applyNumberFormat="1" applyFont="1" applyFill="1" applyBorder="1" applyAlignment="1" applyProtection="1">
      <alignment vertical="center"/>
    </xf>
    <xf numFmtId="0" fontId="11" fillId="0" borderId="11" xfId="4" applyFont="1" applyFill="1" applyBorder="1" applyAlignment="1" applyProtection="1">
      <alignment wrapText="1"/>
    </xf>
    <xf numFmtId="0" fontId="11" fillId="0" borderId="12" xfId="4" applyFill="1" applyBorder="1" applyAlignment="1" applyProtection="1">
      <alignment vertical="top"/>
    </xf>
    <xf numFmtId="0" fontId="11" fillId="0" borderId="12" xfId="4" applyFill="1" applyBorder="1" applyAlignment="1" applyProtection="1">
      <alignment vertical="top"/>
      <protection locked="0"/>
    </xf>
    <xf numFmtId="0" fontId="11" fillId="0" borderId="14" xfId="4" applyFill="1" applyBorder="1" applyAlignment="1" applyProtection="1">
      <alignment vertical="center"/>
      <protection locked="0"/>
    </xf>
    <xf numFmtId="0" fontId="11" fillId="0" borderId="12" xfId="4" applyFill="1" applyBorder="1" applyAlignment="1" applyProtection="1">
      <alignment vertical="center"/>
    </xf>
    <xf numFmtId="0" fontId="11" fillId="0" borderId="13" xfId="4" applyFill="1" applyBorder="1" applyAlignment="1" applyProtection="1">
      <alignment vertical="center"/>
      <protection locked="0"/>
    </xf>
    <xf numFmtId="166" fontId="11" fillId="0" borderId="13" xfId="4" applyNumberFormat="1" applyFill="1" applyBorder="1" applyAlignment="1" applyProtection="1">
      <alignment vertical="center"/>
    </xf>
    <xf numFmtId="0" fontId="10" fillId="0" borderId="0" xfId="4" applyFont="1" applyFill="1" applyAlignment="1" applyProtection="1">
      <alignment horizontal="left" vertical="top" wrapText="1"/>
    </xf>
    <xf numFmtId="166" fontId="10" fillId="0" borderId="3" xfId="4" applyNumberFormat="1" applyFont="1" applyFill="1" applyBorder="1" applyAlignment="1" applyProtection="1">
      <alignment vertical="center"/>
    </xf>
    <xf numFmtId="167" fontId="11" fillId="0" borderId="14" xfId="2" applyNumberFormat="1" applyFont="1" applyFill="1" applyBorder="1" applyAlignment="1" applyProtection="1">
      <alignment vertical="top"/>
      <protection locked="0"/>
    </xf>
    <xf numFmtId="0" fontId="11" fillId="0" borderId="12" xfId="4" applyFill="1" applyBorder="1" applyAlignment="1" applyProtection="1">
      <alignment vertical="center"/>
      <protection locked="0"/>
    </xf>
    <xf numFmtId="166" fontId="11" fillId="0" borderId="19" xfId="2" applyFont="1" applyFill="1" applyBorder="1" applyAlignment="1" applyProtection="1">
      <alignment vertical="center"/>
    </xf>
    <xf numFmtId="0" fontId="11" fillId="0" borderId="14" xfId="4" applyFill="1" applyBorder="1" applyAlignment="1" applyProtection="1">
      <alignment vertical="center"/>
    </xf>
    <xf numFmtId="166" fontId="11" fillId="0" borderId="13" xfId="2" applyFont="1" applyFill="1" applyBorder="1" applyAlignment="1" applyProtection="1">
      <alignment vertical="center"/>
    </xf>
    <xf numFmtId="166" fontId="11" fillId="0" borderId="14" xfId="4" applyNumberFormat="1" applyFill="1" applyBorder="1" applyAlignment="1" applyProtection="1">
      <alignment vertical="center"/>
    </xf>
    <xf numFmtId="0" fontId="10" fillId="0" borderId="0" xfId="0" applyFont="1" applyFill="1" applyAlignment="1" applyProtection="1">
      <alignment wrapText="1"/>
    </xf>
    <xf numFmtId="10" fontId="11" fillId="0" borderId="1" xfId="3" applyNumberFormat="1" applyFont="1" applyFill="1" applyBorder="1" applyAlignment="1" applyProtection="1">
      <protection locked="0"/>
    </xf>
    <xf numFmtId="0" fontId="19" fillId="0" borderId="0" xfId="0" applyFont="1" applyFill="1" applyProtection="1"/>
    <xf numFmtId="0" fontId="11" fillId="0" borderId="0" xfId="0" applyFont="1" applyFill="1" applyProtection="1"/>
    <xf numFmtId="0" fontId="6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horizontal="right"/>
    </xf>
    <xf numFmtId="0" fontId="10" fillId="0" borderId="2" xfId="0" applyFont="1" applyFill="1" applyBorder="1" applyAlignment="1" applyProtection="1">
      <alignment horizontal="right"/>
    </xf>
    <xf numFmtId="0" fontId="10" fillId="0" borderId="4" xfId="0" applyFont="1" applyFill="1" applyBorder="1" applyAlignment="1" applyProtection="1">
      <alignment horizontal="right"/>
    </xf>
    <xf numFmtId="0" fontId="10" fillId="0" borderId="5" xfId="0" applyFont="1" applyFill="1" applyBorder="1" applyAlignment="1" applyProtection="1">
      <alignment horizontal="right"/>
    </xf>
    <xf numFmtId="0" fontId="10" fillId="0" borderId="6" xfId="0" applyFont="1" applyFill="1" applyBorder="1" applyAlignment="1" applyProtection="1">
      <alignment horizontal="right"/>
    </xf>
    <xf numFmtId="0" fontId="0" fillId="0" borderId="1" xfId="0" applyFill="1" applyBorder="1" applyAlignment="1" applyProtection="1">
      <alignment horizontal="right" vertical="center"/>
      <protection locked="0"/>
    </xf>
    <xf numFmtId="0" fontId="0" fillId="0" borderId="10" xfId="0" applyFill="1" applyBorder="1" applyAlignment="1" applyProtection="1">
      <alignment horizontal="right"/>
      <protection locked="0"/>
    </xf>
    <xf numFmtId="0" fontId="0" fillId="0" borderId="0" xfId="0" applyFont="1" applyFill="1" applyAlignment="1" applyProtection="1">
      <alignment horizontal="center" vertical="top"/>
      <protection locked="0"/>
    </xf>
    <xf numFmtId="0" fontId="0" fillId="0" borderId="1" xfId="0" applyFill="1" applyBorder="1" applyAlignment="1" applyProtection="1">
      <alignment horizontal="right" vertical="center"/>
    </xf>
    <xf numFmtId="0" fontId="0" fillId="0" borderId="10" xfId="0" applyFill="1" applyBorder="1" applyAlignment="1" applyProtection="1">
      <alignment horizontal="right"/>
    </xf>
    <xf numFmtId="0" fontId="10" fillId="0" borderId="10" xfId="0" applyFont="1" applyFill="1" applyBorder="1" applyAlignment="1" applyProtection="1">
      <alignment horizontal="right"/>
    </xf>
    <xf numFmtId="166" fontId="0" fillId="0" borderId="7" xfId="0" applyNumberFormat="1" applyFill="1" applyBorder="1" applyAlignment="1" applyProtection="1">
      <alignment horizontal="center" vertical="center"/>
    </xf>
    <xf numFmtId="1" fontId="11" fillId="0" borderId="7" xfId="0" applyNumberFormat="1" applyFont="1" applyFill="1" applyBorder="1" applyAlignment="1" applyProtection="1">
      <alignment horizontal="right" vertical="center"/>
    </xf>
    <xf numFmtId="1" fontId="11" fillId="0" borderId="7" xfId="0" applyNumberFormat="1" applyFont="1" applyFill="1" applyBorder="1" applyAlignment="1" applyProtection="1">
      <alignment horizontal="right"/>
    </xf>
    <xf numFmtId="1" fontId="11" fillId="0" borderId="7" xfId="4" applyNumberFormat="1" applyFill="1" applyBorder="1" applyAlignment="1" applyProtection="1">
      <alignment horizontal="right" vertical="center"/>
    </xf>
    <xf numFmtId="0" fontId="11" fillId="0" borderId="0" xfId="4" applyFill="1" applyAlignment="1" applyProtection="1">
      <alignment horizontal="center" vertical="center"/>
    </xf>
    <xf numFmtId="1" fontId="11" fillId="0" borderId="7" xfId="4" applyNumberFormat="1" applyFill="1" applyBorder="1" applyAlignment="1" applyProtection="1">
      <alignment horizontal="right"/>
    </xf>
    <xf numFmtId="166" fontId="11" fillId="0" borderId="7" xfId="4" applyNumberFormat="1" applyFill="1" applyBorder="1" applyAlignment="1" applyProtection="1">
      <alignment horizontal="center" vertical="center"/>
    </xf>
    <xf numFmtId="0" fontId="0" fillId="0" borderId="14" xfId="0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 applyProtection="1">
      <alignment horizontal="right"/>
      <protection locked="0"/>
    </xf>
    <xf numFmtId="0" fontId="0" fillId="0" borderId="17" xfId="0" applyFill="1" applyBorder="1" applyAlignment="1" applyProtection="1">
      <alignment horizontal="right" vertical="center"/>
    </xf>
    <xf numFmtId="0" fontId="11" fillId="0" borderId="14" xfId="4" applyFill="1" applyBorder="1" applyAlignment="1" applyProtection="1">
      <alignment horizontal="right" vertical="center"/>
      <protection locked="0"/>
    </xf>
    <xf numFmtId="0" fontId="11" fillId="0" borderId="13" xfId="4" applyFill="1" applyBorder="1" applyAlignment="1" applyProtection="1">
      <alignment horizontal="right"/>
      <protection locked="0"/>
    </xf>
    <xf numFmtId="0" fontId="10" fillId="0" borderId="7" xfId="4" applyFont="1" applyFill="1" applyBorder="1" applyAlignment="1" applyProtection="1">
      <alignment horizontal="right"/>
    </xf>
    <xf numFmtId="0" fontId="11" fillId="0" borderId="12" xfId="4" applyFill="1" applyBorder="1" applyAlignment="1" applyProtection="1">
      <alignment horizontal="right" vertical="center"/>
      <protection locked="0"/>
    </xf>
    <xf numFmtId="0" fontId="11" fillId="0" borderId="14" xfId="4" applyFill="1" applyBorder="1" applyAlignment="1" applyProtection="1">
      <alignment horizontal="right"/>
      <protection locked="0"/>
    </xf>
    <xf numFmtId="0" fontId="0" fillId="0" borderId="10" xfId="0" applyFill="1" applyBorder="1" applyAlignment="1" applyProtection="1">
      <alignment horizontal="right" vertical="center"/>
      <protection locked="0"/>
    </xf>
    <xf numFmtId="0" fontId="0" fillId="0" borderId="10" xfId="0" applyFill="1" applyBorder="1" applyAlignment="1" applyProtection="1">
      <alignment horizontal="right" vertical="center"/>
    </xf>
    <xf numFmtId="0" fontId="10" fillId="0" borderId="10" xfId="0" applyFont="1" applyFill="1" applyBorder="1" applyAlignment="1" applyProtection="1">
      <alignment horizontal="right" vertical="center"/>
    </xf>
    <xf numFmtId="0" fontId="0" fillId="0" borderId="13" xfId="0" applyFill="1" applyBorder="1" applyAlignment="1" applyProtection="1">
      <alignment horizontal="right" vertical="center"/>
      <protection locked="0"/>
    </xf>
    <xf numFmtId="0" fontId="10" fillId="0" borderId="5" xfId="0" applyFont="1" applyFill="1" applyBorder="1" applyAlignment="1" applyProtection="1">
      <alignment horizontal="right" vertical="center"/>
    </xf>
    <xf numFmtId="0" fontId="11" fillId="0" borderId="13" xfId="4" applyFill="1" applyBorder="1" applyAlignment="1" applyProtection="1">
      <alignment horizontal="right" vertical="center"/>
      <protection locked="0"/>
    </xf>
    <xf numFmtId="0" fontId="10" fillId="0" borderId="7" xfId="4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horizontal="right" indent="1"/>
    </xf>
    <xf numFmtId="0" fontId="10" fillId="0" borderId="4" xfId="0" applyFont="1" applyFill="1" applyBorder="1" applyAlignment="1" applyProtection="1">
      <alignment horizontal="right" indent="1"/>
    </xf>
    <xf numFmtId="0" fontId="10" fillId="0" borderId="6" xfId="0" applyFont="1" applyFill="1" applyBorder="1" applyAlignment="1" applyProtection="1">
      <alignment horizontal="right" indent="1"/>
    </xf>
    <xf numFmtId="0" fontId="0" fillId="0" borderId="10" xfId="0" applyFill="1" applyBorder="1" applyAlignment="1" applyProtection="1">
      <alignment horizontal="right" vertical="center" indent="1"/>
      <protection locked="0"/>
    </xf>
    <xf numFmtId="0" fontId="0" fillId="0" borderId="10" xfId="0" applyFill="1" applyBorder="1" applyAlignment="1" applyProtection="1">
      <alignment horizontal="right" vertical="center" indent="1"/>
    </xf>
    <xf numFmtId="0" fontId="10" fillId="0" borderId="10" xfId="0" applyFont="1" applyFill="1" applyBorder="1" applyAlignment="1" applyProtection="1">
      <alignment horizontal="right" vertical="center" indent="1"/>
    </xf>
    <xf numFmtId="169" fontId="0" fillId="0" borderId="7" xfId="0" applyNumberFormat="1" applyFill="1" applyBorder="1" applyAlignment="1" applyProtection="1">
      <alignment vertical="center"/>
    </xf>
    <xf numFmtId="1" fontId="11" fillId="0" borderId="7" xfId="0" applyNumberFormat="1" applyFont="1" applyFill="1" applyBorder="1" applyAlignment="1" applyProtection="1">
      <alignment horizontal="right" vertical="center" indent="1"/>
    </xf>
    <xf numFmtId="1" fontId="11" fillId="0" borderId="7" xfId="4" applyNumberFormat="1" applyFill="1" applyBorder="1" applyAlignment="1" applyProtection="1">
      <alignment horizontal="right" vertical="center" indent="1"/>
    </xf>
    <xf numFmtId="0" fontId="0" fillId="0" borderId="13" xfId="0" applyFill="1" applyBorder="1" applyAlignment="1" applyProtection="1">
      <alignment horizontal="right" vertical="center" indent="1"/>
      <protection locked="0"/>
    </xf>
    <xf numFmtId="0" fontId="10" fillId="0" borderId="5" xfId="0" applyFont="1" applyFill="1" applyBorder="1" applyAlignment="1" applyProtection="1">
      <alignment horizontal="right" vertical="center" indent="1"/>
    </xf>
    <xf numFmtId="0" fontId="11" fillId="0" borderId="13" xfId="4" applyFill="1" applyBorder="1" applyAlignment="1" applyProtection="1">
      <alignment horizontal="right" vertical="center" indent="1"/>
      <protection locked="0"/>
    </xf>
    <xf numFmtId="0" fontId="10" fillId="0" borderId="7" xfId="4" applyFont="1" applyFill="1" applyBorder="1" applyAlignment="1" applyProtection="1">
      <alignment horizontal="right" vertical="center" indent="1"/>
    </xf>
    <xf numFmtId="0" fontId="11" fillId="0" borderId="14" xfId="4" applyFill="1" applyBorder="1" applyAlignment="1" applyProtection="1">
      <alignment horizontal="right" vertical="center" indent="1"/>
      <protection locked="0"/>
    </xf>
    <xf numFmtId="0" fontId="0" fillId="0" borderId="0" xfId="0" applyFill="1" applyAlignment="1" applyProtection="1"/>
    <xf numFmtId="166" fontId="0" fillId="0" borderId="7" xfId="0" applyNumberFormat="1" applyFill="1" applyBorder="1" applyAlignment="1" applyProtection="1"/>
    <xf numFmtId="1" fontId="11" fillId="0" borderId="7" xfId="0" applyNumberFormat="1" applyFont="1" applyFill="1" applyBorder="1" applyAlignment="1" applyProtection="1"/>
    <xf numFmtId="1" fontId="11" fillId="0" borderId="7" xfId="4" applyNumberFormat="1" applyFill="1" applyBorder="1" applyAlignment="1" applyProtection="1"/>
    <xf numFmtId="0" fontId="11" fillId="0" borderId="0" xfId="4" applyFill="1" applyAlignment="1" applyProtection="1"/>
    <xf numFmtId="166" fontId="11" fillId="0" borderId="7" xfId="4" applyNumberFormat="1" applyFill="1" applyBorder="1" applyAlignment="1" applyProtection="1"/>
    <xf numFmtId="0" fontId="5" fillId="0" borderId="0" xfId="0" applyFont="1" applyFill="1" applyBorder="1" applyAlignment="1" applyProtection="1">
      <alignment horizontal="left" indent="6"/>
    </xf>
    <xf numFmtId="0" fontId="8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 vertical="center"/>
    </xf>
    <xf numFmtId="0" fontId="10" fillId="0" borderId="1" xfId="0" applyFont="1" applyFill="1" applyBorder="1" applyAlignment="1" applyProtection="1">
      <alignment horizontal="center"/>
    </xf>
    <xf numFmtId="0" fontId="10" fillId="0" borderId="0" xfId="4" applyFont="1" applyFill="1" applyBorder="1" applyAlignment="1" applyProtection="1">
      <alignment horizontal="left" vertical="top" wrapText="1"/>
    </xf>
    <xf numFmtId="0" fontId="10" fillId="0" borderId="0" xfId="0" applyFont="1" applyFill="1" applyBorder="1" applyAlignment="1" applyProtection="1">
      <alignment horizontal="center" wrapText="1"/>
    </xf>
    <xf numFmtId="0" fontId="10" fillId="0" borderId="5" xfId="0" applyFont="1" applyFill="1" applyBorder="1" applyAlignment="1" applyProtection="1">
      <alignment horizontal="center" wrapText="1"/>
    </xf>
    <xf numFmtId="0" fontId="10" fillId="0" borderId="6" xfId="0" applyFont="1" applyFill="1" applyBorder="1" applyAlignment="1" applyProtection="1">
      <alignment horizontal="center" wrapText="1"/>
    </xf>
    <xf numFmtId="0" fontId="16" fillId="0" borderId="0" xfId="0" applyFont="1" applyFill="1" applyBorder="1" applyAlignment="1" applyProtection="1">
      <alignment horizontal="left" vertical="top" wrapText="1" indent="1"/>
    </xf>
    <xf numFmtId="0" fontId="10" fillId="0" borderId="0" xfId="0" applyFont="1" applyFill="1" applyBorder="1" applyAlignment="1" applyProtection="1">
      <alignment horizontal="left" vertical="top" wrapText="1"/>
    </xf>
    <xf numFmtId="0" fontId="16" fillId="0" borderId="0" xfId="4" applyFont="1" applyFill="1" applyBorder="1" applyAlignment="1" applyProtection="1">
      <alignment horizontal="left" vertical="top" wrapText="1" indent="1"/>
    </xf>
  </cellXfs>
  <cellStyles count="5">
    <cellStyle name="Comma 2 4" xfId="1"/>
    <cellStyle name="Currency 2 4" xfId="2"/>
    <cellStyle name="Normal" xfId="0" builtinId="0"/>
    <cellStyle name="Normal 2" xfId="4"/>
    <cellStyle name="Percent 1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firstButton="1" noThreeD="1"/>
</file>

<file path=xl/ctrlProps/ctrlProp10.xml><?xml version="1.0" encoding="utf-8"?>
<formControlPr xmlns="http://schemas.microsoft.com/office/spreadsheetml/2009/9/main" objectType="Radio" noThreeD="1"/>
</file>

<file path=xl/ctrlProps/ctrlProp11.xml><?xml version="1.0" encoding="utf-8"?>
<formControlPr xmlns="http://schemas.microsoft.com/office/spreadsheetml/2009/9/main" objectType="Radio" firstButton="1" noThreeD="1"/>
</file>

<file path=xl/ctrlProps/ctrlProp12.xml><?xml version="1.0" encoding="utf-8"?>
<formControlPr xmlns="http://schemas.microsoft.com/office/spreadsheetml/2009/9/main" objectType="Radio" noThreeD="1"/>
</file>

<file path=xl/ctrlProps/ctrlProp13.xml><?xml version="1.0" encoding="utf-8"?>
<formControlPr xmlns="http://schemas.microsoft.com/office/spreadsheetml/2009/9/main" objectType="Radio" firstButton="1" noThreeD="1"/>
</file>

<file path=xl/ctrlProps/ctrlProp14.xml><?xml version="1.0" encoding="utf-8"?>
<formControlPr xmlns="http://schemas.microsoft.com/office/spreadsheetml/2009/9/main" objectType="Radio" noThreeD="1"/>
</file>

<file path=xl/ctrlProps/ctrlProp2.xml><?xml version="1.0" encoding="utf-8"?>
<formControlPr xmlns="http://schemas.microsoft.com/office/spreadsheetml/2009/9/main" objectType="Radio" noThreeD="1"/>
</file>

<file path=xl/ctrlProps/ctrlProp3.xml><?xml version="1.0" encoding="utf-8"?>
<formControlPr xmlns="http://schemas.microsoft.com/office/spreadsheetml/2009/9/main" objectType="Radio" firstButton="1" noThreeD="1"/>
</file>

<file path=xl/ctrlProps/ctrlProp4.xml><?xml version="1.0" encoding="utf-8"?>
<formControlPr xmlns="http://schemas.microsoft.com/office/spreadsheetml/2009/9/main" objectType="Radio" noThreeD="1"/>
</file>

<file path=xl/ctrlProps/ctrlProp5.xml><?xml version="1.0" encoding="utf-8"?>
<formControlPr xmlns="http://schemas.microsoft.com/office/spreadsheetml/2009/9/main" objectType="Radio" firstButton="1" noThreeD="1"/>
</file>

<file path=xl/ctrlProps/ctrlProp6.xml><?xml version="1.0" encoding="utf-8"?>
<formControlPr xmlns="http://schemas.microsoft.com/office/spreadsheetml/2009/9/main" objectType="Radio" noThreeD="1"/>
</file>

<file path=xl/ctrlProps/ctrlProp7.xml><?xml version="1.0" encoding="utf-8"?>
<formControlPr xmlns="http://schemas.microsoft.com/office/spreadsheetml/2009/9/main" objectType="Radio" firstButton="1" noThreeD="1"/>
</file>

<file path=xl/ctrlProps/ctrlProp8.xml><?xml version="1.0" encoding="utf-8"?>
<formControlPr xmlns="http://schemas.microsoft.com/office/spreadsheetml/2009/9/main" objectType="Radio" noThreeD="1"/>
</file>

<file path=xl/ctrlProps/ctrlProp9.xml><?xml version="1.0" encoding="utf-8"?>
<formControlPr xmlns="http://schemas.microsoft.com/office/spreadsheetml/2009/9/main" objectType="Radio" firstButton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1025" name="Option Button 44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1026" name="Option Button 45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2049" name="Option Button 44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2050" name="Option Button 45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3073" name="Option Button 44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3074" name="Option Button 45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4097" name="Option Button 44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4098" name="Option Button 45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5121" name="Option Button 44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5122" name="Option Button 45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6145" name="Option Button 44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6146" name="Option Button 45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7169" name="Option Button 44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7170" name="Option Button 45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.%20TESI%20UTILITIES/ORPC/Application/Models/FInal%20Models/EB-2014-0105%202016%20ORPC%20Filing_Requirements_Chapter2_Appendices_Aug%2028%20201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B-2014-0105%202016%20ORPC%20Rate%20Design%20Model_20160519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EB-2014-0105%202016%20ORPC%20Data%20Storage_201605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A_Capital Projects 2010"/>
      <sheetName val="App.2-AA_Capital Projects 2011"/>
      <sheetName val="App.2-AA_Capital Projects 2012"/>
      <sheetName val="App.2-AA_Capital Projects 2013"/>
      <sheetName val="App.2-AA_Capital Projects 2014"/>
      <sheetName val="App.2-AA_Capital Projects 2015"/>
      <sheetName val="App.2-AA_Capital Projects 2016"/>
      <sheetName val="App.2-AB_Capital Expenditures"/>
      <sheetName val="App. 2-AC_Customer Engagement"/>
      <sheetName val="App.2-B_Acct Instructions"/>
      <sheetName val="App.2-BA_Fixed Asset Cont"/>
      <sheetName val="Appendix 2-BB Service Life  "/>
      <sheetName val="App.2-CA_OldCGAAP_DepExp_2012"/>
      <sheetName val="App.2-CB_NewCGAAP_DepExp_2012"/>
      <sheetName val="App.2-CC_NewCGAAP_DepExp_2013"/>
      <sheetName val="App.2-CD_MIFRS_DepExp_2014"/>
      <sheetName val="App.2-CE_MIFRS_DepExp_2015"/>
      <sheetName val="App.2-CF_MIFRS_DepExp_2016"/>
      <sheetName val="App.2-CG_OldCGAAP_DepExp_2013"/>
      <sheetName val="App.2-CH_NewCGAAP_DepExp_2013"/>
      <sheetName val="App.2-CI_MIFRS_DepExp_2014"/>
      <sheetName val="App.2-CJ MIFRS_DepExp_2015"/>
      <sheetName val="App.2-CK MIFRS_DepExp_2016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Act_Frcst_Data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PA_Res_Rate_Desig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W_Bill Impacts_hidden"/>
      <sheetName val="App.2-Y_MIFRS Summary Impacts"/>
      <sheetName val="App. 2-Z_Tariff"/>
      <sheetName val="lists"/>
      <sheetName val="lists2"/>
      <sheetName val="Sheet19"/>
    </sheetNames>
    <sheetDataSet>
      <sheetData sheetId="0">
        <row r="24">
          <cell r="E24">
            <v>2016</v>
          </cell>
        </row>
        <row r="28">
          <cell r="E28">
            <v>2010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"/>
      <sheetName val="A. LDC Info"/>
      <sheetName val="B. CurrentTariff"/>
      <sheetName val="C. Revenues at Curr Rates"/>
      <sheetName val="RATEBASE &amp; REV REQ -&gt;"/>
      <sheetName val="D. Rate Base"/>
      <sheetName val="E. Revenue Requirement"/>
      <sheetName val="COST ALLOC. &amp; RATE DESIGN -&gt;"/>
      <sheetName val="F. Cost Allocation &amp; RevAllocn"/>
      <sheetName val="G. RateDesign"/>
      <sheetName val="H. Rev_Reconciliation"/>
      <sheetName val="8.1 Res Rate Design"/>
      <sheetName val="Cost Allocation"/>
      <sheetName val="RATE RIDERS -&gt;"/>
      <sheetName val="I. SMRR"/>
      <sheetName val="J. DVA"/>
      <sheetName val="Foregone Revenue Rider"/>
      <sheetName val="K. Summary of Tariffs"/>
      <sheetName val="BILL IMPACT -&gt;"/>
      <sheetName val="Bill Impact - Res 10 Pct"/>
      <sheetName val="Bill Impact - Residential"/>
      <sheetName val="Bill Impact - GS&lt;50"/>
      <sheetName val="Bill Impact - GS&gt;50"/>
      <sheetName val="Bill Impact - Sentinel"/>
      <sheetName val="Bill Impact - StreetLight"/>
      <sheetName val="Bill Impact - USL"/>
      <sheetName val="RRWF -&gt;"/>
      <sheetName val="RRWF_Data_Input_Sheet"/>
      <sheetName val="RRWF_Rate_Base"/>
      <sheetName val="RRWF_Utility Income"/>
      <sheetName val="RRWF_Taxes_PILs"/>
      <sheetName val="RRWF_Cost_of_Capital"/>
      <sheetName val="RRWF_Rev_Def_Suff"/>
      <sheetName val="RRWF_Rev_Reqt"/>
      <sheetName val="Update to COS Application"/>
      <sheetName val="Settlement Proposal Tables"/>
    </sheetNames>
    <sheetDataSet>
      <sheetData sheetId="0" refreshError="1"/>
      <sheetData sheetId="1" refreshError="1"/>
      <sheetData sheetId="2">
        <row r="32">
          <cell r="C32">
            <v>10.99</v>
          </cell>
        </row>
        <row r="33">
          <cell r="C33">
            <v>1.4999999999999999E-2</v>
          </cell>
        </row>
        <row r="45">
          <cell r="C45">
            <v>6.3E-3</v>
          </cell>
        </row>
        <row r="46">
          <cell r="C46">
            <v>4.4999999999999997E-3</v>
          </cell>
        </row>
        <row r="53">
          <cell r="C53">
            <v>22.97</v>
          </cell>
        </row>
        <row r="54">
          <cell r="C54">
            <v>1.0500000000000001E-2</v>
          </cell>
        </row>
        <row r="74">
          <cell r="C74">
            <v>378.72</v>
          </cell>
        </row>
        <row r="75">
          <cell r="C75">
            <v>0.64890000000000003</v>
          </cell>
        </row>
        <row r="95">
          <cell r="C95">
            <v>2.6</v>
          </cell>
        </row>
        <row r="96">
          <cell r="C96">
            <v>7.8817000000000004</v>
          </cell>
        </row>
        <row r="116">
          <cell r="C116">
            <v>2.2200000000000002</v>
          </cell>
        </row>
        <row r="117">
          <cell r="C117">
            <v>12.1768</v>
          </cell>
        </row>
        <row r="137">
          <cell r="C137">
            <v>6.25</v>
          </cell>
        </row>
        <row r="138">
          <cell r="C138">
            <v>2E-3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6">
          <cell r="B46">
            <v>14.02</v>
          </cell>
          <cell r="G46">
            <v>1.2907742015678856E-2</v>
          </cell>
        </row>
        <row r="47">
          <cell r="B47">
            <v>22.97</v>
          </cell>
          <cell r="G47">
            <v>1.2086507052872055E-2</v>
          </cell>
        </row>
        <row r="48">
          <cell r="B48">
            <v>86.14</v>
          </cell>
          <cell r="G48">
            <v>3.4039094245470864</v>
          </cell>
        </row>
        <row r="49">
          <cell r="B49">
            <v>3</v>
          </cell>
          <cell r="G49">
            <v>8.4699306273870434</v>
          </cell>
        </row>
        <row r="50">
          <cell r="B50">
            <v>2.41</v>
          </cell>
          <cell r="G50">
            <v>12.07390522368609</v>
          </cell>
        </row>
        <row r="51">
          <cell r="B51">
            <v>10.85</v>
          </cell>
          <cell r="G51">
            <v>3.0624025836642481E-3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>
        <row r="13">
          <cell r="G13">
            <v>0.44513504962976164</v>
          </cell>
        </row>
        <row r="14">
          <cell r="G14">
            <v>1.6418004755377422</v>
          </cell>
        </row>
        <row r="15">
          <cell r="G15">
            <v>0</v>
          </cell>
        </row>
      </sheetData>
      <sheetData sheetId="15">
        <row r="16">
          <cell r="B16" t="str">
            <v>Rate Rider Calculation for Deferral / Variance Accounts Balances (excluding Global Adj.)</v>
          </cell>
        </row>
        <row r="20">
          <cell r="F20">
            <v>-8.4166580262031484E-4</v>
          </cell>
        </row>
        <row r="21">
          <cell r="F21">
            <v>-8.3436113445685444E-4</v>
          </cell>
        </row>
        <row r="22">
          <cell r="F22">
            <v>-0.29147197963987148</v>
          </cell>
        </row>
        <row r="23">
          <cell r="F23">
            <v>-8.2963951844851433E-4</v>
          </cell>
        </row>
        <row r="24">
          <cell r="F24">
            <v>-0.2978575680488329</v>
          </cell>
        </row>
        <row r="25">
          <cell r="F25">
            <v>-0.29480743664353892</v>
          </cell>
        </row>
        <row r="28">
          <cell r="B28" t="str">
            <v>Rate Rider Calculation for Deferral / Variance Accounts Balances (excluding Global Adj.) - NON-WMP</v>
          </cell>
        </row>
        <row r="32">
          <cell r="F32">
            <v>-2.6878065725373353E-3</v>
          </cell>
        </row>
        <row r="33">
          <cell r="F33">
            <v>-2.6878065725373349E-3</v>
          </cell>
        </row>
        <row r="34">
          <cell r="F34">
            <v>-0.94429000206206115</v>
          </cell>
        </row>
        <row r="35">
          <cell r="F35">
            <v>-2.6878065725373349E-3</v>
          </cell>
        </row>
        <row r="36">
          <cell r="F36">
            <v>-0.96497757312572141</v>
          </cell>
        </row>
        <row r="37">
          <cell r="F37">
            <v>-0.95509597629245713</v>
          </cell>
        </row>
        <row r="40">
          <cell r="B40" t="str">
            <v>Rate Rider Calculation for RSVA - Power - Global Adjustment</v>
          </cell>
        </row>
        <row r="46">
          <cell r="F46">
            <v>1.7426566679099138</v>
          </cell>
        </row>
        <row r="49">
          <cell r="F49">
            <v>1.7625987439720781</v>
          </cell>
        </row>
        <row r="65">
          <cell r="B65" t="str">
            <v>Rate Rider Calculation for Group 2 Accounts</v>
          </cell>
        </row>
        <row r="69">
          <cell r="F69">
            <v>5.9803012644498693E-2</v>
          </cell>
        </row>
        <row r="70">
          <cell r="F70">
            <v>8.0305657896044972E-5</v>
          </cell>
        </row>
        <row r="71">
          <cell r="F71">
            <v>2.8213276444467111E-2</v>
          </cell>
        </row>
        <row r="72">
          <cell r="F72">
            <v>8.0305657896044986E-5</v>
          </cell>
        </row>
        <row r="73">
          <cell r="F73">
            <v>2.8831374867736497E-2</v>
          </cell>
        </row>
        <row r="74">
          <cell r="F74">
            <v>2.8536134822241099E-2</v>
          </cell>
        </row>
        <row r="77">
          <cell r="B77" t="str">
            <v>Rate Rider Calculation for Accounts 1575 and 1576</v>
          </cell>
        </row>
        <row r="83">
          <cell r="F83">
            <v>-3.9452380925434662E-4</v>
          </cell>
        </row>
        <row r="84">
          <cell r="F84">
            <v>-3.9452380925434662E-4</v>
          </cell>
        </row>
        <row r="85">
          <cell r="F85">
            <v>-0.13860554269819739</v>
          </cell>
        </row>
        <row r="86">
          <cell r="F86">
            <v>-3.9452380925434662E-4</v>
          </cell>
        </row>
        <row r="87">
          <cell r="F87">
            <v>-0.14164212257103787</v>
          </cell>
        </row>
        <row r="88">
          <cell r="F88">
            <v>-0.14019167399188479</v>
          </cell>
        </row>
        <row r="91">
          <cell r="B91" t="str">
            <v>Rate Rider Calculation for Accounts 1568</v>
          </cell>
        </row>
        <row r="97">
          <cell r="F97">
            <v>2.9506096519263029E-4</v>
          </cell>
        </row>
        <row r="98">
          <cell r="F98">
            <v>3.3020595175903348E-4</v>
          </cell>
        </row>
        <row r="99">
          <cell r="F99">
            <v>0.10936276965303711</v>
          </cell>
        </row>
        <row r="100">
          <cell r="F100">
            <v>3.1128798591894326E-4</v>
          </cell>
        </row>
        <row r="101">
          <cell r="F101">
            <v>0.11175891074687587</v>
          </cell>
        </row>
        <row r="102">
          <cell r="F102">
            <v>6.0178622037680915E-2</v>
          </cell>
        </row>
      </sheetData>
      <sheetData sheetId="16" refreshError="1"/>
      <sheetData sheetId="17" refreshError="1"/>
      <sheetData sheetId="18" refreshError="1"/>
      <sheetData sheetId="19">
        <row r="26">
          <cell r="J26">
            <v>1.68</v>
          </cell>
        </row>
      </sheetData>
      <sheetData sheetId="20">
        <row r="26">
          <cell r="J26">
            <v>1.68</v>
          </cell>
        </row>
      </sheetData>
      <sheetData sheetId="21">
        <row r="26">
          <cell r="J26">
            <v>4.47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"/>
      <sheetName val="0.1 LDC Info"/>
      <sheetName val="0.2 Customer Classes"/>
      <sheetName val="0.3 Templ Event Log"/>
      <sheetName val="Exhibit 1 -&gt;"/>
      <sheetName val="1.1 Trial Balance Summary"/>
      <sheetName val="1.2.TB Historical Balances"/>
      <sheetName val="1.3 TB Projected Balances"/>
      <sheetName val="1.4 TB Variance Analysis"/>
      <sheetName val="1.5 Organizational Structure"/>
      <sheetName val="Exhibit 2 -&gt;"/>
      <sheetName val="2.1. Rate Base Trend "/>
      <sheetName val="2.2 RateBase VarAnalysis"/>
      <sheetName val="2.3 Summary of Capital Projects"/>
      <sheetName val="2.4 Var Capital Expenditures"/>
      <sheetName val="FIXED ASSET CONTINUITY STMT -&gt;"/>
      <sheetName val="2.5 Service Life Comp"/>
      <sheetName val="2.6 Fixed Asset Cont Stmt"/>
      <sheetName val="2.7 Overhead"/>
      <sheetName val="2.8 Stranded Meters"/>
      <sheetName val="DEPRECIATION EXPENSES -&gt;"/>
      <sheetName val="2.9 Depreciation Expenses"/>
      <sheetName val="2.10 DeprExp Bridge NewGAAP"/>
      <sheetName val="2.11 DeprExp Test NewGAAP"/>
      <sheetName val="2.12 Proposed REG Invest."/>
      <sheetName val="2.13 SQI"/>
      <sheetName val="Exhibit 3 -&gt;"/>
      <sheetName val="OPERATING REVENUES -&gt;"/>
      <sheetName val="3.1 Other Oper Rev Detail"/>
      <sheetName val="3.2 Other_Oper_Rev Sum"/>
      <sheetName val="PILs -&gt;"/>
      <sheetName val="3.3 PILs.TaxRate"/>
      <sheetName val="3.4 PILs.Sch 8 UCC"/>
      <sheetName val="3.5 PILs.Sch 10 CEC"/>
      <sheetName val="3.6 PILs Sch 7 LCF"/>
      <sheetName val="3.7 PILs.Reserves"/>
      <sheetName val="3.8 PILs.TxblIncome"/>
      <sheetName val="3.9. PILs.Final PILs"/>
      <sheetName val="LOAD FORECAST -&gt;"/>
      <sheetName val="3.10 LoadForecast"/>
      <sheetName val="Exhibit 4 -&gt;"/>
      <sheetName val="OM&amp;A -&gt;"/>
      <sheetName val="4.1 OM&amp;A_Detailed_Analysis"/>
      <sheetName val="4.2 OM&amp;A_Summary_Analys"/>
      <sheetName val="4.3 OMA Programs Final"/>
      <sheetName val="4.3 OMA Programs"/>
      <sheetName val="4.4 OM&amp;A_Cost _Drivers"/>
      <sheetName val="4.5 Monthly Staff Lvl"/>
      <sheetName val="4.6 Yearly Staff Turnover"/>
      <sheetName val="4.7 Employee Costs"/>
      <sheetName val="4.8. Charitable Donations"/>
      <sheetName val="4.9 OM&amp;A_per_Cust_FTEE"/>
      <sheetName val="4.10 Regulatory_Costs"/>
      <sheetName val="4.11 Supplier Purchases"/>
      <sheetName val="4.12 PowerSupplExp"/>
      <sheetName val="4.13 Corp_Cost_Allocation"/>
      <sheetName val="Exhibit 5 -&gt;"/>
      <sheetName val="5.1 Capital Structure"/>
      <sheetName val="5.2 Debt Instruments"/>
      <sheetName val="Exhibit 6 -&gt;"/>
      <sheetName val="6.1 Revenue Requirement"/>
      <sheetName val="6.2 Chg in RevReq"/>
      <sheetName val="6.3 Rev Deficiency Sufficiency"/>
      <sheetName val="6.4 Calc of ROE on Deemed Basis"/>
      <sheetName val="Exhibit 8 -&gt;"/>
      <sheetName val="8.1 Loss Factors"/>
      <sheetName val="8.2 IFRS Transition Costs"/>
      <sheetName val="8.3 Integrity Check"/>
    </sheetNames>
    <sheetDataSet>
      <sheetData sheetId="0" refreshError="1"/>
      <sheetData sheetId="1">
        <row r="11">
          <cell r="E11" t="str">
            <v>Ottawa River Power Corporation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4">
          <cell r="I14">
            <v>9542488.7199151032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9">
          <cell r="H19">
            <v>227185.29014291777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14">
          <cell r="I14">
            <v>9383.7903594694271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58">
          <cell r="N58">
            <v>5.9083602245513928E-3</v>
          </cell>
        </row>
        <row r="59">
          <cell r="N59">
            <v>5.4394427051232775E-3</v>
          </cell>
        </row>
        <row r="60">
          <cell r="N60">
            <v>2.221074480589547</v>
          </cell>
        </row>
        <row r="61">
          <cell r="N61">
            <v>1.6835044305615157</v>
          </cell>
        </row>
        <row r="62">
          <cell r="N62">
            <v>1.6749743229237766</v>
          </cell>
        </row>
        <row r="63">
          <cell r="N63">
            <v>5.4394385425159753E-3</v>
          </cell>
        </row>
        <row r="74">
          <cell r="N74">
            <v>4.5291837326333229E-3</v>
          </cell>
        </row>
        <row r="75">
          <cell r="N75">
            <v>4.0259412268579828E-3</v>
          </cell>
        </row>
        <row r="76">
          <cell r="N76">
            <v>1.6062498283035462</v>
          </cell>
        </row>
        <row r="77">
          <cell r="N77">
            <v>1.2677724745637995</v>
          </cell>
        </row>
        <row r="78">
          <cell r="N78">
            <v>1.2418007380417413</v>
          </cell>
        </row>
        <row r="79">
          <cell r="N79">
            <v>4.0259349604509975E-3</v>
          </cell>
        </row>
        <row r="171">
          <cell r="I171">
            <v>8.0000000000000004E-4</v>
          </cell>
        </row>
        <row r="172">
          <cell r="I172">
            <v>6.9999999999999999E-4</v>
          </cell>
        </row>
        <row r="173">
          <cell r="I173">
            <v>0.2787</v>
          </cell>
        </row>
        <row r="174">
          <cell r="I174">
            <v>0.22</v>
          </cell>
        </row>
        <row r="176">
          <cell r="I176">
            <v>6.9999999999999999E-4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>
        <row r="13">
          <cell r="J13">
            <v>3064963.9215667699</v>
          </cell>
        </row>
      </sheetData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4">
    <pageSetUpPr fitToPage="1"/>
  </sheetPr>
  <dimension ref="A1:T92"/>
  <sheetViews>
    <sheetView showGridLines="0" tabSelected="1" topLeftCell="A22" workbookViewId="0">
      <selection activeCell="V30" sqref="V30"/>
    </sheetView>
  </sheetViews>
  <sheetFormatPr defaultRowHeight="12.75"/>
  <cols>
    <col min="1" max="1" width="11.28515625" style="12" customWidth="1"/>
    <col min="2" max="2" width="26.570312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12" customWidth="1"/>
    <col min="8" max="8" width="11.140625" style="12" customWidth="1"/>
    <col min="9" max="9" width="2.85546875" style="12" customWidth="1"/>
    <col min="10" max="10" width="12.140625" style="12" customWidth="1"/>
    <col min="11" max="11" width="8.5703125" style="12" customWidth="1"/>
    <col min="12" max="12" width="9.7109375" style="12" customWidth="1"/>
    <col min="13" max="13" width="2.85546875" style="12" customWidth="1"/>
    <col min="14" max="14" width="12.71093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5"/>
      <c r="H2" s="5"/>
      <c r="I2" s="5"/>
      <c r="J2" s="5"/>
      <c r="K2" s="5"/>
      <c r="N2" s="3"/>
      <c r="O2" s="7"/>
    </row>
    <row r="3" spans="1:20" s="2" customFormat="1" ht="12.75" customHeight="1">
      <c r="A3" s="288"/>
      <c r="B3" s="288"/>
      <c r="C3" s="288"/>
      <c r="D3" s="288"/>
      <c r="E3" s="288"/>
      <c r="F3" s="288"/>
      <c r="G3" s="288"/>
      <c r="H3" s="288"/>
      <c r="I3" s="288"/>
      <c r="J3" s="288"/>
      <c r="K3" s="288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5"/>
      <c r="H4" s="5"/>
      <c r="I4" s="8"/>
      <c r="J4" s="8"/>
      <c r="K4" s="8"/>
      <c r="N4" s="3"/>
      <c r="O4" s="7"/>
    </row>
    <row r="5" spans="1:20" s="2" customFormat="1" ht="12.75" customHeight="1">
      <c r="B5" s="9"/>
      <c r="C5" s="10"/>
      <c r="D5" s="10"/>
      <c r="E5" s="10"/>
      <c r="N5" s="3"/>
      <c r="O5" s="4"/>
    </row>
    <row r="6" spans="1:20" s="2" customFormat="1" ht="12.75" customHeight="1">
      <c r="B6" s="9"/>
      <c r="N6" s="3"/>
      <c r="O6" s="11"/>
    </row>
    <row r="7" spans="1:20" s="2" customFormat="1" ht="12.75" customHeight="1">
      <c r="B7" s="9"/>
      <c r="N7" s="3"/>
      <c r="O7" s="4"/>
    </row>
    <row r="8" spans="1:20" s="2" customFormat="1" ht="12.75" customHeight="1">
      <c r="B8" s="9"/>
    </row>
    <row r="9" spans="1:20" ht="12.75" customHeight="1"/>
    <row r="10" spans="1:20" s="130" customFormat="1" ht="18.75" customHeight="1">
      <c r="B10" s="289" t="s">
        <v>0</v>
      </c>
      <c r="C10" s="289"/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89"/>
      <c r="O10" s="289"/>
    </row>
    <row r="11" spans="1:20" ht="18.75" customHeight="1">
      <c r="B11" s="290" t="s">
        <v>1</v>
      </c>
      <c r="C11" s="290"/>
      <c r="D11" s="290"/>
      <c r="E11" s="290"/>
      <c r="F11" s="290"/>
      <c r="G11" s="290"/>
      <c r="H11" s="290"/>
      <c r="I11" s="290"/>
      <c r="J11" s="290"/>
      <c r="K11" s="290"/>
      <c r="L11" s="290"/>
      <c r="M11" s="290"/>
      <c r="N11" s="290"/>
      <c r="O11" s="290"/>
    </row>
    <row r="12" spans="1:20" ht="7.5" customHeight="1"/>
    <row r="13" spans="1:20" ht="7.5" customHeight="1"/>
    <row r="14" spans="1:20" ht="15.75">
      <c r="B14" s="131" t="s">
        <v>2</v>
      </c>
      <c r="D14" s="291" t="s">
        <v>3</v>
      </c>
      <c r="E14" s="291"/>
      <c r="F14" s="291"/>
      <c r="G14" s="291"/>
      <c r="H14" s="291"/>
      <c r="I14" s="291"/>
      <c r="J14" s="291"/>
      <c r="K14" s="291"/>
      <c r="L14" s="291"/>
      <c r="M14" s="291"/>
      <c r="N14" s="291"/>
      <c r="O14" s="291"/>
    </row>
    <row r="15" spans="1:20" ht="7.5" customHeight="1">
      <c r="B15" s="132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spans="1:20" ht="15.75">
      <c r="B16" s="131" t="s">
        <v>4</v>
      </c>
      <c r="D16" s="134" t="s">
        <v>5</v>
      </c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spans="1:15" ht="15.75">
      <c r="B17" s="132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spans="1:15">
      <c r="B18" s="135"/>
      <c r="D18" s="136" t="s">
        <v>6</v>
      </c>
      <c r="E18" s="136"/>
      <c r="F18" s="137">
        <v>206</v>
      </c>
      <c r="G18" s="136" t="s">
        <v>7</v>
      </c>
    </row>
    <row r="19" spans="1:15">
      <c r="B19" s="135"/>
    </row>
    <row r="20" spans="1:15">
      <c r="B20" s="135"/>
      <c r="D20" s="138"/>
      <c r="E20" s="138"/>
      <c r="F20" s="292" t="s">
        <v>8</v>
      </c>
      <c r="G20" s="292"/>
      <c r="H20" s="292"/>
      <c r="J20" s="292" t="s">
        <v>9</v>
      </c>
      <c r="K20" s="292"/>
      <c r="L20" s="292"/>
      <c r="N20" s="292" t="s">
        <v>10</v>
      </c>
      <c r="O20" s="292"/>
    </row>
    <row r="21" spans="1:15">
      <c r="B21" s="135"/>
      <c r="D21" s="294" t="s">
        <v>11</v>
      </c>
      <c r="E21" s="139"/>
      <c r="F21" s="140" t="s">
        <v>12</v>
      </c>
      <c r="G21" s="140" t="s">
        <v>13</v>
      </c>
      <c r="H21" s="141" t="s">
        <v>14</v>
      </c>
      <c r="J21" s="140" t="s">
        <v>12</v>
      </c>
      <c r="K21" s="142" t="s">
        <v>13</v>
      </c>
      <c r="L21" s="141" t="s">
        <v>14</v>
      </c>
      <c r="N21" s="295" t="s">
        <v>15</v>
      </c>
      <c r="O21" s="296" t="s">
        <v>16</v>
      </c>
    </row>
    <row r="22" spans="1:15">
      <c r="B22" s="135"/>
      <c r="D22" s="294"/>
      <c r="E22" s="139"/>
      <c r="F22" s="143" t="s">
        <v>17</v>
      </c>
      <c r="G22" s="143"/>
      <c r="H22" s="144" t="s">
        <v>17</v>
      </c>
      <c r="J22" s="143" t="s">
        <v>17</v>
      </c>
      <c r="K22" s="144"/>
      <c r="L22" s="144" t="s">
        <v>17</v>
      </c>
      <c r="N22" s="295"/>
      <c r="O22" s="296"/>
    </row>
    <row r="23" spans="1:15">
      <c r="B23" s="145" t="s">
        <v>18</v>
      </c>
      <c r="C23" s="20"/>
      <c r="D23" s="146" t="s">
        <v>19</v>
      </c>
      <c r="E23" s="14"/>
      <c r="F23" s="147">
        <f>'[2]B. CurrentTariff'!C32</f>
        <v>10.99</v>
      </c>
      <c r="G23" s="15">
        <v>1</v>
      </c>
      <c r="H23" s="16">
        <f>G23*F23</f>
        <v>10.99</v>
      </c>
      <c r="I23" s="28"/>
      <c r="J23" s="148">
        <f>'[2]G. RateDesign'!B46</f>
        <v>14.02</v>
      </c>
      <c r="K23" s="17">
        <v>1</v>
      </c>
      <c r="L23" s="16">
        <f>K23*J23</f>
        <v>14.02</v>
      </c>
      <c r="M23" s="28"/>
      <c r="N23" s="149">
        <f>L23-H23</f>
        <v>3.0299999999999994</v>
      </c>
      <c r="O23" s="18">
        <f>IF((H23)=0,"",(N23/H23))</f>
        <v>0.27570518653321197</v>
      </c>
    </row>
    <row r="24" spans="1:15">
      <c r="A24" s="19"/>
      <c r="B24" s="145" t="s">
        <v>20</v>
      </c>
      <c r="C24" s="20"/>
      <c r="D24" s="146"/>
      <c r="E24" s="14"/>
      <c r="F24" s="150"/>
      <c r="G24" s="15">
        <v>1</v>
      </c>
      <c r="H24" s="16">
        <f t="shared" ref="H24:H38" si="0">G24*F24</f>
        <v>0</v>
      </c>
      <c r="I24" s="28"/>
      <c r="J24" s="148"/>
      <c r="K24" s="17">
        <v>1</v>
      </c>
      <c r="L24" s="16">
        <f>K24*J24</f>
        <v>0</v>
      </c>
      <c r="M24" s="28"/>
      <c r="N24" s="149">
        <f>L24-H24</f>
        <v>0</v>
      </c>
      <c r="O24" s="18" t="str">
        <f>IF((H24)=0,"",(N24/H24))</f>
        <v/>
      </c>
    </row>
    <row r="25" spans="1:15">
      <c r="A25" s="19"/>
      <c r="B25" s="151" t="s">
        <v>21</v>
      </c>
      <c r="C25" s="20"/>
      <c r="D25" s="146" t="s">
        <v>19</v>
      </c>
      <c r="E25" s="14"/>
      <c r="F25" s="150"/>
      <c r="G25" s="15">
        <v>1</v>
      </c>
      <c r="H25" s="16">
        <f t="shared" si="0"/>
        <v>0</v>
      </c>
      <c r="I25" s="28"/>
      <c r="J25" s="148">
        <f>'[2]I. SMRR'!G13</f>
        <v>0.44513504962976164</v>
      </c>
      <c r="K25" s="17">
        <v>1</v>
      </c>
      <c r="L25" s="16">
        <f t="shared" ref="L25:L38" si="1">K25*J25</f>
        <v>0.44513504962976164</v>
      </c>
      <c r="M25" s="28"/>
      <c r="N25" s="149">
        <f t="shared" ref="N25:N67" si="2">L25-H25</f>
        <v>0.44513504962976164</v>
      </c>
      <c r="O25" s="18" t="str">
        <f t="shared" ref="O25:O47" si="3">IF((H25)=0,"",(N25/H25))</f>
        <v/>
      </c>
    </row>
    <row r="26" spans="1:15">
      <c r="A26" s="19"/>
      <c r="B26" s="145" t="s">
        <v>22</v>
      </c>
      <c r="C26" s="20"/>
      <c r="D26" s="146"/>
      <c r="E26" s="14"/>
      <c r="F26" s="150"/>
      <c r="G26" s="15">
        <v>1</v>
      </c>
      <c r="H26" s="16">
        <f t="shared" si="0"/>
        <v>0</v>
      </c>
      <c r="I26" s="28"/>
      <c r="J26" s="148">
        <f>'[2]Bill Impact - Res 10 Pct'!$J$26</f>
        <v>1.68</v>
      </c>
      <c r="K26" s="17">
        <v>1</v>
      </c>
      <c r="L26" s="16">
        <f t="shared" si="1"/>
        <v>1.68</v>
      </c>
      <c r="M26" s="28"/>
      <c r="N26" s="149">
        <f t="shared" si="2"/>
        <v>1.68</v>
      </c>
      <c r="O26" s="18" t="str">
        <f t="shared" si="3"/>
        <v/>
      </c>
    </row>
    <row r="27" spans="1:15">
      <c r="A27" s="19"/>
      <c r="B27" s="152"/>
      <c r="C27" s="20"/>
      <c r="D27" s="146"/>
      <c r="E27" s="14"/>
      <c r="F27" s="150"/>
      <c r="G27" s="15">
        <v>1</v>
      </c>
      <c r="H27" s="16">
        <f t="shared" si="0"/>
        <v>0</v>
      </c>
      <c r="I27" s="28"/>
      <c r="J27" s="31"/>
      <c r="K27" s="17">
        <v>1</v>
      </c>
      <c r="L27" s="16">
        <f t="shared" si="1"/>
        <v>0</v>
      </c>
      <c r="M27" s="28"/>
      <c r="N27" s="149">
        <f t="shared" si="2"/>
        <v>0</v>
      </c>
      <c r="O27" s="18" t="str">
        <f t="shared" si="3"/>
        <v/>
      </c>
    </row>
    <row r="28" spans="1:15">
      <c r="A28" s="19"/>
      <c r="B28" s="152"/>
      <c r="C28" s="20"/>
      <c r="D28" s="146"/>
      <c r="E28" s="14"/>
      <c r="F28" s="150"/>
      <c r="G28" s="15">
        <v>1</v>
      </c>
      <c r="H28" s="16">
        <f t="shared" si="0"/>
        <v>0</v>
      </c>
      <c r="I28" s="28"/>
      <c r="J28" s="31"/>
      <c r="K28" s="17">
        <v>1</v>
      </c>
      <c r="L28" s="16">
        <f t="shared" si="1"/>
        <v>0</v>
      </c>
      <c r="M28" s="28"/>
      <c r="N28" s="149">
        <f t="shared" si="2"/>
        <v>0</v>
      </c>
      <c r="O28" s="18" t="str">
        <f t="shared" si="3"/>
        <v/>
      </c>
    </row>
    <row r="29" spans="1:15">
      <c r="A29" s="19"/>
      <c r="B29" s="145" t="s">
        <v>23</v>
      </c>
      <c r="C29" s="20"/>
      <c r="D29" s="146" t="s">
        <v>24</v>
      </c>
      <c r="E29" s="14"/>
      <c r="F29" s="150">
        <f>'[2]B. CurrentTariff'!C33</f>
        <v>1.4999999999999999E-2</v>
      </c>
      <c r="G29" s="15">
        <f t="shared" ref="G29:G38" si="4">$F$18</f>
        <v>206</v>
      </c>
      <c r="H29" s="16">
        <f t="shared" si="0"/>
        <v>3.09</v>
      </c>
      <c r="I29" s="28"/>
      <c r="J29" s="31">
        <f>'[2]G. RateDesign'!G46</f>
        <v>1.2907742015678856E-2</v>
      </c>
      <c r="K29" s="15">
        <f>$F$18</f>
        <v>206</v>
      </c>
      <c r="L29" s="16">
        <f t="shared" si="1"/>
        <v>2.6589948552298441</v>
      </c>
      <c r="M29" s="28"/>
      <c r="N29" s="149">
        <f t="shared" si="2"/>
        <v>-0.43100514477015572</v>
      </c>
      <c r="O29" s="18">
        <f t="shared" si="3"/>
        <v>-0.13948386562140963</v>
      </c>
    </row>
    <row r="30" spans="1:15">
      <c r="A30" s="19"/>
      <c r="B30" s="145" t="s">
        <v>22</v>
      </c>
      <c r="C30" s="20"/>
      <c r="D30" s="146" t="s">
        <v>24</v>
      </c>
      <c r="E30" s="14"/>
      <c r="F30" s="150"/>
      <c r="G30" s="15">
        <f t="shared" si="4"/>
        <v>206</v>
      </c>
      <c r="H30" s="16">
        <f t="shared" si="0"/>
        <v>0</v>
      </c>
      <c r="I30" s="28"/>
      <c r="J30" s="31"/>
      <c r="K30" s="15">
        <f t="shared" ref="K30:K38" si="5">$F$18</f>
        <v>206</v>
      </c>
      <c r="L30" s="16">
        <f t="shared" si="1"/>
        <v>0</v>
      </c>
      <c r="M30" s="28"/>
      <c r="N30" s="149">
        <f t="shared" si="2"/>
        <v>0</v>
      </c>
      <c r="O30" s="18" t="str">
        <f t="shared" si="3"/>
        <v/>
      </c>
    </row>
    <row r="31" spans="1:15">
      <c r="A31" s="19"/>
      <c r="B31" s="145" t="s">
        <v>25</v>
      </c>
      <c r="C31" s="20"/>
      <c r="D31" s="146" t="s">
        <v>24</v>
      </c>
      <c r="E31" s="14"/>
      <c r="F31" s="150"/>
      <c r="G31" s="15">
        <f t="shared" si="4"/>
        <v>206</v>
      </c>
      <c r="H31" s="16">
        <f t="shared" si="0"/>
        <v>0</v>
      </c>
      <c r="I31" s="28"/>
      <c r="J31" s="31"/>
      <c r="K31" s="15">
        <f t="shared" si="5"/>
        <v>206</v>
      </c>
      <c r="L31" s="16">
        <f t="shared" si="1"/>
        <v>0</v>
      </c>
      <c r="M31" s="28"/>
      <c r="N31" s="149">
        <f t="shared" si="2"/>
        <v>0</v>
      </c>
      <c r="O31" s="18" t="str">
        <f t="shared" si="3"/>
        <v/>
      </c>
    </row>
    <row r="32" spans="1:15">
      <c r="A32" s="19"/>
      <c r="B32" s="151"/>
      <c r="C32" s="20"/>
      <c r="D32" s="146"/>
      <c r="E32" s="14"/>
      <c r="F32" s="150"/>
      <c r="G32" s="15">
        <f t="shared" si="4"/>
        <v>206</v>
      </c>
      <c r="H32" s="16">
        <f>G32*F32</f>
        <v>0</v>
      </c>
      <c r="I32" s="28"/>
      <c r="J32" s="31"/>
      <c r="K32" s="15">
        <f t="shared" si="5"/>
        <v>206</v>
      </c>
      <c r="L32" s="16">
        <f>K32*J32</f>
        <v>0</v>
      </c>
      <c r="M32" s="28"/>
      <c r="N32" s="149">
        <f>L32-H32</f>
        <v>0</v>
      </c>
      <c r="O32" s="18" t="str">
        <f>IF((H32)=0,"",(N32/H32))</f>
        <v/>
      </c>
    </row>
    <row r="33" spans="1:15">
      <c r="A33" s="19"/>
      <c r="B33" s="151"/>
      <c r="C33" s="20"/>
      <c r="D33" s="146"/>
      <c r="E33" s="14"/>
      <c r="F33" s="150"/>
      <c r="G33" s="15">
        <f t="shared" si="4"/>
        <v>206</v>
      </c>
      <c r="H33" s="16">
        <f>G33*F33</f>
        <v>0</v>
      </c>
      <c r="I33" s="28"/>
      <c r="J33" s="31"/>
      <c r="K33" s="15">
        <f t="shared" si="5"/>
        <v>206</v>
      </c>
      <c r="L33" s="16">
        <f>K33*J33</f>
        <v>0</v>
      </c>
      <c r="M33" s="28"/>
      <c r="N33" s="149">
        <f>L33-H33</f>
        <v>0</v>
      </c>
      <c r="O33" s="18" t="str">
        <f>IF((H33)=0,"",(N33/H33))</f>
        <v/>
      </c>
    </row>
    <row r="34" spans="1:15">
      <c r="A34" s="19"/>
      <c r="B34" s="151"/>
      <c r="C34" s="20"/>
      <c r="D34" s="146"/>
      <c r="E34" s="14"/>
      <c r="F34" s="150"/>
      <c r="G34" s="15">
        <f t="shared" si="4"/>
        <v>206</v>
      </c>
      <c r="H34" s="16">
        <f>G34*F34</f>
        <v>0</v>
      </c>
      <c r="I34" s="28"/>
      <c r="J34" s="31"/>
      <c r="K34" s="15">
        <f t="shared" si="5"/>
        <v>206</v>
      </c>
      <c r="L34" s="16">
        <f>K34*J34</f>
        <v>0</v>
      </c>
      <c r="M34" s="28"/>
      <c r="N34" s="149">
        <f>L34-H34</f>
        <v>0</v>
      </c>
      <c r="O34" s="18" t="str">
        <f>IF((H34)=0,"",(N34/H34))</f>
        <v/>
      </c>
    </row>
    <row r="35" spans="1:15">
      <c r="A35" s="19"/>
      <c r="B35" s="151"/>
      <c r="C35" s="20"/>
      <c r="D35" s="146"/>
      <c r="E35" s="14"/>
      <c r="F35" s="150"/>
      <c r="G35" s="15">
        <f t="shared" si="4"/>
        <v>206</v>
      </c>
      <c r="H35" s="16">
        <f t="shared" si="0"/>
        <v>0</v>
      </c>
      <c r="I35" s="28"/>
      <c r="J35" s="31"/>
      <c r="K35" s="15">
        <f t="shared" si="5"/>
        <v>206</v>
      </c>
      <c r="L35" s="16">
        <f t="shared" si="1"/>
        <v>0</v>
      </c>
      <c r="M35" s="28"/>
      <c r="N35" s="149">
        <f t="shared" si="2"/>
        <v>0</v>
      </c>
      <c r="O35" s="18" t="str">
        <f t="shared" si="3"/>
        <v/>
      </c>
    </row>
    <row r="36" spans="1:15">
      <c r="A36" s="19"/>
      <c r="B36" s="151"/>
      <c r="C36" s="20"/>
      <c r="D36" s="146"/>
      <c r="E36" s="14"/>
      <c r="F36" s="150"/>
      <c r="G36" s="15">
        <f t="shared" si="4"/>
        <v>206</v>
      </c>
      <c r="H36" s="16">
        <f t="shared" si="0"/>
        <v>0</v>
      </c>
      <c r="I36" s="28"/>
      <c r="J36" s="31"/>
      <c r="K36" s="15">
        <f t="shared" si="5"/>
        <v>206</v>
      </c>
      <c r="L36" s="16">
        <f t="shared" si="1"/>
        <v>0</v>
      </c>
      <c r="M36" s="28"/>
      <c r="N36" s="149">
        <f t="shared" si="2"/>
        <v>0</v>
      </c>
      <c r="O36" s="18" t="str">
        <f t="shared" si="3"/>
        <v/>
      </c>
    </row>
    <row r="37" spans="1:15">
      <c r="A37" s="19"/>
      <c r="B37" s="151"/>
      <c r="C37" s="20"/>
      <c r="D37" s="146"/>
      <c r="E37" s="14"/>
      <c r="F37" s="150"/>
      <c r="G37" s="15">
        <f t="shared" si="4"/>
        <v>206</v>
      </c>
      <c r="H37" s="16">
        <f t="shared" si="0"/>
        <v>0</v>
      </c>
      <c r="I37" s="28"/>
      <c r="J37" s="31"/>
      <c r="K37" s="15">
        <f t="shared" si="5"/>
        <v>206</v>
      </c>
      <c r="L37" s="16">
        <f t="shared" si="1"/>
        <v>0</v>
      </c>
      <c r="M37" s="28"/>
      <c r="N37" s="149">
        <f t="shared" si="2"/>
        <v>0</v>
      </c>
      <c r="O37" s="18" t="str">
        <f t="shared" si="3"/>
        <v/>
      </c>
    </row>
    <row r="38" spans="1:15">
      <c r="A38" s="19"/>
      <c r="B38" s="151"/>
      <c r="C38" s="20"/>
      <c r="D38" s="146"/>
      <c r="E38" s="14"/>
      <c r="F38" s="150"/>
      <c r="G38" s="15">
        <f t="shared" si="4"/>
        <v>206</v>
      </c>
      <c r="H38" s="16">
        <f t="shared" si="0"/>
        <v>0</v>
      </c>
      <c r="I38" s="28"/>
      <c r="J38" s="31"/>
      <c r="K38" s="15">
        <f t="shared" si="5"/>
        <v>206</v>
      </c>
      <c r="L38" s="16">
        <f t="shared" si="1"/>
        <v>0</v>
      </c>
      <c r="M38" s="28"/>
      <c r="N38" s="149">
        <f t="shared" si="2"/>
        <v>0</v>
      </c>
      <c r="O38" s="18" t="str">
        <f t="shared" si="3"/>
        <v/>
      </c>
    </row>
    <row r="39" spans="1:15">
      <c r="A39" s="19"/>
      <c r="B39" s="153" t="s">
        <v>26</v>
      </c>
      <c r="C39" s="154"/>
      <c r="D39" s="155"/>
      <c r="E39" s="154"/>
      <c r="F39" s="156"/>
      <c r="G39" s="157"/>
      <c r="H39" s="158">
        <f>SUM(H23:H38)</f>
        <v>14.08</v>
      </c>
      <c r="I39" s="28"/>
      <c r="J39" s="159"/>
      <c r="K39" s="160"/>
      <c r="L39" s="158">
        <f>SUM(L23:L38)</f>
        <v>18.804129904859607</v>
      </c>
      <c r="M39" s="28"/>
      <c r="N39" s="161">
        <f t="shared" si="2"/>
        <v>4.7241299048596073</v>
      </c>
      <c r="O39" s="162">
        <f t="shared" si="3"/>
        <v>0.33552058983377891</v>
      </c>
    </row>
    <row r="40" spans="1:15" ht="51">
      <c r="A40" s="163"/>
      <c r="B40" s="164" t="str">
        <f>'[2]J. DVA'!$B$16</f>
        <v>Rate Rider Calculation for Deferral / Variance Accounts Balances (excluding Global Adj.)</v>
      </c>
      <c r="C40" s="20"/>
      <c r="D40" s="165" t="s">
        <v>24</v>
      </c>
      <c r="E40" s="20"/>
      <c r="F40" s="166"/>
      <c r="G40" s="21">
        <f t="shared" ref="G40:G46" si="6">$F$18</f>
        <v>206</v>
      </c>
      <c r="H40" s="22">
        <f t="shared" ref="H40:H48" si="7">G40*F40</f>
        <v>0</v>
      </c>
      <c r="I40" s="167"/>
      <c r="J40" s="166">
        <f>'[2]J. DVA'!F20</f>
        <v>-8.4166580262031484E-4</v>
      </c>
      <c r="K40" s="21">
        <f t="shared" ref="K40:K46" si="8">$F$18</f>
        <v>206</v>
      </c>
      <c r="L40" s="22">
        <f t="shared" ref="L40:L48" si="9">K40*J40</f>
        <v>-0.17338315533978485</v>
      </c>
      <c r="M40" s="167"/>
      <c r="N40" s="168">
        <f t="shared" si="2"/>
        <v>-0.17338315533978485</v>
      </c>
      <c r="O40" s="23" t="str">
        <f t="shared" si="3"/>
        <v/>
      </c>
    </row>
    <row r="41" spans="1:15" ht="51">
      <c r="A41" s="169"/>
      <c r="B41" s="164" t="str">
        <f>'[2]J. DVA'!$B$28</f>
        <v>Rate Rider Calculation for Deferral / Variance Accounts Balances (excluding Global Adj.) - NON-WMP</v>
      </c>
      <c r="C41" s="20"/>
      <c r="D41" s="165" t="s">
        <v>24</v>
      </c>
      <c r="E41" s="20"/>
      <c r="F41" s="166"/>
      <c r="G41" s="21">
        <f t="shared" si="6"/>
        <v>206</v>
      </c>
      <c r="H41" s="22">
        <f t="shared" si="7"/>
        <v>0</v>
      </c>
      <c r="I41" s="167"/>
      <c r="J41" s="166">
        <f>'[2]J. DVA'!F32</f>
        <v>-2.6878065725373353E-3</v>
      </c>
      <c r="K41" s="21">
        <f t="shared" si="8"/>
        <v>206</v>
      </c>
      <c r="L41" s="22">
        <f t="shared" si="9"/>
        <v>-0.55368815394269111</v>
      </c>
      <c r="M41" s="167"/>
      <c r="N41" s="168">
        <f t="shared" si="2"/>
        <v>-0.55368815394269111</v>
      </c>
      <c r="O41" s="23" t="str">
        <f t="shared" si="3"/>
        <v/>
      </c>
    </row>
    <row r="42" spans="1:15" ht="38.25">
      <c r="A42" s="169"/>
      <c r="B42" s="164" t="str">
        <f>'[2]J. DVA'!$B$40</f>
        <v>Rate Rider Calculation for RSVA - Power - Global Adjustment</v>
      </c>
      <c r="C42" s="20"/>
      <c r="D42" s="165" t="s">
        <v>24</v>
      </c>
      <c r="E42" s="20"/>
      <c r="F42" s="166"/>
      <c r="G42" s="21">
        <f t="shared" si="6"/>
        <v>206</v>
      </c>
      <c r="H42" s="22"/>
      <c r="I42" s="167"/>
      <c r="J42" s="166"/>
      <c r="K42" s="21">
        <f t="shared" si="8"/>
        <v>206</v>
      </c>
      <c r="L42" s="22">
        <f t="shared" si="9"/>
        <v>0</v>
      </c>
      <c r="M42" s="167"/>
      <c r="N42" s="168">
        <f t="shared" si="2"/>
        <v>0</v>
      </c>
      <c r="O42" s="23" t="str">
        <f t="shared" si="3"/>
        <v/>
      </c>
    </row>
    <row r="43" spans="1:15" ht="25.5">
      <c r="A43" s="169"/>
      <c r="B43" s="164" t="str">
        <f>'[2]J. DVA'!$B$65</f>
        <v>Rate Rider Calculation for Group 2 Accounts</v>
      </c>
      <c r="C43" s="20"/>
      <c r="D43" s="165" t="s">
        <v>19</v>
      </c>
      <c r="E43" s="20"/>
      <c r="F43" s="166"/>
      <c r="G43" s="21">
        <f t="shared" si="6"/>
        <v>206</v>
      </c>
      <c r="H43" s="22"/>
      <c r="I43" s="167"/>
      <c r="J43" s="166">
        <f>'[2]J. DVA'!F69</f>
        <v>5.9803012644498693E-2</v>
      </c>
      <c r="K43" s="21">
        <v>1</v>
      </c>
      <c r="L43" s="22">
        <f t="shared" si="9"/>
        <v>5.9803012644498693E-2</v>
      </c>
      <c r="M43" s="167"/>
      <c r="N43" s="168">
        <f t="shared" si="2"/>
        <v>5.9803012644498693E-2</v>
      </c>
      <c r="O43" s="23" t="str">
        <f t="shared" si="3"/>
        <v/>
      </c>
    </row>
    <row r="44" spans="1:15" ht="25.5">
      <c r="A44" s="163"/>
      <c r="B44" s="164" t="str">
        <f>'[2]J. DVA'!$B$77</f>
        <v>Rate Rider Calculation for Accounts 1575 and 1576</v>
      </c>
      <c r="C44" s="20"/>
      <c r="D44" s="165" t="s">
        <v>24</v>
      </c>
      <c r="E44" s="20"/>
      <c r="F44" s="166"/>
      <c r="G44" s="21">
        <f t="shared" si="6"/>
        <v>206</v>
      </c>
      <c r="H44" s="22">
        <f t="shared" si="7"/>
        <v>0</v>
      </c>
      <c r="I44" s="167"/>
      <c r="J44" s="166">
        <f>'[2]J. DVA'!F83</f>
        <v>-3.9452380925434662E-4</v>
      </c>
      <c r="K44" s="21">
        <f t="shared" si="8"/>
        <v>206</v>
      </c>
      <c r="L44" s="22">
        <f t="shared" si="9"/>
        <v>-8.1271904706395406E-2</v>
      </c>
      <c r="M44" s="167"/>
      <c r="N44" s="168">
        <f t="shared" si="2"/>
        <v>-8.1271904706395406E-2</v>
      </c>
      <c r="O44" s="23" t="str">
        <f t="shared" si="3"/>
        <v/>
      </c>
    </row>
    <row r="45" spans="1:15" ht="25.5">
      <c r="A45" s="163"/>
      <c r="B45" s="164" t="str">
        <f>'[2]J. DVA'!$B$91</f>
        <v>Rate Rider Calculation for Accounts 1568</v>
      </c>
      <c r="C45" s="20"/>
      <c r="D45" s="165" t="s">
        <v>24</v>
      </c>
      <c r="E45" s="20"/>
      <c r="F45" s="166"/>
      <c r="G45" s="21">
        <f t="shared" si="6"/>
        <v>206</v>
      </c>
      <c r="H45" s="22">
        <f t="shared" si="7"/>
        <v>0</v>
      </c>
      <c r="I45" s="167"/>
      <c r="J45" s="166">
        <f>'[2]J. DVA'!F97</f>
        <v>2.9506096519263029E-4</v>
      </c>
      <c r="K45" s="21">
        <f t="shared" si="8"/>
        <v>206</v>
      </c>
      <c r="L45" s="22">
        <f t="shared" si="9"/>
        <v>6.0782558829681838E-2</v>
      </c>
      <c r="M45" s="167"/>
      <c r="N45" s="168">
        <f t="shared" si="2"/>
        <v>6.0782558829681838E-2</v>
      </c>
      <c r="O45" s="23" t="str">
        <f t="shared" si="3"/>
        <v/>
      </c>
    </row>
    <row r="46" spans="1:15">
      <c r="A46" s="163"/>
      <c r="B46" s="164" t="s">
        <v>27</v>
      </c>
      <c r="C46" s="20"/>
      <c r="D46" s="165" t="s">
        <v>24</v>
      </c>
      <c r="E46" s="20"/>
      <c r="F46" s="166">
        <v>1.1000000000000001E-3</v>
      </c>
      <c r="G46" s="21">
        <f t="shared" si="6"/>
        <v>206</v>
      </c>
      <c r="H46" s="22">
        <f t="shared" si="7"/>
        <v>0.22660000000000002</v>
      </c>
      <c r="I46" s="167"/>
      <c r="J46" s="166">
        <f>'[3]4.12 PowerSupplExp'!$I$171</f>
        <v>8.0000000000000004E-4</v>
      </c>
      <c r="K46" s="21">
        <f t="shared" si="8"/>
        <v>206</v>
      </c>
      <c r="L46" s="22">
        <f t="shared" si="9"/>
        <v>0.1648</v>
      </c>
      <c r="M46" s="167"/>
      <c r="N46" s="168">
        <f t="shared" si="2"/>
        <v>-6.1800000000000022E-2</v>
      </c>
      <c r="O46" s="24">
        <f>IF((H46)=0,"",(N46/H46))</f>
        <v>-0.27272727272727282</v>
      </c>
    </row>
    <row r="47" spans="1:15">
      <c r="A47" s="19"/>
      <c r="B47" s="145" t="s">
        <v>28</v>
      </c>
      <c r="C47" s="20"/>
      <c r="D47" s="165" t="s">
        <v>24</v>
      </c>
      <c r="E47" s="20"/>
      <c r="F47" s="166">
        <f>IF(ISBLANK(D16)=1, 0, IF(D16="TOU", 0.64*$F$57+0.18*$F$58+0.18*$F$59, IF(AND(D16="non-TOU", G61&gt;0), F61,F60)))</f>
        <v>0.10766000000000001</v>
      </c>
      <c r="G47" s="21">
        <f>$F$18*(1+$F$76)-$F$18</f>
        <v>8.0339999999999918</v>
      </c>
      <c r="H47" s="22">
        <f t="shared" si="7"/>
        <v>0.86494043999999914</v>
      </c>
      <c r="I47" s="167"/>
      <c r="J47" s="166">
        <f>0.64*$F$57+0.18*$F$58+0.18*$F$59</f>
        <v>0.10766000000000001</v>
      </c>
      <c r="K47" s="21">
        <f>$F$18*(1+$J$76)-$F$18</f>
        <v>9.4142000000000223</v>
      </c>
      <c r="L47" s="22">
        <f t="shared" si="9"/>
        <v>1.0135327720000025</v>
      </c>
      <c r="M47" s="167"/>
      <c r="N47" s="168">
        <f t="shared" si="2"/>
        <v>0.14859233200000332</v>
      </c>
      <c r="O47" s="24">
        <f t="shared" si="3"/>
        <v>0.17179487179487582</v>
      </c>
    </row>
    <row r="48" spans="1:15">
      <c r="A48" s="19"/>
      <c r="B48" s="170" t="s">
        <v>29</v>
      </c>
      <c r="C48" s="20"/>
      <c r="D48" s="171" t="s">
        <v>24</v>
      </c>
      <c r="E48" s="14"/>
      <c r="F48" s="172">
        <v>0.79</v>
      </c>
      <c r="G48" s="25">
        <v>1</v>
      </c>
      <c r="H48" s="26">
        <f t="shared" si="7"/>
        <v>0.79</v>
      </c>
      <c r="I48" s="173"/>
      <c r="J48" s="172">
        <v>0.79</v>
      </c>
      <c r="K48" s="25">
        <v>1</v>
      </c>
      <c r="L48" s="26">
        <f t="shared" si="9"/>
        <v>0.79</v>
      </c>
      <c r="M48" s="173"/>
      <c r="N48" s="174">
        <f t="shared" si="2"/>
        <v>0</v>
      </c>
      <c r="O48" s="27"/>
    </row>
    <row r="49" spans="2:19" ht="25.5">
      <c r="B49" s="175" t="s">
        <v>30</v>
      </c>
      <c r="C49" s="176"/>
      <c r="D49" s="176"/>
      <c r="E49" s="176"/>
      <c r="F49" s="177"/>
      <c r="G49" s="178"/>
      <c r="H49" s="179">
        <f>SUM(H40:H48)+H39</f>
        <v>15.96154044</v>
      </c>
      <c r="I49" s="28"/>
      <c r="J49" s="178"/>
      <c r="K49" s="180"/>
      <c r="L49" s="179">
        <f>SUM(L40:L48)+L39</f>
        <v>20.084705034344918</v>
      </c>
      <c r="M49" s="28"/>
      <c r="N49" s="161">
        <f t="shared" si="2"/>
        <v>4.1231645943449173</v>
      </c>
      <c r="O49" s="162">
        <f t="shared" ref="O49:O67" si="10">IF((H49)=0,"",(N49/H49))</f>
        <v>0.25831871365073067</v>
      </c>
    </row>
    <row r="50" spans="2:19">
      <c r="B50" s="181" t="s">
        <v>31</v>
      </c>
      <c r="C50" s="28"/>
      <c r="D50" s="182" t="s">
        <v>24</v>
      </c>
      <c r="E50" s="28"/>
      <c r="F50" s="31">
        <f>'[2]B. CurrentTariff'!C45</f>
        <v>6.3E-3</v>
      </c>
      <c r="G50" s="29">
        <f>F18*(1+F76)</f>
        <v>214.03399999999999</v>
      </c>
      <c r="H50" s="16">
        <f>G50*F50</f>
        <v>1.3484141999999999</v>
      </c>
      <c r="I50" s="28"/>
      <c r="J50" s="31">
        <f>'[3]4.12 PowerSupplExp'!$N$58</f>
        <v>5.9083602245513928E-3</v>
      </c>
      <c r="K50" s="30">
        <f>F18*(1+J76)</f>
        <v>215.41420000000002</v>
      </c>
      <c r="L50" s="16">
        <f>K50*J50</f>
        <v>1.2727446910835587</v>
      </c>
      <c r="M50" s="28"/>
      <c r="N50" s="149">
        <f t="shared" si="2"/>
        <v>-7.5669508916441197E-2</v>
      </c>
      <c r="O50" s="18">
        <f t="shared" si="10"/>
        <v>-5.611740733406783E-2</v>
      </c>
    </row>
    <row r="51" spans="2:19" ht="25.5">
      <c r="B51" s="183" t="s">
        <v>32</v>
      </c>
      <c r="C51" s="28"/>
      <c r="D51" s="182" t="s">
        <v>24</v>
      </c>
      <c r="E51" s="28"/>
      <c r="F51" s="31">
        <f>'[2]B. CurrentTariff'!C46</f>
        <v>4.4999999999999997E-3</v>
      </c>
      <c r="G51" s="29">
        <f>G50</f>
        <v>214.03399999999999</v>
      </c>
      <c r="H51" s="16">
        <f>G51*F51</f>
        <v>0.96315299999999993</v>
      </c>
      <c r="I51" s="28"/>
      <c r="J51" s="31">
        <f>'[3]4.12 PowerSupplExp'!$N$74</f>
        <v>4.5291837326333229E-3</v>
      </c>
      <c r="K51" s="30">
        <f>K50</f>
        <v>215.41420000000002</v>
      </c>
      <c r="L51" s="16">
        <f>K51*J51</f>
        <v>0.97565049041822127</v>
      </c>
      <c r="M51" s="28"/>
      <c r="N51" s="149">
        <f t="shared" si="2"/>
        <v>1.2497490418221346E-2</v>
      </c>
      <c r="O51" s="18">
        <f t="shared" si="10"/>
        <v>1.2975602441378834E-2</v>
      </c>
    </row>
    <row r="52" spans="2:19" ht="25.5">
      <c r="B52" s="175" t="s">
        <v>33</v>
      </c>
      <c r="C52" s="154"/>
      <c r="D52" s="154"/>
      <c r="E52" s="154"/>
      <c r="F52" s="184"/>
      <c r="G52" s="178"/>
      <c r="H52" s="179">
        <f>SUM(H49:H51)</f>
        <v>18.273107639999999</v>
      </c>
      <c r="I52" s="185"/>
      <c r="J52" s="186"/>
      <c r="K52" s="187"/>
      <c r="L52" s="179">
        <f>SUM(L49:L51)</f>
        <v>22.333100215846699</v>
      </c>
      <c r="M52" s="185"/>
      <c r="N52" s="161">
        <f t="shared" si="2"/>
        <v>4.0599925758466995</v>
      </c>
      <c r="O52" s="162">
        <f t="shared" si="10"/>
        <v>0.22218402342026042</v>
      </c>
    </row>
    <row r="53" spans="2:19" ht="25.5">
      <c r="B53" s="145" t="s">
        <v>34</v>
      </c>
      <c r="C53" s="20"/>
      <c r="D53" s="188" t="s">
        <v>24</v>
      </c>
      <c r="E53" s="14"/>
      <c r="F53" s="31">
        <v>3.5999999999999999E-3</v>
      </c>
      <c r="G53" s="29">
        <f>G51</f>
        <v>214.03399999999999</v>
      </c>
      <c r="H53" s="16">
        <f t="shared" ref="H53:H59" si="11">G53*F53</f>
        <v>0.77052239999999994</v>
      </c>
      <c r="I53" s="28"/>
      <c r="J53" s="31">
        <v>3.5999999999999999E-3</v>
      </c>
      <c r="K53" s="30">
        <f>K51</f>
        <v>215.41420000000002</v>
      </c>
      <c r="L53" s="16">
        <f t="shared" ref="L53:L59" si="12">K53*J53</f>
        <v>0.77549112000000009</v>
      </c>
      <c r="M53" s="28"/>
      <c r="N53" s="149">
        <f t="shared" si="2"/>
        <v>4.9687200000001486E-3</v>
      </c>
      <c r="O53" s="18">
        <f t="shared" si="10"/>
        <v>6.4485081809434082E-3</v>
      </c>
    </row>
    <row r="54" spans="2:19" ht="25.5">
      <c r="B54" s="145" t="s">
        <v>35</v>
      </c>
      <c r="C54" s="20"/>
      <c r="D54" s="188" t="s">
        <v>24</v>
      </c>
      <c r="E54" s="14"/>
      <c r="F54" s="31">
        <v>1.2999999999999999E-3</v>
      </c>
      <c r="G54" s="29">
        <f>G51</f>
        <v>214.03399999999999</v>
      </c>
      <c r="H54" s="16">
        <f t="shared" si="11"/>
        <v>0.2782442</v>
      </c>
      <c r="I54" s="28"/>
      <c r="J54" s="31">
        <v>1.2999999999999999E-3</v>
      </c>
      <c r="K54" s="30">
        <f>K51</f>
        <v>215.41420000000002</v>
      </c>
      <c r="L54" s="16">
        <f t="shared" si="12"/>
        <v>0.28003845999999999</v>
      </c>
      <c r="M54" s="28"/>
      <c r="N54" s="149">
        <f t="shared" si="2"/>
        <v>1.794259999999992E-3</v>
      </c>
      <c r="O54" s="18">
        <f t="shared" si="10"/>
        <v>6.4485081809431861E-3</v>
      </c>
    </row>
    <row r="55" spans="2:19" ht="25.5">
      <c r="B55" s="145" t="s">
        <v>36</v>
      </c>
      <c r="C55" s="20"/>
      <c r="D55" s="188" t="s">
        <v>19</v>
      </c>
      <c r="E55" s="14"/>
      <c r="F55" s="31">
        <v>0.25</v>
      </c>
      <c r="G55" s="15">
        <v>1</v>
      </c>
      <c r="H55" s="16">
        <f t="shared" si="11"/>
        <v>0.25</v>
      </c>
      <c r="I55" s="28"/>
      <c r="J55" s="31">
        <v>0.25</v>
      </c>
      <c r="K55" s="17">
        <v>1</v>
      </c>
      <c r="L55" s="16">
        <f t="shared" si="12"/>
        <v>0.25</v>
      </c>
      <c r="M55" s="28"/>
      <c r="N55" s="149">
        <f t="shared" si="2"/>
        <v>0</v>
      </c>
      <c r="O55" s="18">
        <f t="shared" si="10"/>
        <v>0</v>
      </c>
    </row>
    <row r="56" spans="2:19">
      <c r="B56" s="145" t="s">
        <v>37</v>
      </c>
      <c r="C56" s="20"/>
      <c r="D56" s="188" t="s">
        <v>24</v>
      </c>
      <c r="E56" s="14"/>
      <c r="F56" s="31">
        <v>1.1000000000000001E-3</v>
      </c>
      <c r="G56" s="29">
        <f>F18</f>
        <v>206</v>
      </c>
      <c r="H56" s="16">
        <f t="shared" si="11"/>
        <v>0.22660000000000002</v>
      </c>
      <c r="I56" s="28"/>
      <c r="J56" s="31">
        <v>1.1000000000000001E-3</v>
      </c>
      <c r="K56" s="30">
        <f>F18</f>
        <v>206</v>
      </c>
      <c r="L56" s="16">
        <f t="shared" si="12"/>
        <v>0.22660000000000002</v>
      </c>
      <c r="M56" s="28"/>
      <c r="N56" s="149">
        <f t="shared" si="2"/>
        <v>0</v>
      </c>
      <c r="O56" s="18">
        <f t="shared" si="10"/>
        <v>0</v>
      </c>
    </row>
    <row r="57" spans="2:19">
      <c r="B57" s="170" t="s">
        <v>38</v>
      </c>
      <c r="C57" s="20"/>
      <c r="D57" s="188" t="s">
        <v>24</v>
      </c>
      <c r="E57" s="14"/>
      <c r="F57" s="31">
        <v>8.3000000000000004E-2</v>
      </c>
      <c r="G57" s="189">
        <f>0.64*$F$18</f>
        <v>131.84</v>
      </c>
      <c r="H57" s="16">
        <f t="shared" si="11"/>
        <v>10.942720000000001</v>
      </c>
      <c r="I57" s="28"/>
      <c r="J57" s="31">
        <v>8.3000000000000004E-2</v>
      </c>
      <c r="K57" s="189">
        <f>G57</f>
        <v>131.84</v>
      </c>
      <c r="L57" s="16">
        <f t="shared" si="12"/>
        <v>10.942720000000001</v>
      </c>
      <c r="M57" s="28"/>
      <c r="N57" s="149">
        <f t="shared" si="2"/>
        <v>0</v>
      </c>
      <c r="O57" s="18">
        <f t="shared" si="10"/>
        <v>0</v>
      </c>
      <c r="S57" s="190"/>
    </row>
    <row r="58" spans="2:19">
      <c r="B58" s="170" t="s">
        <v>39</v>
      </c>
      <c r="C58" s="20"/>
      <c r="D58" s="188" t="s">
        <v>24</v>
      </c>
      <c r="E58" s="14"/>
      <c r="F58" s="31">
        <v>0.128</v>
      </c>
      <c r="G58" s="189">
        <f>0.18*$F$18</f>
        <v>37.08</v>
      </c>
      <c r="H58" s="16">
        <f t="shared" si="11"/>
        <v>4.7462400000000002</v>
      </c>
      <c r="I58" s="28"/>
      <c r="J58" s="31">
        <v>0.128</v>
      </c>
      <c r="K58" s="189">
        <f>G58</f>
        <v>37.08</v>
      </c>
      <c r="L58" s="16">
        <f t="shared" si="12"/>
        <v>4.7462400000000002</v>
      </c>
      <c r="M58" s="28"/>
      <c r="N58" s="149">
        <f t="shared" si="2"/>
        <v>0</v>
      </c>
      <c r="O58" s="18">
        <f t="shared" si="10"/>
        <v>0</v>
      </c>
      <c r="S58" s="190"/>
    </row>
    <row r="59" spans="2:19">
      <c r="B59" s="135" t="s">
        <v>40</v>
      </c>
      <c r="C59" s="20"/>
      <c r="D59" s="188" t="s">
        <v>24</v>
      </c>
      <c r="E59" s="14"/>
      <c r="F59" s="31">
        <v>0.17499999999999999</v>
      </c>
      <c r="G59" s="189">
        <f>0.18*$F$18</f>
        <v>37.08</v>
      </c>
      <c r="H59" s="16">
        <f t="shared" si="11"/>
        <v>6.488999999999999</v>
      </c>
      <c r="I59" s="28"/>
      <c r="J59" s="31">
        <v>0.17499999999999999</v>
      </c>
      <c r="K59" s="189">
        <f>G59</f>
        <v>37.08</v>
      </c>
      <c r="L59" s="16">
        <f t="shared" si="12"/>
        <v>6.488999999999999</v>
      </c>
      <c r="M59" s="28"/>
      <c r="N59" s="149">
        <f t="shared" si="2"/>
        <v>0</v>
      </c>
      <c r="O59" s="18">
        <f t="shared" si="10"/>
        <v>0</v>
      </c>
      <c r="S59" s="190"/>
    </row>
    <row r="60" spans="2:19" s="195" customFormat="1">
      <c r="B60" s="191" t="s">
        <v>41</v>
      </c>
      <c r="C60" s="32"/>
      <c r="D60" s="188" t="s">
        <v>24</v>
      </c>
      <c r="E60" s="32"/>
      <c r="F60" s="31">
        <v>9.9000000000000005E-2</v>
      </c>
      <c r="G60" s="192">
        <f>IF(AND($T$1=1, F18&gt;=600), 600, IF(AND($T$1=1, AND(F18&lt;600, F18&gt;=0)), F18, IF(AND($T$1=2, F18&gt;=1000), 1000, IF(AND($T$1=2, AND(F18&lt;1000, F18&gt;=0)), F18))))</f>
        <v>206</v>
      </c>
      <c r="H60" s="16">
        <f>G60*F60</f>
        <v>20.394000000000002</v>
      </c>
      <c r="I60" s="193"/>
      <c r="J60" s="31">
        <v>9.9000000000000005E-2</v>
      </c>
      <c r="K60" s="192">
        <f>G60</f>
        <v>206</v>
      </c>
      <c r="L60" s="16">
        <f>K60*J60</f>
        <v>20.394000000000002</v>
      </c>
      <c r="M60" s="193"/>
      <c r="N60" s="194">
        <f t="shared" si="2"/>
        <v>0</v>
      </c>
      <c r="O60" s="18">
        <f t="shared" si="10"/>
        <v>0</v>
      </c>
    </row>
    <row r="61" spans="2:19" s="195" customFormat="1" ht="13.5" thickBot="1">
      <c r="B61" s="191" t="s">
        <v>42</v>
      </c>
      <c r="C61" s="32"/>
      <c r="D61" s="188" t="s">
        <v>24</v>
      </c>
      <c r="E61" s="32"/>
      <c r="F61" s="31">
        <v>0.11600000000000001</v>
      </c>
      <c r="G61" s="192">
        <f>IF(AND($T$1=1, F18&gt;=600), F18-600, IF(AND($T$1=1, AND(F18&lt;600, F18&gt;=0)), 0, IF(AND($T$1=2, F18&gt;=1000), F18-1000, IF(AND($T$1=2, AND(F18&lt;1000, F18&gt;=0)), 0))))</f>
        <v>0</v>
      </c>
      <c r="H61" s="16">
        <f>G61*F61</f>
        <v>0</v>
      </c>
      <c r="I61" s="193"/>
      <c r="J61" s="31">
        <v>0.11600000000000001</v>
      </c>
      <c r="K61" s="192">
        <f>G61</f>
        <v>0</v>
      </c>
      <c r="L61" s="16">
        <f>K61*J61</f>
        <v>0</v>
      </c>
      <c r="M61" s="193"/>
      <c r="N61" s="194">
        <f t="shared" si="2"/>
        <v>0</v>
      </c>
      <c r="O61" s="18" t="str">
        <f t="shared" si="10"/>
        <v/>
      </c>
    </row>
    <row r="62" spans="2:19" ht="13.5" thickBot="1">
      <c r="B62" s="196"/>
      <c r="C62" s="197"/>
      <c r="D62" s="198"/>
      <c r="E62" s="197"/>
      <c r="F62" s="199"/>
      <c r="G62" s="200"/>
      <c r="H62" s="201"/>
      <c r="I62" s="202"/>
      <c r="J62" s="199"/>
      <c r="K62" s="203"/>
      <c r="L62" s="201"/>
      <c r="M62" s="202"/>
      <c r="N62" s="204"/>
      <c r="O62" s="205"/>
    </row>
    <row r="63" spans="2:19" ht="25.5">
      <c r="B63" s="33" t="s">
        <v>43</v>
      </c>
      <c r="C63" s="20"/>
      <c r="D63" s="20"/>
      <c r="E63" s="20"/>
      <c r="F63" s="34"/>
      <c r="G63" s="35"/>
      <c r="H63" s="36">
        <f>SUM(H53:H59,H52)</f>
        <v>41.976434239999996</v>
      </c>
      <c r="I63" s="37"/>
      <c r="J63" s="38"/>
      <c r="K63" s="38"/>
      <c r="L63" s="36">
        <f>SUM(L53:L59,L52)</f>
        <v>46.0431897958467</v>
      </c>
      <c r="M63" s="39"/>
      <c r="N63" s="40">
        <f>L63-H63</f>
        <v>4.0667555558467043</v>
      </c>
      <c r="O63" s="41">
        <f>IF((H63)=0,"",(N63/H63))</f>
        <v>9.6881872638229713E-2</v>
      </c>
      <c r="S63" s="190"/>
    </row>
    <row r="64" spans="2:19">
      <c r="B64" s="42" t="s">
        <v>44</v>
      </c>
      <c r="C64" s="20"/>
      <c r="D64" s="20"/>
      <c r="E64" s="20"/>
      <c r="F64" s="43">
        <v>0.13</v>
      </c>
      <c r="G64" s="44"/>
      <c r="H64" s="45">
        <f>H63*F64</f>
        <v>5.4569364511999998</v>
      </c>
      <c r="I64" s="46"/>
      <c r="J64" s="47">
        <v>0.13</v>
      </c>
      <c r="K64" s="46"/>
      <c r="L64" s="48">
        <f>L63*J64</f>
        <v>5.9856146734600717</v>
      </c>
      <c r="M64" s="49"/>
      <c r="N64" s="50">
        <f t="shared" si="2"/>
        <v>0.52867822226007188</v>
      </c>
      <c r="O64" s="18">
        <f t="shared" si="10"/>
        <v>9.6881872638229768E-2</v>
      </c>
      <c r="S64" s="190"/>
    </row>
    <row r="65" spans="1:19">
      <c r="B65" s="206" t="s">
        <v>45</v>
      </c>
      <c r="C65" s="20"/>
      <c r="D65" s="20"/>
      <c r="E65" s="20"/>
      <c r="F65" s="51"/>
      <c r="G65" s="44"/>
      <c r="H65" s="45">
        <f>H63+H64</f>
        <v>47.433370691199997</v>
      </c>
      <c r="I65" s="46"/>
      <c r="J65" s="46"/>
      <c r="K65" s="46"/>
      <c r="L65" s="48">
        <f>L63+L64</f>
        <v>52.02880446930677</v>
      </c>
      <c r="M65" s="49"/>
      <c r="N65" s="50">
        <f t="shared" si="2"/>
        <v>4.5954337781067736</v>
      </c>
      <c r="O65" s="18">
        <f t="shared" si="10"/>
        <v>9.6881872638229657E-2</v>
      </c>
      <c r="S65" s="190"/>
    </row>
    <row r="66" spans="1:19">
      <c r="B66" s="297" t="s">
        <v>46</v>
      </c>
      <c r="C66" s="297"/>
      <c r="D66" s="297"/>
      <c r="E66" s="20"/>
      <c r="F66" s="51"/>
      <c r="G66" s="44"/>
      <c r="H66" s="52">
        <f>ROUND(-H65*0.1,2)</f>
        <v>-4.74</v>
      </c>
      <c r="I66" s="46"/>
      <c r="J66" s="46"/>
      <c r="K66" s="46"/>
      <c r="L66" s="53">
        <f>ROUND(-L65*0.1,2)</f>
        <v>-5.2</v>
      </c>
      <c r="M66" s="49"/>
      <c r="N66" s="54">
        <f t="shared" si="2"/>
        <v>-0.45999999999999996</v>
      </c>
      <c r="O66" s="55">
        <f t="shared" si="10"/>
        <v>9.7046413502109699E-2</v>
      </c>
    </row>
    <row r="67" spans="1:19" ht="13.5" thickBot="1">
      <c r="B67" s="298" t="s">
        <v>47</v>
      </c>
      <c r="C67" s="298"/>
      <c r="D67" s="298"/>
      <c r="E67" s="14"/>
      <c r="F67" s="207"/>
      <c r="G67" s="208"/>
      <c r="H67" s="209">
        <f>H65+H66</f>
        <v>42.693370691199995</v>
      </c>
      <c r="I67" s="210"/>
      <c r="J67" s="210"/>
      <c r="K67" s="210"/>
      <c r="L67" s="211">
        <f>L65+L66</f>
        <v>46.828804469306768</v>
      </c>
      <c r="M67" s="212"/>
      <c r="N67" s="213">
        <f t="shared" si="2"/>
        <v>4.1354337781067727</v>
      </c>
      <c r="O67" s="214">
        <f t="shared" si="10"/>
        <v>9.6863604610145551E-2</v>
      </c>
    </row>
    <row r="68" spans="1:19" s="195" customFormat="1" ht="13.5" thickBot="1">
      <c r="B68" s="215"/>
      <c r="C68" s="216"/>
      <c r="D68" s="217"/>
      <c r="E68" s="216"/>
      <c r="F68" s="199"/>
      <c r="G68" s="218"/>
      <c r="H68" s="201"/>
      <c r="I68" s="219"/>
      <c r="J68" s="199"/>
      <c r="K68" s="220"/>
      <c r="L68" s="201"/>
      <c r="M68" s="219"/>
      <c r="N68" s="221"/>
      <c r="O68" s="205"/>
    </row>
    <row r="69" spans="1:19" s="195" customFormat="1" ht="25.5">
      <c r="B69" s="56" t="s">
        <v>48</v>
      </c>
      <c r="C69" s="32"/>
      <c r="D69" s="32"/>
      <c r="E69" s="32"/>
      <c r="F69" s="57"/>
      <c r="G69" s="58"/>
      <c r="H69" s="59">
        <f>SUM(H60:H61,H52,H53:H56)</f>
        <v>40.192474239999996</v>
      </c>
      <c r="I69" s="60"/>
      <c r="J69" s="61"/>
      <c r="K69" s="61"/>
      <c r="L69" s="59">
        <f>SUM(L60:L61,L52,L53:L56)</f>
        <v>44.2592297958467</v>
      </c>
      <c r="M69" s="62"/>
      <c r="N69" s="63">
        <f>L69-H69</f>
        <v>4.0667555558467043</v>
      </c>
      <c r="O69" s="41">
        <f>IF((H69)=0,"",(N69/H69))</f>
        <v>0.10118201560727566</v>
      </c>
    </row>
    <row r="70" spans="1:19" s="195" customFormat="1">
      <c r="B70" s="64" t="s">
        <v>44</v>
      </c>
      <c r="C70" s="32"/>
      <c r="D70" s="32"/>
      <c r="E70" s="32"/>
      <c r="F70" s="65">
        <v>0.13</v>
      </c>
      <c r="G70" s="58"/>
      <c r="H70" s="66">
        <f>H69*F70</f>
        <v>5.2250216511999996</v>
      </c>
      <c r="I70" s="67"/>
      <c r="J70" s="68">
        <v>0.13</v>
      </c>
      <c r="K70" s="69"/>
      <c r="L70" s="70">
        <f>L69*J70</f>
        <v>5.7536998734600715</v>
      </c>
      <c r="M70" s="71"/>
      <c r="N70" s="72">
        <f>L70-H70</f>
        <v>0.52867822226007188</v>
      </c>
      <c r="O70" s="18">
        <f>IF((H70)=0,"",(N70/H70))</f>
        <v>0.10118201560727572</v>
      </c>
    </row>
    <row r="71" spans="1:19" s="195" customFormat="1">
      <c r="B71" s="222" t="s">
        <v>45</v>
      </c>
      <c r="C71" s="32"/>
      <c r="D71" s="32"/>
      <c r="E71" s="32"/>
      <c r="F71" s="73"/>
      <c r="G71" s="74"/>
      <c r="H71" s="66">
        <f>H69+H70</f>
        <v>45.417495891199998</v>
      </c>
      <c r="I71" s="67"/>
      <c r="J71" s="67"/>
      <c r="K71" s="67"/>
      <c r="L71" s="70">
        <f>L69+L70</f>
        <v>50.012929669306772</v>
      </c>
      <c r="M71" s="71"/>
      <c r="N71" s="72">
        <f>L71-H71</f>
        <v>4.5954337781067736</v>
      </c>
      <c r="O71" s="18">
        <f>IF((H71)=0,"",(N71/H71))</f>
        <v>0.1011820156072756</v>
      </c>
    </row>
    <row r="72" spans="1:19" s="195" customFormat="1">
      <c r="B72" s="299" t="s">
        <v>46</v>
      </c>
      <c r="C72" s="299"/>
      <c r="D72" s="299"/>
      <c r="E72" s="32"/>
      <c r="F72" s="73"/>
      <c r="G72" s="74"/>
      <c r="H72" s="75">
        <f>ROUND(-H71*0.1,2)</f>
        <v>-4.54</v>
      </c>
      <c r="I72" s="67"/>
      <c r="J72" s="67"/>
      <c r="K72" s="67"/>
      <c r="L72" s="76">
        <f>ROUND(-L71*0.1,2)</f>
        <v>-5</v>
      </c>
      <c r="M72" s="71"/>
      <c r="N72" s="77">
        <f>L72-H72</f>
        <v>-0.45999999999999996</v>
      </c>
      <c r="O72" s="55">
        <f>IF((H72)=0,"",(N72/H72))</f>
        <v>0.1013215859030837</v>
      </c>
    </row>
    <row r="73" spans="1:19" s="195" customFormat="1" ht="13.5" thickBot="1">
      <c r="B73" s="293" t="s">
        <v>49</v>
      </c>
      <c r="C73" s="293"/>
      <c r="D73" s="293"/>
      <c r="E73" s="32"/>
      <c r="F73" s="73"/>
      <c r="G73" s="74"/>
      <c r="H73" s="59">
        <f>SUM(H71:H72)</f>
        <v>40.877495891199999</v>
      </c>
      <c r="I73" s="60"/>
      <c r="J73" s="60"/>
      <c r="K73" s="60"/>
      <c r="L73" s="223">
        <f>SUM(L71:L72)</f>
        <v>45.012929669306772</v>
      </c>
      <c r="M73" s="62"/>
      <c r="N73" s="63">
        <f>L73-H73</f>
        <v>4.1354337781067727</v>
      </c>
      <c r="O73" s="41">
        <f>IF((H73)=0,"",(N73/H73))</f>
        <v>0.1011665144340957</v>
      </c>
    </row>
    <row r="74" spans="1:19" s="195" customFormat="1" ht="13.5" thickBot="1">
      <c r="B74" s="215"/>
      <c r="C74" s="216"/>
      <c r="D74" s="217"/>
      <c r="E74" s="216"/>
      <c r="F74" s="224"/>
      <c r="G74" s="225"/>
      <c r="H74" s="226"/>
      <c r="I74" s="227"/>
      <c r="J74" s="224"/>
      <c r="K74" s="218"/>
      <c r="L74" s="228"/>
      <c r="M74" s="219"/>
      <c r="N74" s="229"/>
      <c r="O74" s="205"/>
    </row>
    <row r="75" spans="1:19">
      <c r="L75" s="190"/>
    </row>
    <row r="76" spans="1:19">
      <c r="B76" s="230" t="s">
        <v>50</v>
      </c>
      <c r="F76" s="231">
        <v>3.9E-2</v>
      </c>
      <c r="J76" s="231">
        <v>4.5699999999999998E-2</v>
      </c>
    </row>
    <row r="78" spans="1:19" ht="14.25">
      <c r="A78" s="232" t="s">
        <v>51</v>
      </c>
    </row>
    <row r="80" spans="1:19">
      <c r="A80" s="12" t="s">
        <v>52</v>
      </c>
    </row>
    <row r="81" spans="1:2">
      <c r="A81" s="12" t="s">
        <v>53</v>
      </c>
    </row>
    <row r="83" spans="1:2">
      <c r="A83" s="233" t="s">
        <v>54</v>
      </c>
    </row>
    <row r="84" spans="1:2">
      <c r="A84" s="233" t="s">
        <v>55</v>
      </c>
    </row>
    <row r="86" spans="1:2">
      <c r="A86" s="12" t="s">
        <v>56</v>
      </c>
    </row>
    <row r="87" spans="1:2">
      <c r="A87" s="12" t="s">
        <v>57</v>
      </c>
    </row>
    <row r="88" spans="1:2">
      <c r="A88" s="12" t="s">
        <v>58</v>
      </c>
    </row>
    <row r="89" spans="1:2">
      <c r="A89" s="12" t="s">
        <v>59</v>
      </c>
    </row>
    <row r="90" spans="1:2">
      <c r="A90" s="12" t="s">
        <v>60</v>
      </c>
    </row>
    <row r="92" spans="1:2" ht="51">
      <c r="B92" s="13" t="s">
        <v>61</v>
      </c>
    </row>
  </sheetData>
  <mergeCells count="14">
    <mergeCell ref="B73:D73"/>
    <mergeCell ref="D21:D22"/>
    <mergeCell ref="N21:N22"/>
    <mergeCell ref="O21:O22"/>
    <mergeCell ref="B66:D66"/>
    <mergeCell ref="B67:D67"/>
    <mergeCell ref="B72:D72"/>
    <mergeCell ref="A3:K3"/>
    <mergeCell ref="B10:O10"/>
    <mergeCell ref="B11:O11"/>
    <mergeCell ref="D14:O14"/>
    <mergeCell ref="F20:H20"/>
    <mergeCell ref="J20:L20"/>
    <mergeCell ref="N20:O20"/>
  </mergeCells>
  <dataValidations disablePrompts="1" count="3">
    <dataValidation type="list" allowBlank="1" showInputMessage="1" showErrorMessage="1" sqref="E23:E38 E74 E50:E51 E53:E62 E68 E40:E48">
      <formula1>"#REF!"</formula1>
      <formula2>0</formula2>
    </dataValidation>
    <dataValidation type="list" allowBlank="1" showInputMessage="1" showErrorMessage="1" prompt="Select Charge Unit - monthly, per kWh, per kW" sqref="D74 D23:D38 D50:D51 D68 D53:D62 D40:D48">
      <formula1>"Monthly,per kWh,per kW"</formula1>
      <formula2>0</formula2>
    </dataValidation>
    <dataValidation type="list" allowBlank="1" showInputMessage="1" showErrorMessage="1" sqref="D16">
      <formula1>"TOU,non-TOU"</formula1>
      <formula2>0</formula2>
    </dataValidation>
  </dataValidations>
  <pageMargins left="0.25" right="0.25" top="0.75" bottom="0.75" header="0.3" footer="0.3"/>
  <pageSetup paperSize="9" scale="5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7">
    <pageSetUpPr fitToPage="1"/>
  </sheetPr>
  <dimension ref="A1:T92"/>
  <sheetViews>
    <sheetView showGridLines="0" workbookViewId="0">
      <selection activeCell="R24" sqref="R24"/>
    </sheetView>
  </sheetViews>
  <sheetFormatPr defaultRowHeight="12.75"/>
  <cols>
    <col min="1" max="1" width="11.28515625" style="12" customWidth="1"/>
    <col min="2" max="2" width="26.570312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12" customWidth="1"/>
    <col min="8" max="8" width="11.140625" style="12" customWidth="1"/>
    <col min="9" max="9" width="2.85546875" style="12" customWidth="1"/>
    <col min="10" max="10" width="12.140625" style="12" customWidth="1"/>
    <col min="11" max="11" width="8.5703125" style="12" customWidth="1"/>
    <col min="12" max="12" width="9.7109375" style="12" customWidth="1"/>
    <col min="13" max="13" width="2.85546875" style="12" customWidth="1"/>
    <col min="14" max="14" width="12.71093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5"/>
      <c r="H2" s="5"/>
      <c r="I2" s="5"/>
      <c r="J2" s="5"/>
      <c r="K2" s="5"/>
      <c r="N2" s="3"/>
      <c r="O2" s="7"/>
    </row>
    <row r="3" spans="1:20" s="2" customFormat="1" ht="12.75" customHeight="1">
      <c r="A3" s="288"/>
      <c r="B3" s="288"/>
      <c r="C3" s="288"/>
      <c r="D3" s="288"/>
      <c r="E3" s="288"/>
      <c r="F3" s="288"/>
      <c r="G3" s="288"/>
      <c r="H3" s="288"/>
      <c r="I3" s="288"/>
      <c r="J3" s="288"/>
      <c r="K3" s="288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5"/>
      <c r="H4" s="5"/>
      <c r="I4" s="8"/>
      <c r="J4" s="8"/>
      <c r="K4" s="8"/>
      <c r="N4" s="3"/>
      <c r="O4" s="7"/>
    </row>
    <row r="5" spans="1:20" s="2" customFormat="1" ht="12.75" customHeight="1">
      <c r="B5" s="9"/>
      <c r="C5" s="10"/>
      <c r="D5" s="10"/>
      <c r="E5" s="10"/>
      <c r="N5" s="3"/>
      <c r="O5" s="4"/>
    </row>
    <row r="6" spans="1:20" s="2" customFormat="1" ht="12.75" customHeight="1">
      <c r="B6" s="9"/>
      <c r="N6" s="3"/>
      <c r="O6" s="11"/>
    </row>
    <row r="7" spans="1:20" s="2" customFormat="1" ht="12.75" customHeight="1">
      <c r="B7" s="9"/>
      <c r="N7" s="3"/>
      <c r="O7" s="4"/>
    </row>
    <row r="8" spans="1:20" s="2" customFormat="1" ht="12.75" customHeight="1">
      <c r="B8" s="9"/>
    </row>
    <row r="9" spans="1:20" ht="12.75" customHeight="1"/>
    <row r="10" spans="1:20" s="130" customFormat="1" ht="18.75" customHeight="1">
      <c r="B10" s="289" t="s">
        <v>0</v>
      </c>
      <c r="C10" s="289"/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89"/>
      <c r="O10" s="289"/>
    </row>
    <row r="11" spans="1:20" ht="18.75" customHeight="1">
      <c r="B11" s="290" t="s">
        <v>1</v>
      </c>
      <c r="C11" s="290"/>
      <c r="D11" s="290"/>
      <c r="E11" s="290"/>
      <c r="F11" s="290"/>
      <c r="G11" s="290"/>
      <c r="H11" s="290"/>
      <c r="I11" s="290"/>
      <c r="J11" s="290"/>
      <c r="K11" s="290"/>
      <c r="L11" s="290"/>
      <c r="M11" s="290"/>
      <c r="N11" s="290"/>
      <c r="O11" s="290"/>
    </row>
    <row r="12" spans="1:20" ht="7.5" customHeight="1"/>
    <row r="13" spans="1:20" ht="7.5" customHeight="1"/>
    <row r="14" spans="1:20" ht="15.75">
      <c r="B14" s="131" t="s">
        <v>2</v>
      </c>
      <c r="D14" s="291" t="s">
        <v>3</v>
      </c>
      <c r="E14" s="291"/>
      <c r="F14" s="291"/>
      <c r="G14" s="291"/>
      <c r="H14" s="291"/>
      <c r="I14" s="291"/>
      <c r="J14" s="291"/>
      <c r="K14" s="291"/>
      <c r="L14" s="291"/>
      <c r="M14" s="291"/>
      <c r="N14" s="291"/>
      <c r="O14" s="291"/>
    </row>
    <row r="15" spans="1:20" ht="7.5" customHeight="1">
      <c r="B15" s="132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spans="1:20" ht="15.75">
      <c r="B16" s="131" t="s">
        <v>4</v>
      </c>
      <c r="D16" s="134" t="s">
        <v>5</v>
      </c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spans="1:15" ht="15.75">
      <c r="B17" s="132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spans="1:15">
      <c r="B18" s="135"/>
      <c r="D18" s="136" t="s">
        <v>6</v>
      </c>
      <c r="E18" s="136"/>
      <c r="F18" s="137">
        <v>750</v>
      </c>
      <c r="G18" s="136" t="s">
        <v>7</v>
      </c>
    </row>
    <row r="19" spans="1:15">
      <c r="B19" s="135"/>
    </row>
    <row r="20" spans="1:15">
      <c r="B20" s="135"/>
      <c r="D20" s="138"/>
      <c r="E20" s="138"/>
      <c r="F20" s="292" t="s">
        <v>8</v>
      </c>
      <c r="G20" s="292"/>
      <c r="H20" s="292"/>
      <c r="J20" s="292" t="s">
        <v>9</v>
      </c>
      <c r="K20" s="292"/>
      <c r="L20" s="292"/>
      <c r="N20" s="292" t="s">
        <v>10</v>
      </c>
      <c r="O20" s="292"/>
    </row>
    <row r="21" spans="1:15">
      <c r="B21" s="135"/>
      <c r="D21" s="294" t="s">
        <v>11</v>
      </c>
      <c r="E21" s="139"/>
      <c r="F21" s="140" t="s">
        <v>12</v>
      </c>
      <c r="G21" s="140" t="s">
        <v>13</v>
      </c>
      <c r="H21" s="141" t="s">
        <v>14</v>
      </c>
      <c r="J21" s="140" t="s">
        <v>12</v>
      </c>
      <c r="K21" s="142" t="s">
        <v>13</v>
      </c>
      <c r="L21" s="141" t="s">
        <v>14</v>
      </c>
      <c r="N21" s="295" t="s">
        <v>15</v>
      </c>
      <c r="O21" s="296" t="s">
        <v>16</v>
      </c>
    </row>
    <row r="22" spans="1:15">
      <c r="B22" s="135"/>
      <c r="D22" s="294"/>
      <c r="E22" s="139"/>
      <c r="F22" s="143" t="s">
        <v>17</v>
      </c>
      <c r="G22" s="143"/>
      <c r="H22" s="144" t="s">
        <v>17</v>
      </c>
      <c r="J22" s="143" t="s">
        <v>17</v>
      </c>
      <c r="K22" s="144"/>
      <c r="L22" s="144" t="s">
        <v>17</v>
      </c>
      <c r="N22" s="295"/>
      <c r="O22" s="296"/>
    </row>
    <row r="23" spans="1:15">
      <c r="B23" s="145" t="s">
        <v>18</v>
      </c>
      <c r="C23" s="20"/>
      <c r="D23" s="146" t="s">
        <v>19</v>
      </c>
      <c r="E23" s="14"/>
      <c r="F23" s="147">
        <f>'[2]B. CurrentTariff'!C32</f>
        <v>10.99</v>
      </c>
      <c r="G23" s="15">
        <v>1</v>
      </c>
      <c r="H23" s="16">
        <f>G23*F23</f>
        <v>10.99</v>
      </c>
      <c r="I23" s="28"/>
      <c r="J23" s="148">
        <f>'[2]G. RateDesign'!B46</f>
        <v>14.02</v>
      </c>
      <c r="K23" s="17">
        <v>1</v>
      </c>
      <c r="L23" s="16">
        <f>K23*J23</f>
        <v>14.02</v>
      </c>
      <c r="M23" s="28"/>
      <c r="N23" s="149">
        <f>L23-H23</f>
        <v>3.0299999999999994</v>
      </c>
      <c r="O23" s="18">
        <f>IF((H23)=0,"",(N23/H23))</f>
        <v>0.27570518653321197</v>
      </c>
    </row>
    <row r="24" spans="1:15">
      <c r="A24" s="19"/>
      <c r="B24" s="145" t="s">
        <v>20</v>
      </c>
      <c r="C24" s="20"/>
      <c r="D24" s="146"/>
      <c r="E24" s="14"/>
      <c r="F24" s="150"/>
      <c r="G24" s="15">
        <v>1</v>
      </c>
      <c r="H24" s="16">
        <f t="shared" ref="H24:H38" si="0">G24*F24</f>
        <v>0</v>
      </c>
      <c r="I24" s="28"/>
      <c r="J24" s="148"/>
      <c r="K24" s="17">
        <v>1</v>
      </c>
      <c r="L24" s="16">
        <f>K24*J24</f>
        <v>0</v>
      </c>
      <c r="M24" s="28"/>
      <c r="N24" s="149">
        <f>L24-H24</f>
        <v>0</v>
      </c>
      <c r="O24" s="18" t="str">
        <f>IF((H24)=0,"",(N24/H24))</f>
        <v/>
      </c>
    </row>
    <row r="25" spans="1:15">
      <c r="A25" s="19"/>
      <c r="B25" s="151" t="s">
        <v>21</v>
      </c>
      <c r="C25" s="20"/>
      <c r="D25" s="146" t="s">
        <v>19</v>
      </c>
      <c r="E25" s="14"/>
      <c r="F25" s="150"/>
      <c r="G25" s="15">
        <v>1</v>
      </c>
      <c r="H25" s="16">
        <f t="shared" si="0"/>
        <v>0</v>
      </c>
      <c r="I25" s="28"/>
      <c r="J25" s="148">
        <f>'[2]I. SMRR'!G13</f>
        <v>0.44513504962976164</v>
      </c>
      <c r="K25" s="17">
        <v>1</v>
      </c>
      <c r="L25" s="16">
        <f t="shared" ref="L25:L38" si="1">K25*J25</f>
        <v>0.44513504962976164</v>
      </c>
      <c r="M25" s="28"/>
      <c r="N25" s="149">
        <f t="shared" ref="N25:N67" si="2">L25-H25</f>
        <v>0.44513504962976164</v>
      </c>
      <c r="O25" s="18" t="str">
        <f t="shared" ref="O25:O47" si="3">IF((H25)=0,"",(N25/H25))</f>
        <v/>
      </c>
    </row>
    <row r="26" spans="1:15">
      <c r="A26" s="19"/>
      <c r="B26" s="145" t="s">
        <v>22</v>
      </c>
      <c r="C26" s="20"/>
      <c r="D26" s="146"/>
      <c r="E26" s="14"/>
      <c r="F26" s="150"/>
      <c r="G26" s="15">
        <v>1</v>
      </c>
      <c r="H26" s="16">
        <f t="shared" si="0"/>
        <v>0</v>
      </c>
      <c r="I26" s="28"/>
      <c r="J26" s="148">
        <f>'[2]Bill Impact - Residential'!$J$26</f>
        <v>1.68</v>
      </c>
      <c r="K26" s="17">
        <v>1</v>
      </c>
      <c r="L26" s="16">
        <f t="shared" si="1"/>
        <v>1.68</v>
      </c>
      <c r="M26" s="28"/>
      <c r="N26" s="149">
        <f t="shared" si="2"/>
        <v>1.68</v>
      </c>
      <c r="O26" s="18" t="str">
        <f t="shared" si="3"/>
        <v/>
      </c>
    </row>
    <row r="27" spans="1:15">
      <c r="A27" s="19"/>
      <c r="B27" s="152"/>
      <c r="C27" s="20"/>
      <c r="D27" s="146"/>
      <c r="E27" s="14"/>
      <c r="F27" s="150"/>
      <c r="G27" s="15">
        <v>1</v>
      </c>
      <c r="H27" s="16">
        <f t="shared" si="0"/>
        <v>0</v>
      </c>
      <c r="I27" s="28"/>
      <c r="J27" s="31"/>
      <c r="K27" s="17">
        <v>1</v>
      </c>
      <c r="L27" s="16">
        <f t="shared" si="1"/>
        <v>0</v>
      </c>
      <c r="M27" s="28"/>
      <c r="N27" s="149">
        <f t="shared" si="2"/>
        <v>0</v>
      </c>
      <c r="O27" s="18" t="str">
        <f t="shared" si="3"/>
        <v/>
      </c>
    </row>
    <row r="28" spans="1:15">
      <c r="A28" s="19"/>
      <c r="B28" s="152"/>
      <c r="C28" s="20"/>
      <c r="D28" s="146"/>
      <c r="E28" s="14"/>
      <c r="F28" s="150"/>
      <c r="G28" s="15">
        <v>1</v>
      </c>
      <c r="H28" s="16">
        <f t="shared" si="0"/>
        <v>0</v>
      </c>
      <c r="I28" s="28"/>
      <c r="J28" s="31"/>
      <c r="K28" s="17">
        <v>1</v>
      </c>
      <c r="L28" s="16">
        <f t="shared" si="1"/>
        <v>0</v>
      </c>
      <c r="M28" s="28"/>
      <c r="N28" s="149">
        <f t="shared" si="2"/>
        <v>0</v>
      </c>
      <c r="O28" s="18" t="str">
        <f t="shared" si="3"/>
        <v/>
      </c>
    </row>
    <row r="29" spans="1:15">
      <c r="A29" s="19"/>
      <c r="B29" s="145" t="s">
        <v>23</v>
      </c>
      <c r="C29" s="20"/>
      <c r="D29" s="146" t="s">
        <v>24</v>
      </c>
      <c r="E29" s="14"/>
      <c r="F29" s="150">
        <f>'[2]B. CurrentTariff'!C33</f>
        <v>1.4999999999999999E-2</v>
      </c>
      <c r="G29" s="15">
        <f t="shared" ref="G29:G38" si="4">$F$18</f>
        <v>750</v>
      </c>
      <c r="H29" s="16">
        <f t="shared" si="0"/>
        <v>11.25</v>
      </c>
      <c r="I29" s="28"/>
      <c r="J29" s="31">
        <f>'[2]G. RateDesign'!G46</f>
        <v>1.2907742015678856E-2</v>
      </c>
      <c r="K29" s="15">
        <f>$F$18</f>
        <v>750</v>
      </c>
      <c r="L29" s="16">
        <f t="shared" si="1"/>
        <v>9.6808065117591422</v>
      </c>
      <c r="M29" s="28"/>
      <c r="N29" s="149">
        <f t="shared" si="2"/>
        <v>-1.5691934882408578</v>
      </c>
      <c r="O29" s="18">
        <f t="shared" si="3"/>
        <v>-0.13948386562140958</v>
      </c>
    </row>
    <row r="30" spans="1:15">
      <c r="A30" s="19"/>
      <c r="B30" s="145" t="s">
        <v>22</v>
      </c>
      <c r="C30" s="20"/>
      <c r="D30" s="146" t="s">
        <v>24</v>
      </c>
      <c r="E30" s="14"/>
      <c r="F30" s="150"/>
      <c r="G30" s="15">
        <f t="shared" si="4"/>
        <v>750</v>
      </c>
      <c r="H30" s="16">
        <f t="shared" si="0"/>
        <v>0</v>
      </c>
      <c r="I30" s="28"/>
      <c r="J30" s="31"/>
      <c r="K30" s="15">
        <f t="shared" ref="K30:K38" si="5">$F$18</f>
        <v>750</v>
      </c>
      <c r="L30" s="16">
        <f t="shared" si="1"/>
        <v>0</v>
      </c>
      <c r="M30" s="28"/>
      <c r="N30" s="149">
        <f t="shared" si="2"/>
        <v>0</v>
      </c>
      <c r="O30" s="18" t="str">
        <f t="shared" si="3"/>
        <v/>
      </c>
    </row>
    <row r="31" spans="1:15">
      <c r="A31" s="19"/>
      <c r="B31" s="145" t="s">
        <v>25</v>
      </c>
      <c r="C31" s="20"/>
      <c r="D31" s="146" t="s">
        <v>24</v>
      </c>
      <c r="E31" s="14"/>
      <c r="F31" s="150"/>
      <c r="G31" s="15">
        <f t="shared" si="4"/>
        <v>750</v>
      </c>
      <c r="H31" s="16">
        <f t="shared" si="0"/>
        <v>0</v>
      </c>
      <c r="I31" s="28"/>
      <c r="J31" s="31"/>
      <c r="K31" s="15">
        <f t="shared" si="5"/>
        <v>750</v>
      </c>
      <c r="L31" s="16">
        <f t="shared" si="1"/>
        <v>0</v>
      </c>
      <c r="M31" s="28"/>
      <c r="N31" s="149">
        <f t="shared" si="2"/>
        <v>0</v>
      </c>
      <c r="O31" s="18" t="str">
        <f t="shared" si="3"/>
        <v/>
      </c>
    </row>
    <row r="32" spans="1:15">
      <c r="A32" s="19"/>
      <c r="B32" s="151"/>
      <c r="C32" s="20"/>
      <c r="D32" s="146"/>
      <c r="E32" s="14"/>
      <c r="F32" s="150"/>
      <c r="G32" s="15">
        <f t="shared" si="4"/>
        <v>750</v>
      </c>
      <c r="H32" s="16">
        <f>G32*F32</f>
        <v>0</v>
      </c>
      <c r="I32" s="28"/>
      <c r="J32" s="31"/>
      <c r="K32" s="15">
        <f t="shared" si="5"/>
        <v>750</v>
      </c>
      <c r="L32" s="16">
        <f>K32*J32</f>
        <v>0</v>
      </c>
      <c r="M32" s="28"/>
      <c r="N32" s="149">
        <f>L32-H32</f>
        <v>0</v>
      </c>
      <c r="O32" s="18" t="str">
        <f>IF((H32)=0,"",(N32/H32))</f>
        <v/>
      </c>
    </row>
    <row r="33" spans="1:15">
      <c r="A33" s="19"/>
      <c r="B33" s="151"/>
      <c r="C33" s="20"/>
      <c r="D33" s="146"/>
      <c r="E33" s="14"/>
      <c r="F33" s="150"/>
      <c r="G33" s="15">
        <f t="shared" si="4"/>
        <v>750</v>
      </c>
      <c r="H33" s="16">
        <f>G33*F33</f>
        <v>0</v>
      </c>
      <c r="I33" s="28"/>
      <c r="J33" s="31"/>
      <c r="K33" s="15">
        <f t="shared" si="5"/>
        <v>750</v>
      </c>
      <c r="L33" s="16">
        <f>K33*J33</f>
        <v>0</v>
      </c>
      <c r="M33" s="28"/>
      <c r="N33" s="149">
        <f>L33-H33</f>
        <v>0</v>
      </c>
      <c r="O33" s="18" t="str">
        <f>IF((H33)=0,"",(N33/H33))</f>
        <v/>
      </c>
    </row>
    <row r="34" spans="1:15">
      <c r="A34" s="19"/>
      <c r="B34" s="151"/>
      <c r="C34" s="20"/>
      <c r="D34" s="146"/>
      <c r="E34" s="14"/>
      <c r="F34" s="150"/>
      <c r="G34" s="15">
        <f t="shared" si="4"/>
        <v>750</v>
      </c>
      <c r="H34" s="16">
        <f>G34*F34</f>
        <v>0</v>
      </c>
      <c r="I34" s="28"/>
      <c r="J34" s="31"/>
      <c r="K34" s="15">
        <f t="shared" si="5"/>
        <v>750</v>
      </c>
      <c r="L34" s="16">
        <f>K34*J34</f>
        <v>0</v>
      </c>
      <c r="M34" s="28"/>
      <c r="N34" s="149">
        <f>L34-H34</f>
        <v>0</v>
      </c>
      <c r="O34" s="18" t="str">
        <f>IF((H34)=0,"",(N34/H34))</f>
        <v/>
      </c>
    </row>
    <row r="35" spans="1:15">
      <c r="A35" s="19"/>
      <c r="B35" s="151"/>
      <c r="C35" s="20"/>
      <c r="D35" s="146"/>
      <c r="E35" s="14"/>
      <c r="F35" s="150"/>
      <c r="G35" s="15">
        <f t="shared" si="4"/>
        <v>750</v>
      </c>
      <c r="H35" s="16">
        <f t="shared" si="0"/>
        <v>0</v>
      </c>
      <c r="I35" s="28"/>
      <c r="J35" s="31"/>
      <c r="K35" s="15">
        <f t="shared" si="5"/>
        <v>750</v>
      </c>
      <c r="L35" s="16">
        <f t="shared" si="1"/>
        <v>0</v>
      </c>
      <c r="M35" s="28"/>
      <c r="N35" s="149">
        <f t="shared" si="2"/>
        <v>0</v>
      </c>
      <c r="O35" s="18" t="str">
        <f t="shared" si="3"/>
        <v/>
      </c>
    </row>
    <row r="36" spans="1:15">
      <c r="A36" s="19"/>
      <c r="B36" s="151"/>
      <c r="C36" s="20"/>
      <c r="D36" s="146"/>
      <c r="E36" s="14"/>
      <c r="F36" s="150"/>
      <c r="G36" s="15">
        <f t="shared" si="4"/>
        <v>750</v>
      </c>
      <c r="H36" s="16">
        <f t="shared" si="0"/>
        <v>0</v>
      </c>
      <c r="I36" s="28"/>
      <c r="J36" s="31"/>
      <c r="K36" s="15">
        <f t="shared" si="5"/>
        <v>750</v>
      </c>
      <c r="L36" s="16">
        <f t="shared" si="1"/>
        <v>0</v>
      </c>
      <c r="M36" s="28"/>
      <c r="N36" s="149">
        <f t="shared" si="2"/>
        <v>0</v>
      </c>
      <c r="O36" s="18" t="str">
        <f t="shared" si="3"/>
        <v/>
      </c>
    </row>
    <row r="37" spans="1:15">
      <c r="A37" s="19"/>
      <c r="B37" s="151"/>
      <c r="C37" s="20"/>
      <c r="D37" s="146"/>
      <c r="E37" s="14"/>
      <c r="F37" s="150"/>
      <c r="G37" s="15">
        <f t="shared" si="4"/>
        <v>750</v>
      </c>
      <c r="H37" s="16">
        <f t="shared" si="0"/>
        <v>0</v>
      </c>
      <c r="I37" s="28"/>
      <c r="J37" s="31"/>
      <c r="K37" s="15">
        <f t="shared" si="5"/>
        <v>750</v>
      </c>
      <c r="L37" s="16">
        <f t="shared" si="1"/>
        <v>0</v>
      </c>
      <c r="M37" s="28"/>
      <c r="N37" s="149">
        <f t="shared" si="2"/>
        <v>0</v>
      </c>
      <c r="O37" s="18" t="str">
        <f t="shared" si="3"/>
        <v/>
      </c>
    </row>
    <row r="38" spans="1:15">
      <c r="A38" s="19"/>
      <c r="B38" s="151"/>
      <c r="C38" s="20"/>
      <c r="D38" s="146"/>
      <c r="E38" s="14"/>
      <c r="F38" s="150"/>
      <c r="G38" s="15">
        <f t="shared" si="4"/>
        <v>750</v>
      </c>
      <c r="H38" s="16">
        <f t="shared" si="0"/>
        <v>0</v>
      </c>
      <c r="I38" s="28"/>
      <c r="J38" s="31"/>
      <c r="K38" s="15">
        <f t="shared" si="5"/>
        <v>750</v>
      </c>
      <c r="L38" s="16">
        <f t="shared" si="1"/>
        <v>0</v>
      </c>
      <c r="M38" s="28"/>
      <c r="N38" s="149">
        <f t="shared" si="2"/>
        <v>0</v>
      </c>
      <c r="O38" s="18" t="str">
        <f t="shared" si="3"/>
        <v/>
      </c>
    </row>
    <row r="39" spans="1:15">
      <c r="A39" s="19"/>
      <c r="B39" s="153" t="s">
        <v>26</v>
      </c>
      <c r="C39" s="154"/>
      <c r="D39" s="155"/>
      <c r="E39" s="154"/>
      <c r="F39" s="156"/>
      <c r="G39" s="157"/>
      <c r="H39" s="158">
        <f>SUM(H23:H38)</f>
        <v>22.240000000000002</v>
      </c>
      <c r="I39" s="28"/>
      <c r="J39" s="159"/>
      <c r="K39" s="160"/>
      <c r="L39" s="158">
        <f>SUM(L23:L38)</f>
        <v>25.825941561388902</v>
      </c>
      <c r="M39" s="28"/>
      <c r="N39" s="161">
        <f t="shared" si="2"/>
        <v>3.5859415613888999</v>
      </c>
      <c r="O39" s="162">
        <f t="shared" si="3"/>
        <v>0.1612383795588534</v>
      </c>
    </row>
    <row r="40" spans="1:15" ht="51">
      <c r="A40" s="163"/>
      <c r="B40" s="164" t="str">
        <f>'[2]J. DVA'!$B$16</f>
        <v>Rate Rider Calculation for Deferral / Variance Accounts Balances (excluding Global Adj.)</v>
      </c>
      <c r="C40" s="20"/>
      <c r="D40" s="165" t="s">
        <v>24</v>
      </c>
      <c r="E40" s="20"/>
      <c r="F40" s="166"/>
      <c r="G40" s="21">
        <f t="shared" ref="G40:G46" si="6">$F$18</f>
        <v>750</v>
      </c>
      <c r="H40" s="22">
        <f t="shared" ref="H40:H48" si="7">G40*F40</f>
        <v>0</v>
      </c>
      <c r="I40" s="167"/>
      <c r="J40" s="166">
        <f>'[2]J. DVA'!F20</f>
        <v>-8.4166580262031484E-4</v>
      </c>
      <c r="K40" s="21">
        <f t="shared" ref="K40:K46" si="8">$F$18</f>
        <v>750</v>
      </c>
      <c r="L40" s="22">
        <f t="shared" ref="L40:L48" si="9">K40*J40</f>
        <v>-0.63124935196523613</v>
      </c>
      <c r="M40" s="167"/>
      <c r="N40" s="168">
        <f t="shared" si="2"/>
        <v>-0.63124935196523613</v>
      </c>
      <c r="O40" s="23" t="str">
        <f t="shared" si="3"/>
        <v/>
      </c>
    </row>
    <row r="41" spans="1:15" ht="51">
      <c r="A41" s="169"/>
      <c r="B41" s="164" t="str">
        <f>'[2]J. DVA'!$B$28</f>
        <v>Rate Rider Calculation for Deferral / Variance Accounts Balances (excluding Global Adj.) - NON-WMP</v>
      </c>
      <c r="C41" s="20"/>
      <c r="D41" s="165" t="s">
        <v>24</v>
      </c>
      <c r="E41" s="20"/>
      <c r="F41" s="166"/>
      <c r="G41" s="21">
        <f t="shared" si="6"/>
        <v>750</v>
      </c>
      <c r="H41" s="22">
        <f t="shared" si="7"/>
        <v>0</v>
      </c>
      <c r="I41" s="167"/>
      <c r="J41" s="166">
        <f>'[2]J. DVA'!F32</f>
        <v>-2.6878065725373353E-3</v>
      </c>
      <c r="K41" s="21">
        <f t="shared" si="8"/>
        <v>750</v>
      </c>
      <c r="L41" s="22">
        <f t="shared" si="9"/>
        <v>-2.0158549294030013</v>
      </c>
      <c r="M41" s="167"/>
      <c r="N41" s="168">
        <f t="shared" si="2"/>
        <v>-2.0158549294030013</v>
      </c>
      <c r="O41" s="23" t="str">
        <f t="shared" si="3"/>
        <v/>
      </c>
    </row>
    <row r="42" spans="1:15" ht="38.25">
      <c r="A42" s="169"/>
      <c r="B42" s="164" t="str">
        <f>'[2]J. DVA'!$B$40</f>
        <v>Rate Rider Calculation for RSVA - Power - Global Adjustment</v>
      </c>
      <c r="C42" s="20"/>
      <c r="D42" s="165" t="s">
        <v>24</v>
      </c>
      <c r="E42" s="20"/>
      <c r="F42" s="166"/>
      <c r="G42" s="21">
        <f t="shared" si="6"/>
        <v>750</v>
      </c>
      <c r="H42" s="22"/>
      <c r="I42" s="167"/>
      <c r="J42" s="166"/>
      <c r="K42" s="21">
        <f t="shared" si="8"/>
        <v>750</v>
      </c>
      <c r="L42" s="22">
        <f t="shared" si="9"/>
        <v>0</v>
      </c>
      <c r="M42" s="167"/>
      <c r="N42" s="168">
        <f t="shared" si="2"/>
        <v>0</v>
      </c>
      <c r="O42" s="23" t="str">
        <f t="shared" si="3"/>
        <v/>
      </c>
    </row>
    <row r="43" spans="1:15" ht="25.5">
      <c r="A43" s="169"/>
      <c r="B43" s="164" t="str">
        <f>'[2]J. DVA'!$B$65</f>
        <v>Rate Rider Calculation for Group 2 Accounts</v>
      </c>
      <c r="C43" s="20"/>
      <c r="D43" s="165" t="s">
        <v>19</v>
      </c>
      <c r="E43" s="20"/>
      <c r="F43" s="166"/>
      <c r="G43" s="21">
        <f t="shared" si="6"/>
        <v>750</v>
      </c>
      <c r="H43" s="22"/>
      <c r="I43" s="167"/>
      <c r="J43" s="166">
        <f>'[2]J. DVA'!F69</f>
        <v>5.9803012644498693E-2</v>
      </c>
      <c r="K43" s="21">
        <v>1</v>
      </c>
      <c r="L43" s="22">
        <f t="shared" si="9"/>
        <v>5.9803012644498693E-2</v>
      </c>
      <c r="M43" s="167"/>
      <c r="N43" s="168">
        <f t="shared" si="2"/>
        <v>5.9803012644498693E-2</v>
      </c>
      <c r="O43" s="23" t="str">
        <f t="shared" si="3"/>
        <v/>
      </c>
    </row>
    <row r="44" spans="1:15" ht="25.5">
      <c r="A44" s="163"/>
      <c r="B44" s="164" t="str">
        <f>'[2]J. DVA'!$B$77</f>
        <v>Rate Rider Calculation for Accounts 1575 and 1576</v>
      </c>
      <c r="C44" s="20"/>
      <c r="D44" s="165" t="s">
        <v>24</v>
      </c>
      <c r="E44" s="20"/>
      <c r="F44" s="166"/>
      <c r="G44" s="21">
        <f t="shared" si="6"/>
        <v>750</v>
      </c>
      <c r="H44" s="22">
        <f t="shared" si="7"/>
        <v>0</v>
      </c>
      <c r="I44" s="167"/>
      <c r="J44" s="166">
        <f>'[2]J. DVA'!F83</f>
        <v>-3.9452380925434662E-4</v>
      </c>
      <c r="K44" s="21">
        <f t="shared" si="8"/>
        <v>750</v>
      </c>
      <c r="L44" s="22">
        <f t="shared" si="9"/>
        <v>-0.29589285694075995</v>
      </c>
      <c r="M44" s="167"/>
      <c r="N44" s="168">
        <f t="shared" si="2"/>
        <v>-0.29589285694075995</v>
      </c>
      <c r="O44" s="23" t="str">
        <f t="shared" si="3"/>
        <v/>
      </c>
    </row>
    <row r="45" spans="1:15" ht="25.5">
      <c r="A45" s="163"/>
      <c r="B45" s="164" t="str">
        <f>'[2]J. DVA'!$B$91</f>
        <v>Rate Rider Calculation for Accounts 1568</v>
      </c>
      <c r="C45" s="20"/>
      <c r="D45" s="165" t="s">
        <v>24</v>
      </c>
      <c r="E45" s="20"/>
      <c r="F45" s="166"/>
      <c r="G45" s="21">
        <f t="shared" si="6"/>
        <v>750</v>
      </c>
      <c r="H45" s="22">
        <f t="shared" si="7"/>
        <v>0</v>
      </c>
      <c r="I45" s="167"/>
      <c r="J45" s="166">
        <f>'[2]J. DVA'!F97</f>
        <v>2.9506096519263029E-4</v>
      </c>
      <c r="K45" s="21">
        <f t="shared" si="8"/>
        <v>750</v>
      </c>
      <c r="L45" s="22">
        <f t="shared" si="9"/>
        <v>0.22129572389447272</v>
      </c>
      <c r="M45" s="167"/>
      <c r="N45" s="168">
        <f t="shared" si="2"/>
        <v>0.22129572389447272</v>
      </c>
      <c r="O45" s="23" t="str">
        <f t="shared" si="3"/>
        <v/>
      </c>
    </row>
    <row r="46" spans="1:15">
      <c r="A46" s="163"/>
      <c r="B46" s="164" t="s">
        <v>27</v>
      </c>
      <c r="C46" s="20"/>
      <c r="D46" s="165" t="s">
        <v>24</v>
      </c>
      <c r="E46" s="20"/>
      <c r="F46" s="166">
        <v>1.1000000000000001E-3</v>
      </c>
      <c r="G46" s="21">
        <f t="shared" si="6"/>
        <v>750</v>
      </c>
      <c r="H46" s="22">
        <f t="shared" si="7"/>
        <v>0.82500000000000007</v>
      </c>
      <c r="I46" s="167"/>
      <c r="J46" s="166">
        <f>'[3]4.12 PowerSupplExp'!$I$171</f>
        <v>8.0000000000000004E-4</v>
      </c>
      <c r="K46" s="21">
        <f t="shared" si="8"/>
        <v>750</v>
      </c>
      <c r="L46" s="22">
        <f t="shared" si="9"/>
        <v>0.6</v>
      </c>
      <c r="M46" s="167"/>
      <c r="N46" s="168">
        <f t="shared" si="2"/>
        <v>-0.22500000000000009</v>
      </c>
      <c r="O46" s="24">
        <f>IF((H46)=0,"",(N46/H46))</f>
        <v>-0.27272727272727282</v>
      </c>
    </row>
    <row r="47" spans="1:15">
      <c r="A47" s="19"/>
      <c r="B47" s="145" t="s">
        <v>28</v>
      </c>
      <c r="C47" s="20"/>
      <c r="D47" s="165" t="s">
        <v>24</v>
      </c>
      <c r="E47" s="20"/>
      <c r="F47" s="166">
        <f>IF(ISBLANK(D16)=1, 0, IF(D16="TOU", 0.64*$F$57+0.18*$F$58+0.18*$F$59, IF(AND(D16="non-TOU", G61&gt;0), F61,F60)))</f>
        <v>0.10766000000000001</v>
      </c>
      <c r="G47" s="21">
        <f>$F$18*(1+$F$76)-$F$18</f>
        <v>29.249999999999886</v>
      </c>
      <c r="H47" s="22">
        <f t="shared" si="7"/>
        <v>3.1490549999999877</v>
      </c>
      <c r="I47" s="167"/>
      <c r="J47" s="166">
        <f>0.64*$F$57+0.18*$F$58+0.18*$F$59</f>
        <v>0.10766000000000001</v>
      </c>
      <c r="K47" s="21">
        <f>$F$18*(1+$J$76)-$F$18</f>
        <v>34.275000000000091</v>
      </c>
      <c r="L47" s="22">
        <f t="shared" si="9"/>
        <v>3.69004650000001</v>
      </c>
      <c r="M47" s="167"/>
      <c r="N47" s="168">
        <f t="shared" si="2"/>
        <v>0.54099150000002227</v>
      </c>
      <c r="O47" s="24">
        <f t="shared" si="3"/>
        <v>0.17179487179487954</v>
      </c>
    </row>
    <row r="48" spans="1:15">
      <c r="A48" s="19"/>
      <c r="B48" s="170" t="s">
        <v>29</v>
      </c>
      <c r="C48" s="20"/>
      <c r="D48" s="171" t="s">
        <v>24</v>
      </c>
      <c r="E48" s="14"/>
      <c r="F48" s="172">
        <v>0.79</v>
      </c>
      <c r="G48" s="25">
        <v>1</v>
      </c>
      <c r="H48" s="26">
        <f t="shared" si="7"/>
        <v>0.79</v>
      </c>
      <c r="I48" s="173"/>
      <c r="J48" s="172">
        <v>0.79</v>
      </c>
      <c r="K48" s="25">
        <v>1</v>
      </c>
      <c r="L48" s="26">
        <f t="shared" si="9"/>
        <v>0.79</v>
      </c>
      <c r="M48" s="173"/>
      <c r="N48" s="174">
        <f t="shared" si="2"/>
        <v>0</v>
      </c>
      <c r="O48" s="27"/>
    </row>
    <row r="49" spans="2:19" ht="25.5">
      <c r="B49" s="175" t="s">
        <v>30</v>
      </c>
      <c r="C49" s="176"/>
      <c r="D49" s="176"/>
      <c r="E49" s="176"/>
      <c r="F49" s="177"/>
      <c r="G49" s="178"/>
      <c r="H49" s="179">
        <f>SUM(H40:H48)+H39</f>
        <v>27.00405499999999</v>
      </c>
      <c r="I49" s="28"/>
      <c r="J49" s="178"/>
      <c r="K49" s="180"/>
      <c r="L49" s="179">
        <f>SUM(L40:L48)+L39</f>
        <v>28.244089659618886</v>
      </c>
      <c r="M49" s="28"/>
      <c r="N49" s="161">
        <f t="shared" si="2"/>
        <v>1.240034659618896</v>
      </c>
      <c r="O49" s="162">
        <f t="shared" ref="O49:O67" si="10">IF((H49)=0,"",(N49/H49))</f>
        <v>4.5920313064793286E-2</v>
      </c>
    </row>
    <row r="50" spans="2:19">
      <c r="B50" s="181" t="s">
        <v>31</v>
      </c>
      <c r="C50" s="28"/>
      <c r="D50" s="182" t="s">
        <v>24</v>
      </c>
      <c r="E50" s="28"/>
      <c r="F50" s="31">
        <f>'[2]B. CurrentTariff'!C45</f>
        <v>6.3E-3</v>
      </c>
      <c r="G50" s="29">
        <f>F18*(1+F76)</f>
        <v>779.24999999999989</v>
      </c>
      <c r="H50" s="16">
        <f>G50*F50</f>
        <v>4.9092749999999992</v>
      </c>
      <c r="I50" s="28"/>
      <c r="J50" s="31">
        <f>'[3]4.12 PowerSupplExp'!$N$58</f>
        <v>5.9083602245513928E-3</v>
      </c>
      <c r="K50" s="30">
        <f>F18*(1+J76)</f>
        <v>784.27500000000009</v>
      </c>
      <c r="L50" s="16">
        <f>K50*J50</f>
        <v>4.6337792151100441</v>
      </c>
      <c r="M50" s="28"/>
      <c r="N50" s="149">
        <f t="shared" si="2"/>
        <v>-0.27549578488995508</v>
      </c>
      <c r="O50" s="18">
        <f t="shared" si="10"/>
        <v>-5.6117407334067684E-2</v>
      </c>
    </row>
    <row r="51" spans="2:19" ht="25.5">
      <c r="B51" s="183" t="s">
        <v>32</v>
      </c>
      <c r="C51" s="28"/>
      <c r="D51" s="182" t="s">
        <v>24</v>
      </c>
      <c r="E51" s="28"/>
      <c r="F51" s="31">
        <f>'[2]B. CurrentTariff'!C46</f>
        <v>4.4999999999999997E-3</v>
      </c>
      <c r="G51" s="29">
        <f>G50</f>
        <v>779.24999999999989</v>
      </c>
      <c r="H51" s="16">
        <f>G51*F51</f>
        <v>3.5066249999999992</v>
      </c>
      <c r="I51" s="28"/>
      <c r="J51" s="31">
        <f>'[3]4.12 PowerSupplExp'!$N$74</f>
        <v>4.5291837326333229E-3</v>
      </c>
      <c r="K51" s="30">
        <f>K50</f>
        <v>784.27500000000009</v>
      </c>
      <c r="L51" s="16">
        <f>K51*J51</f>
        <v>3.5521255719109996</v>
      </c>
      <c r="M51" s="28"/>
      <c r="N51" s="149">
        <f t="shared" si="2"/>
        <v>4.5500571911000431E-2</v>
      </c>
      <c r="O51" s="18">
        <f t="shared" si="10"/>
        <v>1.2975602441378945E-2</v>
      </c>
    </row>
    <row r="52" spans="2:19" ht="25.5">
      <c r="B52" s="175" t="s">
        <v>33</v>
      </c>
      <c r="C52" s="154"/>
      <c r="D52" s="154"/>
      <c r="E52" s="154"/>
      <c r="F52" s="184"/>
      <c r="G52" s="178"/>
      <c r="H52" s="179">
        <f>SUM(H49:H51)</f>
        <v>35.419954999999987</v>
      </c>
      <c r="I52" s="185"/>
      <c r="J52" s="186"/>
      <c r="K52" s="187"/>
      <c r="L52" s="179">
        <f>SUM(L49:L51)</f>
        <v>36.429994446639931</v>
      </c>
      <c r="M52" s="185"/>
      <c r="N52" s="161">
        <f t="shared" si="2"/>
        <v>1.0100394466399436</v>
      </c>
      <c r="O52" s="162">
        <f t="shared" si="10"/>
        <v>2.8516113209063759E-2</v>
      </c>
    </row>
    <row r="53" spans="2:19" ht="25.5">
      <c r="B53" s="145" t="s">
        <v>34</v>
      </c>
      <c r="C53" s="20"/>
      <c r="D53" s="188" t="s">
        <v>24</v>
      </c>
      <c r="E53" s="14"/>
      <c r="F53" s="31">
        <v>3.5999999999999999E-3</v>
      </c>
      <c r="G53" s="29">
        <f>G51</f>
        <v>779.24999999999989</v>
      </c>
      <c r="H53" s="16">
        <f t="shared" ref="H53:H59" si="11">G53*F53</f>
        <v>2.8052999999999995</v>
      </c>
      <c r="I53" s="28"/>
      <c r="J53" s="31">
        <v>3.5999999999999999E-3</v>
      </c>
      <c r="K53" s="30">
        <f>K51</f>
        <v>784.27500000000009</v>
      </c>
      <c r="L53" s="16">
        <f t="shared" ref="L53:L59" si="12">K53*J53</f>
        <v>2.8233900000000003</v>
      </c>
      <c r="M53" s="28"/>
      <c r="N53" s="149">
        <f t="shared" si="2"/>
        <v>1.8090000000000828E-2</v>
      </c>
      <c r="O53" s="18">
        <f t="shared" si="10"/>
        <v>6.4485081809435105E-3</v>
      </c>
    </row>
    <row r="54" spans="2:19" ht="25.5">
      <c r="B54" s="145" t="s">
        <v>35</v>
      </c>
      <c r="C54" s="20"/>
      <c r="D54" s="188" t="s">
        <v>24</v>
      </c>
      <c r="E54" s="14"/>
      <c r="F54" s="31">
        <v>1.2999999999999999E-3</v>
      </c>
      <c r="G54" s="29">
        <f>G51</f>
        <v>779.24999999999989</v>
      </c>
      <c r="H54" s="16">
        <f t="shared" si="11"/>
        <v>1.0130249999999998</v>
      </c>
      <c r="I54" s="28"/>
      <c r="J54" s="31">
        <v>1.2999999999999999E-3</v>
      </c>
      <c r="K54" s="30">
        <f>K51</f>
        <v>784.27500000000009</v>
      </c>
      <c r="L54" s="16">
        <f t="shared" si="12"/>
        <v>1.0195575000000001</v>
      </c>
      <c r="M54" s="28"/>
      <c r="N54" s="149">
        <f t="shared" si="2"/>
        <v>6.5325000000002742E-3</v>
      </c>
      <c r="O54" s="18">
        <f t="shared" si="10"/>
        <v>6.4485081809434863E-3</v>
      </c>
    </row>
    <row r="55" spans="2:19" ht="25.5">
      <c r="B55" s="145" t="s">
        <v>36</v>
      </c>
      <c r="C55" s="20"/>
      <c r="D55" s="188" t="s">
        <v>19</v>
      </c>
      <c r="E55" s="14"/>
      <c r="F55" s="31">
        <v>0.25</v>
      </c>
      <c r="G55" s="15">
        <v>1</v>
      </c>
      <c r="H55" s="16">
        <f t="shared" si="11"/>
        <v>0.25</v>
      </c>
      <c r="I55" s="28"/>
      <c r="J55" s="31">
        <v>0.25</v>
      </c>
      <c r="K55" s="17">
        <v>1</v>
      </c>
      <c r="L55" s="16">
        <f t="shared" si="12"/>
        <v>0.25</v>
      </c>
      <c r="M55" s="28"/>
      <c r="N55" s="149">
        <f t="shared" si="2"/>
        <v>0</v>
      </c>
      <c r="O55" s="18">
        <f t="shared" si="10"/>
        <v>0</v>
      </c>
    </row>
    <row r="56" spans="2:19">
      <c r="B56" s="145" t="s">
        <v>37</v>
      </c>
      <c r="C56" s="20"/>
      <c r="D56" s="188" t="s">
        <v>24</v>
      </c>
      <c r="E56" s="14"/>
      <c r="F56" s="31">
        <v>1.1000000000000001E-3</v>
      </c>
      <c r="G56" s="29">
        <f>F18</f>
        <v>750</v>
      </c>
      <c r="H56" s="16">
        <f t="shared" si="11"/>
        <v>0.82500000000000007</v>
      </c>
      <c r="I56" s="28"/>
      <c r="J56" s="31">
        <v>1.1000000000000001E-3</v>
      </c>
      <c r="K56" s="30">
        <f>F18</f>
        <v>750</v>
      </c>
      <c r="L56" s="16">
        <f t="shared" si="12"/>
        <v>0.82500000000000007</v>
      </c>
      <c r="M56" s="28"/>
      <c r="N56" s="149">
        <f t="shared" si="2"/>
        <v>0</v>
      </c>
      <c r="O56" s="18">
        <f t="shared" si="10"/>
        <v>0</v>
      </c>
    </row>
    <row r="57" spans="2:19">
      <c r="B57" s="170" t="s">
        <v>38</v>
      </c>
      <c r="C57" s="20"/>
      <c r="D57" s="188" t="s">
        <v>24</v>
      </c>
      <c r="E57" s="14"/>
      <c r="F57" s="31">
        <v>8.3000000000000004E-2</v>
      </c>
      <c r="G57" s="189">
        <f>0.64*$F$18</f>
        <v>480</v>
      </c>
      <c r="H57" s="16">
        <f t="shared" si="11"/>
        <v>39.840000000000003</v>
      </c>
      <c r="I57" s="28"/>
      <c r="J57" s="31">
        <v>8.3000000000000004E-2</v>
      </c>
      <c r="K57" s="189">
        <f>G57</f>
        <v>480</v>
      </c>
      <c r="L57" s="16">
        <f t="shared" si="12"/>
        <v>39.840000000000003</v>
      </c>
      <c r="M57" s="28"/>
      <c r="N57" s="149">
        <f t="shared" si="2"/>
        <v>0</v>
      </c>
      <c r="O57" s="18">
        <f t="shared" si="10"/>
        <v>0</v>
      </c>
      <c r="S57" s="190"/>
    </row>
    <row r="58" spans="2:19">
      <c r="B58" s="170" t="s">
        <v>39</v>
      </c>
      <c r="C58" s="20"/>
      <c r="D58" s="188" t="s">
        <v>24</v>
      </c>
      <c r="E58" s="14"/>
      <c r="F58" s="31">
        <v>0.128</v>
      </c>
      <c r="G58" s="189">
        <f>0.18*$F$18</f>
        <v>135</v>
      </c>
      <c r="H58" s="16">
        <f t="shared" si="11"/>
        <v>17.28</v>
      </c>
      <c r="I58" s="28"/>
      <c r="J58" s="31">
        <v>0.128</v>
      </c>
      <c r="K58" s="189">
        <f>G58</f>
        <v>135</v>
      </c>
      <c r="L58" s="16">
        <f t="shared" si="12"/>
        <v>17.28</v>
      </c>
      <c r="M58" s="28"/>
      <c r="N58" s="149">
        <f t="shared" si="2"/>
        <v>0</v>
      </c>
      <c r="O58" s="18">
        <f t="shared" si="10"/>
        <v>0</v>
      </c>
      <c r="S58" s="190"/>
    </row>
    <row r="59" spans="2:19">
      <c r="B59" s="135" t="s">
        <v>40</v>
      </c>
      <c r="C59" s="20"/>
      <c r="D59" s="188" t="s">
        <v>24</v>
      </c>
      <c r="E59" s="14"/>
      <c r="F59" s="31">
        <v>0.17499999999999999</v>
      </c>
      <c r="G59" s="189">
        <f>0.18*$F$18</f>
        <v>135</v>
      </c>
      <c r="H59" s="16">
        <f t="shared" si="11"/>
        <v>23.625</v>
      </c>
      <c r="I59" s="28"/>
      <c r="J59" s="31">
        <v>0.17499999999999999</v>
      </c>
      <c r="K59" s="189">
        <f>G59</f>
        <v>135</v>
      </c>
      <c r="L59" s="16">
        <f t="shared" si="12"/>
        <v>23.625</v>
      </c>
      <c r="M59" s="28"/>
      <c r="N59" s="149">
        <f t="shared" si="2"/>
        <v>0</v>
      </c>
      <c r="O59" s="18">
        <f t="shared" si="10"/>
        <v>0</v>
      </c>
      <c r="S59" s="190"/>
    </row>
    <row r="60" spans="2:19" s="195" customFormat="1">
      <c r="B60" s="191" t="s">
        <v>41</v>
      </c>
      <c r="C60" s="32"/>
      <c r="D60" s="188" t="s">
        <v>24</v>
      </c>
      <c r="E60" s="32"/>
      <c r="F60" s="31">
        <v>9.9000000000000005E-2</v>
      </c>
      <c r="G60" s="192">
        <f>IF(AND($T$1=1, F18&gt;=600), 600, IF(AND($T$1=1, AND(F18&lt;600, F18&gt;=0)), F18, IF(AND($T$1=2, F18&gt;=1000), 1000, IF(AND($T$1=2, AND(F18&lt;1000, F18&gt;=0)), F18))))</f>
        <v>600</v>
      </c>
      <c r="H60" s="16">
        <f>G60*F60</f>
        <v>59.400000000000006</v>
      </c>
      <c r="I60" s="193"/>
      <c r="J60" s="31">
        <v>9.9000000000000005E-2</v>
      </c>
      <c r="K60" s="192">
        <f>G60</f>
        <v>600</v>
      </c>
      <c r="L60" s="16">
        <f>K60*J60</f>
        <v>59.400000000000006</v>
      </c>
      <c r="M60" s="193"/>
      <c r="N60" s="194">
        <f t="shared" si="2"/>
        <v>0</v>
      </c>
      <c r="O60" s="18">
        <f t="shared" si="10"/>
        <v>0</v>
      </c>
    </row>
    <row r="61" spans="2:19" s="195" customFormat="1" ht="13.5" thickBot="1">
      <c r="B61" s="191" t="s">
        <v>42</v>
      </c>
      <c r="C61" s="32"/>
      <c r="D61" s="188" t="s">
        <v>24</v>
      </c>
      <c r="E61" s="32"/>
      <c r="F61" s="31">
        <v>0.11600000000000001</v>
      </c>
      <c r="G61" s="192">
        <f>IF(AND($T$1=1, F18&gt;=600), F18-600, IF(AND($T$1=1, AND(F18&lt;600, F18&gt;=0)), 0, IF(AND($T$1=2, F18&gt;=1000), F18-1000, IF(AND($T$1=2, AND(F18&lt;1000, F18&gt;=0)), 0))))</f>
        <v>150</v>
      </c>
      <c r="H61" s="16">
        <f>G61*F61</f>
        <v>17.400000000000002</v>
      </c>
      <c r="I61" s="193"/>
      <c r="J61" s="31">
        <v>0.11600000000000001</v>
      </c>
      <c r="K61" s="192">
        <f>G61</f>
        <v>150</v>
      </c>
      <c r="L61" s="16">
        <f>K61*J61</f>
        <v>17.400000000000002</v>
      </c>
      <c r="M61" s="193"/>
      <c r="N61" s="194">
        <f t="shared" si="2"/>
        <v>0</v>
      </c>
      <c r="O61" s="18">
        <f t="shared" si="10"/>
        <v>0</v>
      </c>
    </row>
    <row r="62" spans="2:19" ht="13.5" thickBot="1">
      <c r="B62" s="196"/>
      <c r="C62" s="197"/>
      <c r="D62" s="198"/>
      <c r="E62" s="197"/>
      <c r="F62" s="199"/>
      <c r="G62" s="200"/>
      <c r="H62" s="201"/>
      <c r="I62" s="202"/>
      <c r="J62" s="199"/>
      <c r="K62" s="203"/>
      <c r="L62" s="201"/>
      <c r="M62" s="202"/>
      <c r="N62" s="204"/>
      <c r="O62" s="205"/>
    </row>
    <row r="63" spans="2:19" ht="25.5">
      <c r="B63" s="33" t="s">
        <v>43</v>
      </c>
      <c r="C63" s="20"/>
      <c r="D63" s="20"/>
      <c r="E63" s="20"/>
      <c r="F63" s="34"/>
      <c r="G63" s="35"/>
      <c r="H63" s="36">
        <f>SUM(H53:H59,H52)</f>
        <v>121.05828</v>
      </c>
      <c r="I63" s="37"/>
      <c r="J63" s="38"/>
      <c r="K63" s="38"/>
      <c r="L63" s="36">
        <f>SUM(L53:L59,L52)</f>
        <v>122.09294194663994</v>
      </c>
      <c r="M63" s="39"/>
      <c r="N63" s="40">
        <f>L63-H63</f>
        <v>1.0346619466399432</v>
      </c>
      <c r="O63" s="41">
        <f>IF((H63)=0,"",(N63/H63))</f>
        <v>8.5468085837659604E-3</v>
      </c>
      <c r="S63" s="190"/>
    </row>
    <row r="64" spans="2:19">
      <c r="B64" s="42" t="s">
        <v>44</v>
      </c>
      <c r="C64" s="20"/>
      <c r="D64" s="20"/>
      <c r="E64" s="20"/>
      <c r="F64" s="43">
        <v>0.13</v>
      </c>
      <c r="G64" s="44"/>
      <c r="H64" s="45">
        <f>H63*F64</f>
        <v>15.7375764</v>
      </c>
      <c r="I64" s="46"/>
      <c r="J64" s="47">
        <v>0.13</v>
      </c>
      <c r="K64" s="46"/>
      <c r="L64" s="48">
        <f>L63*J64</f>
        <v>15.872082453063193</v>
      </c>
      <c r="M64" s="49"/>
      <c r="N64" s="50">
        <f t="shared" si="2"/>
        <v>0.13450605306319297</v>
      </c>
      <c r="O64" s="18">
        <f t="shared" si="10"/>
        <v>8.546808583765983E-3</v>
      </c>
      <c r="S64" s="190"/>
    </row>
    <row r="65" spans="1:19">
      <c r="B65" s="206" t="s">
        <v>45</v>
      </c>
      <c r="C65" s="20"/>
      <c r="D65" s="20"/>
      <c r="E65" s="20"/>
      <c r="F65" s="51"/>
      <c r="G65" s="44"/>
      <c r="H65" s="45">
        <f>H63+H64</f>
        <v>136.79585639999999</v>
      </c>
      <c r="I65" s="46"/>
      <c r="J65" s="46"/>
      <c r="K65" s="46"/>
      <c r="L65" s="48">
        <f>L63+L64</f>
        <v>137.96502439970314</v>
      </c>
      <c r="M65" s="49"/>
      <c r="N65" s="50">
        <f t="shared" si="2"/>
        <v>1.1691679997031486</v>
      </c>
      <c r="O65" s="18">
        <f t="shared" si="10"/>
        <v>8.5468085837660558E-3</v>
      </c>
      <c r="S65" s="190"/>
    </row>
    <row r="66" spans="1:19">
      <c r="B66" s="297" t="s">
        <v>46</v>
      </c>
      <c r="C66" s="297"/>
      <c r="D66" s="297"/>
      <c r="E66" s="20"/>
      <c r="F66" s="51"/>
      <c r="G66" s="44"/>
      <c r="H66" s="52">
        <f>ROUND(-H65*0.1,2)</f>
        <v>-13.68</v>
      </c>
      <c r="I66" s="46"/>
      <c r="J66" s="46"/>
      <c r="K66" s="46"/>
      <c r="L66" s="53">
        <f>ROUND(-L65*0.1,2)</f>
        <v>-13.8</v>
      </c>
      <c r="M66" s="49"/>
      <c r="N66" s="54">
        <f t="shared" si="2"/>
        <v>-0.12000000000000099</v>
      </c>
      <c r="O66" s="55">
        <f t="shared" si="10"/>
        <v>8.7719298245614759E-3</v>
      </c>
    </row>
    <row r="67" spans="1:19" ht="13.5" thickBot="1">
      <c r="B67" s="298" t="s">
        <v>47</v>
      </c>
      <c r="C67" s="298"/>
      <c r="D67" s="298"/>
      <c r="E67" s="14"/>
      <c r="F67" s="207"/>
      <c r="G67" s="208"/>
      <c r="H67" s="209">
        <f>H65+H66</f>
        <v>123.11585639999998</v>
      </c>
      <c r="I67" s="210"/>
      <c r="J67" s="210"/>
      <c r="K67" s="210"/>
      <c r="L67" s="211">
        <f>L65+L66</f>
        <v>124.16502439970314</v>
      </c>
      <c r="M67" s="212"/>
      <c r="N67" s="213">
        <f t="shared" si="2"/>
        <v>1.0491679997031582</v>
      </c>
      <c r="O67" s="214">
        <f t="shared" si="10"/>
        <v>8.521794270710677E-3</v>
      </c>
    </row>
    <row r="68" spans="1:19" s="195" customFormat="1" ht="13.5" thickBot="1">
      <c r="B68" s="215"/>
      <c r="C68" s="216"/>
      <c r="D68" s="217"/>
      <c r="E68" s="216"/>
      <c r="F68" s="199"/>
      <c r="G68" s="218"/>
      <c r="H68" s="201"/>
      <c r="I68" s="219"/>
      <c r="J68" s="199"/>
      <c r="K68" s="220"/>
      <c r="L68" s="201"/>
      <c r="M68" s="219"/>
      <c r="N68" s="221"/>
      <c r="O68" s="205"/>
    </row>
    <row r="69" spans="1:19" s="195" customFormat="1" ht="25.5">
      <c r="B69" s="56" t="s">
        <v>48</v>
      </c>
      <c r="C69" s="32"/>
      <c r="D69" s="32"/>
      <c r="E69" s="32"/>
      <c r="F69" s="57"/>
      <c r="G69" s="58"/>
      <c r="H69" s="59">
        <f>SUM(H60:H61,H52,H53:H56)</f>
        <v>117.11328</v>
      </c>
      <c r="I69" s="60"/>
      <c r="J69" s="61"/>
      <c r="K69" s="61"/>
      <c r="L69" s="59">
        <f>SUM(L60:L61,L52,L53:L56)</f>
        <v>118.14794194663996</v>
      </c>
      <c r="M69" s="62"/>
      <c r="N69" s="63">
        <f>L69-H69</f>
        <v>1.0346619466399574</v>
      </c>
      <c r="O69" s="41">
        <f>IF((H69)=0,"",(N69/H69))</f>
        <v>8.8347106890009179E-3</v>
      </c>
    </row>
    <row r="70" spans="1:19" s="195" customFormat="1">
      <c r="B70" s="64" t="s">
        <v>44</v>
      </c>
      <c r="C70" s="32"/>
      <c r="D70" s="32"/>
      <c r="E70" s="32"/>
      <c r="F70" s="65">
        <v>0.13</v>
      </c>
      <c r="G70" s="58"/>
      <c r="H70" s="66">
        <f>H69*F70</f>
        <v>15.224726400000002</v>
      </c>
      <c r="I70" s="67"/>
      <c r="J70" s="68">
        <v>0.13</v>
      </c>
      <c r="K70" s="69"/>
      <c r="L70" s="70">
        <f>L69*J70</f>
        <v>15.359232453063195</v>
      </c>
      <c r="M70" s="71"/>
      <c r="N70" s="72">
        <f>L70-H70</f>
        <v>0.13450605306319297</v>
      </c>
      <c r="O70" s="18">
        <f>IF((H70)=0,"",(N70/H70))</f>
        <v>8.834710689000819E-3</v>
      </c>
    </row>
    <row r="71" spans="1:19" s="195" customFormat="1">
      <c r="B71" s="222" t="s">
        <v>45</v>
      </c>
      <c r="C71" s="32"/>
      <c r="D71" s="32"/>
      <c r="E71" s="32"/>
      <c r="F71" s="73"/>
      <c r="G71" s="74"/>
      <c r="H71" s="66">
        <f>H69+H70</f>
        <v>132.33800640000001</v>
      </c>
      <c r="I71" s="67"/>
      <c r="J71" s="67"/>
      <c r="K71" s="67"/>
      <c r="L71" s="70">
        <f>L69+L70</f>
        <v>133.50717439970316</v>
      </c>
      <c r="M71" s="71"/>
      <c r="N71" s="72">
        <f>L71-H71</f>
        <v>1.1691679997031486</v>
      </c>
      <c r="O71" s="18">
        <f>IF((H71)=0,"",(N71/H71))</f>
        <v>8.8347106890008919E-3</v>
      </c>
    </row>
    <row r="72" spans="1:19" s="195" customFormat="1">
      <c r="B72" s="299" t="s">
        <v>46</v>
      </c>
      <c r="C72" s="299"/>
      <c r="D72" s="299"/>
      <c r="E72" s="32"/>
      <c r="F72" s="73"/>
      <c r="G72" s="74"/>
      <c r="H72" s="75">
        <f>ROUND(-H71*0.1,2)</f>
        <v>-13.23</v>
      </c>
      <c r="I72" s="67"/>
      <c r="J72" s="67"/>
      <c r="K72" s="67"/>
      <c r="L72" s="76">
        <f>ROUND(-L71*0.1,2)</f>
        <v>-13.35</v>
      </c>
      <c r="M72" s="71"/>
      <c r="N72" s="77">
        <f>L72-H72</f>
        <v>-0.11999999999999922</v>
      </c>
      <c r="O72" s="55">
        <f>IF((H72)=0,"",(N72/H72))</f>
        <v>9.0702947845804401E-3</v>
      </c>
    </row>
    <row r="73" spans="1:19" s="195" customFormat="1" ht="13.5" thickBot="1">
      <c r="B73" s="293" t="s">
        <v>49</v>
      </c>
      <c r="C73" s="293"/>
      <c r="D73" s="293"/>
      <c r="E73" s="32"/>
      <c r="F73" s="73"/>
      <c r="G73" s="74"/>
      <c r="H73" s="59">
        <f>SUM(H71:H72)</f>
        <v>119.10800640000001</v>
      </c>
      <c r="I73" s="60"/>
      <c r="J73" s="60"/>
      <c r="K73" s="60"/>
      <c r="L73" s="223">
        <f>SUM(L71:L72)</f>
        <v>120.15717439970317</v>
      </c>
      <c r="M73" s="62"/>
      <c r="N73" s="63">
        <f>L73-H73</f>
        <v>1.0491679997031582</v>
      </c>
      <c r="O73" s="41">
        <f>IF((H73)=0,"",(N73/H73))</f>
        <v>8.8085430309339657E-3</v>
      </c>
    </row>
    <row r="74" spans="1:19" s="195" customFormat="1" ht="13.5" thickBot="1">
      <c r="B74" s="215"/>
      <c r="C74" s="216"/>
      <c r="D74" s="217"/>
      <c r="E74" s="216"/>
      <c r="F74" s="224"/>
      <c r="G74" s="225"/>
      <c r="H74" s="226"/>
      <c r="I74" s="227"/>
      <c r="J74" s="224"/>
      <c r="K74" s="218"/>
      <c r="L74" s="228"/>
      <c r="M74" s="219"/>
      <c r="N74" s="229"/>
      <c r="O74" s="205"/>
    </row>
    <row r="75" spans="1:19">
      <c r="L75" s="190"/>
    </row>
    <row r="76" spans="1:19">
      <c r="B76" s="230" t="s">
        <v>50</v>
      </c>
      <c r="F76" s="231">
        <v>3.9E-2</v>
      </c>
      <c r="J76" s="231">
        <v>4.5699999999999998E-2</v>
      </c>
    </row>
    <row r="78" spans="1:19" ht="14.25">
      <c r="A78" s="232" t="s">
        <v>51</v>
      </c>
    </row>
    <row r="80" spans="1:19">
      <c r="A80" s="12" t="s">
        <v>52</v>
      </c>
    </row>
    <row r="81" spans="1:2">
      <c r="A81" s="12" t="s">
        <v>53</v>
      </c>
    </row>
    <row r="83" spans="1:2">
      <c r="A83" s="233" t="s">
        <v>54</v>
      </c>
    </row>
    <row r="84" spans="1:2">
      <c r="A84" s="233" t="s">
        <v>55</v>
      </c>
    </row>
    <row r="86" spans="1:2">
      <c r="A86" s="12" t="s">
        <v>56</v>
      </c>
    </row>
    <row r="87" spans="1:2">
      <c r="A87" s="12" t="s">
        <v>57</v>
      </c>
    </row>
    <row r="88" spans="1:2">
      <c r="A88" s="12" t="s">
        <v>58</v>
      </c>
    </row>
    <row r="89" spans="1:2">
      <c r="A89" s="12" t="s">
        <v>59</v>
      </c>
    </row>
    <row r="90" spans="1:2">
      <c r="A90" s="12" t="s">
        <v>60</v>
      </c>
    </row>
    <row r="92" spans="1:2" ht="51">
      <c r="B92" s="13" t="s">
        <v>61</v>
      </c>
    </row>
  </sheetData>
  <mergeCells count="14">
    <mergeCell ref="B73:D73"/>
    <mergeCell ref="D21:D22"/>
    <mergeCell ref="N21:N22"/>
    <mergeCell ref="O21:O22"/>
    <mergeCell ref="B66:D66"/>
    <mergeCell ref="B67:D67"/>
    <mergeCell ref="B72:D72"/>
    <mergeCell ref="A3:K3"/>
    <mergeCell ref="B10:O10"/>
    <mergeCell ref="B11:O11"/>
    <mergeCell ref="D14:O14"/>
    <mergeCell ref="F20:H20"/>
    <mergeCell ref="J20:L20"/>
    <mergeCell ref="N20:O20"/>
  </mergeCells>
  <dataValidations count="3">
    <dataValidation type="list" allowBlank="1" showInputMessage="1" showErrorMessage="1" sqref="D16">
      <formula1>"TOU,non-TOU"</formula1>
      <formula2>0</formula2>
    </dataValidation>
    <dataValidation type="list" allowBlank="1" showInputMessage="1" showErrorMessage="1" prompt="Select Charge Unit - monthly, per kWh, per kW" sqref="D74 D23:D38 D50:D51 D68 D53:D62 D40:D48">
      <formula1>"Monthly,per kWh,per kW"</formula1>
      <formula2>0</formula2>
    </dataValidation>
    <dataValidation type="list" allowBlank="1" showInputMessage="1" showErrorMessage="1" sqref="E23:E38 E74 E50:E51 E53:E62 E68 E40:E48">
      <formula1>"#REF!"</formula1>
      <formula2>0</formula2>
    </dataValidation>
  </dataValidations>
  <pageMargins left="0.25" right="0.25" top="0.75" bottom="0.75" header="0.3" footer="0.3"/>
  <pageSetup paperSize="9" scale="5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8">
    <pageSetUpPr fitToPage="1"/>
  </sheetPr>
  <dimension ref="A1:T92"/>
  <sheetViews>
    <sheetView showGridLines="0" topLeftCell="A43" workbookViewId="0">
      <selection activeCell="J27" sqref="J27"/>
    </sheetView>
  </sheetViews>
  <sheetFormatPr defaultRowHeight="12.75"/>
  <cols>
    <col min="1" max="1" width="11.28515625" style="12" customWidth="1"/>
    <col min="2" max="2" width="26.570312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12" customWidth="1"/>
    <col min="8" max="8" width="11.140625" style="12" customWidth="1"/>
    <col min="9" max="9" width="2.85546875" style="12" customWidth="1"/>
    <col min="10" max="10" width="17" style="12" bestFit="1" customWidth="1"/>
    <col min="11" max="11" width="8.5703125" style="12" customWidth="1"/>
    <col min="12" max="12" width="9.7109375" style="12" customWidth="1"/>
    <col min="13" max="13" width="2.85546875" style="12" customWidth="1"/>
    <col min="14" max="14" width="12.71093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5"/>
      <c r="H2" s="5"/>
      <c r="I2" s="5"/>
      <c r="J2" s="5"/>
      <c r="K2" s="5"/>
      <c r="N2" s="3"/>
      <c r="O2" s="7"/>
    </row>
    <row r="3" spans="1:20" s="2" customFormat="1" ht="12.75" customHeight="1">
      <c r="A3" s="288"/>
      <c r="B3" s="288"/>
      <c r="C3" s="288"/>
      <c r="D3" s="288"/>
      <c r="E3" s="288"/>
      <c r="F3" s="288"/>
      <c r="G3" s="288"/>
      <c r="H3" s="288"/>
      <c r="I3" s="288"/>
      <c r="J3" s="288"/>
      <c r="K3" s="288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5"/>
      <c r="H4" s="5"/>
      <c r="I4" s="8"/>
      <c r="J4" s="8"/>
      <c r="K4" s="8"/>
      <c r="N4" s="3"/>
      <c r="O4" s="7"/>
    </row>
    <row r="5" spans="1:20" s="2" customFormat="1" ht="12.75" customHeight="1">
      <c r="B5" s="9"/>
      <c r="C5" s="10"/>
      <c r="D5" s="10"/>
      <c r="E5" s="10"/>
      <c r="N5" s="3"/>
      <c r="O5" s="4"/>
    </row>
    <row r="6" spans="1:20" s="2" customFormat="1" ht="12.75" customHeight="1">
      <c r="B6" s="9"/>
      <c r="N6" s="3"/>
      <c r="O6" s="11"/>
    </row>
    <row r="7" spans="1:20" s="2" customFormat="1" ht="12.75" customHeight="1">
      <c r="B7" s="9"/>
      <c r="N7" s="3"/>
      <c r="O7" s="4"/>
    </row>
    <row r="8" spans="1:20" s="2" customFormat="1" ht="12.75" customHeight="1">
      <c r="B8" s="9"/>
    </row>
    <row r="9" spans="1:20" ht="12.75" customHeight="1"/>
    <row r="10" spans="1:20" s="130" customFormat="1" ht="18.75" customHeight="1">
      <c r="B10" s="289" t="s">
        <v>0</v>
      </c>
      <c r="C10" s="289"/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89"/>
      <c r="O10" s="289"/>
    </row>
    <row r="11" spans="1:20" ht="18.75" customHeight="1">
      <c r="B11" s="290" t="s">
        <v>1</v>
      </c>
      <c r="C11" s="290"/>
      <c r="D11" s="290"/>
      <c r="E11" s="290"/>
      <c r="F11" s="290"/>
      <c r="G11" s="290"/>
      <c r="H11" s="290"/>
      <c r="I11" s="290"/>
      <c r="J11" s="290"/>
      <c r="K11" s="290"/>
      <c r="L11" s="290"/>
      <c r="M11" s="290"/>
      <c r="N11" s="290"/>
      <c r="O11" s="290"/>
    </row>
    <row r="12" spans="1:20" ht="7.5" customHeight="1"/>
    <row r="13" spans="1:20" ht="7.5" customHeight="1"/>
    <row r="14" spans="1:20" ht="15.75">
      <c r="B14" s="131" t="s">
        <v>2</v>
      </c>
      <c r="D14" s="291" t="s">
        <v>62</v>
      </c>
      <c r="E14" s="291"/>
      <c r="F14" s="291"/>
      <c r="G14" s="291"/>
      <c r="H14" s="291"/>
      <c r="I14" s="291"/>
      <c r="J14" s="291"/>
      <c r="K14" s="291"/>
      <c r="L14" s="291"/>
      <c r="M14" s="291"/>
      <c r="N14" s="291"/>
      <c r="O14" s="291"/>
    </row>
    <row r="15" spans="1:20" ht="7.5" customHeight="1">
      <c r="B15" s="132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spans="1:20" ht="15.75">
      <c r="B16" s="131" t="s">
        <v>4</v>
      </c>
      <c r="D16" s="134" t="s">
        <v>5</v>
      </c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spans="1:15" ht="15.75">
      <c r="B17" s="132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spans="1:15">
      <c r="B18" s="135"/>
      <c r="D18" s="136" t="s">
        <v>6</v>
      </c>
      <c r="E18" s="136"/>
      <c r="F18" s="137">
        <v>2000</v>
      </c>
      <c r="G18" s="136" t="s">
        <v>7</v>
      </c>
    </row>
    <row r="19" spans="1:15">
      <c r="B19" s="135"/>
    </row>
    <row r="20" spans="1:15">
      <c r="B20" s="135"/>
      <c r="D20" s="138"/>
      <c r="E20" s="138"/>
      <c r="F20" s="292" t="s">
        <v>8</v>
      </c>
      <c r="G20" s="292"/>
      <c r="H20" s="292"/>
      <c r="J20" s="292" t="s">
        <v>9</v>
      </c>
      <c r="K20" s="292"/>
      <c r="L20" s="292"/>
      <c r="N20" s="292" t="s">
        <v>10</v>
      </c>
      <c r="O20" s="292"/>
    </row>
    <row r="21" spans="1:15">
      <c r="B21" s="135"/>
      <c r="D21" s="294" t="s">
        <v>11</v>
      </c>
      <c r="E21" s="139"/>
      <c r="F21" s="140" t="s">
        <v>12</v>
      </c>
      <c r="G21" s="140" t="s">
        <v>13</v>
      </c>
      <c r="H21" s="141" t="s">
        <v>14</v>
      </c>
      <c r="J21" s="140" t="s">
        <v>12</v>
      </c>
      <c r="K21" s="142" t="s">
        <v>13</v>
      </c>
      <c r="L21" s="141" t="s">
        <v>14</v>
      </c>
      <c r="N21" s="295" t="s">
        <v>15</v>
      </c>
      <c r="O21" s="296" t="s">
        <v>16</v>
      </c>
    </row>
    <row r="22" spans="1:15">
      <c r="B22" s="135"/>
      <c r="D22" s="294"/>
      <c r="E22" s="139"/>
      <c r="F22" s="143" t="s">
        <v>17</v>
      </c>
      <c r="G22" s="143"/>
      <c r="H22" s="144" t="s">
        <v>17</v>
      </c>
      <c r="J22" s="143" t="s">
        <v>17</v>
      </c>
      <c r="K22" s="144"/>
      <c r="L22" s="144" t="s">
        <v>17</v>
      </c>
      <c r="N22" s="295"/>
      <c r="O22" s="296"/>
    </row>
    <row r="23" spans="1:15">
      <c r="B23" s="145" t="s">
        <v>18</v>
      </c>
      <c r="C23" s="20"/>
      <c r="D23" s="146" t="s">
        <v>19</v>
      </c>
      <c r="E23" s="14"/>
      <c r="F23" s="147">
        <f>'[2]B. CurrentTariff'!C53</f>
        <v>22.97</v>
      </c>
      <c r="G23" s="15">
        <v>1</v>
      </c>
      <c r="H23" s="16">
        <f>G23*F23</f>
        <v>22.97</v>
      </c>
      <c r="I23" s="28"/>
      <c r="J23" s="148">
        <f>'[2]G. RateDesign'!B47</f>
        <v>22.97</v>
      </c>
      <c r="K23" s="17">
        <v>1</v>
      </c>
      <c r="L23" s="16">
        <f>K23*J23</f>
        <v>22.97</v>
      </c>
      <c r="M23" s="28"/>
      <c r="N23" s="149">
        <f>L23-H23</f>
        <v>0</v>
      </c>
      <c r="O23" s="18">
        <f>IF((H23)=0,"",(N23/H23))</f>
        <v>0</v>
      </c>
    </row>
    <row r="24" spans="1:15">
      <c r="A24" s="19"/>
      <c r="B24" s="145" t="s">
        <v>20</v>
      </c>
      <c r="C24" s="20"/>
      <c r="D24" s="146"/>
      <c r="E24" s="14"/>
      <c r="F24" s="150"/>
      <c r="G24" s="15">
        <v>1</v>
      </c>
      <c r="H24" s="16">
        <f t="shared" ref="H24:H38" si="0">G24*F24</f>
        <v>0</v>
      </c>
      <c r="I24" s="28"/>
      <c r="J24" s="148"/>
      <c r="K24" s="17">
        <v>1</v>
      </c>
      <c r="L24" s="16">
        <f>K24*J24</f>
        <v>0</v>
      </c>
      <c r="M24" s="28"/>
      <c r="N24" s="149">
        <f>L24-H24</f>
        <v>0</v>
      </c>
      <c r="O24" s="18" t="str">
        <f>IF((H24)=0,"",(N24/H24))</f>
        <v/>
      </c>
    </row>
    <row r="25" spans="1:15">
      <c r="A25" s="19"/>
      <c r="B25" s="151" t="s">
        <v>21</v>
      </c>
      <c r="C25" s="20"/>
      <c r="D25" s="146" t="s">
        <v>19</v>
      </c>
      <c r="E25" s="14"/>
      <c r="F25" s="150"/>
      <c r="G25" s="15">
        <v>1</v>
      </c>
      <c r="H25" s="16">
        <f t="shared" si="0"/>
        <v>0</v>
      </c>
      <c r="I25" s="28"/>
      <c r="J25" s="148">
        <f>'[2]I. SMRR'!G14</f>
        <v>1.6418004755377422</v>
      </c>
      <c r="K25" s="17">
        <v>1</v>
      </c>
      <c r="L25" s="16">
        <f t="shared" ref="L25:L38" si="1">K25*J25</f>
        <v>1.6418004755377422</v>
      </c>
      <c r="M25" s="28"/>
      <c r="N25" s="149">
        <f t="shared" ref="N25:N67" si="2">L25-H25</f>
        <v>1.6418004755377422</v>
      </c>
      <c r="O25" s="18" t="str">
        <f t="shared" ref="O25:O47" si="3">IF((H25)=0,"",(N25/H25))</f>
        <v/>
      </c>
    </row>
    <row r="26" spans="1:15">
      <c r="A26" s="19"/>
      <c r="B26" s="145" t="s">
        <v>22</v>
      </c>
      <c r="C26" s="20"/>
      <c r="D26" s="146" t="s">
        <v>19</v>
      </c>
      <c r="E26" s="14"/>
      <c r="F26" s="150"/>
      <c r="G26" s="15">
        <v>1</v>
      </c>
      <c r="H26" s="16">
        <f t="shared" si="0"/>
        <v>0</v>
      </c>
      <c r="I26" s="28"/>
      <c r="J26" s="148">
        <f>'[2]Bill Impact - GS&lt;50'!$J$26</f>
        <v>4.47</v>
      </c>
      <c r="K26" s="17">
        <v>1</v>
      </c>
      <c r="L26" s="16">
        <f t="shared" si="1"/>
        <v>4.47</v>
      </c>
      <c r="M26" s="28"/>
      <c r="N26" s="149">
        <f t="shared" si="2"/>
        <v>4.47</v>
      </c>
      <c r="O26" s="18" t="str">
        <f t="shared" si="3"/>
        <v/>
      </c>
    </row>
    <row r="27" spans="1:15">
      <c r="A27" s="19"/>
      <c r="B27" s="152"/>
      <c r="C27" s="20"/>
      <c r="D27" s="146"/>
      <c r="E27" s="14"/>
      <c r="F27" s="150"/>
      <c r="G27" s="15">
        <v>1</v>
      </c>
      <c r="H27" s="16">
        <f t="shared" si="0"/>
        <v>0</v>
      </c>
      <c r="I27" s="28"/>
      <c r="J27" s="31"/>
      <c r="K27" s="17">
        <v>1</v>
      </c>
      <c r="L27" s="16">
        <f t="shared" si="1"/>
        <v>0</v>
      </c>
      <c r="M27" s="28"/>
      <c r="N27" s="149">
        <f t="shared" si="2"/>
        <v>0</v>
      </c>
      <c r="O27" s="18" t="str">
        <f t="shared" si="3"/>
        <v/>
      </c>
    </row>
    <row r="28" spans="1:15">
      <c r="A28" s="19"/>
      <c r="B28" s="152"/>
      <c r="C28" s="20"/>
      <c r="D28" s="146"/>
      <c r="E28" s="14"/>
      <c r="F28" s="150"/>
      <c r="G28" s="15">
        <v>1</v>
      </c>
      <c r="H28" s="16">
        <f t="shared" si="0"/>
        <v>0</v>
      </c>
      <c r="I28" s="28"/>
      <c r="J28" s="31"/>
      <c r="K28" s="17">
        <v>1</v>
      </c>
      <c r="L28" s="16">
        <f t="shared" si="1"/>
        <v>0</v>
      </c>
      <c r="M28" s="28"/>
      <c r="N28" s="149">
        <f t="shared" si="2"/>
        <v>0</v>
      </c>
      <c r="O28" s="18" t="str">
        <f t="shared" si="3"/>
        <v/>
      </c>
    </row>
    <row r="29" spans="1:15">
      <c r="A29" s="19"/>
      <c r="B29" s="145" t="s">
        <v>23</v>
      </c>
      <c r="C29" s="20"/>
      <c r="D29" s="146" t="s">
        <v>24</v>
      </c>
      <c r="E29" s="14"/>
      <c r="F29" s="150">
        <f>'[2]B. CurrentTariff'!C54</f>
        <v>1.0500000000000001E-2</v>
      </c>
      <c r="G29" s="15">
        <f t="shared" ref="G29:G38" si="4">$F$18</f>
        <v>2000</v>
      </c>
      <c r="H29" s="16">
        <f t="shared" si="0"/>
        <v>21</v>
      </c>
      <c r="I29" s="28"/>
      <c r="J29" s="31">
        <f>'[2]G. RateDesign'!G47</f>
        <v>1.2086507052872055E-2</v>
      </c>
      <c r="K29" s="15">
        <f>$F$18</f>
        <v>2000</v>
      </c>
      <c r="L29" s="16">
        <f t="shared" si="1"/>
        <v>24.173014105744112</v>
      </c>
      <c r="M29" s="28"/>
      <c r="N29" s="149">
        <f t="shared" si="2"/>
        <v>3.1730141057441124</v>
      </c>
      <c r="O29" s="18">
        <f t="shared" si="3"/>
        <v>0.1510959097973387</v>
      </c>
    </row>
    <row r="30" spans="1:15">
      <c r="A30" s="19"/>
      <c r="B30" s="145" t="s">
        <v>22</v>
      </c>
      <c r="C30" s="20"/>
      <c r="D30" s="146" t="s">
        <v>24</v>
      </c>
      <c r="E30" s="14"/>
      <c r="F30" s="150"/>
      <c r="G30" s="15">
        <f t="shared" si="4"/>
        <v>2000</v>
      </c>
      <c r="H30" s="16">
        <f t="shared" si="0"/>
        <v>0</v>
      </c>
      <c r="I30" s="28"/>
      <c r="J30" s="31"/>
      <c r="K30" s="15">
        <f t="shared" ref="K30:K38" si="5">$F$18</f>
        <v>2000</v>
      </c>
      <c r="L30" s="16">
        <f t="shared" si="1"/>
        <v>0</v>
      </c>
      <c r="M30" s="28"/>
      <c r="N30" s="149">
        <f t="shared" si="2"/>
        <v>0</v>
      </c>
      <c r="O30" s="18" t="str">
        <f t="shared" si="3"/>
        <v/>
      </c>
    </row>
    <row r="31" spans="1:15">
      <c r="A31" s="19"/>
      <c r="B31" s="145" t="s">
        <v>25</v>
      </c>
      <c r="C31" s="20"/>
      <c r="D31" s="146" t="s">
        <v>24</v>
      </c>
      <c r="E31" s="14"/>
      <c r="F31" s="150"/>
      <c r="G31" s="15">
        <f t="shared" si="4"/>
        <v>2000</v>
      </c>
      <c r="H31" s="16">
        <f t="shared" si="0"/>
        <v>0</v>
      </c>
      <c r="I31" s="28"/>
      <c r="J31" s="31"/>
      <c r="K31" s="15">
        <f t="shared" si="5"/>
        <v>2000</v>
      </c>
      <c r="L31" s="16">
        <f t="shared" si="1"/>
        <v>0</v>
      </c>
      <c r="M31" s="28"/>
      <c r="N31" s="149">
        <f t="shared" si="2"/>
        <v>0</v>
      </c>
      <c r="O31" s="18" t="str">
        <f t="shared" si="3"/>
        <v/>
      </c>
    </row>
    <row r="32" spans="1:15">
      <c r="A32" s="19"/>
      <c r="B32" s="151"/>
      <c r="C32" s="20"/>
      <c r="D32" s="146"/>
      <c r="E32" s="14"/>
      <c r="F32" s="150"/>
      <c r="G32" s="15">
        <f t="shared" si="4"/>
        <v>2000</v>
      </c>
      <c r="H32" s="16">
        <f>G32*F32</f>
        <v>0</v>
      </c>
      <c r="I32" s="28"/>
      <c r="J32" s="31"/>
      <c r="K32" s="15">
        <f t="shared" si="5"/>
        <v>2000</v>
      </c>
      <c r="L32" s="16">
        <f>K32*J32</f>
        <v>0</v>
      </c>
      <c r="M32" s="28"/>
      <c r="N32" s="149">
        <f>L32-H32</f>
        <v>0</v>
      </c>
      <c r="O32" s="18" t="str">
        <f>IF((H32)=0,"",(N32/H32))</f>
        <v/>
      </c>
    </row>
    <row r="33" spans="1:15">
      <c r="A33" s="19"/>
      <c r="B33" s="151"/>
      <c r="C33" s="20"/>
      <c r="D33" s="146"/>
      <c r="E33" s="14"/>
      <c r="F33" s="150"/>
      <c r="G33" s="15">
        <f t="shared" si="4"/>
        <v>2000</v>
      </c>
      <c r="H33" s="16">
        <f>G33*F33</f>
        <v>0</v>
      </c>
      <c r="I33" s="28"/>
      <c r="J33" s="31"/>
      <c r="K33" s="15">
        <f t="shared" si="5"/>
        <v>2000</v>
      </c>
      <c r="L33" s="16">
        <f>K33*J33</f>
        <v>0</v>
      </c>
      <c r="M33" s="28"/>
      <c r="N33" s="149">
        <f>L33-H33</f>
        <v>0</v>
      </c>
      <c r="O33" s="18" t="str">
        <f>IF((H33)=0,"",(N33/H33))</f>
        <v/>
      </c>
    </row>
    <row r="34" spans="1:15">
      <c r="A34" s="19"/>
      <c r="B34" s="151"/>
      <c r="C34" s="20"/>
      <c r="D34" s="146"/>
      <c r="E34" s="14"/>
      <c r="F34" s="150"/>
      <c r="G34" s="15">
        <f t="shared" si="4"/>
        <v>2000</v>
      </c>
      <c r="H34" s="16">
        <f>G34*F34</f>
        <v>0</v>
      </c>
      <c r="I34" s="28"/>
      <c r="J34" s="31"/>
      <c r="K34" s="15">
        <f t="shared" si="5"/>
        <v>2000</v>
      </c>
      <c r="L34" s="16">
        <f>K34*J34</f>
        <v>0</v>
      </c>
      <c r="M34" s="28"/>
      <c r="N34" s="149">
        <f>L34-H34</f>
        <v>0</v>
      </c>
      <c r="O34" s="18" t="str">
        <f>IF((H34)=0,"",(N34/H34))</f>
        <v/>
      </c>
    </row>
    <row r="35" spans="1:15">
      <c r="A35" s="19"/>
      <c r="B35" s="151"/>
      <c r="C35" s="20"/>
      <c r="D35" s="146"/>
      <c r="E35" s="14"/>
      <c r="F35" s="150"/>
      <c r="G35" s="15">
        <f t="shared" si="4"/>
        <v>2000</v>
      </c>
      <c r="H35" s="16">
        <f t="shared" si="0"/>
        <v>0</v>
      </c>
      <c r="I35" s="28"/>
      <c r="J35" s="31"/>
      <c r="K35" s="15">
        <f t="shared" si="5"/>
        <v>2000</v>
      </c>
      <c r="L35" s="16">
        <f t="shared" si="1"/>
        <v>0</v>
      </c>
      <c r="M35" s="28"/>
      <c r="N35" s="149">
        <f t="shared" si="2"/>
        <v>0</v>
      </c>
      <c r="O35" s="18" t="str">
        <f t="shared" si="3"/>
        <v/>
      </c>
    </row>
    <row r="36" spans="1:15">
      <c r="A36" s="19"/>
      <c r="B36" s="151"/>
      <c r="C36" s="20"/>
      <c r="D36" s="146"/>
      <c r="E36" s="14"/>
      <c r="F36" s="150"/>
      <c r="G36" s="15">
        <f t="shared" si="4"/>
        <v>2000</v>
      </c>
      <c r="H36" s="16">
        <f t="shared" si="0"/>
        <v>0</v>
      </c>
      <c r="I36" s="28"/>
      <c r="J36" s="31"/>
      <c r="K36" s="15">
        <f t="shared" si="5"/>
        <v>2000</v>
      </c>
      <c r="L36" s="16">
        <f t="shared" si="1"/>
        <v>0</v>
      </c>
      <c r="M36" s="28"/>
      <c r="N36" s="149">
        <f t="shared" si="2"/>
        <v>0</v>
      </c>
      <c r="O36" s="18" t="str">
        <f t="shared" si="3"/>
        <v/>
      </c>
    </row>
    <row r="37" spans="1:15">
      <c r="A37" s="19"/>
      <c r="B37" s="151"/>
      <c r="C37" s="20"/>
      <c r="D37" s="146"/>
      <c r="E37" s="14"/>
      <c r="F37" s="150"/>
      <c r="G37" s="15">
        <f t="shared" si="4"/>
        <v>2000</v>
      </c>
      <c r="H37" s="16">
        <f t="shared" si="0"/>
        <v>0</v>
      </c>
      <c r="I37" s="28"/>
      <c r="J37" s="31"/>
      <c r="K37" s="15">
        <f t="shared" si="5"/>
        <v>2000</v>
      </c>
      <c r="L37" s="16">
        <f t="shared" si="1"/>
        <v>0</v>
      </c>
      <c r="M37" s="28"/>
      <c r="N37" s="149">
        <f t="shared" si="2"/>
        <v>0</v>
      </c>
      <c r="O37" s="18" t="str">
        <f t="shared" si="3"/>
        <v/>
      </c>
    </row>
    <row r="38" spans="1:15">
      <c r="A38" s="19"/>
      <c r="B38" s="151"/>
      <c r="C38" s="20"/>
      <c r="D38" s="146"/>
      <c r="E38" s="14"/>
      <c r="F38" s="150"/>
      <c r="G38" s="15">
        <f t="shared" si="4"/>
        <v>2000</v>
      </c>
      <c r="H38" s="16">
        <f t="shared" si="0"/>
        <v>0</v>
      </c>
      <c r="I38" s="28"/>
      <c r="J38" s="31"/>
      <c r="K38" s="15">
        <f t="shared" si="5"/>
        <v>2000</v>
      </c>
      <c r="L38" s="16">
        <f t="shared" si="1"/>
        <v>0</v>
      </c>
      <c r="M38" s="28"/>
      <c r="N38" s="149">
        <f t="shared" si="2"/>
        <v>0</v>
      </c>
      <c r="O38" s="18" t="str">
        <f t="shared" si="3"/>
        <v/>
      </c>
    </row>
    <row r="39" spans="1:15">
      <c r="A39" s="19"/>
      <c r="B39" s="153" t="s">
        <v>26</v>
      </c>
      <c r="C39" s="154"/>
      <c r="D39" s="155"/>
      <c r="E39" s="154"/>
      <c r="F39" s="156"/>
      <c r="G39" s="157"/>
      <c r="H39" s="158">
        <f>SUM(H23:H38)</f>
        <v>43.97</v>
      </c>
      <c r="I39" s="28"/>
      <c r="J39" s="159"/>
      <c r="K39" s="160"/>
      <c r="L39" s="158">
        <f>SUM(L23:L38)</f>
        <v>53.254814581281849</v>
      </c>
      <c r="M39" s="28"/>
      <c r="N39" s="161">
        <f t="shared" si="2"/>
        <v>9.2848145812818501</v>
      </c>
      <c r="O39" s="162">
        <f t="shared" si="3"/>
        <v>0.2111624876343382</v>
      </c>
    </row>
    <row r="40" spans="1:15" ht="51">
      <c r="A40" s="163"/>
      <c r="B40" s="164" t="str">
        <f>'[2]J. DVA'!$B$16</f>
        <v>Rate Rider Calculation for Deferral / Variance Accounts Balances (excluding Global Adj.)</v>
      </c>
      <c r="C40" s="20"/>
      <c r="D40" s="165" t="s">
        <v>24</v>
      </c>
      <c r="E40" s="20"/>
      <c r="F40" s="166"/>
      <c r="G40" s="21">
        <f t="shared" ref="G40:G46" si="6">$F$18</f>
        <v>2000</v>
      </c>
      <c r="H40" s="22">
        <f t="shared" ref="H40:H48" si="7">G40*F40</f>
        <v>0</v>
      </c>
      <c r="I40" s="167"/>
      <c r="J40" s="166">
        <f>'[2]J. DVA'!F21</f>
        <v>-8.3436113445685444E-4</v>
      </c>
      <c r="K40" s="21">
        <f t="shared" ref="K40:K46" si="8">$F$18</f>
        <v>2000</v>
      </c>
      <c r="L40" s="22">
        <f t="shared" ref="L40:L46" si="9">K40*J40</f>
        <v>-1.6687222689137089</v>
      </c>
      <c r="M40" s="167"/>
      <c r="N40" s="168">
        <f t="shared" si="2"/>
        <v>-1.6687222689137089</v>
      </c>
      <c r="O40" s="24" t="str">
        <f>IF((H40)=0,"",(N40/H40))</f>
        <v/>
      </c>
    </row>
    <row r="41" spans="1:15" ht="51">
      <c r="A41" s="169"/>
      <c r="B41" s="164" t="str">
        <f>'[2]J. DVA'!$B$28</f>
        <v>Rate Rider Calculation for Deferral / Variance Accounts Balances (excluding Global Adj.) - NON-WMP</v>
      </c>
      <c r="C41" s="20"/>
      <c r="D41" s="165" t="s">
        <v>24</v>
      </c>
      <c r="E41" s="20"/>
      <c r="F41" s="166"/>
      <c r="G41" s="21">
        <f t="shared" si="6"/>
        <v>2000</v>
      </c>
      <c r="H41" s="22">
        <f t="shared" si="7"/>
        <v>0</v>
      </c>
      <c r="I41" s="167"/>
      <c r="J41" s="166">
        <f>'[2]J. DVA'!F33</f>
        <v>-2.6878065725373349E-3</v>
      </c>
      <c r="K41" s="21">
        <f t="shared" si="8"/>
        <v>2000</v>
      </c>
      <c r="L41" s="22">
        <f t="shared" si="9"/>
        <v>-5.37561314507467</v>
      </c>
      <c r="M41" s="167"/>
      <c r="N41" s="168">
        <f t="shared" si="2"/>
        <v>-5.37561314507467</v>
      </c>
      <c r="O41" s="24" t="str">
        <f>IF((H41)=0,"",(N41/H41))</f>
        <v/>
      </c>
    </row>
    <row r="42" spans="1:15" ht="38.25">
      <c r="A42" s="169"/>
      <c r="B42" s="164" t="str">
        <f>'[2]J. DVA'!$B$40</f>
        <v>Rate Rider Calculation for RSVA - Power - Global Adjustment</v>
      </c>
      <c r="C42" s="20"/>
      <c r="D42" s="165"/>
      <c r="E42" s="20"/>
      <c r="F42" s="166"/>
      <c r="G42" s="21">
        <f t="shared" si="6"/>
        <v>2000</v>
      </c>
      <c r="H42" s="22"/>
      <c r="I42" s="167"/>
      <c r="J42" s="166">
        <v>0</v>
      </c>
      <c r="K42" s="21">
        <f t="shared" si="8"/>
        <v>2000</v>
      </c>
      <c r="L42" s="22">
        <f t="shared" si="9"/>
        <v>0</v>
      </c>
      <c r="M42" s="167"/>
      <c r="N42" s="168">
        <f t="shared" si="2"/>
        <v>0</v>
      </c>
      <c r="O42" s="24"/>
    </row>
    <row r="43" spans="1:15" ht="25.5">
      <c r="A43" s="169"/>
      <c r="B43" s="164" t="str">
        <f>'[2]J. DVA'!$B$65</f>
        <v>Rate Rider Calculation for Group 2 Accounts</v>
      </c>
      <c r="C43" s="20"/>
      <c r="D43" s="165"/>
      <c r="E43" s="20"/>
      <c r="F43" s="166"/>
      <c r="G43" s="21">
        <f t="shared" si="6"/>
        <v>2000</v>
      </c>
      <c r="H43" s="22"/>
      <c r="I43" s="167"/>
      <c r="J43" s="166">
        <f>'[2]J. DVA'!F70</f>
        <v>8.0305657896044972E-5</v>
      </c>
      <c r="K43" s="21">
        <f t="shared" si="8"/>
        <v>2000</v>
      </c>
      <c r="L43" s="22">
        <f t="shared" si="9"/>
        <v>0.16061131579208995</v>
      </c>
      <c r="M43" s="167"/>
      <c r="N43" s="168">
        <f t="shared" si="2"/>
        <v>0.16061131579208995</v>
      </c>
      <c r="O43" s="24"/>
    </row>
    <row r="44" spans="1:15" ht="25.5">
      <c r="A44" s="163"/>
      <c r="B44" s="164" t="str">
        <f>'[2]J. DVA'!$B$77</f>
        <v>Rate Rider Calculation for Accounts 1575 and 1576</v>
      </c>
      <c r="C44" s="20"/>
      <c r="D44" s="165" t="s">
        <v>24</v>
      </c>
      <c r="E44" s="20"/>
      <c r="F44" s="166"/>
      <c r="G44" s="21">
        <f t="shared" si="6"/>
        <v>2000</v>
      </c>
      <c r="H44" s="22">
        <f t="shared" si="7"/>
        <v>0</v>
      </c>
      <c r="I44" s="167"/>
      <c r="J44" s="166">
        <f>'[2]J. DVA'!F84</f>
        <v>-3.9452380925434662E-4</v>
      </c>
      <c r="K44" s="21">
        <f t="shared" si="8"/>
        <v>2000</v>
      </c>
      <c r="L44" s="22">
        <f t="shared" si="9"/>
        <v>-0.7890476185086932</v>
      </c>
      <c r="M44" s="167"/>
      <c r="N44" s="168">
        <f t="shared" si="2"/>
        <v>-0.7890476185086932</v>
      </c>
      <c r="O44" s="24" t="str">
        <f>IF((H44)=0,"",(N44/H44))</f>
        <v/>
      </c>
    </row>
    <row r="45" spans="1:15" ht="25.5">
      <c r="A45" s="163"/>
      <c r="B45" s="164" t="str">
        <f>'[2]J. DVA'!$B$91</f>
        <v>Rate Rider Calculation for Accounts 1568</v>
      </c>
      <c r="C45" s="20"/>
      <c r="D45" s="165" t="s">
        <v>24</v>
      </c>
      <c r="E45" s="20"/>
      <c r="F45" s="166"/>
      <c r="G45" s="21">
        <f t="shared" si="6"/>
        <v>2000</v>
      </c>
      <c r="H45" s="22">
        <f t="shared" si="7"/>
        <v>0</v>
      </c>
      <c r="I45" s="167"/>
      <c r="J45" s="166">
        <f>'[2]J. DVA'!F98</f>
        <v>3.3020595175903348E-4</v>
      </c>
      <c r="K45" s="21">
        <f t="shared" si="8"/>
        <v>2000</v>
      </c>
      <c r="L45" s="22">
        <f t="shared" si="9"/>
        <v>0.660411903518067</v>
      </c>
      <c r="M45" s="167"/>
      <c r="N45" s="168">
        <f t="shared" si="2"/>
        <v>0.660411903518067</v>
      </c>
      <c r="O45" s="24" t="str">
        <f>IF((H45)=0,"",(N45/H45))</f>
        <v/>
      </c>
    </row>
    <row r="46" spans="1:15">
      <c r="A46" s="163" t="s">
        <v>63</v>
      </c>
      <c r="B46" s="164" t="s">
        <v>27</v>
      </c>
      <c r="C46" s="20"/>
      <c r="D46" s="165" t="s">
        <v>24</v>
      </c>
      <c r="E46" s="20"/>
      <c r="F46" s="166">
        <v>1E-3</v>
      </c>
      <c r="G46" s="21">
        <f t="shared" si="6"/>
        <v>2000</v>
      </c>
      <c r="H46" s="22">
        <f t="shared" si="7"/>
        <v>2</v>
      </c>
      <c r="I46" s="167"/>
      <c r="J46" s="166">
        <f>'[3]4.12 PowerSupplExp'!$I$172</f>
        <v>6.9999999999999999E-4</v>
      </c>
      <c r="K46" s="21">
        <f t="shared" si="8"/>
        <v>2000</v>
      </c>
      <c r="L46" s="22">
        <f t="shared" si="9"/>
        <v>1.4</v>
      </c>
      <c r="M46" s="167"/>
      <c r="N46" s="168">
        <f t="shared" si="2"/>
        <v>-0.60000000000000009</v>
      </c>
      <c r="O46" s="24">
        <f>IF((H46)=0,"",(N46/H46))</f>
        <v>-0.30000000000000004</v>
      </c>
    </row>
    <row r="47" spans="1:15">
      <c r="A47" s="19"/>
      <c r="B47" s="145" t="s">
        <v>28</v>
      </c>
      <c r="C47" s="20"/>
      <c r="D47" s="165" t="s">
        <v>24</v>
      </c>
      <c r="E47" s="20"/>
      <c r="F47" s="166">
        <f>IF(ISBLANK(D16)=1, 0, IF(D16="TOU", 0.64*$F$57+0.18*$F$58+0.18*$F$59, IF(AND(D16="non-TOU", G61&gt;0), F61,F60)))</f>
        <v>0.10766000000000001</v>
      </c>
      <c r="G47" s="21">
        <f>$F$18*(1+$F$76)-$F$18</f>
        <v>78</v>
      </c>
      <c r="H47" s="22">
        <f t="shared" si="7"/>
        <v>8.3974799999999998</v>
      </c>
      <c r="I47" s="167"/>
      <c r="J47" s="166">
        <f>0.64*$F$57+0.18*$F$58+0.18*$F$59</f>
        <v>0.10766000000000001</v>
      </c>
      <c r="K47" s="21">
        <f>$F$18*(1+$J$76)-$F$18</f>
        <v>91.400000000000091</v>
      </c>
      <c r="L47" s="22">
        <f>K47*J47</f>
        <v>9.8401240000000101</v>
      </c>
      <c r="M47" s="167"/>
      <c r="N47" s="168">
        <f t="shared" si="2"/>
        <v>1.4426440000000103</v>
      </c>
      <c r="O47" s="24">
        <f t="shared" si="3"/>
        <v>0.17179487179487302</v>
      </c>
    </row>
    <row r="48" spans="1:15">
      <c r="A48" s="19"/>
      <c r="B48" s="170" t="s">
        <v>29</v>
      </c>
      <c r="C48" s="20"/>
      <c r="D48" s="171" t="s">
        <v>24</v>
      </c>
      <c r="E48" s="14"/>
      <c r="F48" s="172">
        <v>0.79</v>
      </c>
      <c r="G48" s="25">
        <v>1</v>
      </c>
      <c r="H48" s="26">
        <f t="shared" si="7"/>
        <v>0.79</v>
      </c>
      <c r="I48" s="173"/>
      <c r="J48" s="172">
        <v>0.79</v>
      </c>
      <c r="K48" s="25">
        <v>1</v>
      </c>
      <c r="L48" s="26">
        <f>K48*J48</f>
        <v>0.79</v>
      </c>
      <c r="M48" s="173"/>
      <c r="N48" s="174">
        <f t="shared" si="2"/>
        <v>0</v>
      </c>
      <c r="O48" s="27"/>
    </row>
    <row r="49" spans="2:19" ht="25.5">
      <c r="B49" s="175" t="s">
        <v>30</v>
      </c>
      <c r="C49" s="176"/>
      <c r="D49" s="176"/>
      <c r="E49" s="176"/>
      <c r="F49" s="177"/>
      <c r="G49" s="178"/>
      <c r="H49" s="179">
        <f>SUM(H40:H48)+H39</f>
        <v>55.15748</v>
      </c>
      <c r="I49" s="28"/>
      <c r="J49" s="178"/>
      <c r="K49" s="180"/>
      <c r="L49" s="179">
        <f>SUM(L40:L48)+L39</f>
        <v>58.272578768094945</v>
      </c>
      <c r="M49" s="28"/>
      <c r="N49" s="161">
        <f t="shared" si="2"/>
        <v>3.1150987680949456</v>
      </c>
      <c r="O49" s="162">
        <f t="shared" ref="O49:O67" si="10">IF((H49)=0,"",(N49/H49))</f>
        <v>5.647645193534849E-2</v>
      </c>
    </row>
    <row r="50" spans="2:19">
      <c r="B50" s="181" t="s">
        <v>31</v>
      </c>
      <c r="C50" s="28"/>
      <c r="D50" s="182" t="s">
        <v>24</v>
      </c>
      <c r="E50" s="28"/>
      <c r="F50" s="31">
        <v>5.7999999999999996E-3</v>
      </c>
      <c r="G50" s="29">
        <f>F18*(1+F76)</f>
        <v>2078</v>
      </c>
      <c r="H50" s="16">
        <f>G50*F50</f>
        <v>12.052399999999999</v>
      </c>
      <c r="I50" s="28"/>
      <c r="J50" s="31">
        <f>'[3]4.12 PowerSupplExp'!$N$59</f>
        <v>5.4394427051232775E-3</v>
      </c>
      <c r="K50" s="30">
        <f>F18*(1+J76)</f>
        <v>2091.4</v>
      </c>
      <c r="L50" s="16">
        <f>K50*J50</f>
        <v>11.376050473494823</v>
      </c>
      <c r="M50" s="28"/>
      <c r="N50" s="149">
        <f t="shared" si="2"/>
        <v>-0.67634952650517555</v>
      </c>
      <c r="O50" s="18">
        <f t="shared" si="10"/>
        <v>-5.61174144987866E-2</v>
      </c>
    </row>
    <row r="51" spans="2:19" ht="25.5">
      <c r="B51" s="183" t="s">
        <v>32</v>
      </c>
      <c r="C51" s="28"/>
      <c r="D51" s="182" t="s">
        <v>24</v>
      </c>
      <c r="E51" s="28"/>
      <c r="F51" s="31">
        <v>4.0000000000000001E-3</v>
      </c>
      <c r="G51" s="29">
        <f>G50</f>
        <v>2078</v>
      </c>
      <c r="H51" s="16">
        <f>G51*F51</f>
        <v>8.3119999999999994</v>
      </c>
      <c r="I51" s="28"/>
      <c r="J51" s="31">
        <f>'[3]4.12 PowerSupplExp'!$N$75</f>
        <v>4.0259412268579828E-3</v>
      </c>
      <c r="K51" s="30">
        <f>K50</f>
        <v>2091.4</v>
      </c>
      <c r="L51" s="16">
        <f>K51*J51</f>
        <v>8.4198534818507849</v>
      </c>
      <c r="M51" s="28"/>
      <c r="N51" s="149">
        <f t="shared" si="2"/>
        <v>0.10785348185078547</v>
      </c>
      <c r="O51" s="18">
        <f t="shared" si="10"/>
        <v>1.2975635448843297E-2</v>
      </c>
    </row>
    <row r="52" spans="2:19" ht="25.5">
      <c r="B52" s="175" t="s">
        <v>33</v>
      </c>
      <c r="C52" s="154"/>
      <c r="D52" s="154"/>
      <c r="E52" s="154"/>
      <c r="F52" s="184"/>
      <c r="G52" s="178"/>
      <c r="H52" s="179">
        <f>SUM(H49:H51)</f>
        <v>75.521879999999996</v>
      </c>
      <c r="I52" s="185"/>
      <c r="J52" s="186"/>
      <c r="K52" s="187"/>
      <c r="L52" s="179">
        <f>SUM(L49:L51)</f>
        <v>78.068482723440553</v>
      </c>
      <c r="M52" s="185"/>
      <c r="N52" s="161">
        <f t="shared" si="2"/>
        <v>2.5466027234405573</v>
      </c>
      <c r="O52" s="162">
        <f t="shared" si="10"/>
        <v>3.3720065276984068E-2</v>
      </c>
    </row>
    <row r="53" spans="2:19" ht="25.5">
      <c r="B53" s="145" t="s">
        <v>34</v>
      </c>
      <c r="C53" s="20"/>
      <c r="D53" s="188" t="s">
        <v>24</v>
      </c>
      <c r="E53" s="14"/>
      <c r="F53" s="31">
        <v>3.5999999999999999E-3</v>
      </c>
      <c r="G53" s="82">
        <f>G51</f>
        <v>2078</v>
      </c>
      <c r="H53" s="78">
        <f t="shared" ref="H53:H59" si="11">G53*F53</f>
        <v>7.4807999999999995</v>
      </c>
      <c r="I53" s="282"/>
      <c r="J53" s="31">
        <v>3.5999999999999999E-3</v>
      </c>
      <c r="K53" s="83">
        <f>K51</f>
        <v>2091.4</v>
      </c>
      <c r="L53" s="78">
        <f t="shared" ref="L53:L59" si="12">K53*J53</f>
        <v>7.5290400000000002</v>
      </c>
      <c r="M53" s="282"/>
      <c r="N53" s="283">
        <f t="shared" si="2"/>
        <v>4.8240000000000727E-2</v>
      </c>
      <c r="O53" s="79">
        <f t="shared" si="10"/>
        <v>6.4485081809433119E-3</v>
      </c>
    </row>
    <row r="54" spans="2:19" ht="25.5">
      <c r="B54" s="145" t="s">
        <v>35</v>
      </c>
      <c r="C54" s="20"/>
      <c r="D54" s="188" t="s">
        <v>24</v>
      </c>
      <c r="E54" s="14"/>
      <c r="F54" s="31">
        <v>1.2999999999999999E-3</v>
      </c>
      <c r="G54" s="82">
        <f>G51</f>
        <v>2078</v>
      </c>
      <c r="H54" s="78">
        <f t="shared" si="11"/>
        <v>2.7014</v>
      </c>
      <c r="I54" s="282"/>
      <c r="J54" s="31">
        <v>1.2999999999999999E-3</v>
      </c>
      <c r="K54" s="83">
        <f>K51</f>
        <v>2091.4</v>
      </c>
      <c r="L54" s="78">
        <f t="shared" si="12"/>
        <v>2.71882</v>
      </c>
      <c r="M54" s="282"/>
      <c r="N54" s="283">
        <f t="shared" si="2"/>
        <v>1.7419999999999991E-2</v>
      </c>
      <c r="O54" s="79">
        <f t="shared" si="10"/>
        <v>6.4485081809432113E-3</v>
      </c>
    </row>
    <row r="55" spans="2:19" ht="25.5">
      <c r="B55" s="145" t="s">
        <v>36</v>
      </c>
      <c r="C55" s="20"/>
      <c r="D55" s="188" t="s">
        <v>19</v>
      </c>
      <c r="E55" s="14"/>
      <c r="F55" s="84">
        <v>0.25</v>
      </c>
      <c r="G55" s="80">
        <v>1</v>
      </c>
      <c r="H55" s="78">
        <f t="shared" si="11"/>
        <v>0.25</v>
      </c>
      <c r="I55" s="282"/>
      <c r="J55" s="84">
        <v>0.25</v>
      </c>
      <c r="K55" s="81">
        <v>1</v>
      </c>
      <c r="L55" s="78">
        <f t="shared" si="12"/>
        <v>0.25</v>
      </c>
      <c r="M55" s="282"/>
      <c r="N55" s="283">
        <f t="shared" si="2"/>
        <v>0</v>
      </c>
      <c r="O55" s="79">
        <f t="shared" si="10"/>
        <v>0</v>
      </c>
    </row>
    <row r="56" spans="2:19">
      <c r="B56" s="145" t="s">
        <v>37</v>
      </c>
      <c r="C56" s="20"/>
      <c r="D56" s="188" t="s">
        <v>24</v>
      </c>
      <c r="E56" s="14"/>
      <c r="F56" s="31">
        <v>1.1000000000000001E-3</v>
      </c>
      <c r="G56" s="82">
        <f>F18</f>
        <v>2000</v>
      </c>
      <c r="H56" s="78">
        <f t="shared" si="11"/>
        <v>2.2000000000000002</v>
      </c>
      <c r="I56" s="282"/>
      <c r="J56" s="31">
        <v>1.1000000000000001E-3</v>
      </c>
      <c r="K56" s="83">
        <f>F18</f>
        <v>2000</v>
      </c>
      <c r="L56" s="78">
        <f t="shared" si="12"/>
        <v>2.2000000000000002</v>
      </c>
      <c r="M56" s="282"/>
      <c r="N56" s="283">
        <f t="shared" si="2"/>
        <v>0</v>
      </c>
      <c r="O56" s="79">
        <f t="shared" si="10"/>
        <v>0</v>
      </c>
    </row>
    <row r="57" spans="2:19">
      <c r="B57" s="170" t="s">
        <v>38</v>
      </c>
      <c r="C57" s="20"/>
      <c r="D57" s="188" t="s">
        <v>24</v>
      </c>
      <c r="E57" s="14"/>
      <c r="F57" s="84">
        <v>8.3000000000000004E-2</v>
      </c>
      <c r="G57" s="284">
        <f>0.64*$F$18</f>
        <v>1280</v>
      </c>
      <c r="H57" s="78">
        <f t="shared" si="11"/>
        <v>106.24000000000001</v>
      </c>
      <c r="I57" s="282"/>
      <c r="J57" s="84">
        <v>8.3000000000000004E-2</v>
      </c>
      <c r="K57" s="284">
        <f>G57</f>
        <v>1280</v>
      </c>
      <c r="L57" s="78">
        <f t="shared" si="12"/>
        <v>106.24000000000001</v>
      </c>
      <c r="M57" s="282"/>
      <c r="N57" s="283">
        <f t="shared" si="2"/>
        <v>0</v>
      </c>
      <c r="O57" s="79">
        <f t="shared" si="10"/>
        <v>0</v>
      </c>
      <c r="S57" s="190"/>
    </row>
    <row r="58" spans="2:19">
      <c r="B58" s="170" t="s">
        <v>39</v>
      </c>
      <c r="C58" s="20"/>
      <c r="D58" s="188" t="s">
        <v>24</v>
      </c>
      <c r="E58" s="14"/>
      <c r="F58" s="84">
        <v>0.128</v>
      </c>
      <c r="G58" s="284">
        <f>0.18*$F$18</f>
        <v>360</v>
      </c>
      <c r="H58" s="78">
        <f t="shared" si="11"/>
        <v>46.08</v>
      </c>
      <c r="I58" s="282"/>
      <c r="J58" s="84">
        <v>0.128</v>
      </c>
      <c r="K58" s="284">
        <f>G58</f>
        <v>360</v>
      </c>
      <c r="L58" s="78">
        <f t="shared" si="12"/>
        <v>46.08</v>
      </c>
      <c r="M58" s="282"/>
      <c r="N58" s="283">
        <f t="shared" si="2"/>
        <v>0</v>
      </c>
      <c r="O58" s="79">
        <f t="shared" si="10"/>
        <v>0</v>
      </c>
      <c r="S58" s="190"/>
    </row>
    <row r="59" spans="2:19">
      <c r="B59" s="135" t="s">
        <v>40</v>
      </c>
      <c r="C59" s="20"/>
      <c r="D59" s="188" t="s">
        <v>24</v>
      </c>
      <c r="E59" s="14"/>
      <c r="F59" s="84">
        <v>0.17499999999999999</v>
      </c>
      <c r="G59" s="284">
        <f>0.18*$F$18</f>
        <v>360</v>
      </c>
      <c r="H59" s="78">
        <f t="shared" si="11"/>
        <v>62.999999999999993</v>
      </c>
      <c r="I59" s="282"/>
      <c r="J59" s="84">
        <v>0.17499999999999999</v>
      </c>
      <c r="K59" s="284">
        <f>G59</f>
        <v>360</v>
      </c>
      <c r="L59" s="78">
        <f t="shared" si="12"/>
        <v>62.999999999999993</v>
      </c>
      <c r="M59" s="282"/>
      <c r="N59" s="283">
        <f t="shared" si="2"/>
        <v>0</v>
      </c>
      <c r="O59" s="79">
        <f t="shared" si="10"/>
        <v>0</v>
      </c>
      <c r="S59" s="190"/>
    </row>
    <row r="60" spans="2:19" s="195" customFormat="1">
      <c r="B60" s="191" t="s">
        <v>41</v>
      </c>
      <c r="C60" s="32"/>
      <c r="D60" s="188" t="s">
        <v>24</v>
      </c>
      <c r="E60" s="32"/>
      <c r="F60" s="84">
        <v>9.9000000000000005E-2</v>
      </c>
      <c r="G60" s="285">
        <f>IF(AND($T$1=1, F18&gt;=600), 600, IF(AND($T$1=1, AND(F18&lt;600, F18&gt;=0)), F18, IF(AND($T$1=2, F18&gt;=1000), 1000, IF(AND($T$1=2, AND(F18&lt;1000, F18&gt;=0)), F18))))</f>
        <v>600</v>
      </c>
      <c r="H60" s="78">
        <f>G60*F60</f>
        <v>59.400000000000006</v>
      </c>
      <c r="I60" s="286"/>
      <c r="J60" s="84">
        <v>9.9000000000000005E-2</v>
      </c>
      <c r="K60" s="285">
        <f>G60</f>
        <v>600</v>
      </c>
      <c r="L60" s="78">
        <f>K60*J60</f>
        <v>59.400000000000006</v>
      </c>
      <c r="M60" s="286"/>
      <c r="N60" s="287">
        <f t="shared" si="2"/>
        <v>0</v>
      </c>
      <c r="O60" s="79">
        <f t="shared" si="10"/>
        <v>0</v>
      </c>
    </row>
    <row r="61" spans="2:19" s="195" customFormat="1" ht="13.5" thickBot="1">
      <c r="B61" s="191" t="s">
        <v>42</v>
      </c>
      <c r="C61" s="32"/>
      <c r="D61" s="188" t="s">
        <v>24</v>
      </c>
      <c r="E61" s="32"/>
      <c r="F61" s="84">
        <v>0.11600000000000001</v>
      </c>
      <c r="G61" s="285">
        <f>IF(AND($T$1=1, F18&gt;=600), F18-600, IF(AND($T$1=1, AND(F18&lt;600, F18&gt;=0)), 0, IF(AND($T$1=2, F18&gt;=1000), F18-1000, IF(AND($T$1=2, AND(F18&lt;1000, F18&gt;=0)), 0))))</f>
        <v>1400</v>
      </c>
      <c r="H61" s="78">
        <f>G61*F61</f>
        <v>162.4</v>
      </c>
      <c r="I61" s="286"/>
      <c r="J61" s="84">
        <v>0.11600000000000001</v>
      </c>
      <c r="K61" s="285">
        <f>G61</f>
        <v>1400</v>
      </c>
      <c r="L61" s="78">
        <f>K61*J61</f>
        <v>162.4</v>
      </c>
      <c r="M61" s="286"/>
      <c r="N61" s="287">
        <f t="shared" si="2"/>
        <v>0</v>
      </c>
      <c r="O61" s="79">
        <f t="shared" si="10"/>
        <v>0</v>
      </c>
    </row>
    <row r="62" spans="2:19" ht="13.5" thickBot="1">
      <c r="B62" s="196"/>
      <c r="C62" s="197"/>
      <c r="D62" s="198"/>
      <c r="E62" s="197"/>
      <c r="F62" s="199"/>
      <c r="G62" s="200"/>
      <c r="H62" s="201"/>
      <c r="I62" s="202"/>
      <c r="J62" s="199"/>
      <c r="K62" s="203"/>
      <c r="L62" s="201"/>
      <c r="M62" s="202"/>
      <c r="N62" s="204"/>
      <c r="O62" s="205"/>
    </row>
    <row r="63" spans="2:19" ht="25.5">
      <c r="B63" s="33" t="s">
        <v>43</v>
      </c>
      <c r="C63" s="20"/>
      <c r="D63" s="20"/>
      <c r="E63" s="20"/>
      <c r="F63" s="34"/>
      <c r="G63" s="35"/>
      <c r="H63" s="36">
        <f>SUM(H53:H59,H52)</f>
        <v>303.47408000000001</v>
      </c>
      <c r="I63" s="37"/>
      <c r="J63" s="38"/>
      <c r="K63" s="38"/>
      <c r="L63" s="36">
        <f>SUM(L53:L59,L52)</f>
        <v>306.08634272344057</v>
      </c>
      <c r="M63" s="39"/>
      <c r="N63" s="40">
        <f>L63-H63</f>
        <v>2.6122627234405513</v>
      </c>
      <c r="O63" s="41">
        <f>IF((H63)=0,"",(N63/H63))</f>
        <v>8.6078610846783074E-3</v>
      </c>
      <c r="S63" s="190"/>
    </row>
    <row r="64" spans="2:19">
      <c r="B64" s="42" t="s">
        <v>44</v>
      </c>
      <c r="C64" s="20"/>
      <c r="D64" s="20"/>
      <c r="E64" s="20"/>
      <c r="F64" s="43">
        <v>0.13</v>
      </c>
      <c r="G64" s="44"/>
      <c r="H64" s="45">
        <f>H63*F64</f>
        <v>39.451630400000006</v>
      </c>
      <c r="I64" s="46"/>
      <c r="J64" s="47">
        <v>0.13</v>
      </c>
      <c r="K64" s="46"/>
      <c r="L64" s="48">
        <f>L63*J64</f>
        <v>39.791224554047275</v>
      </c>
      <c r="M64" s="49"/>
      <c r="N64" s="50">
        <f t="shared" si="2"/>
        <v>0.33959415404726911</v>
      </c>
      <c r="O64" s="18">
        <f t="shared" si="10"/>
        <v>8.6078610846782415E-3</v>
      </c>
      <c r="S64" s="190"/>
    </row>
    <row r="65" spans="1:19">
      <c r="B65" s="206" t="s">
        <v>45</v>
      </c>
      <c r="C65" s="20"/>
      <c r="D65" s="20"/>
      <c r="E65" s="20"/>
      <c r="F65" s="51"/>
      <c r="G65" s="44"/>
      <c r="H65" s="45">
        <f>H63+H64</f>
        <v>342.92571040000001</v>
      </c>
      <c r="I65" s="46"/>
      <c r="J65" s="46"/>
      <c r="K65" s="46"/>
      <c r="L65" s="48">
        <f>L63+L64</f>
        <v>345.87756727748786</v>
      </c>
      <c r="M65" s="49"/>
      <c r="N65" s="50">
        <f t="shared" si="2"/>
        <v>2.9518568774878418</v>
      </c>
      <c r="O65" s="18">
        <f t="shared" si="10"/>
        <v>8.6078610846783612E-3</v>
      </c>
      <c r="S65" s="190"/>
    </row>
    <row r="66" spans="1:19">
      <c r="B66" s="297" t="s">
        <v>46</v>
      </c>
      <c r="C66" s="297"/>
      <c r="D66" s="297"/>
      <c r="E66" s="20"/>
      <c r="F66" s="51"/>
      <c r="G66" s="44"/>
      <c r="H66" s="52">
        <f>ROUND(-H65*0.1,2)</f>
        <v>-34.29</v>
      </c>
      <c r="I66" s="46"/>
      <c r="J66" s="46"/>
      <c r="K66" s="46"/>
      <c r="L66" s="53">
        <f>ROUND(-L65*0.1,2)</f>
        <v>-34.590000000000003</v>
      </c>
      <c r="M66" s="49"/>
      <c r="N66" s="54">
        <f t="shared" si="2"/>
        <v>-0.30000000000000426</v>
      </c>
      <c r="O66" s="55">
        <f t="shared" si="10"/>
        <v>8.7489063867017876E-3</v>
      </c>
    </row>
    <row r="67" spans="1:19" ht="13.5" thickBot="1">
      <c r="B67" s="298" t="s">
        <v>47</v>
      </c>
      <c r="C67" s="298"/>
      <c r="D67" s="298"/>
      <c r="E67" s="14"/>
      <c r="F67" s="207"/>
      <c r="G67" s="208"/>
      <c r="H67" s="209">
        <f>H65+H66</f>
        <v>308.63571039999999</v>
      </c>
      <c r="I67" s="210"/>
      <c r="J67" s="210"/>
      <c r="K67" s="210"/>
      <c r="L67" s="211">
        <f>L65+L66</f>
        <v>311.28756727748782</v>
      </c>
      <c r="M67" s="212"/>
      <c r="N67" s="213">
        <f t="shared" si="2"/>
        <v>2.6518568774878304</v>
      </c>
      <c r="O67" s="214">
        <f t="shared" si="10"/>
        <v>8.5921906899592213E-3</v>
      </c>
    </row>
    <row r="68" spans="1:19" s="195" customFormat="1" ht="13.5" thickBot="1">
      <c r="B68" s="215"/>
      <c r="C68" s="216"/>
      <c r="D68" s="217"/>
      <c r="E68" s="216"/>
      <c r="F68" s="199"/>
      <c r="G68" s="218"/>
      <c r="H68" s="201"/>
      <c r="I68" s="219"/>
      <c r="J68" s="199"/>
      <c r="K68" s="220"/>
      <c r="L68" s="201"/>
      <c r="M68" s="219"/>
      <c r="N68" s="221"/>
      <c r="O68" s="205"/>
    </row>
    <row r="69" spans="1:19" s="195" customFormat="1" ht="25.5">
      <c r="B69" s="56" t="s">
        <v>48</v>
      </c>
      <c r="C69" s="32"/>
      <c r="D69" s="32"/>
      <c r="E69" s="32"/>
      <c r="F69" s="57"/>
      <c r="G69" s="58"/>
      <c r="H69" s="59">
        <f>SUM(H60:H61,H52,H53:H56)</f>
        <v>309.95407999999998</v>
      </c>
      <c r="I69" s="60"/>
      <c r="J69" s="61"/>
      <c r="K69" s="61"/>
      <c r="L69" s="59">
        <f>SUM(L60:L61,L52,L53:L56)</f>
        <v>312.56634272344058</v>
      </c>
      <c r="M69" s="62"/>
      <c r="N69" s="63">
        <f>L69-H69</f>
        <v>2.6122627234406082</v>
      </c>
      <c r="O69" s="41">
        <f>IF((H69)=0,"",(N69/H69))</f>
        <v>8.4279023636036933E-3</v>
      </c>
    </row>
    <row r="70" spans="1:19" s="195" customFormat="1">
      <c r="B70" s="64" t="s">
        <v>44</v>
      </c>
      <c r="C70" s="32"/>
      <c r="D70" s="32"/>
      <c r="E70" s="32"/>
      <c r="F70" s="65">
        <v>0.13</v>
      </c>
      <c r="G70" s="58"/>
      <c r="H70" s="66">
        <f>H69*F70</f>
        <v>40.294030399999997</v>
      </c>
      <c r="I70" s="67"/>
      <c r="J70" s="68">
        <v>0.13</v>
      </c>
      <c r="K70" s="69"/>
      <c r="L70" s="70">
        <f>L69*J70</f>
        <v>40.63362455404728</v>
      </c>
      <c r="M70" s="71"/>
      <c r="N70" s="72">
        <f>L70-H70</f>
        <v>0.33959415404728333</v>
      </c>
      <c r="O70" s="18">
        <f>IF((H70)=0,"",(N70/H70))</f>
        <v>8.4279023636037991E-3</v>
      </c>
    </row>
    <row r="71" spans="1:19" s="195" customFormat="1">
      <c r="B71" s="222" t="s">
        <v>45</v>
      </c>
      <c r="C71" s="32"/>
      <c r="D71" s="32"/>
      <c r="E71" s="32"/>
      <c r="F71" s="73"/>
      <c r="G71" s="74"/>
      <c r="H71" s="66">
        <f>H69+H70</f>
        <v>350.24811039999997</v>
      </c>
      <c r="I71" s="67"/>
      <c r="J71" s="67"/>
      <c r="K71" s="67"/>
      <c r="L71" s="70">
        <f>L69+L70</f>
        <v>353.19996727748787</v>
      </c>
      <c r="M71" s="71"/>
      <c r="N71" s="72">
        <f>L71-H71</f>
        <v>2.9518568774878986</v>
      </c>
      <c r="O71" s="18">
        <f>IF((H71)=0,"",(N71/H71))</f>
        <v>8.4279023636037263E-3</v>
      </c>
    </row>
    <row r="72" spans="1:19" s="195" customFormat="1">
      <c r="B72" s="299" t="s">
        <v>46</v>
      </c>
      <c r="C72" s="299"/>
      <c r="D72" s="299"/>
      <c r="E72" s="32"/>
      <c r="F72" s="73"/>
      <c r="G72" s="74"/>
      <c r="H72" s="75">
        <f>ROUND(-H71*0.1,2)</f>
        <v>-35.020000000000003</v>
      </c>
      <c r="I72" s="67"/>
      <c r="J72" s="67"/>
      <c r="K72" s="67"/>
      <c r="L72" s="76">
        <f>ROUND(-L71*0.1,2)</f>
        <v>-35.32</v>
      </c>
      <c r="M72" s="71"/>
      <c r="N72" s="77">
        <f>L72-H72</f>
        <v>-0.29999999999999716</v>
      </c>
      <c r="O72" s="55">
        <f>IF((H72)=0,"",(N72/H72))</f>
        <v>8.5665334094802148E-3</v>
      </c>
    </row>
    <row r="73" spans="1:19" s="195" customFormat="1" ht="13.5" thickBot="1">
      <c r="B73" s="293" t="s">
        <v>49</v>
      </c>
      <c r="C73" s="293"/>
      <c r="D73" s="293"/>
      <c r="E73" s="32"/>
      <c r="F73" s="73"/>
      <c r="G73" s="74"/>
      <c r="H73" s="59">
        <f>SUM(H71:H72)</f>
        <v>315.22811039999999</v>
      </c>
      <c r="I73" s="60"/>
      <c r="J73" s="60"/>
      <c r="K73" s="60"/>
      <c r="L73" s="223">
        <f>SUM(L71:L72)</f>
        <v>317.87996727748788</v>
      </c>
      <c r="M73" s="62"/>
      <c r="N73" s="63">
        <f>L73-H73</f>
        <v>2.6518568774878872</v>
      </c>
      <c r="O73" s="41">
        <f>IF((H73)=0,"",(N73/H73))</f>
        <v>8.4125012649502832E-3</v>
      </c>
    </row>
    <row r="74" spans="1:19" s="195" customFormat="1" ht="13.5" thickBot="1">
      <c r="B74" s="215"/>
      <c r="C74" s="216"/>
      <c r="D74" s="217"/>
      <c r="E74" s="216"/>
      <c r="F74" s="224"/>
      <c r="G74" s="225"/>
      <c r="H74" s="226"/>
      <c r="I74" s="227"/>
      <c r="J74" s="224"/>
      <c r="K74" s="218"/>
      <c r="L74" s="228"/>
      <c r="M74" s="219"/>
      <c r="N74" s="229"/>
      <c r="O74" s="205"/>
    </row>
    <row r="75" spans="1:19">
      <c r="L75" s="190"/>
    </row>
    <row r="76" spans="1:19">
      <c r="B76" s="230" t="s">
        <v>50</v>
      </c>
      <c r="F76" s="231">
        <v>3.9E-2</v>
      </c>
      <c r="J76" s="231">
        <v>4.5699999999999998E-2</v>
      </c>
    </row>
    <row r="78" spans="1:19" ht="14.25">
      <c r="A78" s="232" t="s">
        <v>51</v>
      </c>
    </row>
    <row r="80" spans="1:19">
      <c r="A80" s="12" t="s">
        <v>52</v>
      </c>
    </row>
    <row r="81" spans="1:2">
      <c r="A81" s="12" t="s">
        <v>53</v>
      </c>
    </row>
    <row r="83" spans="1:2">
      <c r="A83" s="233" t="s">
        <v>54</v>
      </c>
    </row>
    <row r="84" spans="1:2">
      <c r="A84" s="233" t="s">
        <v>55</v>
      </c>
    </row>
    <row r="86" spans="1:2">
      <c r="A86" s="12" t="s">
        <v>56</v>
      </c>
    </row>
    <row r="87" spans="1:2">
      <c r="A87" s="12" t="s">
        <v>57</v>
      </c>
    </row>
    <row r="88" spans="1:2">
      <c r="A88" s="12" t="s">
        <v>58</v>
      </c>
    </row>
    <row r="89" spans="1:2">
      <c r="A89" s="12" t="s">
        <v>59</v>
      </c>
    </row>
    <row r="90" spans="1:2">
      <c r="A90" s="12" t="s">
        <v>60</v>
      </c>
    </row>
    <row r="92" spans="1:2" ht="51">
      <c r="B92" s="13" t="s">
        <v>61</v>
      </c>
    </row>
  </sheetData>
  <mergeCells count="14">
    <mergeCell ref="B73:D73"/>
    <mergeCell ref="D21:D22"/>
    <mergeCell ref="N21:N22"/>
    <mergeCell ref="O21:O22"/>
    <mergeCell ref="B66:D66"/>
    <mergeCell ref="B67:D67"/>
    <mergeCell ref="B72:D72"/>
    <mergeCell ref="A3:K3"/>
    <mergeCell ref="B10:O10"/>
    <mergeCell ref="B11:O11"/>
    <mergeCell ref="D14:O14"/>
    <mergeCell ref="F20:H20"/>
    <mergeCell ref="J20:L20"/>
    <mergeCell ref="N20:O20"/>
  </mergeCells>
  <dataValidations count="3">
    <dataValidation type="list" allowBlank="1" showInputMessage="1" showErrorMessage="1" sqref="E23:E38 E74 E50:E51 E53:E62 E68 E40:E48">
      <formula1>"#REF!"</formula1>
      <formula2>0</formula2>
    </dataValidation>
    <dataValidation type="list" allowBlank="1" showInputMessage="1" showErrorMessage="1" prompt="Select Charge Unit - monthly, per kWh, per kW" sqref="D74 D23:D38 D50:D51 D68 D53:D62 D40:D48">
      <formula1>"Monthly,per kWh,per kW"</formula1>
      <formula2>0</formula2>
    </dataValidation>
    <dataValidation type="list" allowBlank="1" showInputMessage="1" showErrorMessage="1" sqref="D16">
      <formula1>"TOU,non-TOU"</formula1>
      <formula2>0</formula2>
    </dataValidation>
  </dataValidations>
  <pageMargins left="0.25" right="0.25" top="0.75" bottom="0.75" header="0.3" footer="0.3"/>
  <pageSetup paperSize="9" scale="59" orientation="portrait" horizontalDpi="4294967292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9">
    <pageSetUpPr fitToPage="1"/>
  </sheetPr>
  <dimension ref="A1:T92"/>
  <sheetViews>
    <sheetView showGridLines="0" topLeftCell="A46" workbookViewId="0">
      <selection activeCell="F102" sqref="F102"/>
    </sheetView>
  </sheetViews>
  <sheetFormatPr defaultRowHeight="12.75"/>
  <cols>
    <col min="1" max="1" width="11.28515625" style="12" customWidth="1"/>
    <col min="2" max="2" width="26.570312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12" customWidth="1"/>
    <col min="8" max="8" width="11.140625" style="12" customWidth="1"/>
    <col min="9" max="9" width="2.85546875" style="12" customWidth="1"/>
    <col min="10" max="10" width="12.140625" style="12" customWidth="1"/>
    <col min="11" max="11" width="8.5703125" style="12" customWidth="1"/>
    <col min="12" max="12" width="10.28515625" style="12" bestFit="1" customWidth="1"/>
    <col min="13" max="13" width="2.85546875" style="12" customWidth="1"/>
    <col min="14" max="14" width="12.71093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5"/>
      <c r="H2" s="5"/>
      <c r="I2" s="5"/>
      <c r="J2" s="5"/>
      <c r="K2" s="5"/>
      <c r="N2" s="3"/>
      <c r="O2" s="7"/>
    </row>
    <row r="3" spans="1:20" s="2" customFormat="1" ht="12.75" customHeight="1">
      <c r="A3" s="288"/>
      <c r="B3" s="288"/>
      <c r="C3" s="288"/>
      <c r="D3" s="288"/>
      <c r="E3" s="288"/>
      <c r="F3" s="288"/>
      <c r="G3" s="288"/>
      <c r="H3" s="288"/>
      <c r="I3" s="288"/>
      <c r="J3" s="288"/>
      <c r="K3" s="288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5"/>
      <c r="H4" s="5"/>
      <c r="I4" s="8"/>
      <c r="J4" s="8"/>
      <c r="K4" s="8"/>
      <c r="N4" s="3"/>
      <c r="O4" s="7"/>
    </row>
    <row r="5" spans="1:20" s="2" customFormat="1" ht="12.75" customHeight="1">
      <c r="B5" s="9"/>
      <c r="C5" s="10"/>
      <c r="D5" s="10"/>
      <c r="E5" s="10"/>
      <c r="N5" s="3"/>
      <c r="O5" s="4"/>
    </row>
    <row r="6" spans="1:20" s="2" customFormat="1" ht="12.75" customHeight="1">
      <c r="B6" s="9"/>
      <c r="N6" s="3"/>
      <c r="O6" s="11"/>
    </row>
    <row r="7" spans="1:20" s="2" customFormat="1" ht="12.75" customHeight="1">
      <c r="B7" s="9"/>
      <c r="N7" s="3"/>
      <c r="O7" s="4"/>
    </row>
    <row r="8" spans="1:20" s="2" customFormat="1" ht="12.75" customHeight="1">
      <c r="B8" s="9"/>
    </row>
    <row r="9" spans="1:20" ht="12.75" customHeight="1"/>
    <row r="10" spans="1:20" s="130" customFormat="1" ht="18.75" customHeight="1">
      <c r="B10" s="289" t="s">
        <v>0</v>
      </c>
      <c r="C10" s="289"/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89"/>
      <c r="O10" s="289"/>
    </row>
    <row r="11" spans="1:20" ht="18.75" customHeight="1">
      <c r="B11" s="290" t="s">
        <v>1</v>
      </c>
      <c r="C11" s="290"/>
      <c r="D11" s="290"/>
      <c r="E11" s="290"/>
      <c r="F11" s="290"/>
      <c r="G11" s="290"/>
      <c r="H11" s="290"/>
      <c r="I11" s="290"/>
      <c r="J11" s="290"/>
      <c r="K11" s="290"/>
      <c r="L11" s="290"/>
      <c r="M11" s="290"/>
      <c r="N11" s="290"/>
      <c r="O11" s="290"/>
    </row>
    <row r="12" spans="1:20" ht="7.5" customHeight="1"/>
    <row r="13" spans="1:20" ht="7.5" customHeight="1"/>
    <row r="14" spans="1:20" ht="15.75">
      <c r="B14" s="131" t="s">
        <v>2</v>
      </c>
      <c r="D14" s="291" t="s">
        <v>64</v>
      </c>
      <c r="E14" s="291"/>
      <c r="F14" s="291"/>
      <c r="G14" s="291"/>
      <c r="H14" s="291"/>
      <c r="I14" s="291"/>
      <c r="J14" s="291"/>
      <c r="K14" s="291"/>
      <c r="L14" s="291"/>
      <c r="M14" s="291"/>
      <c r="N14" s="291"/>
      <c r="O14" s="291"/>
    </row>
    <row r="15" spans="1:20" ht="7.5" customHeight="1">
      <c r="B15" s="132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spans="1:20" ht="15.75">
      <c r="B16" s="131" t="s">
        <v>4</v>
      </c>
      <c r="D16" s="134" t="s">
        <v>5</v>
      </c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spans="1:15" ht="15.75">
      <c r="B17" s="132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spans="1:15">
      <c r="B18" s="135"/>
      <c r="D18" s="136" t="s">
        <v>6</v>
      </c>
      <c r="E18" s="136"/>
      <c r="F18" s="137">
        <v>100</v>
      </c>
      <c r="G18" s="136" t="s">
        <v>7</v>
      </c>
    </row>
    <row r="19" spans="1:15">
      <c r="B19" s="135"/>
    </row>
    <row r="20" spans="1:15">
      <c r="B20" s="135"/>
      <c r="D20" s="138"/>
      <c r="E20" s="138"/>
      <c r="F20" s="292" t="s">
        <v>8</v>
      </c>
      <c r="G20" s="292"/>
      <c r="H20" s="292"/>
      <c r="J20" s="292" t="s">
        <v>9</v>
      </c>
      <c r="K20" s="292"/>
      <c r="L20" s="292"/>
      <c r="N20" s="292" t="s">
        <v>10</v>
      </c>
      <c r="O20" s="292"/>
    </row>
    <row r="21" spans="1:15">
      <c r="B21" s="135"/>
      <c r="D21" s="294" t="s">
        <v>11</v>
      </c>
      <c r="E21" s="139"/>
      <c r="F21" s="140" t="s">
        <v>12</v>
      </c>
      <c r="G21" s="140" t="s">
        <v>13</v>
      </c>
      <c r="H21" s="141" t="s">
        <v>14</v>
      </c>
      <c r="J21" s="140" t="s">
        <v>12</v>
      </c>
      <c r="K21" s="142" t="s">
        <v>13</v>
      </c>
      <c r="L21" s="141" t="s">
        <v>14</v>
      </c>
      <c r="N21" s="295" t="s">
        <v>15</v>
      </c>
      <c r="O21" s="296" t="s">
        <v>16</v>
      </c>
    </row>
    <row r="22" spans="1:15">
      <c r="B22" s="135"/>
      <c r="D22" s="294"/>
      <c r="E22" s="139"/>
      <c r="F22" s="143" t="s">
        <v>17</v>
      </c>
      <c r="G22" s="143"/>
      <c r="H22" s="144" t="s">
        <v>17</v>
      </c>
      <c r="J22" s="143" t="s">
        <v>17</v>
      </c>
      <c r="K22" s="144"/>
      <c r="L22" s="144" t="s">
        <v>17</v>
      </c>
      <c r="N22" s="295"/>
      <c r="O22" s="296"/>
    </row>
    <row r="23" spans="1:15">
      <c r="B23" s="145" t="s">
        <v>18</v>
      </c>
      <c r="C23" s="20"/>
      <c r="D23" s="146" t="s">
        <v>19</v>
      </c>
      <c r="E23" s="14"/>
      <c r="F23" s="147">
        <f>'[2]B. CurrentTariff'!C74</f>
        <v>378.72</v>
      </c>
      <c r="G23" s="15">
        <v>1</v>
      </c>
      <c r="H23" s="16">
        <f>G23*F23</f>
        <v>378.72</v>
      </c>
      <c r="I23" s="28"/>
      <c r="J23" s="148">
        <f>'[2]G. RateDesign'!B48</f>
        <v>86.14</v>
      </c>
      <c r="K23" s="17">
        <v>1</v>
      </c>
      <c r="L23" s="16">
        <f>K23*J23</f>
        <v>86.14</v>
      </c>
      <c r="M23" s="28"/>
      <c r="N23" s="149">
        <f>L23-H23</f>
        <v>-292.58000000000004</v>
      </c>
      <c r="O23" s="18">
        <f>IF((H23)=0,"",(N23/H23))</f>
        <v>-0.77254964089564859</v>
      </c>
    </row>
    <row r="24" spans="1:15">
      <c r="A24" s="19"/>
      <c r="B24" s="145" t="s">
        <v>20</v>
      </c>
      <c r="C24" s="20"/>
      <c r="D24" s="146"/>
      <c r="E24" s="14"/>
      <c r="F24" s="150"/>
      <c r="G24" s="15">
        <v>1</v>
      </c>
      <c r="H24" s="16">
        <f t="shared" ref="H24:H38" si="0">G24*F24</f>
        <v>0</v>
      </c>
      <c r="I24" s="28"/>
      <c r="J24" s="31"/>
      <c r="K24" s="17">
        <v>1</v>
      </c>
      <c r="L24" s="16">
        <f>K24*J24</f>
        <v>0</v>
      </c>
      <c r="M24" s="28"/>
      <c r="N24" s="149">
        <f>L24-H24</f>
        <v>0</v>
      </c>
      <c r="O24" s="18" t="str">
        <f>IF((H24)=0,"",(N24/H24))</f>
        <v/>
      </c>
    </row>
    <row r="25" spans="1:15">
      <c r="A25" s="19"/>
      <c r="B25" s="151" t="s">
        <v>21</v>
      </c>
      <c r="C25" s="20"/>
      <c r="D25" s="146" t="s">
        <v>19</v>
      </c>
      <c r="E25" s="14"/>
      <c r="F25" s="150"/>
      <c r="G25" s="15">
        <v>1</v>
      </c>
      <c r="H25" s="16">
        <f t="shared" si="0"/>
        <v>0</v>
      </c>
      <c r="I25" s="28"/>
      <c r="J25" s="148">
        <f>'[2]I. SMRR'!G15</f>
        <v>0</v>
      </c>
      <c r="K25" s="17">
        <v>1</v>
      </c>
      <c r="L25" s="16">
        <f t="shared" ref="L25:L38" si="1">K25*J25</f>
        <v>0</v>
      </c>
      <c r="M25" s="28"/>
      <c r="N25" s="149">
        <f t="shared" ref="N25:N67" si="2">L25-H25</f>
        <v>0</v>
      </c>
      <c r="O25" s="18" t="str">
        <f t="shared" ref="O25:O47" si="3">IF((H25)=0,"",(N25/H25))</f>
        <v/>
      </c>
    </row>
    <row r="26" spans="1:15">
      <c r="A26" s="19"/>
      <c r="B26" s="152"/>
      <c r="C26" s="20"/>
      <c r="D26" s="146"/>
      <c r="E26" s="14"/>
      <c r="F26" s="150"/>
      <c r="G26" s="15">
        <v>1</v>
      </c>
      <c r="H26" s="16">
        <f t="shared" si="0"/>
        <v>0</v>
      </c>
      <c r="I26" s="28"/>
      <c r="J26" s="31"/>
      <c r="K26" s="17">
        <v>1</v>
      </c>
      <c r="L26" s="16">
        <f t="shared" si="1"/>
        <v>0</v>
      </c>
      <c r="M26" s="28"/>
      <c r="N26" s="149">
        <f t="shared" si="2"/>
        <v>0</v>
      </c>
      <c r="O26" s="18" t="str">
        <f t="shared" si="3"/>
        <v/>
      </c>
    </row>
    <row r="27" spans="1:15">
      <c r="A27" s="19"/>
      <c r="B27" s="152"/>
      <c r="C27" s="20"/>
      <c r="D27" s="146"/>
      <c r="E27" s="14"/>
      <c r="F27" s="150"/>
      <c r="G27" s="15">
        <v>1</v>
      </c>
      <c r="H27" s="16">
        <f t="shared" si="0"/>
        <v>0</v>
      </c>
      <c r="I27" s="28"/>
      <c r="J27" s="31"/>
      <c r="K27" s="17">
        <v>1</v>
      </c>
      <c r="L27" s="16">
        <f t="shared" si="1"/>
        <v>0</v>
      </c>
      <c r="M27" s="28"/>
      <c r="N27" s="149">
        <f t="shared" si="2"/>
        <v>0</v>
      </c>
      <c r="O27" s="18" t="str">
        <f t="shared" si="3"/>
        <v/>
      </c>
    </row>
    <row r="28" spans="1:15">
      <c r="A28" s="19"/>
      <c r="B28" s="152"/>
      <c r="C28" s="20"/>
      <c r="D28" s="146"/>
      <c r="E28" s="14"/>
      <c r="F28" s="150"/>
      <c r="G28" s="15">
        <v>1</v>
      </c>
      <c r="H28" s="16">
        <f t="shared" si="0"/>
        <v>0</v>
      </c>
      <c r="I28" s="28"/>
      <c r="J28" s="31"/>
      <c r="K28" s="17">
        <v>1</v>
      </c>
      <c r="L28" s="16">
        <f t="shared" si="1"/>
        <v>0</v>
      </c>
      <c r="M28" s="28"/>
      <c r="N28" s="149">
        <f t="shared" si="2"/>
        <v>0</v>
      </c>
      <c r="O28" s="18" t="str">
        <f t="shared" si="3"/>
        <v/>
      </c>
    </row>
    <row r="29" spans="1:15">
      <c r="A29" s="19"/>
      <c r="B29" s="145" t="s">
        <v>23</v>
      </c>
      <c r="C29" s="20"/>
      <c r="D29" s="146" t="s">
        <v>65</v>
      </c>
      <c r="E29" s="14"/>
      <c r="F29" s="150">
        <f>'[2]B. CurrentTariff'!C75</f>
        <v>0.64890000000000003</v>
      </c>
      <c r="G29" s="15">
        <f t="shared" ref="G29:G38" si="4">$F$18</f>
        <v>100</v>
      </c>
      <c r="H29" s="16">
        <f t="shared" si="0"/>
        <v>64.89</v>
      </c>
      <c r="I29" s="28"/>
      <c r="J29" s="31">
        <f>'[2]G. RateDesign'!G48</f>
        <v>3.4039094245470864</v>
      </c>
      <c r="K29" s="15">
        <f>$F$18</f>
        <v>100</v>
      </c>
      <c r="L29" s="16">
        <f t="shared" si="1"/>
        <v>340.39094245470864</v>
      </c>
      <c r="M29" s="28"/>
      <c r="N29" s="149">
        <f t="shared" si="2"/>
        <v>275.50094245470865</v>
      </c>
      <c r="O29" s="18">
        <f t="shared" si="3"/>
        <v>4.2456610025382746</v>
      </c>
    </row>
    <row r="30" spans="1:15">
      <c r="A30" s="19"/>
      <c r="B30" s="145" t="s">
        <v>22</v>
      </c>
      <c r="C30" s="20"/>
      <c r="D30" s="146" t="s">
        <v>65</v>
      </c>
      <c r="E30" s="14"/>
      <c r="F30" s="150"/>
      <c r="G30" s="15">
        <f t="shared" si="4"/>
        <v>100</v>
      </c>
      <c r="H30" s="16">
        <f t="shared" si="0"/>
        <v>0</v>
      </c>
      <c r="I30" s="28"/>
      <c r="J30" s="31"/>
      <c r="K30" s="15">
        <f t="shared" ref="K30:K38" si="5">$F$18</f>
        <v>100</v>
      </c>
      <c r="L30" s="16">
        <f t="shared" si="1"/>
        <v>0</v>
      </c>
      <c r="M30" s="28"/>
      <c r="N30" s="149">
        <f t="shared" si="2"/>
        <v>0</v>
      </c>
      <c r="O30" s="18" t="str">
        <f t="shared" si="3"/>
        <v/>
      </c>
    </row>
    <row r="31" spans="1:15">
      <c r="A31" s="19"/>
      <c r="B31" s="145" t="s">
        <v>25</v>
      </c>
      <c r="C31" s="20"/>
      <c r="D31" s="146" t="s">
        <v>65</v>
      </c>
      <c r="E31" s="14"/>
      <c r="F31" s="150"/>
      <c r="G31" s="15">
        <f t="shared" si="4"/>
        <v>100</v>
      </c>
      <c r="H31" s="16">
        <f t="shared" si="0"/>
        <v>0</v>
      </c>
      <c r="I31" s="28"/>
      <c r="J31" s="31"/>
      <c r="K31" s="15">
        <f t="shared" si="5"/>
        <v>100</v>
      </c>
      <c r="L31" s="16">
        <f t="shared" si="1"/>
        <v>0</v>
      </c>
      <c r="M31" s="28"/>
      <c r="N31" s="149">
        <f t="shared" si="2"/>
        <v>0</v>
      </c>
      <c r="O31" s="18" t="str">
        <f t="shared" si="3"/>
        <v/>
      </c>
    </row>
    <row r="32" spans="1:15">
      <c r="A32" s="19"/>
      <c r="B32" s="151"/>
      <c r="C32" s="20"/>
      <c r="D32" s="146"/>
      <c r="E32" s="14"/>
      <c r="F32" s="150"/>
      <c r="G32" s="15">
        <f t="shared" si="4"/>
        <v>100</v>
      </c>
      <c r="H32" s="16">
        <f>G32*F32</f>
        <v>0</v>
      </c>
      <c r="I32" s="28"/>
      <c r="J32" s="31"/>
      <c r="K32" s="15">
        <f t="shared" si="5"/>
        <v>100</v>
      </c>
      <c r="L32" s="16">
        <f>K32*J32</f>
        <v>0</v>
      </c>
      <c r="M32" s="28"/>
      <c r="N32" s="149">
        <f>L32-H32</f>
        <v>0</v>
      </c>
      <c r="O32" s="18" t="str">
        <f>IF((H32)=0,"",(N32/H32))</f>
        <v/>
      </c>
    </row>
    <row r="33" spans="1:15">
      <c r="A33" s="19"/>
      <c r="B33" s="151"/>
      <c r="C33" s="20"/>
      <c r="D33" s="146"/>
      <c r="E33" s="14"/>
      <c r="F33" s="150"/>
      <c r="G33" s="15">
        <f t="shared" si="4"/>
        <v>100</v>
      </c>
      <c r="H33" s="16">
        <f>G33*F33</f>
        <v>0</v>
      </c>
      <c r="I33" s="28"/>
      <c r="J33" s="31"/>
      <c r="K33" s="15">
        <f t="shared" si="5"/>
        <v>100</v>
      </c>
      <c r="L33" s="16">
        <f>K33*J33</f>
        <v>0</v>
      </c>
      <c r="M33" s="28"/>
      <c r="N33" s="149">
        <f>L33-H33</f>
        <v>0</v>
      </c>
      <c r="O33" s="18" t="str">
        <f>IF((H33)=0,"",(N33/H33))</f>
        <v/>
      </c>
    </row>
    <row r="34" spans="1:15">
      <c r="A34" s="19"/>
      <c r="B34" s="151"/>
      <c r="C34" s="20"/>
      <c r="D34" s="146"/>
      <c r="E34" s="14"/>
      <c r="F34" s="150"/>
      <c r="G34" s="15">
        <f t="shared" si="4"/>
        <v>100</v>
      </c>
      <c r="H34" s="16">
        <f>G34*F34</f>
        <v>0</v>
      </c>
      <c r="I34" s="28"/>
      <c r="J34" s="31"/>
      <c r="K34" s="15">
        <f t="shared" si="5"/>
        <v>100</v>
      </c>
      <c r="L34" s="16">
        <f>K34*J34</f>
        <v>0</v>
      </c>
      <c r="M34" s="28"/>
      <c r="N34" s="149">
        <f>L34-H34</f>
        <v>0</v>
      </c>
      <c r="O34" s="18" t="str">
        <f>IF((H34)=0,"",(N34/H34))</f>
        <v/>
      </c>
    </row>
    <row r="35" spans="1:15">
      <c r="A35" s="19"/>
      <c r="B35" s="151"/>
      <c r="C35" s="20"/>
      <c r="D35" s="146"/>
      <c r="E35" s="14"/>
      <c r="F35" s="150"/>
      <c r="G35" s="15">
        <f t="shared" si="4"/>
        <v>100</v>
      </c>
      <c r="H35" s="16">
        <f t="shared" si="0"/>
        <v>0</v>
      </c>
      <c r="I35" s="28"/>
      <c r="J35" s="31"/>
      <c r="K35" s="15">
        <f t="shared" si="5"/>
        <v>100</v>
      </c>
      <c r="L35" s="16">
        <f t="shared" si="1"/>
        <v>0</v>
      </c>
      <c r="M35" s="28"/>
      <c r="N35" s="149">
        <f t="shared" si="2"/>
        <v>0</v>
      </c>
      <c r="O35" s="18" t="str">
        <f t="shared" si="3"/>
        <v/>
      </c>
    </row>
    <row r="36" spans="1:15">
      <c r="A36" s="19"/>
      <c r="B36" s="151"/>
      <c r="C36" s="20"/>
      <c r="D36" s="146"/>
      <c r="E36" s="14"/>
      <c r="F36" s="150"/>
      <c r="G36" s="15">
        <f t="shared" si="4"/>
        <v>100</v>
      </c>
      <c r="H36" s="16">
        <f t="shared" si="0"/>
        <v>0</v>
      </c>
      <c r="I36" s="28"/>
      <c r="J36" s="31"/>
      <c r="K36" s="15">
        <f t="shared" si="5"/>
        <v>100</v>
      </c>
      <c r="L36" s="16">
        <f t="shared" si="1"/>
        <v>0</v>
      </c>
      <c r="M36" s="28"/>
      <c r="N36" s="149">
        <f t="shared" si="2"/>
        <v>0</v>
      </c>
      <c r="O36" s="18" t="str">
        <f t="shared" si="3"/>
        <v/>
      </c>
    </row>
    <row r="37" spans="1:15">
      <c r="A37" s="19"/>
      <c r="B37" s="151"/>
      <c r="C37" s="20"/>
      <c r="D37" s="146"/>
      <c r="E37" s="14"/>
      <c r="F37" s="150"/>
      <c r="G37" s="15">
        <f t="shared" si="4"/>
        <v>100</v>
      </c>
      <c r="H37" s="16">
        <f t="shared" si="0"/>
        <v>0</v>
      </c>
      <c r="I37" s="28"/>
      <c r="J37" s="31"/>
      <c r="K37" s="15">
        <f t="shared" si="5"/>
        <v>100</v>
      </c>
      <c r="L37" s="16">
        <f t="shared" si="1"/>
        <v>0</v>
      </c>
      <c r="M37" s="28"/>
      <c r="N37" s="149">
        <f t="shared" si="2"/>
        <v>0</v>
      </c>
      <c r="O37" s="18" t="str">
        <f t="shared" si="3"/>
        <v/>
      </c>
    </row>
    <row r="38" spans="1:15">
      <c r="A38" s="19"/>
      <c r="B38" s="151"/>
      <c r="C38" s="20"/>
      <c r="D38" s="146"/>
      <c r="E38" s="14"/>
      <c r="F38" s="150"/>
      <c r="G38" s="15">
        <f t="shared" si="4"/>
        <v>100</v>
      </c>
      <c r="H38" s="16">
        <f t="shared" si="0"/>
        <v>0</v>
      </c>
      <c r="I38" s="28"/>
      <c r="J38" s="31"/>
      <c r="K38" s="15">
        <f t="shared" si="5"/>
        <v>100</v>
      </c>
      <c r="L38" s="16">
        <f t="shared" si="1"/>
        <v>0</v>
      </c>
      <c r="M38" s="28"/>
      <c r="N38" s="149">
        <f t="shared" si="2"/>
        <v>0</v>
      </c>
      <c r="O38" s="18" t="str">
        <f t="shared" si="3"/>
        <v/>
      </c>
    </row>
    <row r="39" spans="1:15">
      <c r="A39" s="19"/>
      <c r="B39" s="153" t="s">
        <v>26</v>
      </c>
      <c r="C39" s="154"/>
      <c r="D39" s="155"/>
      <c r="E39" s="154"/>
      <c r="F39" s="156"/>
      <c r="G39" s="157"/>
      <c r="H39" s="158">
        <f>SUM(H23:H38)</f>
        <v>443.61</v>
      </c>
      <c r="I39" s="28"/>
      <c r="J39" s="159"/>
      <c r="K39" s="160"/>
      <c r="L39" s="158">
        <f>SUM(L23:L38)</f>
        <v>426.53094245470862</v>
      </c>
      <c r="M39" s="28"/>
      <c r="N39" s="161">
        <f t="shared" si="2"/>
        <v>-17.079057545291391</v>
      </c>
      <c r="O39" s="162">
        <f t="shared" si="3"/>
        <v>-3.8500163533940604E-2</v>
      </c>
    </row>
    <row r="40" spans="1:15" ht="51">
      <c r="A40" s="163"/>
      <c r="B40" s="164" t="str">
        <f>'[2]J. DVA'!$B$16</f>
        <v>Rate Rider Calculation for Deferral / Variance Accounts Balances (excluding Global Adj.)</v>
      </c>
      <c r="C40" s="20"/>
      <c r="D40" s="242" t="s">
        <v>65</v>
      </c>
      <c r="E40" s="20"/>
      <c r="F40" s="166"/>
      <c r="G40" s="21">
        <f t="shared" ref="G40:G46" si="6">$F$18</f>
        <v>100</v>
      </c>
      <c r="H40" s="22">
        <f t="shared" ref="H40:H48" si="7">G40*F40</f>
        <v>0</v>
      </c>
      <c r="I40" s="167"/>
      <c r="J40" s="166">
        <f>'[2]J. DVA'!F22</f>
        <v>-0.29147197963987148</v>
      </c>
      <c r="K40" s="21">
        <f t="shared" ref="K40:K46" si="8">$F$18</f>
        <v>100</v>
      </c>
      <c r="L40" s="22">
        <f t="shared" ref="L40:L48" si="9">K40*J40</f>
        <v>-29.147197963987146</v>
      </c>
      <c r="M40" s="167"/>
      <c r="N40" s="168">
        <f t="shared" si="2"/>
        <v>-29.147197963987146</v>
      </c>
      <c r="O40" s="24" t="str">
        <f t="shared" si="3"/>
        <v/>
      </c>
    </row>
    <row r="41" spans="1:15" ht="51">
      <c r="A41" s="169"/>
      <c r="B41" s="164" t="str">
        <f>'[2]J. DVA'!$B$28</f>
        <v>Rate Rider Calculation for Deferral / Variance Accounts Balances (excluding Global Adj.) - NON-WMP</v>
      </c>
      <c r="C41" s="20"/>
      <c r="D41" s="242" t="s">
        <v>65</v>
      </c>
      <c r="E41" s="20"/>
      <c r="F41" s="166"/>
      <c r="G41" s="21">
        <f t="shared" si="6"/>
        <v>100</v>
      </c>
      <c r="H41" s="22">
        <f t="shared" si="7"/>
        <v>0</v>
      </c>
      <c r="I41" s="167"/>
      <c r="J41" s="166">
        <f>'[2]J. DVA'!F34</f>
        <v>-0.94429000206206115</v>
      </c>
      <c r="K41" s="21">
        <f t="shared" si="8"/>
        <v>100</v>
      </c>
      <c r="L41" s="22">
        <f t="shared" si="9"/>
        <v>-94.429000206206112</v>
      </c>
      <c r="M41" s="167"/>
      <c r="N41" s="168">
        <f t="shared" si="2"/>
        <v>-94.429000206206112</v>
      </c>
      <c r="O41" s="24" t="str">
        <f t="shared" si="3"/>
        <v/>
      </c>
    </row>
    <row r="42" spans="1:15" ht="38.25">
      <c r="A42" s="169"/>
      <c r="B42" s="164" t="str">
        <f>'[2]J. DVA'!$B$40</f>
        <v>Rate Rider Calculation for RSVA - Power - Global Adjustment</v>
      </c>
      <c r="C42" s="20"/>
      <c r="D42" s="242" t="s">
        <v>24</v>
      </c>
      <c r="E42" s="20"/>
      <c r="F42" s="166"/>
      <c r="G42" s="21">
        <f t="shared" si="6"/>
        <v>100</v>
      </c>
      <c r="H42" s="22"/>
      <c r="I42" s="167"/>
      <c r="J42" s="166">
        <f>'[2]J. DVA'!F46</f>
        <v>1.7426566679099138</v>
      </c>
      <c r="K42" s="21">
        <f t="shared" si="8"/>
        <v>100</v>
      </c>
      <c r="L42" s="22">
        <f t="shared" si="9"/>
        <v>174.26566679099139</v>
      </c>
      <c r="M42" s="167"/>
      <c r="N42" s="168">
        <f t="shared" si="2"/>
        <v>174.26566679099139</v>
      </c>
      <c r="O42" s="24" t="str">
        <f t="shared" si="3"/>
        <v/>
      </c>
    </row>
    <row r="43" spans="1:15" ht="25.5">
      <c r="A43" s="169"/>
      <c r="B43" s="164" t="str">
        <f>'[2]J. DVA'!$B$65</f>
        <v>Rate Rider Calculation for Group 2 Accounts</v>
      </c>
      <c r="C43" s="20"/>
      <c r="D43" s="242" t="s">
        <v>24</v>
      </c>
      <c r="E43" s="20"/>
      <c r="F43" s="166"/>
      <c r="G43" s="21">
        <f t="shared" si="6"/>
        <v>100</v>
      </c>
      <c r="H43" s="22"/>
      <c r="I43" s="167"/>
      <c r="J43" s="166">
        <f>'[2]J. DVA'!F71</f>
        <v>2.8213276444467111E-2</v>
      </c>
      <c r="K43" s="21">
        <f t="shared" si="8"/>
        <v>100</v>
      </c>
      <c r="L43" s="22">
        <f t="shared" si="9"/>
        <v>2.8213276444467112</v>
      </c>
      <c r="M43" s="167"/>
      <c r="N43" s="168">
        <f t="shared" si="2"/>
        <v>2.8213276444467112</v>
      </c>
      <c r="O43" s="24" t="str">
        <f t="shared" si="3"/>
        <v/>
      </c>
    </row>
    <row r="44" spans="1:15" ht="25.5">
      <c r="A44" s="163"/>
      <c r="B44" s="164" t="str">
        <f>'[2]J. DVA'!$B$77</f>
        <v>Rate Rider Calculation for Accounts 1575 and 1576</v>
      </c>
      <c r="C44" s="20"/>
      <c r="D44" s="242" t="s">
        <v>65</v>
      </c>
      <c r="E44" s="20"/>
      <c r="F44" s="166"/>
      <c r="G44" s="21">
        <f t="shared" si="6"/>
        <v>100</v>
      </c>
      <c r="H44" s="22">
        <f t="shared" si="7"/>
        <v>0</v>
      </c>
      <c r="I44" s="167"/>
      <c r="J44" s="166">
        <f>'[2]J. DVA'!F85</f>
        <v>-0.13860554269819739</v>
      </c>
      <c r="K44" s="21">
        <f t="shared" si="8"/>
        <v>100</v>
      </c>
      <c r="L44" s="22">
        <f t="shared" si="9"/>
        <v>-13.860554269819739</v>
      </c>
      <c r="M44" s="167"/>
      <c r="N44" s="168">
        <f t="shared" si="2"/>
        <v>-13.860554269819739</v>
      </c>
      <c r="O44" s="24" t="str">
        <f t="shared" si="3"/>
        <v/>
      </c>
    </row>
    <row r="45" spans="1:15" ht="25.5">
      <c r="A45" s="163"/>
      <c r="B45" s="164" t="str">
        <f>'[2]J. DVA'!$B$91</f>
        <v>Rate Rider Calculation for Accounts 1568</v>
      </c>
      <c r="C45" s="20"/>
      <c r="D45" s="242" t="s">
        <v>65</v>
      </c>
      <c r="E45" s="20"/>
      <c r="F45" s="166"/>
      <c r="G45" s="21">
        <f t="shared" si="6"/>
        <v>100</v>
      </c>
      <c r="H45" s="22">
        <f t="shared" si="7"/>
        <v>0</v>
      </c>
      <c r="I45" s="167"/>
      <c r="J45" s="166">
        <f>'[2]J. DVA'!F99</f>
        <v>0.10936276965303711</v>
      </c>
      <c r="K45" s="21">
        <f t="shared" si="8"/>
        <v>100</v>
      </c>
      <c r="L45" s="22">
        <f t="shared" si="9"/>
        <v>10.93627696530371</v>
      </c>
      <c r="M45" s="167"/>
      <c r="N45" s="168">
        <f t="shared" si="2"/>
        <v>10.93627696530371</v>
      </c>
      <c r="O45" s="24" t="str">
        <f t="shared" si="3"/>
        <v/>
      </c>
    </row>
    <row r="46" spans="1:15">
      <c r="A46" s="163"/>
      <c r="B46" s="164" t="s">
        <v>27</v>
      </c>
      <c r="C46" s="20"/>
      <c r="D46" s="242" t="s">
        <v>65</v>
      </c>
      <c r="E46" s="20"/>
      <c r="F46" s="166">
        <v>0.39539999999999997</v>
      </c>
      <c r="G46" s="21">
        <f t="shared" si="6"/>
        <v>100</v>
      </c>
      <c r="H46" s="22">
        <f t="shared" si="7"/>
        <v>39.54</v>
      </c>
      <c r="I46" s="167"/>
      <c r="J46" s="166">
        <f>'[3]4.12 PowerSupplExp'!$I$173</f>
        <v>0.2787</v>
      </c>
      <c r="K46" s="21">
        <f t="shared" si="8"/>
        <v>100</v>
      </c>
      <c r="L46" s="22">
        <f t="shared" si="9"/>
        <v>27.87</v>
      </c>
      <c r="M46" s="167"/>
      <c r="N46" s="168">
        <f t="shared" si="2"/>
        <v>-11.669999999999998</v>
      </c>
      <c r="O46" s="24">
        <f t="shared" si="3"/>
        <v>-0.29514415781487097</v>
      </c>
    </row>
    <row r="47" spans="1:15">
      <c r="A47" s="19"/>
      <c r="B47" s="145" t="s">
        <v>28</v>
      </c>
      <c r="C47" s="20"/>
      <c r="D47" s="242" t="s">
        <v>65</v>
      </c>
      <c r="E47" s="20"/>
      <c r="F47" s="166">
        <f>IF(ISBLANK(D16)=1, 0, IF(D16="TOU", 0.64*$F$57+0.18*$F$58+0.18*$F$59, IF(AND(D16="non-TOU", G61&gt;0), F61,F60)))</f>
        <v>0.10766000000000001</v>
      </c>
      <c r="G47" s="21">
        <f>$F$18*(1+$F$76)-$F$18</f>
        <v>3.8999999999999915</v>
      </c>
      <c r="H47" s="22">
        <f t="shared" si="7"/>
        <v>0.41987399999999908</v>
      </c>
      <c r="I47" s="167"/>
      <c r="J47" s="166">
        <f>0.64*$F$57+0.18*$F$58+0.18*$F$59</f>
        <v>0.10766000000000001</v>
      </c>
      <c r="K47" s="21">
        <f>$F$18*(1+$J$76)-$F$18</f>
        <v>4.5700000000000074</v>
      </c>
      <c r="L47" s="22">
        <f t="shared" si="9"/>
        <v>0.49200620000000084</v>
      </c>
      <c r="M47" s="167"/>
      <c r="N47" s="168">
        <f t="shared" si="2"/>
        <v>7.2132200000001756E-2</v>
      </c>
      <c r="O47" s="24">
        <f t="shared" si="3"/>
        <v>0.17179487179487635</v>
      </c>
    </row>
    <row r="48" spans="1:15">
      <c r="A48" s="19"/>
      <c r="B48" s="145" t="s">
        <v>29</v>
      </c>
      <c r="C48" s="20"/>
      <c r="D48" s="242" t="s">
        <v>65</v>
      </c>
      <c r="E48" s="20"/>
      <c r="F48" s="166">
        <v>0.79</v>
      </c>
      <c r="G48" s="21">
        <v>1</v>
      </c>
      <c r="H48" s="22">
        <f t="shared" si="7"/>
        <v>0.79</v>
      </c>
      <c r="I48" s="167"/>
      <c r="J48" s="166">
        <v>0.79</v>
      </c>
      <c r="K48" s="21">
        <v>1</v>
      </c>
      <c r="L48" s="22">
        <f t="shared" si="9"/>
        <v>0.79</v>
      </c>
      <c r="M48" s="167"/>
      <c r="N48" s="168">
        <f t="shared" si="2"/>
        <v>0</v>
      </c>
      <c r="O48" s="24"/>
    </row>
    <row r="49" spans="2:19" ht="25.5">
      <c r="B49" s="175" t="s">
        <v>30</v>
      </c>
      <c r="C49" s="176"/>
      <c r="D49" s="176"/>
      <c r="E49" s="176"/>
      <c r="F49" s="177"/>
      <c r="G49" s="178"/>
      <c r="H49" s="179">
        <f>SUM(H40:H48)+H39</f>
        <v>484.35987399999999</v>
      </c>
      <c r="I49" s="28"/>
      <c r="J49" s="178"/>
      <c r="K49" s="180"/>
      <c r="L49" s="179">
        <f>SUM(L40:L48)+L39</f>
        <v>506.26946761543746</v>
      </c>
      <c r="M49" s="28"/>
      <c r="N49" s="161">
        <f t="shared" si="2"/>
        <v>21.909593615437473</v>
      </c>
      <c r="O49" s="162">
        <f t="shared" ref="O49:O67" si="10">IF((H49)=0,"",(N49/H49))</f>
        <v>4.523412196493691E-2</v>
      </c>
    </row>
    <row r="50" spans="2:19">
      <c r="B50" s="181" t="s">
        <v>31</v>
      </c>
      <c r="C50" s="28"/>
      <c r="D50" s="146" t="s">
        <v>65</v>
      </c>
      <c r="E50" s="28"/>
      <c r="F50" s="31">
        <v>2.3683000000000001</v>
      </c>
      <c r="G50" s="29">
        <f>F18*(1+F76)</f>
        <v>103.89999999999999</v>
      </c>
      <c r="H50" s="16">
        <f>G50*F50</f>
        <v>246.06636999999998</v>
      </c>
      <c r="I50" s="28"/>
      <c r="J50" s="31">
        <f>'[3]4.12 PowerSupplExp'!$N$60</f>
        <v>2.221074480589547</v>
      </c>
      <c r="K50" s="30">
        <f>F18*(1+J76)</f>
        <v>104.57000000000001</v>
      </c>
      <c r="L50" s="16">
        <f>K50*J50</f>
        <v>232.25775843524895</v>
      </c>
      <c r="M50" s="28"/>
      <c r="N50" s="149">
        <f t="shared" si="2"/>
        <v>-13.808611564751033</v>
      </c>
      <c r="O50" s="18">
        <f t="shared" si="10"/>
        <v>-5.6117427037067416E-2</v>
      </c>
    </row>
    <row r="51" spans="2:19" ht="25.5">
      <c r="B51" s="183" t="s">
        <v>32</v>
      </c>
      <c r="C51" s="28"/>
      <c r="D51" s="146" t="s">
        <v>65</v>
      </c>
      <c r="E51" s="28"/>
      <c r="F51" s="31">
        <v>1.5959000000000001</v>
      </c>
      <c r="G51" s="29">
        <f>G50</f>
        <v>103.89999999999999</v>
      </c>
      <c r="H51" s="16">
        <f>G51*F51</f>
        <v>165.81401</v>
      </c>
      <c r="I51" s="28"/>
      <c r="J51" s="31">
        <f>'[3]4.12 PowerSupplExp'!$N$76</f>
        <v>1.6062498283035462</v>
      </c>
      <c r="K51" s="30">
        <f>K50</f>
        <v>104.57000000000001</v>
      </c>
      <c r="L51" s="16">
        <f>K51*J51</f>
        <v>167.96554454570185</v>
      </c>
      <c r="M51" s="28"/>
      <c r="N51" s="149">
        <f t="shared" si="2"/>
        <v>2.1515345457018498</v>
      </c>
      <c r="O51" s="18">
        <f t="shared" si="10"/>
        <v>1.2975589612131386E-2</v>
      </c>
    </row>
    <row r="52" spans="2:19" ht="25.5">
      <c r="B52" s="175" t="s">
        <v>33</v>
      </c>
      <c r="C52" s="154"/>
      <c r="D52" s="154"/>
      <c r="E52" s="154"/>
      <c r="F52" s="184"/>
      <c r="G52" s="178"/>
      <c r="H52" s="179">
        <f>SUM(H49:H51)</f>
        <v>896.24025400000005</v>
      </c>
      <c r="I52" s="185"/>
      <c r="J52" s="186"/>
      <c r="K52" s="187"/>
      <c r="L52" s="179">
        <f>SUM(L49:L51)</f>
        <v>906.49277059638825</v>
      </c>
      <c r="M52" s="185"/>
      <c r="N52" s="161">
        <f t="shared" si="2"/>
        <v>10.252516596388205</v>
      </c>
      <c r="O52" s="162">
        <f t="shared" si="10"/>
        <v>1.1439473456620934E-2</v>
      </c>
    </row>
    <row r="53" spans="2:19" ht="25.5">
      <c r="B53" s="145" t="s">
        <v>34</v>
      </c>
      <c r="C53" s="20"/>
      <c r="D53" s="188" t="s">
        <v>24</v>
      </c>
      <c r="E53" s="14"/>
      <c r="F53" s="31">
        <v>3.5999999999999999E-3</v>
      </c>
      <c r="G53" s="29">
        <f>G51</f>
        <v>103.89999999999999</v>
      </c>
      <c r="H53" s="16">
        <f t="shared" ref="H53:H59" si="11">G53*F53</f>
        <v>0.37403999999999998</v>
      </c>
      <c r="I53" s="28"/>
      <c r="J53" s="31">
        <v>3.5999999999999999E-3</v>
      </c>
      <c r="K53" s="30">
        <f>K51</f>
        <v>104.57000000000001</v>
      </c>
      <c r="L53" s="16">
        <f t="shared" ref="L53:L59" si="12">K53*J53</f>
        <v>0.37645200000000001</v>
      </c>
      <c r="M53" s="28"/>
      <c r="N53" s="149">
        <f t="shared" si="2"/>
        <v>2.4120000000000252E-3</v>
      </c>
      <c r="O53" s="18">
        <f t="shared" si="10"/>
        <v>6.4485081809432824E-3</v>
      </c>
    </row>
    <row r="54" spans="2:19" ht="25.5">
      <c r="B54" s="145" t="s">
        <v>35</v>
      </c>
      <c r="C54" s="20"/>
      <c r="D54" s="188" t="s">
        <v>24</v>
      </c>
      <c r="E54" s="14"/>
      <c r="F54" s="31">
        <v>1.2999999999999999E-3</v>
      </c>
      <c r="G54" s="29">
        <f>G51</f>
        <v>103.89999999999999</v>
      </c>
      <c r="H54" s="16">
        <f t="shared" si="11"/>
        <v>0.13507</v>
      </c>
      <c r="I54" s="28"/>
      <c r="J54" s="31">
        <v>1.2999999999999999E-3</v>
      </c>
      <c r="K54" s="30">
        <f>K51</f>
        <v>104.57000000000001</v>
      </c>
      <c r="L54" s="16">
        <f t="shared" si="12"/>
        <v>0.13594100000000001</v>
      </c>
      <c r="M54" s="28"/>
      <c r="N54" s="149">
        <f t="shared" si="2"/>
        <v>8.7100000000001065E-4</v>
      </c>
      <c r="O54" s="18">
        <f t="shared" si="10"/>
        <v>6.4485081809432937E-3</v>
      </c>
    </row>
    <row r="55" spans="2:19" ht="25.5">
      <c r="B55" s="145" t="s">
        <v>36</v>
      </c>
      <c r="C55" s="20"/>
      <c r="D55" s="188" t="s">
        <v>19</v>
      </c>
      <c r="E55" s="14"/>
      <c r="F55" s="31">
        <v>0.25</v>
      </c>
      <c r="G55" s="15">
        <v>1</v>
      </c>
      <c r="H55" s="16">
        <f t="shared" si="11"/>
        <v>0.25</v>
      </c>
      <c r="I55" s="28"/>
      <c r="J55" s="31">
        <v>0.25</v>
      </c>
      <c r="K55" s="17">
        <v>1</v>
      </c>
      <c r="L55" s="16">
        <f t="shared" si="12"/>
        <v>0.25</v>
      </c>
      <c r="M55" s="28"/>
      <c r="N55" s="149">
        <f t="shared" si="2"/>
        <v>0</v>
      </c>
      <c r="O55" s="18">
        <f t="shared" si="10"/>
        <v>0</v>
      </c>
    </row>
    <row r="56" spans="2:19">
      <c r="B56" s="145" t="s">
        <v>37</v>
      </c>
      <c r="C56" s="20"/>
      <c r="D56" s="188" t="s">
        <v>24</v>
      </c>
      <c r="E56" s="14"/>
      <c r="F56" s="31">
        <v>1.1000000000000001E-3</v>
      </c>
      <c r="G56" s="29">
        <f>F18</f>
        <v>100</v>
      </c>
      <c r="H56" s="16">
        <f t="shared" si="11"/>
        <v>0.11</v>
      </c>
      <c r="I56" s="28"/>
      <c r="J56" s="31">
        <v>1.1000000000000001E-3</v>
      </c>
      <c r="K56" s="30">
        <f>F18</f>
        <v>100</v>
      </c>
      <c r="L56" s="16">
        <f t="shared" si="12"/>
        <v>0.11</v>
      </c>
      <c r="M56" s="28"/>
      <c r="N56" s="149">
        <f t="shared" si="2"/>
        <v>0</v>
      </c>
      <c r="O56" s="18">
        <f t="shared" si="10"/>
        <v>0</v>
      </c>
    </row>
    <row r="57" spans="2:19">
      <c r="B57" s="170" t="s">
        <v>38</v>
      </c>
      <c r="C57" s="20"/>
      <c r="D57" s="188" t="s">
        <v>24</v>
      </c>
      <c r="E57" s="14"/>
      <c r="F57" s="31">
        <v>8.3000000000000004E-2</v>
      </c>
      <c r="G57" s="189">
        <f>0.64*$F$18</f>
        <v>64</v>
      </c>
      <c r="H57" s="16">
        <f t="shared" si="11"/>
        <v>5.3120000000000003</v>
      </c>
      <c r="I57" s="28"/>
      <c r="J57" s="31">
        <v>8.3000000000000004E-2</v>
      </c>
      <c r="K57" s="189">
        <f>G57</f>
        <v>64</v>
      </c>
      <c r="L57" s="16">
        <f t="shared" si="12"/>
        <v>5.3120000000000003</v>
      </c>
      <c r="M57" s="28"/>
      <c r="N57" s="149">
        <f t="shared" si="2"/>
        <v>0</v>
      </c>
      <c r="O57" s="18">
        <f t="shared" si="10"/>
        <v>0</v>
      </c>
      <c r="S57" s="190"/>
    </row>
    <row r="58" spans="2:19">
      <c r="B58" s="170" t="s">
        <v>39</v>
      </c>
      <c r="C58" s="20"/>
      <c r="D58" s="188" t="s">
        <v>24</v>
      </c>
      <c r="E58" s="14"/>
      <c r="F58" s="31">
        <v>0.128</v>
      </c>
      <c r="G58" s="189">
        <f>0.18*$F$18</f>
        <v>18</v>
      </c>
      <c r="H58" s="16">
        <f t="shared" si="11"/>
        <v>2.3040000000000003</v>
      </c>
      <c r="I58" s="28"/>
      <c r="J58" s="31">
        <v>0.128</v>
      </c>
      <c r="K58" s="189">
        <f>G58</f>
        <v>18</v>
      </c>
      <c r="L58" s="16">
        <f t="shared" si="12"/>
        <v>2.3040000000000003</v>
      </c>
      <c r="M58" s="28"/>
      <c r="N58" s="149">
        <f t="shared" si="2"/>
        <v>0</v>
      </c>
      <c r="O58" s="18">
        <f t="shared" si="10"/>
        <v>0</v>
      </c>
      <c r="S58" s="190"/>
    </row>
    <row r="59" spans="2:19">
      <c r="B59" s="135" t="s">
        <v>40</v>
      </c>
      <c r="C59" s="20"/>
      <c r="D59" s="188" t="s">
        <v>24</v>
      </c>
      <c r="E59" s="14"/>
      <c r="F59" s="31">
        <v>0.17499999999999999</v>
      </c>
      <c r="G59" s="189">
        <f>0.18*$F$18</f>
        <v>18</v>
      </c>
      <c r="H59" s="16">
        <f t="shared" si="11"/>
        <v>3.15</v>
      </c>
      <c r="I59" s="28"/>
      <c r="J59" s="31">
        <v>0.17499999999999999</v>
      </c>
      <c r="K59" s="189">
        <f>G59</f>
        <v>18</v>
      </c>
      <c r="L59" s="16">
        <f t="shared" si="12"/>
        <v>3.15</v>
      </c>
      <c r="M59" s="28"/>
      <c r="N59" s="149">
        <f t="shared" si="2"/>
        <v>0</v>
      </c>
      <c r="O59" s="18">
        <f t="shared" si="10"/>
        <v>0</v>
      </c>
      <c r="S59" s="190"/>
    </row>
    <row r="60" spans="2:19" s="195" customFormat="1">
      <c r="B60" s="191" t="s">
        <v>41</v>
      </c>
      <c r="C60" s="32"/>
      <c r="D60" s="188" t="s">
        <v>24</v>
      </c>
      <c r="E60" s="32"/>
      <c r="F60" s="31">
        <v>9.9000000000000005E-2</v>
      </c>
      <c r="G60" s="192">
        <f>IF(AND($T$1=1, F18&gt;=600), 600, IF(AND($T$1=1, AND(F18&lt;600, F18&gt;=0)), F18, IF(AND($T$1=2, F18&gt;=1000), 1000, IF(AND($T$1=2, AND(F18&lt;1000, F18&gt;=0)), F18))))</f>
        <v>100</v>
      </c>
      <c r="H60" s="16">
        <f>G60*F60</f>
        <v>9.9</v>
      </c>
      <c r="I60" s="193"/>
      <c r="J60" s="31">
        <v>9.9000000000000005E-2</v>
      </c>
      <c r="K60" s="192">
        <f>G60</f>
        <v>100</v>
      </c>
      <c r="L60" s="16">
        <f>K60*J60</f>
        <v>9.9</v>
      </c>
      <c r="M60" s="193"/>
      <c r="N60" s="194">
        <f t="shared" si="2"/>
        <v>0</v>
      </c>
      <c r="O60" s="18">
        <f t="shared" si="10"/>
        <v>0</v>
      </c>
    </row>
    <row r="61" spans="2:19" s="195" customFormat="1" ht="13.5" thickBot="1">
      <c r="B61" s="191" t="s">
        <v>42</v>
      </c>
      <c r="C61" s="32"/>
      <c r="D61" s="188" t="s">
        <v>24</v>
      </c>
      <c r="E61" s="32"/>
      <c r="F61" s="31">
        <v>0.11600000000000001</v>
      </c>
      <c r="G61" s="192">
        <f>IF(AND($T$1=1, F18&gt;=600), F18-600, IF(AND($T$1=1, AND(F18&lt;600, F18&gt;=0)), 0, IF(AND($T$1=2, F18&gt;=1000), F18-1000, IF(AND($T$1=2, AND(F18&lt;1000, F18&gt;=0)), 0))))</f>
        <v>0</v>
      </c>
      <c r="H61" s="16">
        <f>G61*F61</f>
        <v>0</v>
      </c>
      <c r="I61" s="193"/>
      <c r="J61" s="31">
        <v>0.11600000000000001</v>
      </c>
      <c r="K61" s="192">
        <f>G61</f>
        <v>0</v>
      </c>
      <c r="L61" s="16">
        <f>K61*J61</f>
        <v>0</v>
      </c>
      <c r="M61" s="193"/>
      <c r="N61" s="194">
        <f t="shared" si="2"/>
        <v>0</v>
      </c>
      <c r="O61" s="18" t="str">
        <f t="shared" si="10"/>
        <v/>
      </c>
    </row>
    <row r="62" spans="2:19" ht="13.5" thickBot="1">
      <c r="B62" s="196"/>
      <c r="C62" s="197"/>
      <c r="D62" s="198"/>
      <c r="E62" s="197"/>
      <c r="F62" s="199"/>
      <c r="G62" s="200"/>
      <c r="H62" s="201"/>
      <c r="I62" s="202"/>
      <c r="J62" s="199"/>
      <c r="K62" s="203"/>
      <c r="L62" s="201"/>
      <c r="M62" s="202"/>
      <c r="N62" s="204"/>
      <c r="O62" s="205"/>
    </row>
    <row r="63" spans="2:19" ht="25.5">
      <c r="B63" s="33" t="s">
        <v>43</v>
      </c>
      <c r="C63" s="20"/>
      <c r="D63" s="20"/>
      <c r="E63" s="20"/>
      <c r="F63" s="34"/>
      <c r="G63" s="35"/>
      <c r="H63" s="36">
        <f>SUM(H53:H59,H52)</f>
        <v>907.8753640000001</v>
      </c>
      <c r="I63" s="37"/>
      <c r="J63" s="38"/>
      <c r="K63" s="38"/>
      <c r="L63" s="36">
        <f>SUM(L53:L59,L52)</f>
        <v>918.13116359638821</v>
      </c>
      <c r="M63" s="39"/>
      <c r="N63" s="40">
        <f>L63-H63</f>
        <v>10.255799596388101</v>
      </c>
      <c r="O63" s="41">
        <f>IF((H63)=0,"",(N63/H63))</f>
        <v>1.1296484080372182E-2</v>
      </c>
      <c r="S63" s="190"/>
    </row>
    <row r="64" spans="2:19">
      <c r="B64" s="42" t="s">
        <v>44</v>
      </c>
      <c r="C64" s="20"/>
      <c r="D64" s="20"/>
      <c r="E64" s="20"/>
      <c r="F64" s="43">
        <v>0.13</v>
      </c>
      <c r="G64" s="44"/>
      <c r="H64" s="45">
        <f>H63*F64</f>
        <v>118.02379732000001</v>
      </c>
      <c r="I64" s="46"/>
      <c r="J64" s="47">
        <v>0.13</v>
      </c>
      <c r="K64" s="46"/>
      <c r="L64" s="48">
        <f>L63*J64</f>
        <v>119.35705126753047</v>
      </c>
      <c r="M64" s="49"/>
      <c r="N64" s="50">
        <f t="shared" si="2"/>
        <v>1.3332539475304515</v>
      </c>
      <c r="O64" s="18">
        <f t="shared" si="10"/>
        <v>1.1296484080372168E-2</v>
      </c>
      <c r="S64" s="190"/>
    </row>
    <row r="65" spans="1:19">
      <c r="B65" s="206" t="s">
        <v>45</v>
      </c>
      <c r="C65" s="20"/>
      <c r="D65" s="20"/>
      <c r="E65" s="20"/>
      <c r="F65" s="51"/>
      <c r="G65" s="44"/>
      <c r="H65" s="45">
        <f>H63+H64</f>
        <v>1025.8991613200001</v>
      </c>
      <c r="I65" s="46"/>
      <c r="J65" s="46"/>
      <c r="K65" s="46"/>
      <c r="L65" s="48">
        <f>L63+L64</f>
        <v>1037.4882148639188</v>
      </c>
      <c r="M65" s="49"/>
      <c r="N65" s="50">
        <f t="shared" si="2"/>
        <v>11.589053543918681</v>
      </c>
      <c r="O65" s="18">
        <f t="shared" si="10"/>
        <v>1.1296484080372305E-2</v>
      </c>
      <c r="S65" s="190"/>
    </row>
    <row r="66" spans="1:19">
      <c r="B66" s="297" t="s">
        <v>46</v>
      </c>
      <c r="C66" s="297"/>
      <c r="D66" s="297"/>
      <c r="E66" s="20"/>
      <c r="F66" s="51"/>
      <c r="G66" s="44"/>
      <c r="H66" s="52">
        <f>ROUND(-H65*0.1,2)</f>
        <v>-102.59</v>
      </c>
      <c r="I66" s="46"/>
      <c r="J66" s="46"/>
      <c r="K66" s="46"/>
      <c r="L66" s="53">
        <f>ROUND(-L65*0.1,2)</f>
        <v>-103.75</v>
      </c>
      <c r="M66" s="49"/>
      <c r="N66" s="54">
        <f t="shared" si="2"/>
        <v>-1.1599999999999966</v>
      </c>
      <c r="O66" s="55">
        <f t="shared" si="10"/>
        <v>1.1307144945901126E-2</v>
      </c>
    </row>
    <row r="67" spans="1:19" ht="13.5" thickBot="1">
      <c r="B67" s="298" t="s">
        <v>47</v>
      </c>
      <c r="C67" s="298"/>
      <c r="D67" s="298"/>
      <c r="E67" s="14"/>
      <c r="F67" s="207"/>
      <c r="G67" s="208"/>
      <c r="H67" s="209">
        <f>H65+H66</f>
        <v>923.30916132000004</v>
      </c>
      <c r="I67" s="210"/>
      <c r="J67" s="210"/>
      <c r="K67" s="210"/>
      <c r="L67" s="211">
        <f>L65+L66</f>
        <v>933.73821486391876</v>
      </c>
      <c r="M67" s="212"/>
      <c r="N67" s="213">
        <f t="shared" si="2"/>
        <v>10.429053543918712</v>
      </c>
      <c r="O67" s="214">
        <f t="shared" si="10"/>
        <v>1.1295299538682056E-2</v>
      </c>
    </row>
    <row r="68" spans="1:19" s="195" customFormat="1" ht="13.5" thickBot="1">
      <c r="B68" s="215"/>
      <c r="C68" s="216"/>
      <c r="D68" s="217"/>
      <c r="E68" s="216"/>
      <c r="F68" s="199"/>
      <c r="G68" s="218"/>
      <c r="H68" s="201"/>
      <c r="I68" s="219"/>
      <c r="J68" s="199"/>
      <c r="K68" s="220"/>
      <c r="L68" s="201"/>
      <c r="M68" s="219"/>
      <c r="N68" s="221"/>
      <c r="O68" s="205"/>
    </row>
    <row r="69" spans="1:19" s="195" customFormat="1" ht="25.5">
      <c r="B69" s="56" t="s">
        <v>48</v>
      </c>
      <c r="C69" s="32"/>
      <c r="D69" s="32"/>
      <c r="E69" s="32"/>
      <c r="F69" s="57"/>
      <c r="G69" s="58"/>
      <c r="H69" s="59">
        <f>SUM(H60:H61,H52,H53:H56)</f>
        <v>907.00936400000012</v>
      </c>
      <c r="I69" s="60"/>
      <c r="J69" s="61"/>
      <c r="K69" s="61"/>
      <c r="L69" s="59">
        <f>SUM(L60:L61,L52,L53:L56)</f>
        <v>917.26516359638822</v>
      </c>
      <c r="M69" s="62"/>
      <c r="N69" s="63">
        <f>L69-H69</f>
        <v>10.255799596388101</v>
      </c>
      <c r="O69" s="41">
        <f>IF((H69)=0,"",(N69/H69))</f>
        <v>1.1307269807181506E-2</v>
      </c>
    </row>
    <row r="70" spans="1:19" s="195" customFormat="1">
      <c r="B70" s="64" t="s">
        <v>44</v>
      </c>
      <c r="C70" s="32"/>
      <c r="D70" s="32"/>
      <c r="E70" s="32"/>
      <c r="F70" s="65">
        <v>0.13</v>
      </c>
      <c r="G70" s="58"/>
      <c r="H70" s="66">
        <f>H69*F70</f>
        <v>117.91121732000002</v>
      </c>
      <c r="I70" s="67"/>
      <c r="J70" s="68">
        <v>0.13</v>
      </c>
      <c r="K70" s="69"/>
      <c r="L70" s="70">
        <f>L69*J70</f>
        <v>119.24447126753047</v>
      </c>
      <c r="M70" s="71"/>
      <c r="N70" s="72">
        <f>L70-H70</f>
        <v>1.3332539475304515</v>
      </c>
      <c r="O70" s="18">
        <f>IF((H70)=0,"",(N70/H70))</f>
        <v>1.130726980718149E-2</v>
      </c>
    </row>
    <row r="71" spans="1:19" s="195" customFormat="1">
      <c r="B71" s="222" t="s">
        <v>45</v>
      </c>
      <c r="C71" s="32"/>
      <c r="D71" s="32"/>
      <c r="E71" s="32"/>
      <c r="F71" s="73"/>
      <c r="G71" s="74"/>
      <c r="H71" s="66">
        <f>H69+H70</f>
        <v>1024.9205813200001</v>
      </c>
      <c r="I71" s="67"/>
      <c r="J71" s="67"/>
      <c r="K71" s="67"/>
      <c r="L71" s="70">
        <f>L69+L70</f>
        <v>1036.5096348639188</v>
      </c>
      <c r="M71" s="71"/>
      <c r="N71" s="72">
        <f>L71-H71</f>
        <v>11.589053543918681</v>
      </c>
      <c r="O71" s="18">
        <f>IF((H71)=0,"",(N71/H71))</f>
        <v>1.1307269807181629E-2</v>
      </c>
    </row>
    <row r="72" spans="1:19" s="195" customFormat="1">
      <c r="B72" s="299" t="s">
        <v>46</v>
      </c>
      <c r="C72" s="299"/>
      <c r="D72" s="299"/>
      <c r="E72" s="32"/>
      <c r="F72" s="73"/>
      <c r="G72" s="74"/>
      <c r="H72" s="75">
        <f>ROUND(-H71*0.1,2)</f>
        <v>-102.49</v>
      </c>
      <c r="I72" s="67"/>
      <c r="J72" s="67"/>
      <c r="K72" s="67"/>
      <c r="L72" s="76">
        <f>ROUND(-L71*0.1,2)</f>
        <v>-103.65</v>
      </c>
      <c r="M72" s="71"/>
      <c r="N72" s="77">
        <f>L72-H72</f>
        <v>-1.1600000000000108</v>
      </c>
      <c r="O72" s="55">
        <f>IF((H72)=0,"",(N72/H72))</f>
        <v>1.1318177383159439E-2</v>
      </c>
    </row>
    <row r="73" spans="1:19" s="195" customFormat="1" ht="13.5" thickBot="1">
      <c r="B73" s="293" t="s">
        <v>49</v>
      </c>
      <c r="C73" s="293"/>
      <c r="D73" s="293"/>
      <c r="E73" s="32"/>
      <c r="F73" s="73"/>
      <c r="G73" s="74"/>
      <c r="H73" s="59">
        <f>SUM(H71:H72)</f>
        <v>922.4305813200001</v>
      </c>
      <c r="I73" s="60"/>
      <c r="J73" s="60"/>
      <c r="K73" s="60"/>
      <c r="L73" s="223">
        <f>SUM(L71:L72)</f>
        <v>932.85963486391881</v>
      </c>
      <c r="M73" s="62"/>
      <c r="N73" s="63">
        <f>L73-H73</f>
        <v>10.429053543918712</v>
      </c>
      <c r="O73" s="41">
        <f>IF((H73)=0,"",(N73/H73))</f>
        <v>1.130605788133641E-2</v>
      </c>
    </row>
    <row r="74" spans="1:19" s="195" customFormat="1" ht="13.5" thickBot="1">
      <c r="B74" s="215"/>
      <c r="C74" s="216"/>
      <c r="D74" s="217"/>
      <c r="E74" s="216"/>
      <c r="F74" s="224"/>
      <c r="G74" s="225"/>
      <c r="H74" s="226"/>
      <c r="I74" s="227"/>
      <c r="J74" s="224"/>
      <c r="K74" s="218"/>
      <c r="L74" s="228"/>
      <c r="M74" s="219"/>
      <c r="N74" s="229"/>
      <c r="O74" s="205"/>
    </row>
    <row r="75" spans="1:19">
      <c r="L75" s="190"/>
    </row>
    <row r="76" spans="1:19">
      <c r="B76" s="230" t="s">
        <v>50</v>
      </c>
      <c r="F76" s="231">
        <v>3.9E-2</v>
      </c>
      <c r="J76" s="231">
        <v>4.5699999999999998E-2</v>
      </c>
    </row>
    <row r="78" spans="1:19" ht="14.25">
      <c r="A78" s="232" t="s">
        <v>51</v>
      </c>
    </row>
    <row r="80" spans="1:19">
      <c r="A80" s="12" t="s">
        <v>52</v>
      </c>
    </row>
    <row r="81" spans="1:2">
      <c r="A81" s="12" t="s">
        <v>53</v>
      </c>
    </row>
    <row r="83" spans="1:2">
      <c r="A83" s="233" t="s">
        <v>54</v>
      </c>
    </row>
    <row r="84" spans="1:2">
      <c r="A84" s="233" t="s">
        <v>55</v>
      </c>
    </row>
    <row r="86" spans="1:2">
      <c r="A86" s="12" t="s">
        <v>56</v>
      </c>
    </row>
    <row r="87" spans="1:2">
      <c r="A87" s="12" t="s">
        <v>57</v>
      </c>
    </row>
    <row r="88" spans="1:2">
      <c r="A88" s="12" t="s">
        <v>58</v>
      </c>
    </row>
    <row r="89" spans="1:2">
      <c r="A89" s="12" t="s">
        <v>59</v>
      </c>
    </row>
    <row r="90" spans="1:2">
      <c r="A90" s="12" t="s">
        <v>60</v>
      </c>
    </row>
    <row r="92" spans="1:2" ht="51">
      <c r="B92" s="13" t="s">
        <v>61</v>
      </c>
    </row>
  </sheetData>
  <mergeCells count="14">
    <mergeCell ref="B73:D73"/>
    <mergeCell ref="D21:D22"/>
    <mergeCell ref="N21:N22"/>
    <mergeCell ref="O21:O22"/>
    <mergeCell ref="B66:D66"/>
    <mergeCell ref="B67:D67"/>
    <mergeCell ref="B72:D72"/>
    <mergeCell ref="A3:K3"/>
    <mergeCell ref="B10:O10"/>
    <mergeCell ref="B11:O11"/>
    <mergeCell ref="D14:O14"/>
    <mergeCell ref="F20:H20"/>
    <mergeCell ref="J20:L20"/>
    <mergeCell ref="N20:O20"/>
  </mergeCells>
  <dataValidations count="3">
    <dataValidation type="list" allowBlank="1" showInputMessage="1" showErrorMessage="1" sqref="E23:E38 E74 E50:E51 E53:E62 E68 E40:E48">
      <formula1>"#REF!"</formula1>
      <formula2>0</formula2>
    </dataValidation>
    <dataValidation type="list" allowBlank="1" showInputMessage="1" showErrorMessage="1" prompt="Select Charge Unit - monthly, per kWh, per kW" sqref="D74 D23:D38 D50:D51 D68 D53:D62 D40:D48">
      <formula1>"Monthly,per kWh,per kW"</formula1>
      <formula2>0</formula2>
    </dataValidation>
    <dataValidation type="list" allowBlank="1" showInputMessage="1" showErrorMessage="1" sqref="D16">
      <formula1>"TOU,non-TOU"</formula1>
      <formula2>0</formula2>
    </dataValidation>
  </dataValidations>
  <pageMargins left="0.25" right="0.25" top="0.75" bottom="0.75" header="0.3" footer="0.3"/>
  <pageSetup paperSize="9" scale="59" orientation="portrait" horizontalDpi="4294967292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0">
    <pageSetUpPr fitToPage="1"/>
  </sheetPr>
  <dimension ref="A1:T92"/>
  <sheetViews>
    <sheetView showGridLines="0" topLeftCell="A49" workbookViewId="0">
      <selection activeCell="F102" sqref="F102"/>
    </sheetView>
  </sheetViews>
  <sheetFormatPr defaultRowHeight="12.75"/>
  <cols>
    <col min="1" max="1" width="11.28515625" style="12" customWidth="1"/>
    <col min="2" max="2" width="26.570312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92" customWidth="1"/>
    <col min="8" max="8" width="11.140625" style="12" customWidth="1"/>
    <col min="9" max="9" width="2.85546875" style="12" customWidth="1"/>
    <col min="10" max="10" width="12.7109375" style="12" customWidth="1"/>
    <col min="11" max="11" width="8.5703125" style="93" customWidth="1"/>
    <col min="12" max="12" width="11.5703125" style="12" customWidth="1"/>
    <col min="13" max="13" width="2.85546875" style="12" customWidth="1"/>
    <col min="14" max="14" width="12.71093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85"/>
      <c r="H1" s="1"/>
      <c r="I1" s="1"/>
      <c r="J1" s="1"/>
      <c r="K1" s="86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87"/>
      <c r="H2" s="5"/>
      <c r="I2" s="5"/>
      <c r="J2" s="5"/>
      <c r="K2" s="88"/>
      <c r="N2" s="3"/>
      <c r="O2" s="7"/>
    </row>
    <row r="3" spans="1:20" s="2" customFormat="1" ht="12.75" customHeight="1">
      <c r="A3" s="288"/>
      <c r="B3" s="288"/>
      <c r="C3" s="288"/>
      <c r="D3" s="288"/>
      <c r="E3" s="288"/>
      <c r="F3" s="288"/>
      <c r="G3" s="288"/>
      <c r="H3" s="288"/>
      <c r="I3" s="288"/>
      <c r="J3" s="288"/>
      <c r="K3" s="288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87"/>
      <c r="H4" s="5"/>
      <c r="I4" s="8"/>
      <c r="J4" s="8"/>
      <c r="K4" s="89"/>
      <c r="N4" s="3"/>
      <c r="O4" s="7"/>
    </row>
    <row r="5" spans="1:20" s="2" customFormat="1" ht="12.75" customHeight="1">
      <c r="B5" s="9"/>
      <c r="C5" s="10"/>
      <c r="D5" s="10"/>
      <c r="E5" s="10"/>
      <c r="G5" s="90"/>
      <c r="K5" s="91"/>
      <c r="N5" s="3"/>
      <c r="O5" s="4"/>
    </row>
    <row r="6" spans="1:20" s="2" customFormat="1" ht="12.75" customHeight="1">
      <c r="B6" s="9"/>
      <c r="G6" s="90"/>
      <c r="K6" s="91"/>
      <c r="N6" s="3"/>
      <c r="O6" s="11"/>
    </row>
    <row r="7" spans="1:20" s="2" customFormat="1" ht="12.75" customHeight="1">
      <c r="B7" s="9"/>
      <c r="G7" s="90"/>
      <c r="K7" s="91"/>
      <c r="N7" s="3"/>
      <c r="O7" s="4"/>
    </row>
    <row r="8" spans="1:20" s="2" customFormat="1" ht="12.75" customHeight="1">
      <c r="B8" s="9"/>
      <c r="G8" s="90"/>
      <c r="K8" s="91"/>
    </row>
    <row r="9" spans="1:20" ht="12.75" customHeight="1"/>
    <row r="10" spans="1:20" s="130" customFormat="1" ht="18.75" customHeight="1">
      <c r="B10" s="289" t="s">
        <v>0</v>
      </c>
      <c r="C10" s="289"/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89"/>
      <c r="O10" s="289"/>
    </row>
    <row r="11" spans="1:20" ht="18.75" customHeight="1">
      <c r="B11" s="290" t="s">
        <v>1</v>
      </c>
      <c r="C11" s="290"/>
      <c r="D11" s="290"/>
      <c r="E11" s="290"/>
      <c r="F11" s="290"/>
      <c r="G11" s="290"/>
      <c r="H11" s="290"/>
      <c r="I11" s="290"/>
      <c r="J11" s="290"/>
      <c r="K11" s="290"/>
      <c r="L11" s="290"/>
      <c r="M11" s="290"/>
      <c r="N11" s="290"/>
      <c r="O11" s="290"/>
    </row>
    <row r="12" spans="1:20" ht="7.5" customHeight="1"/>
    <row r="13" spans="1:20" ht="7.5" customHeight="1"/>
    <row r="14" spans="1:20" ht="15.75">
      <c r="B14" s="131" t="s">
        <v>2</v>
      </c>
      <c r="D14" s="291" t="s">
        <v>66</v>
      </c>
      <c r="E14" s="291"/>
      <c r="F14" s="291"/>
      <c r="G14" s="291"/>
      <c r="H14" s="291"/>
      <c r="I14" s="291"/>
      <c r="J14" s="291"/>
      <c r="K14" s="291"/>
      <c r="L14" s="291"/>
      <c r="M14" s="291"/>
      <c r="N14" s="291"/>
      <c r="O14" s="291"/>
    </row>
    <row r="15" spans="1:20" ht="7.5" customHeight="1">
      <c r="B15" s="132"/>
      <c r="D15" s="133"/>
      <c r="E15" s="133"/>
      <c r="F15" s="133"/>
      <c r="G15" s="234"/>
      <c r="H15" s="133"/>
      <c r="I15" s="133"/>
      <c r="J15" s="133"/>
      <c r="K15" s="268"/>
      <c r="L15" s="133"/>
      <c r="M15" s="133"/>
      <c r="N15" s="133"/>
      <c r="O15" s="133"/>
    </row>
    <row r="16" spans="1:20" ht="15.75">
      <c r="B16" s="131" t="s">
        <v>4</v>
      </c>
      <c r="D16" s="134" t="s">
        <v>5</v>
      </c>
      <c r="E16" s="133"/>
      <c r="F16" s="133"/>
      <c r="G16" s="234"/>
      <c r="H16" s="133"/>
      <c r="I16" s="133"/>
      <c r="J16" s="133"/>
      <c r="K16" s="268"/>
      <c r="L16" s="133"/>
      <c r="M16" s="133"/>
      <c r="N16" s="133"/>
      <c r="O16" s="133"/>
    </row>
    <row r="17" spans="1:15" ht="15.75">
      <c r="B17" s="132"/>
      <c r="D17" s="133"/>
      <c r="E17" s="133"/>
      <c r="F17" s="133"/>
      <c r="G17" s="234"/>
      <c r="H17" s="133"/>
      <c r="I17" s="133"/>
      <c r="J17" s="133"/>
      <c r="K17" s="268"/>
      <c r="L17" s="133"/>
      <c r="M17" s="133"/>
      <c r="N17" s="133"/>
      <c r="O17" s="133"/>
    </row>
    <row r="18" spans="1:15">
      <c r="B18" s="135"/>
      <c r="D18" s="136" t="s">
        <v>6</v>
      </c>
      <c r="E18" s="136"/>
      <c r="F18" s="137">
        <v>1</v>
      </c>
      <c r="G18" s="235" t="s">
        <v>67</v>
      </c>
    </row>
    <row r="19" spans="1:15">
      <c r="B19" s="135"/>
    </row>
    <row r="20" spans="1:15">
      <c r="B20" s="135"/>
      <c r="D20" s="138"/>
      <c r="E20" s="138"/>
      <c r="F20" s="292" t="s">
        <v>8</v>
      </c>
      <c r="G20" s="292"/>
      <c r="H20" s="292"/>
      <c r="J20" s="292" t="s">
        <v>9</v>
      </c>
      <c r="K20" s="292"/>
      <c r="L20" s="292"/>
      <c r="N20" s="292" t="s">
        <v>10</v>
      </c>
      <c r="O20" s="292"/>
    </row>
    <row r="21" spans="1:15">
      <c r="B21" s="135"/>
      <c r="D21" s="294" t="s">
        <v>11</v>
      </c>
      <c r="E21" s="139"/>
      <c r="F21" s="140" t="s">
        <v>12</v>
      </c>
      <c r="G21" s="236" t="s">
        <v>13</v>
      </c>
      <c r="H21" s="141" t="s">
        <v>14</v>
      </c>
      <c r="J21" s="140" t="s">
        <v>12</v>
      </c>
      <c r="K21" s="269" t="s">
        <v>13</v>
      </c>
      <c r="L21" s="141" t="s">
        <v>14</v>
      </c>
      <c r="N21" s="295" t="s">
        <v>15</v>
      </c>
      <c r="O21" s="296" t="s">
        <v>16</v>
      </c>
    </row>
    <row r="22" spans="1:15">
      <c r="B22" s="135"/>
      <c r="D22" s="294"/>
      <c r="E22" s="139"/>
      <c r="F22" s="143" t="s">
        <v>17</v>
      </c>
      <c r="G22" s="238"/>
      <c r="H22" s="144" t="s">
        <v>17</v>
      </c>
      <c r="J22" s="143" t="s">
        <v>17</v>
      </c>
      <c r="K22" s="270"/>
      <c r="L22" s="144" t="s">
        <v>17</v>
      </c>
      <c r="N22" s="295"/>
      <c r="O22" s="296"/>
    </row>
    <row r="23" spans="1:15">
      <c r="B23" s="145" t="s">
        <v>18</v>
      </c>
      <c r="C23" s="20"/>
      <c r="D23" s="146" t="s">
        <v>19</v>
      </c>
      <c r="E23" s="14"/>
      <c r="F23" s="147">
        <f>'[2]B. CurrentTariff'!C95</f>
        <v>2.6</v>
      </c>
      <c r="G23" s="25">
        <v>1</v>
      </c>
      <c r="H23" s="16">
        <f>G23*F23</f>
        <v>2.6</v>
      </c>
      <c r="I23" s="28"/>
      <c r="J23" s="148">
        <f>'[2]G. RateDesign'!B49</f>
        <v>3</v>
      </c>
      <c r="K23" s="94">
        <v>1</v>
      </c>
      <c r="L23" s="16">
        <f>K23*J23</f>
        <v>3</v>
      </c>
      <c r="M23" s="28"/>
      <c r="N23" s="149">
        <f>L23-H23</f>
        <v>0.39999999999999991</v>
      </c>
      <c r="O23" s="18">
        <f>IF((H23)=0,"",(N23/H23))</f>
        <v>0.1538461538461538</v>
      </c>
    </row>
    <row r="24" spans="1:15">
      <c r="A24" s="19"/>
      <c r="B24" s="145" t="s">
        <v>20</v>
      </c>
      <c r="C24" s="20"/>
      <c r="D24" s="146"/>
      <c r="E24" s="14"/>
      <c r="F24" s="150"/>
      <c r="G24" s="25">
        <v>1</v>
      </c>
      <c r="H24" s="16">
        <f t="shared" ref="H24:H38" si="0">G24*F24</f>
        <v>0</v>
      </c>
      <c r="I24" s="28"/>
      <c r="J24" s="31"/>
      <c r="K24" s="94">
        <v>1</v>
      </c>
      <c r="L24" s="16">
        <f>K24*J24</f>
        <v>0</v>
      </c>
      <c r="M24" s="28"/>
      <c r="N24" s="149">
        <f>L24-H24</f>
        <v>0</v>
      </c>
      <c r="O24" s="18" t="str">
        <f>IF((H24)=0,"",(N24/H24))</f>
        <v/>
      </c>
    </row>
    <row r="25" spans="1:15">
      <c r="A25" s="19"/>
      <c r="B25" s="152"/>
      <c r="C25" s="20"/>
      <c r="D25" s="146"/>
      <c r="E25" s="14"/>
      <c r="F25" s="150"/>
      <c r="G25" s="25">
        <v>1</v>
      </c>
      <c r="H25" s="16">
        <f t="shared" si="0"/>
        <v>0</v>
      </c>
      <c r="I25" s="28"/>
      <c r="J25" s="31"/>
      <c r="K25" s="94">
        <v>1</v>
      </c>
      <c r="L25" s="16">
        <f t="shared" ref="L25:L38" si="1">K25*J25</f>
        <v>0</v>
      </c>
      <c r="M25" s="28"/>
      <c r="N25" s="149">
        <f t="shared" ref="N25:N67" si="2">L25-H25</f>
        <v>0</v>
      </c>
      <c r="O25" s="18" t="str">
        <f t="shared" ref="O25:O47" si="3">IF((H25)=0,"",(N25/H25))</f>
        <v/>
      </c>
    </row>
    <row r="26" spans="1:15">
      <c r="A26" s="19"/>
      <c r="B26" s="152"/>
      <c r="C26" s="20"/>
      <c r="D26" s="146"/>
      <c r="E26" s="14"/>
      <c r="F26" s="150"/>
      <c r="G26" s="25">
        <v>1</v>
      </c>
      <c r="H26" s="16">
        <f t="shared" si="0"/>
        <v>0</v>
      </c>
      <c r="I26" s="28"/>
      <c r="J26" s="31"/>
      <c r="K26" s="94">
        <v>1</v>
      </c>
      <c r="L26" s="16">
        <f t="shared" si="1"/>
        <v>0</v>
      </c>
      <c r="M26" s="28"/>
      <c r="N26" s="149">
        <f t="shared" si="2"/>
        <v>0</v>
      </c>
      <c r="O26" s="18" t="str">
        <f t="shared" si="3"/>
        <v/>
      </c>
    </row>
    <row r="27" spans="1:15">
      <c r="A27" s="19"/>
      <c r="B27" s="152"/>
      <c r="C27" s="20"/>
      <c r="D27" s="146"/>
      <c r="E27" s="14"/>
      <c r="F27" s="150"/>
      <c r="G27" s="25">
        <v>1</v>
      </c>
      <c r="H27" s="16">
        <f t="shared" si="0"/>
        <v>0</v>
      </c>
      <c r="I27" s="28"/>
      <c r="J27" s="31"/>
      <c r="K27" s="94">
        <v>1</v>
      </c>
      <c r="L27" s="16">
        <f t="shared" si="1"/>
        <v>0</v>
      </c>
      <c r="M27" s="28"/>
      <c r="N27" s="149">
        <f t="shared" si="2"/>
        <v>0</v>
      </c>
      <c r="O27" s="18" t="str">
        <f t="shared" si="3"/>
        <v/>
      </c>
    </row>
    <row r="28" spans="1:15">
      <c r="A28" s="19"/>
      <c r="B28" s="152"/>
      <c r="C28" s="20"/>
      <c r="D28" s="146"/>
      <c r="E28" s="14"/>
      <c r="F28" s="150"/>
      <c r="G28" s="25">
        <v>1</v>
      </c>
      <c r="H28" s="16">
        <f t="shared" si="0"/>
        <v>0</v>
      </c>
      <c r="I28" s="28"/>
      <c r="J28" s="31"/>
      <c r="K28" s="94">
        <v>1</v>
      </c>
      <c r="L28" s="16">
        <f t="shared" si="1"/>
        <v>0</v>
      </c>
      <c r="M28" s="28"/>
      <c r="N28" s="149">
        <f t="shared" si="2"/>
        <v>0</v>
      </c>
      <c r="O28" s="18" t="str">
        <f t="shared" si="3"/>
        <v/>
      </c>
    </row>
    <row r="29" spans="1:15">
      <c r="A29" s="19"/>
      <c r="B29" s="145" t="s">
        <v>23</v>
      </c>
      <c r="C29" s="20"/>
      <c r="D29" s="146" t="s">
        <v>65</v>
      </c>
      <c r="E29" s="14"/>
      <c r="F29" s="150">
        <f>'[2]B. CurrentTariff'!C96</f>
        <v>7.8817000000000004</v>
      </c>
      <c r="G29" s="25">
        <f t="shared" ref="G29:G38" si="4">$F$18</f>
        <v>1</v>
      </c>
      <c r="H29" s="16">
        <f t="shared" si="0"/>
        <v>7.8817000000000004</v>
      </c>
      <c r="I29" s="28"/>
      <c r="J29" s="148">
        <f>'[2]G. RateDesign'!G49</f>
        <v>8.4699306273870434</v>
      </c>
      <c r="K29" s="95">
        <f>$F$18</f>
        <v>1</v>
      </c>
      <c r="L29" s="16">
        <f t="shared" si="1"/>
        <v>8.4699306273870434</v>
      </c>
      <c r="M29" s="28"/>
      <c r="N29" s="149">
        <f t="shared" si="2"/>
        <v>0.58823062738704301</v>
      </c>
      <c r="O29" s="18">
        <f t="shared" si="3"/>
        <v>7.463245586447631E-2</v>
      </c>
    </row>
    <row r="30" spans="1:15">
      <c r="A30" s="19"/>
      <c r="B30" s="145" t="s">
        <v>22</v>
      </c>
      <c r="C30" s="20"/>
      <c r="D30" s="146" t="s">
        <v>65</v>
      </c>
      <c r="E30" s="14"/>
      <c r="F30" s="150"/>
      <c r="G30" s="25">
        <f t="shared" si="4"/>
        <v>1</v>
      </c>
      <c r="H30" s="16">
        <f t="shared" si="0"/>
        <v>0</v>
      </c>
      <c r="I30" s="28"/>
      <c r="J30" s="31"/>
      <c r="K30" s="95">
        <f t="shared" ref="K30:K38" si="5">$F$18</f>
        <v>1</v>
      </c>
      <c r="L30" s="16">
        <f t="shared" si="1"/>
        <v>0</v>
      </c>
      <c r="M30" s="28"/>
      <c r="N30" s="149">
        <f t="shared" si="2"/>
        <v>0</v>
      </c>
      <c r="O30" s="18" t="str">
        <f t="shared" si="3"/>
        <v/>
      </c>
    </row>
    <row r="31" spans="1:15">
      <c r="A31" s="19"/>
      <c r="B31" s="145" t="s">
        <v>25</v>
      </c>
      <c r="C31" s="20"/>
      <c r="D31" s="146" t="s">
        <v>65</v>
      </c>
      <c r="E31" s="14"/>
      <c r="F31" s="150"/>
      <c r="G31" s="25">
        <f t="shared" si="4"/>
        <v>1</v>
      </c>
      <c r="H31" s="16">
        <f t="shared" si="0"/>
        <v>0</v>
      </c>
      <c r="I31" s="28"/>
      <c r="J31" s="31"/>
      <c r="K31" s="95">
        <f t="shared" si="5"/>
        <v>1</v>
      </c>
      <c r="L31" s="16">
        <f t="shared" si="1"/>
        <v>0</v>
      </c>
      <c r="M31" s="28"/>
      <c r="N31" s="149">
        <f t="shared" si="2"/>
        <v>0</v>
      </c>
      <c r="O31" s="18" t="str">
        <f t="shared" si="3"/>
        <v/>
      </c>
    </row>
    <row r="32" spans="1:15">
      <c r="A32" s="19"/>
      <c r="B32" s="151" t="s">
        <v>21</v>
      </c>
      <c r="C32" s="20"/>
      <c r="D32" s="146"/>
      <c r="E32" s="14"/>
      <c r="F32" s="150"/>
      <c r="G32" s="25">
        <f t="shared" si="4"/>
        <v>1</v>
      </c>
      <c r="H32" s="16">
        <f>G32*F32</f>
        <v>0</v>
      </c>
      <c r="I32" s="28"/>
      <c r="J32" s="31"/>
      <c r="K32" s="95">
        <f t="shared" si="5"/>
        <v>1</v>
      </c>
      <c r="L32" s="16">
        <f>K32*J32</f>
        <v>0</v>
      </c>
      <c r="M32" s="28"/>
      <c r="N32" s="149">
        <f>L32-H32</f>
        <v>0</v>
      </c>
      <c r="O32" s="18" t="str">
        <f>IF((H32)=0,"",(N32/H32))</f>
        <v/>
      </c>
    </row>
    <row r="33" spans="1:15">
      <c r="A33" s="19"/>
      <c r="B33" s="151"/>
      <c r="C33" s="20"/>
      <c r="D33" s="146"/>
      <c r="E33" s="14"/>
      <c r="F33" s="150"/>
      <c r="G33" s="25">
        <f t="shared" si="4"/>
        <v>1</v>
      </c>
      <c r="H33" s="16">
        <f>G33*F33</f>
        <v>0</v>
      </c>
      <c r="I33" s="28"/>
      <c r="J33" s="31"/>
      <c r="K33" s="95">
        <f t="shared" si="5"/>
        <v>1</v>
      </c>
      <c r="L33" s="16">
        <f>K33*J33</f>
        <v>0</v>
      </c>
      <c r="M33" s="28"/>
      <c r="N33" s="149">
        <f>L33-H33</f>
        <v>0</v>
      </c>
      <c r="O33" s="18" t="str">
        <f>IF((H33)=0,"",(N33/H33))</f>
        <v/>
      </c>
    </row>
    <row r="34" spans="1:15">
      <c r="A34" s="19"/>
      <c r="B34" s="151"/>
      <c r="C34" s="20"/>
      <c r="D34" s="146"/>
      <c r="E34" s="14"/>
      <c r="F34" s="150"/>
      <c r="G34" s="25">
        <f t="shared" si="4"/>
        <v>1</v>
      </c>
      <c r="H34" s="16">
        <f>G34*F34</f>
        <v>0</v>
      </c>
      <c r="I34" s="28"/>
      <c r="J34" s="31"/>
      <c r="K34" s="95">
        <f t="shared" si="5"/>
        <v>1</v>
      </c>
      <c r="L34" s="16">
        <f>K34*J34</f>
        <v>0</v>
      </c>
      <c r="M34" s="28"/>
      <c r="N34" s="149">
        <f>L34-H34</f>
        <v>0</v>
      </c>
      <c r="O34" s="18" t="str">
        <f>IF((H34)=0,"",(N34/H34))</f>
        <v/>
      </c>
    </row>
    <row r="35" spans="1:15">
      <c r="A35" s="19"/>
      <c r="B35" s="151"/>
      <c r="C35" s="20"/>
      <c r="D35" s="146"/>
      <c r="E35" s="14"/>
      <c r="F35" s="150"/>
      <c r="G35" s="25">
        <f t="shared" si="4"/>
        <v>1</v>
      </c>
      <c r="H35" s="16">
        <f t="shared" si="0"/>
        <v>0</v>
      </c>
      <c r="I35" s="28"/>
      <c r="J35" s="31"/>
      <c r="K35" s="95">
        <f t="shared" si="5"/>
        <v>1</v>
      </c>
      <c r="L35" s="16">
        <f t="shared" si="1"/>
        <v>0</v>
      </c>
      <c r="M35" s="28"/>
      <c r="N35" s="149">
        <f t="shared" si="2"/>
        <v>0</v>
      </c>
      <c r="O35" s="18" t="str">
        <f t="shared" si="3"/>
        <v/>
      </c>
    </row>
    <row r="36" spans="1:15">
      <c r="A36" s="19"/>
      <c r="B36" s="151"/>
      <c r="C36" s="20"/>
      <c r="D36" s="146"/>
      <c r="E36" s="14"/>
      <c r="F36" s="150"/>
      <c r="G36" s="25">
        <f t="shared" si="4"/>
        <v>1</v>
      </c>
      <c r="H36" s="16">
        <f t="shared" si="0"/>
        <v>0</v>
      </c>
      <c r="I36" s="28"/>
      <c r="J36" s="31"/>
      <c r="K36" s="95">
        <f t="shared" si="5"/>
        <v>1</v>
      </c>
      <c r="L36" s="16">
        <f t="shared" si="1"/>
        <v>0</v>
      </c>
      <c r="M36" s="28"/>
      <c r="N36" s="149">
        <f t="shared" si="2"/>
        <v>0</v>
      </c>
      <c r="O36" s="18" t="str">
        <f t="shared" si="3"/>
        <v/>
      </c>
    </row>
    <row r="37" spans="1:15">
      <c r="A37" s="19"/>
      <c r="B37" s="151"/>
      <c r="C37" s="20"/>
      <c r="D37" s="146"/>
      <c r="E37" s="14"/>
      <c r="F37" s="150"/>
      <c r="G37" s="25">
        <f t="shared" si="4"/>
        <v>1</v>
      </c>
      <c r="H37" s="16">
        <f t="shared" si="0"/>
        <v>0</v>
      </c>
      <c r="I37" s="28"/>
      <c r="J37" s="31"/>
      <c r="K37" s="95">
        <f t="shared" si="5"/>
        <v>1</v>
      </c>
      <c r="L37" s="16">
        <f t="shared" si="1"/>
        <v>0</v>
      </c>
      <c r="M37" s="28"/>
      <c r="N37" s="149">
        <f t="shared" si="2"/>
        <v>0</v>
      </c>
      <c r="O37" s="18" t="str">
        <f t="shared" si="3"/>
        <v/>
      </c>
    </row>
    <row r="38" spans="1:15">
      <c r="A38" s="19"/>
      <c r="B38" s="151"/>
      <c r="C38" s="20"/>
      <c r="D38" s="146"/>
      <c r="E38" s="14"/>
      <c r="F38" s="150"/>
      <c r="G38" s="25">
        <f t="shared" si="4"/>
        <v>1</v>
      </c>
      <c r="H38" s="16">
        <f t="shared" si="0"/>
        <v>0</v>
      </c>
      <c r="I38" s="28"/>
      <c r="J38" s="31"/>
      <c r="K38" s="95">
        <f t="shared" si="5"/>
        <v>1</v>
      </c>
      <c r="L38" s="16">
        <f t="shared" si="1"/>
        <v>0</v>
      </c>
      <c r="M38" s="28"/>
      <c r="N38" s="149">
        <f t="shared" si="2"/>
        <v>0</v>
      </c>
      <c r="O38" s="18" t="str">
        <f t="shared" si="3"/>
        <v/>
      </c>
    </row>
    <row r="39" spans="1:15">
      <c r="A39" s="19"/>
      <c r="B39" s="153" t="s">
        <v>26</v>
      </c>
      <c r="C39" s="154"/>
      <c r="D39" s="155"/>
      <c r="E39" s="154"/>
      <c r="F39" s="156"/>
      <c r="G39" s="240"/>
      <c r="H39" s="158">
        <f>SUM(H23:H38)</f>
        <v>10.4817</v>
      </c>
      <c r="I39" s="28"/>
      <c r="J39" s="159"/>
      <c r="K39" s="271"/>
      <c r="L39" s="158">
        <f>SUM(L23:L38)</f>
        <v>11.469930627387043</v>
      </c>
      <c r="M39" s="28"/>
      <c r="N39" s="161">
        <f t="shared" si="2"/>
        <v>0.98823062738704337</v>
      </c>
      <c r="O39" s="162">
        <f t="shared" si="3"/>
        <v>9.428152183205428E-2</v>
      </c>
    </row>
    <row r="40" spans="1:15" ht="51">
      <c r="A40" s="163"/>
      <c r="B40" s="164" t="str">
        <f>'[2]J. DVA'!$B$16</f>
        <v>Rate Rider Calculation for Deferral / Variance Accounts Balances (excluding Global Adj.)</v>
      </c>
      <c r="C40" s="20"/>
      <c r="D40" s="242" t="s">
        <v>65</v>
      </c>
      <c r="E40" s="20"/>
      <c r="F40" s="166"/>
      <c r="G40" s="21">
        <f t="shared" ref="G40:G46" si="6">$F$18</f>
        <v>1</v>
      </c>
      <c r="H40" s="22">
        <f t="shared" ref="H40:H48" si="7">G40*F40</f>
        <v>0</v>
      </c>
      <c r="I40" s="167"/>
      <c r="J40" s="166">
        <f>'[2]J. DVA'!F24</f>
        <v>-0.2978575680488329</v>
      </c>
      <c r="K40" s="96">
        <f t="shared" ref="K40:K46" si="8">$F$18</f>
        <v>1</v>
      </c>
      <c r="L40" s="22">
        <f t="shared" ref="L40:L48" si="9">K40*J40</f>
        <v>-0.2978575680488329</v>
      </c>
      <c r="M40" s="167"/>
      <c r="N40" s="168">
        <f t="shared" si="2"/>
        <v>-0.2978575680488329</v>
      </c>
      <c r="O40" s="24" t="str">
        <f>IF((H40)=0,"",(N40/H40))</f>
        <v/>
      </c>
    </row>
    <row r="41" spans="1:15" ht="51">
      <c r="A41" s="169"/>
      <c r="B41" s="164" t="str">
        <f>'[2]J. DVA'!$B$28</f>
        <v>Rate Rider Calculation for Deferral / Variance Accounts Balances (excluding Global Adj.) - NON-WMP</v>
      </c>
      <c r="C41" s="20"/>
      <c r="D41" s="242" t="s">
        <v>65</v>
      </c>
      <c r="E41" s="20"/>
      <c r="F41" s="166"/>
      <c r="G41" s="21">
        <f t="shared" si="6"/>
        <v>1</v>
      </c>
      <c r="H41" s="22">
        <f t="shared" si="7"/>
        <v>0</v>
      </c>
      <c r="I41" s="167"/>
      <c r="J41" s="166">
        <f>'[2]J. DVA'!F36</f>
        <v>-0.96497757312572141</v>
      </c>
      <c r="K41" s="96">
        <f t="shared" si="8"/>
        <v>1</v>
      </c>
      <c r="L41" s="22">
        <f t="shared" si="9"/>
        <v>-0.96497757312572141</v>
      </c>
      <c r="M41" s="167"/>
      <c r="N41" s="168">
        <f t="shared" si="2"/>
        <v>-0.96497757312572141</v>
      </c>
      <c r="O41" s="24" t="str">
        <f>IF((H41)=0,"",(N41/H41))</f>
        <v/>
      </c>
    </row>
    <row r="42" spans="1:15" ht="38.25">
      <c r="A42" s="169"/>
      <c r="B42" s="164" t="str">
        <f>'[2]J. DVA'!$B$40</f>
        <v>Rate Rider Calculation for RSVA - Power - Global Adjustment</v>
      </c>
      <c r="C42" s="20"/>
      <c r="D42" s="242" t="s">
        <v>65</v>
      </c>
      <c r="E42" s="20"/>
      <c r="F42" s="166"/>
      <c r="G42" s="21">
        <f t="shared" si="6"/>
        <v>1</v>
      </c>
      <c r="H42" s="22"/>
      <c r="I42" s="167"/>
      <c r="J42" s="166">
        <v>0</v>
      </c>
      <c r="K42" s="96">
        <f t="shared" si="8"/>
        <v>1</v>
      </c>
      <c r="L42" s="22">
        <f t="shared" si="9"/>
        <v>0</v>
      </c>
      <c r="M42" s="167"/>
      <c r="N42" s="168">
        <f t="shared" si="2"/>
        <v>0</v>
      </c>
      <c r="O42" s="24"/>
    </row>
    <row r="43" spans="1:15" ht="25.5">
      <c r="A43" s="169"/>
      <c r="B43" s="164" t="str">
        <f>'[2]J. DVA'!$B$65</f>
        <v>Rate Rider Calculation for Group 2 Accounts</v>
      </c>
      <c r="C43" s="20"/>
      <c r="D43" s="242" t="s">
        <v>65</v>
      </c>
      <c r="E43" s="20"/>
      <c r="F43" s="166"/>
      <c r="G43" s="21">
        <f t="shared" si="6"/>
        <v>1</v>
      </c>
      <c r="H43" s="22"/>
      <c r="I43" s="167"/>
      <c r="J43" s="166">
        <f>'[2]J. DVA'!F73</f>
        <v>2.8831374867736497E-2</v>
      </c>
      <c r="K43" s="96">
        <f t="shared" si="8"/>
        <v>1</v>
      </c>
      <c r="L43" s="22">
        <f t="shared" si="9"/>
        <v>2.8831374867736497E-2</v>
      </c>
      <c r="M43" s="167"/>
      <c r="N43" s="168">
        <f t="shared" si="2"/>
        <v>2.8831374867736497E-2</v>
      </c>
      <c r="O43" s="24"/>
    </row>
    <row r="44" spans="1:15" ht="25.5">
      <c r="A44" s="163"/>
      <c r="B44" s="164" t="str">
        <f>'[2]J. DVA'!$B$77</f>
        <v>Rate Rider Calculation for Accounts 1575 and 1576</v>
      </c>
      <c r="C44" s="20"/>
      <c r="D44" s="242" t="s">
        <v>65</v>
      </c>
      <c r="E44" s="20"/>
      <c r="F44" s="166"/>
      <c r="G44" s="21">
        <f t="shared" si="6"/>
        <v>1</v>
      </c>
      <c r="H44" s="22">
        <f t="shared" si="7"/>
        <v>0</v>
      </c>
      <c r="I44" s="167"/>
      <c r="J44" s="166">
        <f>'[2]J. DVA'!F87</f>
        <v>-0.14164212257103787</v>
      </c>
      <c r="K44" s="96">
        <f t="shared" si="8"/>
        <v>1</v>
      </c>
      <c r="L44" s="22">
        <f t="shared" si="9"/>
        <v>-0.14164212257103787</v>
      </c>
      <c r="M44" s="167"/>
      <c r="N44" s="168">
        <f t="shared" si="2"/>
        <v>-0.14164212257103787</v>
      </c>
      <c r="O44" s="24" t="str">
        <f>IF((H44)=0,"",(N44/H44))</f>
        <v/>
      </c>
    </row>
    <row r="45" spans="1:15" ht="25.5">
      <c r="A45" s="163"/>
      <c r="B45" s="164" t="str">
        <f>'[2]J. DVA'!$B$91</f>
        <v>Rate Rider Calculation for Accounts 1568</v>
      </c>
      <c r="C45" s="20"/>
      <c r="D45" s="242" t="s">
        <v>65</v>
      </c>
      <c r="E45" s="20"/>
      <c r="F45" s="166"/>
      <c r="G45" s="21">
        <f t="shared" si="6"/>
        <v>1</v>
      </c>
      <c r="H45" s="22">
        <f t="shared" si="7"/>
        <v>0</v>
      </c>
      <c r="I45" s="167"/>
      <c r="J45" s="166">
        <f>'[2]J. DVA'!F101</f>
        <v>0.11175891074687587</v>
      </c>
      <c r="K45" s="96">
        <f t="shared" si="8"/>
        <v>1</v>
      </c>
      <c r="L45" s="22">
        <f t="shared" si="9"/>
        <v>0.11175891074687587</v>
      </c>
      <c r="M45" s="167"/>
      <c r="N45" s="168">
        <f t="shared" si="2"/>
        <v>0.11175891074687587</v>
      </c>
      <c r="O45" s="24" t="str">
        <f>IF((H45)=0,"",(N45/H45))</f>
        <v/>
      </c>
    </row>
    <row r="46" spans="1:15">
      <c r="A46" s="163"/>
      <c r="B46" s="164" t="s">
        <v>27</v>
      </c>
      <c r="C46" s="20"/>
      <c r="D46" s="242" t="s">
        <v>65</v>
      </c>
      <c r="E46" s="20"/>
      <c r="F46" s="166">
        <v>0.31209999999999999</v>
      </c>
      <c r="G46" s="21">
        <f t="shared" si="6"/>
        <v>1</v>
      </c>
      <c r="H46" s="22">
        <f t="shared" si="7"/>
        <v>0.31209999999999999</v>
      </c>
      <c r="I46" s="167"/>
      <c r="J46" s="166">
        <f>'[3]4.12 PowerSupplExp'!$I$174</f>
        <v>0.22</v>
      </c>
      <c r="K46" s="96">
        <f t="shared" si="8"/>
        <v>1</v>
      </c>
      <c r="L46" s="22">
        <f t="shared" si="9"/>
        <v>0.22</v>
      </c>
      <c r="M46" s="167"/>
      <c r="N46" s="168">
        <f t="shared" si="2"/>
        <v>-9.2099999999999987E-2</v>
      </c>
      <c r="O46" s="24">
        <f>IF((H46)=0,"",(N46/H46))</f>
        <v>-0.29509772508811277</v>
      </c>
    </row>
    <row r="47" spans="1:15">
      <c r="A47" s="19"/>
      <c r="B47" s="145" t="s">
        <v>28</v>
      </c>
      <c r="C47" s="20"/>
      <c r="D47" s="242" t="s">
        <v>65</v>
      </c>
      <c r="E47" s="20"/>
      <c r="F47" s="166">
        <f>IF(ISBLANK(D16)=1, 0, IF(D16="TOU", 0.64*$F$57+0.18*$F$58+0.18*$F$59, IF(AND(D16="non-TOU", G61&gt;0), F61,F60)))</f>
        <v>0.10766000000000001</v>
      </c>
      <c r="G47" s="21">
        <f>$F$18*(1+$F$76)-$F$18</f>
        <v>3.8999999999999924E-2</v>
      </c>
      <c r="H47" s="22">
        <f t="shared" si="7"/>
        <v>4.1987399999999916E-3</v>
      </c>
      <c r="I47" s="167"/>
      <c r="J47" s="166">
        <f>0.64*$F$57+0.18*$F$58+0.18*$F$59</f>
        <v>0.10766000000000001</v>
      </c>
      <c r="K47" s="96">
        <f>$F$18*(1+$J$76)-$F$18</f>
        <v>4.5700000000000074E-2</v>
      </c>
      <c r="L47" s="22">
        <f t="shared" si="9"/>
        <v>4.920062000000008E-3</v>
      </c>
      <c r="M47" s="167"/>
      <c r="N47" s="168">
        <f t="shared" si="2"/>
        <v>7.2132200000001642E-4</v>
      </c>
      <c r="O47" s="24">
        <f t="shared" si="3"/>
        <v>0.17179487179487604</v>
      </c>
    </row>
    <row r="48" spans="1:15">
      <c r="A48" s="19"/>
      <c r="B48" s="145" t="s">
        <v>29</v>
      </c>
      <c r="C48" s="20"/>
      <c r="D48" s="242" t="s">
        <v>65</v>
      </c>
      <c r="E48" s="20"/>
      <c r="F48" s="166">
        <v>0.79</v>
      </c>
      <c r="G48" s="21">
        <v>1</v>
      </c>
      <c r="H48" s="22">
        <f t="shared" si="7"/>
        <v>0.79</v>
      </c>
      <c r="I48" s="167"/>
      <c r="J48" s="166">
        <v>0.79</v>
      </c>
      <c r="K48" s="96">
        <v>1</v>
      </c>
      <c r="L48" s="22">
        <f t="shared" si="9"/>
        <v>0.79</v>
      </c>
      <c r="M48" s="167"/>
      <c r="N48" s="168">
        <f t="shared" si="2"/>
        <v>0</v>
      </c>
      <c r="O48" s="24"/>
    </row>
    <row r="49" spans="2:19" ht="25.5">
      <c r="B49" s="175" t="s">
        <v>30</v>
      </c>
      <c r="C49" s="176"/>
      <c r="D49" s="176"/>
      <c r="E49" s="176"/>
      <c r="F49" s="177"/>
      <c r="G49" s="243"/>
      <c r="H49" s="179">
        <f>SUM(H40:H48)+H39</f>
        <v>11.58799874</v>
      </c>
      <c r="I49" s="28"/>
      <c r="J49" s="178"/>
      <c r="K49" s="272"/>
      <c r="L49" s="179">
        <f>SUM(L40:L48)+L39</f>
        <v>11.220963711256063</v>
      </c>
      <c r="M49" s="28"/>
      <c r="N49" s="161">
        <f t="shared" si="2"/>
        <v>-0.36703502874393656</v>
      </c>
      <c r="O49" s="162">
        <f t="shared" ref="O49:O67" si="10">IF((H49)=0,"",(N49/H49))</f>
        <v>-3.1673720111565752E-2</v>
      </c>
    </row>
    <row r="50" spans="2:19">
      <c r="B50" s="181" t="s">
        <v>31</v>
      </c>
      <c r="C50" s="28"/>
      <c r="D50" s="146" t="s">
        <v>65</v>
      </c>
      <c r="E50" s="28"/>
      <c r="F50" s="31">
        <v>1.7950999999999999</v>
      </c>
      <c r="G50" s="100">
        <f>F18*(1+F76)</f>
        <v>1.0389999999999999</v>
      </c>
      <c r="H50" s="16">
        <f>G50*F50</f>
        <v>1.8651088999999998</v>
      </c>
      <c r="I50" s="28"/>
      <c r="J50" s="31">
        <f>'[3]4.12 PowerSupplExp'!$N$61</f>
        <v>1.6835044305615157</v>
      </c>
      <c r="K50" s="101">
        <f>F18*(1+J76)</f>
        <v>1.0457000000000001</v>
      </c>
      <c r="L50" s="16">
        <f>K50*J50</f>
        <v>1.7604405830381771</v>
      </c>
      <c r="M50" s="28"/>
      <c r="N50" s="149">
        <f t="shared" si="2"/>
        <v>-0.10466831696182277</v>
      </c>
      <c r="O50" s="18">
        <f t="shared" si="10"/>
        <v>-5.6119145086821892E-2</v>
      </c>
    </row>
    <row r="51" spans="2:19" ht="25.5">
      <c r="B51" s="183" t="s">
        <v>32</v>
      </c>
      <c r="C51" s="28"/>
      <c r="D51" s="146" t="s">
        <v>65</v>
      </c>
      <c r="E51" s="28"/>
      <c r="F51" s="31">
        <v>1.2596000000000001</v>
      </c>
      <c r="G51" s="100">
        <f>G50</f>
        <v>1.0389999999999999</v>
      </c>
      <c r="H51" s="16">
        <f>G51*F51</f>
        <v>1.3087244</v>
      </c>
      <c r="I51" s="28"/>
      <c r="J51" s="31">
        <f>'[3]4.12 PowerSupplExp'!$N$77</f>
        <v>1.2677724745637995</v>
      </c>
      <c r="K51" s="101">
        <f>K50</f>
        <v>1.0457000000000001</v>
      </c>
      <c r="L51" s="16">
        <f>K51*J51</f>
        <v>1.3257096766513652</v>
      </c>
      <c r="M51" s="28"/>
      <c r="N51" s="149">
        <f t="shared" si="2"/>
        <v>1.6985276651365178E-2</v>
      </c>
      <c r="O51" s="18">
        <f t="shared" si="10"/>
        <v>1.2978497727531615E-2</v>
      </c>
    </row>
    <row r="52" spans="2:19" ht="25.5">
      <c r="B52" s="175" t="s">
        <v>33</v>
      </c>
      <c r="C52" s="154"/>
      <c r="D52" s="154"/>
      <c r="E52" s="154"/>
      <c r="F52" s="184"/>
      <c r="G52" s="243"/>
      <c r="H52" s="179">
        <f>SUM(H49:H51)</f>
        <v>14.761832039999998</v>
      </c>
      <c r="I52" s="185"/>
      <c r="J52" s="186"/>
      <c r="K52" s="273"/>
      <c r="L52" s="179">
        <f>SUM(L49:L51)</f>
        <v>14.307113970945606</v>
      </c>
      <c r="M52" s="185"/>
      <c r="N52" s="161">
        <f t="shared" si="2"/>
        <v>-0.45471806905439216</v>
      </c>
      <c r="O52" s="162">
        <f t="shared" si="10"/>
        <v>-3.0803633845870003E-2</v>
      </c>
    </row>
    <row r="53" spans="2:19" ht="25.5">
      <c r="B53" s="145" t="s">
        <v>34</v>
      </c>
      <c r="C53" s="20"/>
      <c r="D53" s="188" t="s">
        <v>24</v>
      </c>
      <c r="E53" s="14"/>
      <c r="F53" s="31">
        <v>3.5999999999999999E-3</v>
      </c>
      <c r="G53" s="100">
        <v>10</v>
      </c>
      <c r="H53" s="97">
        <f t="shared" ref="H53:H59" si="11">G53*F53</f>
        <v>3.5999999999999997E-2</v>
      </c>
      <c r="I53" s="19"/>
      <c r="J53" s="31">
        <v>3.5999999999999999E-3</v>
      </c>
      <c r="K53" s="101">
        <v>10</v>
      </c>
      <c r="L53" s="98">
        <f>K53*J53</f>
        <v>3.5999999999999997E-2</v>
      </c>
      <c r="M53" s="28"/>
      <c r="N53" s="274">
        <f t="shared" si="2"/>
        <v>0</v>
      </c>
      <c r="O53" s="18">
        <f>IF((H53)=0,"",(N53/H53))</f>
        <v>0</v>
      </c>
    </row>
    <row r="54" spans="2:19" ht="25.5">
      <c r="B54" s="145" t="s">
        <v>35</v>
      </c>
      <c r="C54" s="20"/>
      <c r="D54" s="188" t="s">
        <v>24</v>
      </c>
      <c r="E54" s="14"/>
      <c r="F54" s="31">
        <v>1.2999999999999999E-3</v>
      </c>
      <c r="G54" s="100">
        <f>G51</f>
        <v>1.0389999999999999</v>
      </c>
      <c r="H54" s="99">
        <f t="shared" si="11"/>
        <v>1.3506999999999998E-3</v>
      </c>
      <c r="I54" s="19"/>
      <c r="J54" s="31">
        <v>1.2999999999999999E-3</v>
      </c>
      <c r="K54" s="101">
        <f>K51</f>
        <v>1.0457000000000001</v>
      </c>
      <c r="L54" s="16">
        <f t="shared" ref="L54:L59" si="12">K54*J54</f>
        <v>1.3594100000000001E-3</v>
      </c>
      <c r="M54" s="28"/>
      <c r="N54" s="149">
        <f t="shared" si="2"/>
        <v>8.7100000000003147E-6</v>
      </c>
      <c r="O54" s="18">
        <f t="shared" si="10"/>
        <v>6.4485081809434481E-3</v>
      </c>
    </row>
    <row r="55" spans="2:19" ht="25.5">
      <c r="B55" s="145" t="s">
        <v>36</v>
      </c>
      <c r="C55" s="20"/>
      <c r="D55" s="188" t="s">
        <v>19</v>
      </c>
      <c r="E55" s="14"/>
      <c r="F55" s="102">
        <v>0.25</v>
      </c>
      <c r="G55" s="25">
        <v>1</v>
      </c>
      <c r="H55" s="99">
        <f t="shared" si="11"/>
        <v>0.25</v>
      </c>
      <c r="I55" s="19"/>
      <c r="J55" s="102">
        <v>0.25</v>
      </c>
      <c r="K55" s="94">
        <v>1</v>
      </c>
      <c r="L55" s="16">
        <f t="shared" si="12"/>
        <v>0.25</v>
      </c>
      <c r="M55" s="28"/>
      <c r="N55" s="149">
        <f t="shared" si="2"/>
        <v>0</v>
      </c>
      <c r="O55" s="18">
        <f t="shared" si="10"/>
        <v>0</v>
      </c>
    </row>
    <row r="56" spans="2:19">
      <c r="B56" s="145" t="s">
        <v>37</v>
      </c>
      <c r="C56" s="20"/>
      <c r="D56" s="188" t="s">
        <v>24</v>
      </c>
      <c r="E56" s="14"/>
      <c r="F56" s="31">
        <v>1.1000000000000001E-3</v>
      </c>
      <c r="G56" s="100">
        <f>F18</f>
        <v>1</v>
      </c>
      <c r="H56" s="99">
        <f t="shared" si="11"/>
        <v>1.1000000000000001E-3</v>
      </c>
      <c r="I56" s="19"/>
      <c r="J56" s="31">
        <v>1.1000000000000001E-3</v>
      </c>
      <c r="K56" s="101">
        <f>F18</f>
        <v>1</v>
      </c>
      <c r="L56" s="16">
        <f t="shared" si="12"/>
        <v>1.1000000000000001E-3</v>
      </c>
      <c r="M56" s="28"/>
      <c r="N56" s="149">
        <f t="shared" si="2"/>
        <v>0</v>
      </c>
      <c r="O56" s="18">
        <f t="shared" si="10"/>
        <v>0</v>
      </c>
    </row>
    <row r="57" spans="2:19">
      <c r="B57" s="170" t="s">
        <v>38</v>
      </c>
      <c r="C57" s="20"/>
      <c r="D57" s="188" t="s">
        <v>24</v>
      </c>
      <c r="E57" s="14"/>
      <c r="F57" s="102">
        <v>8.3000000000000004E-2</v>
      </c>
      <c r="G57" s="247">
        <f>0.64*$F$18</f>
        <v>0.64</v>
      </c>
      <c r="H57" s="99">
        <f t="shared" si="11"/>
        <v>5.3120000000000001E-2</v>
      </c>
      <c r="I57" s="19"/>
      <c r="J57" s="102">
        <v>8.3000000000000004E-2</v>
      </c>
      <c r="K57" s="275">
        <f>G57</f>
        <v>0.64</v>
      </c>
      <c r="L57" s="16">
        <f t="shared" si="12"/>
        <v>5.3120000000000001E-2</v>
      </c>
      <c r="M57" s="28"/>
      <c r="N57" s="149">
        <f t="shared" si="2"/>
        <v>0</v>
      </c>
      <c r="O57" s="18">
        <f t="shared" si="10"/>
        <v>0</v>
      </c>
      <c r="S57" s="190"/>
    </row>
    <row r="58" spans="2:19">
      <c r="B58" s="170" t="s">
        <v>39</v>
      </c>
      <c r="C58" s="20"/>
      <c r="D58" s="188" t="s">
        <v>24</v>
      </c>
      <c r="E58" s="14"/>
      <c r="F58" s="102">
        <v>0.128</v>
      </c>
      <c r="G58" s="247">
        <f>0.18*$F$18</f>
        <v>0.18</v>
      </c>
      <c r="H58" s="99">
        <f t="shared" si="11"/>
        <v>2.3039999999999998E-2</v>
      </c>
      <c r="I58" s="19"/>
      <c r="J58" s="102">
        <v>0.128</v>
      </c>
      <c r="K58" s="275">
        <f>G58</f>
        <v>0.18</v>
      </c>
      <c r="L58" s="16">
        <f t="shared" si="12"/>
        <v>2.3039999999999998E-2</v>
      </c>
      <c r="M58" s="28"/>
      <c r="N58" s="149">
        <f t="shared" si="2"/>
        <v>0</v>
      </c>
      <c r="O58" s="18">
        <f t="shared" si="10"/>
        <v>0</v>
      </c>
      <c r="S58" s="190"/>
    </row>
    <row r="59" spans="2:19">
      <c r="B59" s="135" t="s">
        <v>40</v>
      </c>
      <c r="C59" s="20"/>
      <c r="D59" s="188" t="s">
        <v>24</v>
      </c>
      <c r="E59" s="14"/>
      <c r="F59" s="102">
        <v>0.17499999999999999</v>
      </c>
      <c r="G59" s="247">
        <f>0.18*$F$18</f>
        <v>0.18</v>
      </c>
      <c r="H59" s="99">
        <f t="shared" si="11"/>
        <v>3.15E-2</v>
      </c>
      <c r="I59" s="19"/>
      <c r="J59" s="102">
        <v>0.17499999999999999</v>
      </c>
      <c r="K59" s="275">
        <f>G59</f>
        <v>0.18</v>
      </c>
      <c r="L59" s="16">
        <f t="shared" si="12"/>
        <v>3.15E-2</v>
      </c>
      <c r="M59" s="28"/>
      <c r="N59" s="149">
        <f t="shared" si="2"/>
        <v>0</v>
      </c>
      <c r="O59" s="18">
        <f t="shared" si="10"/>
        <v>0</v>
      </c>
      <c r="S59" s="190"/>
    </row>
    <row r="60" spans="2:19" s="195" customFormat="1">
      <c r="B60" s="191" t="s">
        <v>41</v>
      </c>
      <c r="C60" s="32"/>
      <c r="D60" s="188" t="s">
        <v>24</v>
      </c>
      <c r="E60" s="32"/>
      <c r="F60" s="102">
        <v>9.9000000000000005E-2</v>
      </c>
      <c r="G60" s="249">
        <f>IF(AND($T$1=1, F18&gt;=600), 600, IF(AND($T$1=1, AND(F18&lt;600, F18&gt;=0)), F18, IF(AND($T$1=2, F18&gt;=1000), 1000, IF(AND($T$1=2, AND(F18&lt;1000, F18&gt;=0)), F18))))</f>
        <v>1</v>
      </c>
      <c r="H60" s="99">
        <f>G60*F60</f>
        <v>9.9000000000000005E-2</v>
      </c>
      <c r="I60" s="250"/>
      <c r="J60" s="102">
        <v>9.9000000000000005E-2</v>
      </c>
      <c r="K60" s="276">
        <f>G60</f>
        <v>1</v>
      </c>
      <c r="L60" s="16">
        <f>K60*J60</f>
        <v>9.9000000000000005E-2</v>
      </c>
      <c r="M60" s="193"/>
      <c r="N60" s="194">
        <f t="shared" si="2"/>
        <v>0</v>
      </c>
      <c r="O60" s="18">
        <f t="shared" si="10"/>
        <v>0</v>
      </c>
    </row>
    <row r="61" spans="2:19" s="195" customFormat="1" ht="13.5" thickBot="1">
      <c r="B61" s="191" t="s">
        <v>42</v>
      </c>
      <c r="C61" s="32"/>
      <c r="D61" s="188" t="s">
        <v>24</v>
      </c>
      <c r="E61" s="32"/>
      <c r="F61" s="102">
        <v>0.11600000000000001</v>
      </c>
      <c r="G61" s="249">
        <f>IF(AND($T$1=1, F18&gt;=600), F18-600, IF(AND($T$1=1, AND(F18&lt;600, F18&gt;=0)), 0, IF(AND($T$1=2, F18&gt;=1000), F18-1000, IF(AND($T$1=2, AND(F18&lt;1000, F18&gt;=0)), 0))))</f>
        <v>0</v>
      </c>
      <c r="H61" s="99">
        <f>G61*F61</f>
        <v>0</v>
      </c>
      <c r="I61" s="250"/>
      <c r="J61" s="102">
        <v>0.11600000000000001</v>
      </c>
      <c r="K61" s="276">
        <f>G61</f>
        <v>0</v>
      </c>
      <c r="L61" s="16">
        <f>K61*J61</f>
        <v>0</v>
      </c>
      <c r="M61" s="193"/>
      <c r="N61" s="194">
        <f t="shared" si="2"/>
        <v>0</v>
      </c>
      <c r="O61" s="18" t="str">
        <f t="shared" si="10"/>
        <v/>
      </c>
    </row>
    <row r="62" spans="2:19" ht="13.5" thickBot="1">
      <c r="B62" s="196"/>
      <c r="C62" s="197"/>
      <c r="D62" s="198"/>
      <c r="E62" s="197"/>
      <c r="F62" s="199"/>
      <c r="G62" s="253"/>
      <c r="H62" s="201"/>
      <c r="I62" s="202"/>
      <c r="J62" s="199"/>
      <c r="K62" s="277"/>
      <c r="L62" s="201"/>
      <c r="M62" s="202"/>
      <c r="N62" s="204"/>
      <c r="O62" s="205"/>
    </row>
    <row r="63" spans="2:19" ht="25.5">
      <c r="B63" s="33" t="s">
        <v>43</v>
      </c>
      <c r="C63" s="20"/>
      <c r="D63" s="20"/>
      <c r="E63" s="20"/>
      <c r="F63" s="34"/>
      <c r="G63" s="103"/>
      <c r="H63" s="36">
        <f>SUM(H53:H59,H52)</f>
        <v>15.157942739999998</v>
      </c>
      <c r="I63" s="37"/>
      <c r="J63" s="38"/>
      <c r="K63" s="104"/>
      <c r="L63" s="36">
        <f>SUM(L53:L59,L52)</f>
        <v>14.703233380945607</v>
      </c>
      <c r="M63" s="39"/>
      <c r="N63" s="40">
        <f>L63-H63</f>
        <v>-0.45470935905439092</v>
      </c>
      <c r="O63" s="41">
        <f>IF((H63)=0,"",(N63/H63))</f>
        <v>-2.9998091881853289E-2</v>
      </c>
      <c r="S63" s="190"/>
    </row>
    <row r="64" spans="2:19">
      <c r="B64" s="42" t="s">
        <v>44</v>
      </c>
      <c r="C64" s="20"/>
      <c r="D64" s="20"/>
      <c r="E64" s="20"/>
      <c r="F64" s="43">
        <v>0.13</v>
      </c>
      <c r="G64" s="105"/>
      <c r="H64" s="45">
        <f>H63*F64</f>
        <v>1.9705325561999998</v>
      </c>
      <c r="I64" s="46"/>
      <c r="J64" s="47">
        <v>0.13</v>
      </c>
      <c r="K64" s="106"/>
      <c r="L64" s="48">
        <f>L63*J64</f>
        <v>1.911420339522929</v>
      </c>
      <c r="M64" s="49"/>
      <c r="N64" s="50">
        <f t="shared" si="2"/>
        <v>-5.9112216677070784E-2</v>
      </c>
      <c r="O64" s="18">
        <f t="shared" si="10"/>
        <v>-2.9998091881853269E-2</v>
      </c>
      <c r="S64" s="190"/>
    </row>
    <row r="65" spans="1:19">
      <c r="B65" s="206" t="s">
        <v>45</v>
      </c>
      <c r="C65" s="20"/>
      <c r="D65" s="20"/>
      <c r="E65" s="20"/>
      <c r="F65" s="51"/>
      <c r="G65" s="105"/>
      <c r="H65" s="45">
        <f>H63+H64</f>
        <v>17.128475296199998</v>
      </c>
      <c r="I65" s="46"/>
      <c r="J65" s="46"/>
      <c r="K65" s="106"/>
      <c r="L65" s="48">
        <f>L63+L64</f>
        <v>16.614653720468535</v>
      </c>
      <c r="M65" s="49"/>
      <c r="N65" s="50">
        <f t="shared" si="2"/>
        <v>-0.51382157573146259</v>
      </c>
      <c r="O65" s="18">
        <f t="shared" si="10"/>
        <v>-2.9998091881853338E-2</v>
      </c>
      <c r="S65" s="190"/>
    </row>
    <row r="66" spans="1:19">
      <c r="B66" s="297" t="s">
        <v>46</v>
      </c>
      <c r="C66" s="297"/>
      <c r="D66" s="297"/>
      <c r="E66" s="20"/>
      <c r="F66" s="51"/>
      <c r="G66" s="105"/>
      <c r="H66" s="52">
        <f>ROUND(-H65*0.1,2)</f>
        <v>-1.71</v>
      </c>
      <c r="I66" s="46"/>
      <c r="J66" s="46"/>
      <c r="K66" s="106"/>
      <c r="L66" s="53">
        <f>ROUND(-L65*0.1,2)</f>
        <v>-1.66</v>
      </c>
      <c r="M66" s="49"/>
      <c r="N66" s="54">
        <f t="shared" si="2"/>
        <v>5.0000000000000044E-2</v>
      </c>
      <c r="O66" s="55">
        <f t="shared" si="10"/>
        <v>-2.9239766081871371E-2</v>
      </c>
    </row>
    <row r="67" spans="1:19" ht="13.5" thickBot="1">
      <c r="B67" s="298" t="s">
        <v>47</v>
      </c>
      <c r="C67" s="298"/>
      <c r="D67" s="298"/>
      <c r="E67" s="14"/>
      <c r="F67" s="207"/>
      <c r="G67" s="255"/>
      <c r="H67" s="209">
        <f>H65+H66</f>
        <v>15.418475296199997</v>
      </c>
      <c r="I67" s="210"/>
      <c r="J67" s="210"/>
      <c r="K67" s="278"/>
      <c r="L67" s="211">
        <f>L65+L66</f>
        <v>14.954653720468535</v>
      </c>
      <c r="M67" s="212"/>
      <c r="N67" s="213">
        <f t="shared" si="2"/>
        <v>-0.46382157573146188</v>
      </c>
      <c r="O67" s="214">
        <f t="shared" si="10"/>
        <v>-3.0082194693127298E-2</v>
      </c>
    </row>
    <row r="68" spans="1:19" s="195" customFormat="1" ht="13.5" thickBot="1">
      <c r="B68" s="215"/>
      <c r="C68" s="216"/>
      <c r="D68" s="217"/>
      <c r="E68" s="216"/>
      <c r="F68" s="199"/>
      <c r="G68" s="256"/>
      <c r="H68" s="201"/>
      <c r="I68" s="219"/>
      <c r="J68" s="199"/>
      <c r="K68" s="279"/>
      <c r="L68" s="201"/>
      <c r="M68" s="219"/>
      <c r="N68" s="221"/>
      <c r="O68" s="205"/>
    </row>
    <row r="69" spans="1:19" s="195" customFormat="1" ht="25.5">
      <c r="B69" s="56" t="s">
        <v>48</v>
      </c>
      <c r="C69" s="32"/>
      <c r="D69" s="32"/>
      <c r="E69" s="32"/>
      <c r="F69" s="57"/>
      <c r="G69" s="107"/>
      <c r="H69" s="59">
        <f>SUM(H60:H61,H52,H53:H56)</f>
        <v>15.149282739999997</v>
      </c>
      <c r="I69" s="60"/>
      <c r="J69" s="61"/>
      <c r="K69" s="108"/>
      <c r="L69" s="59">
        <f>SUM(L60:L61,L52,L53:L56)</f>
        <v>14.694573380945604</v>
      </c>
      <c r="M69" s="62"/>
      <c r="N69" s="63">
        <f>L69-H69</f>
        <v>-0.45470935905439269</v>
      </c>
      <c r="O69" s="41">
        <f>IF((H69)=0,"",(N69/H69))</f>
        <v>-3.0015240117856088E-2</v>
      </c>
    </row>
    <row r="70" spans="1:19" s="195" customFormat="1">
      <c r="B70" s="64" t="s">
        <v>44</v>
      </c>
      <c r="C70" s="32"/>
      <c r="D70" s="32"/>
      <c r="E70" s="32"/>
      <c r="F70" s="65">
        <v>0.13</v>
      </c>
      <c r="G70" s="107"/>
      <c r="H70" s="66">
        <f>H69*F70</f>
        <v>1.9694067561999997</v>
      </c>
      <c r="I70" s="67"/>
      <c r="J70" s="68">
        <v>0.13</v>
      </c>
      <c r="K70" s="109"/>
      <c r="L70" s="70">
        <f>L69*J70</f>
        <v>1.9102945395229285</v>
      </c>
      <c r="M70" s="71"/>
      <c r="N70" s="72">
        <f>L70-H70</f>
        <v>-5.9112216677071228E-2</v>
      </c>
      <c r="O70" s="18">
        <f>IF((H70)=0,"",(N70/H70))</f>
        <v>-3.0015240117856175E-2</v>
      </c>
    </row>
    <row r="71" spans="1:19" s="195" customFormat="1">
      <c r="B71" s="222" t="s">
        <v>45</v>
      </c>
      <c r="C71" s="32"/>
      <c r="D71" s="32"/>
      <c r="E71" s="32"/>
      <c r="F71" s="73"/>
      <c r="G71" s="110"/>
      <c r="H71" s="66">
        <f>H69+H70</f>
        <v>17.118689496199998</v>
      </c>
      <c r="I71" s="67"/>
      <c r="J71" s="67"/>
      <c r="K71" s="111"/>
      <c r="L71" s="70">
        <f>L69+L70</f>
        <v>16.604867920468532</v>
      </c>
      <c r="M71" s="71"/>
      <c r="N71" s="72">
        <f>L71-H71</f>
        <v>-0.51382157573146614</v>
      </c>
      <c r="O71" s="18">
        <f>IF((H71)=0,"",(N71/H71))</f>
        <v>-3.0015240117856223E-2</v>
      </c>
    </row>
    <row r="72" spans="1:19" s="195" customFormat="1">
      <c r="B72" s="299" t="s">
        <v>46</v>
      </c>
      <c r="C72" s="299"/>
      <c r="D72" s="299"/>
      <c r="E72" s="32"/>
      <c r="F72" s="73"/>
      <c r="G72" s="110"/>
      <c r="H72" s="75">
        <f>ROUND(-H71*0.1,2)</f>
        <v>-1.71</v>
      </c>
      <c r="I72" s="67"/>
      <c r="J72" s="67"/>
      <c r="K72" s="111"/>
      <c r="L72" s="76">
        <f>ROUND(-L71*0.1,2)</f>
        <v>-1.66</v>
      </c>
      <c r="M72" s="71"/>
      <c r="N72" s="77">
        <f>L72-H72</f>
        <v>5.0000000000000044E-2</v>
      </c>
      <c r="O72" s="55">
        <f>IF((H72)=0,"",(N72/H72))</f>
        <v>-2.9239766081871371E-2</v>
      </c>
    </row>
    <row r="73" spans="1:19" s="195" customFormat="1" ht="13.5" thickBot="1">
      <c r="B73" s="293" t="s">
        <v>49</v>
      </c>
      <c r="C73" s="293"/>
      <c r="D73" s="293"/>
      <c r="E73" s="32"/>
      <c r="F73" s="73"/>
      <c r="G73" s="110"/>
      <c r="H73" s="59">
        <f>SUM(H71:H72)</f>
        <v>15.408689496199997</v>
      </c>
      <c r="I73" s="60"/>
      <c r="J73" s="60"/>
      <c r="K73" s="280"/>
      <c r="L73" s="223">
        <f>SUM(L71:L72)</f>
        <v>14.944867920468532</v>
      </c>
      <c r="M73" s="62"/>
      <c r="N73" s="63">
        <f>L73-H73</f>
        <v>-0.46382157573146543</v>
      </c>
      <c r="O73" s="41">
        <f>IF((H73)=0,"",(N73/H73))</f>
        <v>-3.010129938992219E-2</v>
      </c>
    </row>
    <row r="74" spans="1:19" s="195" customFormat="1" ht="13.5" thickBot="1">
      <c r="B74" s="215"/>
      <c r="C74" s="216"/>
      <c r="D74" s="217"/>
      <c r="E74" s="216"/>
      <c r="F74" s="224"/>
      <c r="G74" s="259"/>
      <c r="H74" s="226"/>
      <c r="I74" s="227"/>
      <c r="J74" s="224"/>
      <c r="K74" s="281"/>
      <c r="L74" s="228"/>
      <c r="M74" s="219"/>
      <c r="N74" s="229"/>
      <c r="O74" s="205"/>
    </row>
    <row r="75" spans="1:19">
      <c r="L75" s="190"/>
    </row>
    <row r="76" spans="1:19">
      <c r="B76" s="230" t="s">
        <v>50</v>
      </c>
      <c r="F76" s="231">
        <v>3.9E-2</v>
      </c>
      <c r="J76" s="231">
        <v>4.5699999999999998E-2</v>
      </c>
    </row>
    <row r="78" spans="1:19" ht="14.25">
      <c r="A78" s="232" t="s">
        <v>51</v>
      </c>
    </row>
    <row r="80" spans="1:19">
      <c r="A80" s="12" t="s">
        <v>52</v>
      </c>
    </row>
    <row r="81" spans="1:2">
      <c r="A81" s="12" t="s">
        <v>53</v>
      </c>
    </row>
    <row r="83" spans="1:2">
      <c r="A83" s="233" t="s">
        <v>54</v>
      </c>
    </row>
    <row r="84" spans="1:2">
      <c r="A84" s="233" t="s">
        <v>55</v>
      </c>
    </row>
    <row r="86" spans="1:2">
      <c r="A86" s="12" t="s">
        <v>56</v>
      </c>
    </row>
    <row r="87" spans="1:2">
      <c r="A87" s="12" t="s">
        <v>57</v>
      </c>
    </row>
    <row r="88" spans="1:2">
      <c r="A88" s="12" t="s">
        <v>58</v>
      </c>
    </row>
    <row r="89" spans="1:2">
      <c r="A89" s="12" t="s">
        <v>59</v>
      </c>
    </row>
    <row r="90" spans="1:2">
      <c r="A90" s="12" t="s">
        <v>60</v>
      </c>
    </row>
    <row r="92" spans="1:2" ht="51">
      <c r="B92" s="13" t="s">
        <v>61</v>
      </c>
    </row>
  </sheetData>
  <mergeCells count="14">
    <mergeCell ref="B73:D73"/>
    <mergeCell ref="D21:D22"/>
    <mergeCell ref="N21:N22"/>
    <mergeCell ref="O21:O22"/>
    <mergeCell ref="B66:D66"/>
    <mergeCell ref="B67:D67"/>
    <mergeCell ref="B72:D72"/>
    <mergeCell ref="A3:K3"/>
    <mergeCell ref="B10:O10"/>
    <mergeCell ref="B11:O11"/>
    <mergeCell ref="D14:O14"/>
    <mergeCell ref="F20:H20"/>
    <mergeCell ref="J20:L20"/>
    <mergeCell ref="N20:O20"/>
  </mergeCells>
  <dataValidations count="3">
    <dataValidation type="list" allowBlank="1" showInputMessage="1" showErrorMessage="1" sqref="E23:E38 E74 E50:E51 E53:E62 E68 E40:E48">
      <formula1>"#REF!"</formula1>
      <formula2>0</formula2>
    </dataValidation>
    <dataValidation type="list" allowBlank="1" showInputMessage="1" showErrorMessage="1" prompt="Select Charge Unit - monthly, per kWh, per kW" sqref="D74 D23:D38 D50:D51 D68 D53:D62 D40:D48">
      <formula1>"Monthly,per kWh,per kW"</formula1>
      <formula2>0</formula2>
    </dataValidation>
    <dataValidation type="list" allowBlank="1" showInputMessage="1" showErrorMessage="1" sqref="D16">
      <formula1>"TOU,non-TOU"</formula1>
      <formula2>0</formula2>
    </dataValidation>
  </dataValidations>
  <pageMargins left="0.25" right="0.25" top="0.75" bottom="0.75" header="0.3" footer="0.3"/>
  <pageSetup paperSize="9" scale="59" orientation="portrait" horizontalDpi="4294967292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1">
    <pageSetUpPr fitToPage="1"/>
  </sheetPr>
  <dimension ref="A1:T92"/>
  <sheetViews>
    <sheetView showGridLines="0" topLeftCell="A52" workbookViewId="0">
      <selection activeCell="F102" sqref="F102"/>
    </sheetView>
  </sheetViews>
  <sheetFormatPr defaultRowHeight="12.75"/>
  <cols>
    <col min="1" max="1" width="11.28515625" style="12" customWidth="1"/>
    <col min="2" max="2" width="26.570312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92" customWidth="1"/>
    <col min="8" max="8" width="11.140625" style="12" customWidth="1"/>
    <col min="9" max="9" width="2.85546875" style="12" customWidth="1"/>
    <col min="10" max="10" width="12.140625" style="12" customWidth="1"/>
    <col min="11" max="11" width="8.5703125" style="92" customWidth="1"/>
    <col min="12" max="12" width="11.28515625" style="12" bestFit="1" customWidth="1"/>
    <col min="13" max="13" width="2.85546875" style="12" customWidth="1"/>
    <col min="14" max="14" width="12.71093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85"/>
      <c r="H1" s="1"/>
      <c r="I1" s="1"/>
      <c r="J1" s="1"/>
      <c r="K1" s="85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87"/>
      <c r="H2" s="5"/>
      <c r="I2" s="5"/>
      <c r="J2" s="5"/>
      <c r="K2" s="87"/>
      <c r="N2" s="3"/>
      <c r="O2" s="7"/>
    </row>
    <row r="3" spans="1:20" s="2" customFormat="1" ht="12.75" customHeight="1">
      <c r="A3" s="288"/>
      <c r="B3" s="288"/>
      <c r="C3" s="288"/>
      <c r="D3" s="288"/>
      <c r="E3" s="288"/>
      <c r="F3" s="288"/>
      <c r="G3" s="288"/>
      <c r="H3" s="288"/>
      <c r="I3" s="288"/>
      <c r="J3" s="288"/>
      <c r="K3" s="288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87"/>
      <c r="H4" s="5"/>
      <c r="I4" s="8"/>
      <c r="J4" s="8"/>
      <c r="K4" s="91"/>
      <c r="N4" s="3"/>
      <c r="O4" s="7"/>
    </row>
    <row r="5" spans="1:20" s="2" customFormat="1" ht="12.75" customHeight="1">
      <c r="B5" s="9"/>
      <c r="C5" s="10"/>
      <c r="D5" s="10"/>
      <c r="E5" s="10"/>
      <c r="G5" s="90"/>
      <c r="K5" s="90"/>
      <c r="N5" s="3"/>
      <c r="O5" s="4"/>
    </row>
    <row r="6" spans="1:20" s="2" customFormat="1" ht="12.75" customHeight="1">
      <c r="B6" s="9"/>
      <c r="G6" s="90"/>
      <c r="K6" s="90"/>
      <c r="N6" s="3"/>
      <c r="O6" s="11"/>
    </row>
    <row r="7" spans="1:20" s="2" customFormat="1" ht="12.75" customHeight="1">
      <c r="B7" s="9"/>
      <c r="G7" s="90"/>
      <c r="K7" s="90"/>
      <c r="N7" s="3"/>
      <c r="O7" s="4"/>
    </row>
    <row r="8" spans="1:20" s="2" customFormat="1" ht="12.75" customHeight="1">
      <c r="B8" s="9"/>
      <c r="G8" s="90"/>
      <c r="K8" s="90"/>
    </row>
    <row r="9" spans="1:20" ht="12.75" customHeight="1"/>
    <row r="10" spans="1:20" s="130" customFormat="1" ht="18.75" customHeight="1">
      <c r="B10" s="289" t="s">
        <v>0</v>
      </c>
      <c r="C10" s="289"/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89"/>
      <c r="O10" s="289"/>
    </row>
    <row r="11" spans="1:20" ht="18.75" customHeight="1">
      <c r="B11" s="290" t="s">
        <v>1</v>
      </c>
      <c r="C11" s="290"/>
      <c r="D11" s="290"/>
      <c r="E11" s="290"/>
      <c r="F11" s="290"/>
      <c r="G11" s="290"/>
      <c r="H11" s="290"/>
      <c r="I11" s="290"/>
      <c r="J11" s="290"/>
      <c r="K11" s="290"/>
      <c r="L11" s="290"/>
      <c r="M11" s="290"/>
      <c r="N11" s="290"/>
      <c r="O11" s="290"/>
    </row>
    <row r="12" spans="1:20" ht="7.5" customHeight="1"/>
    <row r="13" spans="1:20" ht="7.5" customHeight="1"/>
    <row r="14" spans="1:20" ht="15.75">
      <c r="B14" s="131" t="s">
        <v>2</v>
      </c>
      <c r="D14" s="291" t="s">
        <v>68</v>
      </c>
      <c r="E14" s="291"/>
      <c r="F14" s="291"/>
      <c r="G14" s="291"/>
      <c r="H14" s="291"/>
      <c r="I14" s="291"/>
      <c r="J14" s="291"/>
      <c r="K14" s="291"/>
      <c r="L14" s="291"/>
      <c r="M14" s="291"/>
      <c r="N14" s="291"/>
      <c r="O14" s="291"/>
    </row>
    <row r="15" spans="1:20" ht="7.5" customHeight="1">
      <c r="B15" s="132"/>
      <c r="D15" s="133"/>
      <c r="E15" s="133"/>
      <c r="F15" s="133"/>
      <c r="G15" s="234"/>
      <c r="H15" s="133"/>
      <c r="I15" s="133"/>
      <c r="J15" s="133"/>
      <c r="K15" s="234"/>
      <c r="L15" s="133"/>
      <c r="M15" s="133"/>
      <c r="N15" s="133"/>
      <c r="O15" s="133"/>
    </row>
    <row r="16" spans="1:20" ht="15.75">
      <c r="B16" s="131" t="s">
        <v>4</v>
      </c>
      <c r="D16" s="134" t="s">
        <v>5</v>
      </c>
      <c r="E16" s="133"/>
      <c r="F16" s="133"/>
      <c r="G16" s="234"/>
      <c r="H16" s="133"/>
      <c r="I16" s="133"/>
      <c r="J16" s="133"/>
      <c r="K16" s="234"/>
      <c r="L16" s="133"/>
      <c r="M16" s="133"/>
      <c r="N16" s="133"/>
      <c r="O16" s="133"/>
    </row>
    <row r="17" spans="1:15" ht="15.75">
      <c r="B17" s="132"/>
      <c r="D17" s="133"/>
      <c r="E17" s="133"/>
      <c r="F17" s="133"/>
      <c r="G17" s="234"/>
      <c r="H17" s="133"/>
      <c r="I17" s="133"/>
      <c r="J17" s="133"/>
      <c r="K17" s="234"/>
      <c r="L17" s="133"/>
      <c r="M17" s="133"/>
      <c r="N17" s="133"/>
      <c r="O17" s="133"/>
    </row>
    <row r="18" spans="1:15">
      <c r="B18" s="135"/>
      <c r="D18" s="136" t="s">
        <v>6</v>
      </c>
      <c r="E18" s="136"/>
      <c r="F18" s="137">
        <v>115</v>
      </c>
      <c r="G18" s="235" t="s">
        <v>67</v>
      </c>
    </row>
    <row r="19" spans="1:15">
      <c r="B19" s="135"/>
    </row>
    <row r="20" spans="1:15">
      <c r="B20" s="135"/>
      <c r="D20" s="138"/>
      <c r="E20" s="138"/>
      <c r="F20" s="292" t="s">
        <v>8</v>
      </c>
      <c r="G20" s="292"/>
      <c r="H20" s="292"/>
      <c r="J20" s="292" t="s">
        <v>9</v>
      </c>
      <c r="K20" s="292"/>
      <c r="L20" s="292"/>
      <c r="N20" s="292" t="s">
        <v>10</v>
      </c>
      <c r="O20" s="292"/>
    </row>
    <row r="21" spans="1:15">
      <c r="B21" s="135"/>
      <c r="D21" s="294" t="s">
        <v>11</v>
      </c>
      <c r="E21" s="139"/>
      <c r="F21" s="140" t="s">
        <v>12</v>
      </c>
      <c r="G21" s="236" t="s">
        <v>13</v>
      </c>
      <c r="H21" s="141" t="s">
        <v>14</v>
      </c>
      <c r="J21" s="140" t="s">
        <v>12</v>
      </c>
      <c r="K21" s="237" t="s">
        <v>13</v>
      </c>
      <c r="L21" s="141" t="s">
        <v>14</v>
      </c>
      <c r="N21" s="295" t="s">
        <v>15</v>
      </c>
      <c r="O21" s="296" t="s">
        <v>16</v>
      </c>
    </row>
    <row r="22" spans="1:15">
      <c r="B22" s="135"/>
      <c r="D22" s="294"/>
      <c r="E22" s="139"/>
      <c r="F22" s="143" t="s">
        <v>17</v>
      </c>
      <c r="G22" s="238"/>
      <c r="H22" s="144" t="s">
        <v>17</v>
      </c>
      <c r="J22" s="143" t="s">
        <v>17</v>
      </c>
      <c r="K22" s="239"/>
      <c r="L22" s="144" t="s">
        <v>17</v>
      </c>
      <c r="N22" s="295"/>
      <c r="O22" s="296"/>
    </row>
    <row r="23" spans="1:15">
      <c r="B23" s="145" t="s">
        <v>18</v>
      </c>
      <c r="C23" s="20"/>
      <c r="D23" s="146" t="s">
        <v>19</v>
      </c>
      <c r="E23" s="14"/>
      <c r="F23" s="147">
        <f>'[2]B. CurrentTariff'!C116</f>
        <v>2.2200000000000002</v>
      </c>
      <c r="G23" s="25">
        <v>2300</v>
      </c>
      <c r="H23" s="16">
        <f>G23*F23</f>
        <v>5106</v>
      </c>
      <c r="I23" s="28"/>
      <c r="J23" s="148">
        <f>'[2]G. RateDesign'!B50</f>
        <v>2.41</v>
      </c>
      <c r="K23" s="112">
        <v>2300</v>
      </c>
      <c r="L23" s="16">
        <f>K23*J23</f>
        <v>5543</v>
      </c>
      <c r="M23" s="28"/>
      <c r="N23" s="149">
        <f>L23-H23</f>
        <v>437</v>
      </c>
      <c r="O23" s="18">
        <f>IF((H23)=0,"",(N23/H23))</f>
        <v>8.5585585585585586E-2</v>
      </c>
    </row>
    <row r="24" spans="1:15">
      <c r="A24" s="19"/>
      <c r="B24" s="145" t="s">
        <v>20</v>
      </c>
      <c r="C24" s="20"/>
      <c r="D24" s="146"/>
      <c r="E24" s="14"/>
      <c r="F24" s="150"/>
      <c r="G24" s="25">
        <v>1</v>
      </c>
      <c r="H24" s="16">
        <f t="shared" ref="H24:H38" si="0">G24*F24</f>
        <v>0</v>
      </c>
      <c r="I24" s="28"/>
      <c r="J24" s="31"/>
      <c r="K24" s="112">
        <v>1</v>
      </c>
      <c r="L24" s="16">
        <f>K24*J24</f>
        <v>0</v>
      </c>
      <c r="M24" s="28"/>
      <c r="N24" s="149">
        <f>L24-H24</f>
        <v>0</v>
      </c>
      <c r="O24" s="18" t="str">
        <f>IF((H24)=0,"",(N24/H24))</f>
        <v/>
      </c>
    </row>
    <row r="25" spans="1:15">
      <c r="A25" s="19"/>
      <c r="B25" s="152"/>
      <c r="C25" s="20"/>
      <c r="D25" s="146"/>
      <c r="E25" s="14"/>
      <c r="F25" s="150"/>
      <c r="G25" s="25">
        <v>1</v>
      </c>
      <c r="H25" s="16">
        <f t="shared" si="0"/>
        <v>0</v>
      </c>
      <c r="I25" s="28"/>
      <c r="J25" s="31"/>
      <c r="K25" s="112">
        <v>1</v>
      </c>
      <c r="L25" s="16">
        <f t="shared" ref="L25:L38" si="1">K25*J25</f>
        <v>0</v>
      </c>
      <c r="M25" s="28"/>
      <c r="N25" s="149">
        <f t="shared" ref="N25:N67" si="2">L25-H25</f>
        <v>0</v>
      </c>
      <c r="O25" s="18" t="str">
        <f t="shared" ref="O25:O47" si="3">IF((H25)=0,"",(N25/H25))</f>
        <v/>
      </c>
    </row>
    <row r="26" spans="1:15">
      <c r="A26" s="19"/>
      <c r="B26" s="152"/>
      <c r="C26" s="20"/>
      <c r="D26" s="146"/>
      <c r="E26" s="14"/>
      <c r="F26" s="150"/>
      <c r="G26" s="25">
        <v>1</v>
      </c>
      <c r="H26" s="16">
        <f t="shared" si="0"/>
        <v>0</v>
      </c>
      <c r="I26" s="28"/>
      <c r="J26" s="31"/>
      <c r="K26" s="112">
        <v>1</v>
      </c>
      <c r="L26" s="16">
        <f t="shared" si="1"/>
        <v>0</v>
      </c>
      <c r="M26" s="28"/>
      <c r="N26" s="149">
        <f t="shared" si="2"/>
        <v>0</v>
      </c>
      <c r="O26" s="18" t="str">
        <f t="shared" si="3"/>
        <v/>
      </c>
    </row>
    <row r="27" spans="1:15">
      <c r="A27" s="19"/>
      <c r="B27" s="152"/>
      <c r="C27" s="20"/>
      <c r="D27" s="146"/>
      <c r="E27" s="14"/>
      <c r="F27" s="150"/>
      <c r="G27" s="25">
        <v>1</v>
      </c>
      <c r="H27" s="16">
        <f t="shared" si="0"/>
        <v>0</v>
      </c>
      <c r="I27" s="28"/>
      <c r="J27" s="31"/>
      <c r="K27" s="112">
        <v>1</v>
      </c>
      <c r="L27" s="16">
        <f t="shared" si="1"/>
        <v>0</v>
      </c>
      <c r="M27" s="28"/>
      <c r="N27" s="149">
        <f t="shared" si="2"/>
        <v>0</v>
      </c>
      <c r="O27" s="18" t="str">
        <f t="shared" si="3"/>
        <v/>
      </c>
    </row>
    <row r="28" spans="1:15">
      <c r="A28" s="19"/>
      <c r="B28" s="152"/>
      <c r="C28" s="20"/>
      <c r="D28" s="146"/>
      <c r="E28" s="14"/>
      <c r="F28" s="150"/>
      <c r="G28" s="25">
        <v>1</v>
      </c>
      <c r="H28" s="16">
        <f t="shared" si="0"/>
        <v>0</v>
      </c>
      <c r="I28" s="28"/>
      <c r="J28" s="31"/>
      <c r="K28" s="112">
        <v>1</v>
      </c>
      <c r="L28" s="16">
        <f t="shared" si="1"/>
        <v>0</v>
      </c>
      <c r="M28" s="28"/>
      <c r="N28" s="149">
        <f t="shared" si="2"/>
        <v>0</v>
      </c>
      <c r="O28" s="18" t="str">
        <f t="shared" si="3"/>
        <v/>
      </c>
    </row>
    <row r="29" spans="1:15">
      <c r="A29" s="19"/>
      <c r="B29" s="145" t="s">
        <v>23</v>
      </c>
      <c r="C29" s="20"/>
      <c r="D29" s="146" t="s">
        <v>65</v>
      </c>
      <c r="E29" s="14"/>
      <c r="F29" s="150">
        <f>'[2]B. CurrentTariff'!C117</f>
        <v>12.1768</v>
      </c>
      <c r="G29" s="25">
        <f t="shared" ref="G29:G38" si="4">$F$18</f>
        <v>115</v>
      </c>
      <c r="H29" s="16">
        <f t="shared" si="0"/>
        <v>1400.3320000000001</v>
      </c>
      <c r="I29" s="28"/>
      <c r="J29" s="148">
        <f>'[2]G. RateDesign'!G50</f>
        <v>12.07390522368609</v>
      </c>
      <c r="K29" s="25">
        <f>$F$18</f>
        <v>115</v>
      </c>
      <c r="L29" s="16">
        <f t="shared" si="1"/>
        <v>1388.4991007239003</v>
      </c>
      <c r="M29" s="28"/>
      <c r="N29" s="149">
        <f t="shared" si="2"/>
        <v>-11.832899276099852</v>
      </c>
      <c r="O29" s="18">
        <f t="shared" si="3"/>
        <v>-8.4500670384593437E-3</v>
      </c>
    </row>
    <row r="30" spans="1:15">
      <c r="A30" s="19"/>
      <c r="B30" s="145" t="s">
        <v>22</v>
      </c>
      <c r="C30" s="20"/>
      <c r="D30" s="146" t="s">
        <v>65</v>
      </c>
      <c r="E30" s="14"/>
      <c r="F30" s="150"/>
      <c r="G30" s="25">
        <f t="shared" si="4"/>
        <v>115</v>
      </c>
      <c r="H30" s="16">
        <f t="shared" si="0"/>
        <v>0</v>
      </c>
      <c r="I30" s="28"/>
      <c r="J30" s="31"/>
      <c r="K30" s="25">
        <f t="shared" ref="K30:K38" si="5">$F$18</f>
        <v>115</v>
      </c>
      <c r="L30" s="16">
        <f t="shared" si="1"/>
        <v>0</v>
      </c>
      <c r="M30" s="28"/>
      <c r="N30" s="149">
        <f t="shared" si="2"/>
        <v>0</v>
      </c>
      <c r="O30" s="18" t="str">
        <f t="shared" si="3"/>
        <v/>
      </c>
    </row>
    <row r="31" spans="1:15">
      <c r="A31" s="19"/>
      <c r="B31" s="145" t="s">
        <v>25</v>
      </c>
      <c r="C31" s="20"/>
      <c r="D31" s="146" t="s">
        <v>65</v>
      </c>
      <c r="E31" s="14"/>
      <c r="F31" s="150"/>
      <c r="G31" s="25">
        <f t="shared" si="4"/>
        <v>115</v>
      </c>
      <c r="H31" s="16">
        <f t="shared" si="0"/>
        <v>0</v>
      </c>
      <c r="I31" s="28"/>
      <c r="J31" s="31"/>
      <c r="K31" s="25">
        <f t="shared" si="5"/>
        <v>115</v>
      </c>
      <c r="L31" s="16">
        <f t="shared" si="1"/>
        <v>0</v>
      </c>
      <c r="M31" s="28"/>
      <c r="N31" s="149">
        <f t="shared" si="2"/>
        <v>0</v>
      </c>
      <c r="O31" s="18" t="str">
        <f t="shared" si="3"/>
        <v/>
      </c>
    </row>
    <row r="32" spans="1:15">
      <c r="A32" s="19"/>
      <c r="B32" s="151" t="s">
        <v>21</v>
      </c>
      <c r="C32" s="20"/>
      <c r="D32" s="146"/>
      <c r="E32" s="14"/>
      <c r="F32" s="150"/>
      <c r="G32" s="25">
        <f t="shared" si="4"/>
        <v>115</v>
      </c>
      <c r="H32" s="16">
        <f>G32*F32</f>
        <v>0</v>
      </c>
      <c r="I32" s="28"/>
      <c r="J32" s="31"/>
      <c r="K32" s="25">
        <f t="shared" si="5"/>
        <v>115</v>
      </c>
      <c r="L32" s="16">
        <f>K32*J32</f>
        <v>0</v>
      </c>
      <c r="M32" s="28"/>
      <c r="N32" s="149">
        <f>L32-H32</f>
        <v>0</v>
      </c>
      <c r="O32" s="18" t="str">
        <f>IF((H32)=0,"",(N32/H32))</f>
        <v/>
      </c>
    </row>
    <row r="33" spans="1:15">
      <c r="A33" s="19"/>
      <c r="B33" s="151"/>
      <c r="C33" s="20"/>
      <c r="D33" s="146"/>
      <c r="E33" s="14"/>
      <c r="F33" s="150"/>
      <c r="G33" s="25">
        <f t="shared" si="4"/>
        <v>115</v>
      </c>
      <c r="H33" s="16">
        <f>G33*F33</f>
        <v>0</v>
      </c>
      <c r="I33" s="28"/>
      <c r="J33" s="31"/>
      <c r="K33" s="25">
        <f t="shared" si="5"/>
        <v>115</v>
      </c>
      <c r="L33" s="16">
        <f>K33*J33</f>
        <v>0</v>
      </c>
      <c r="M33" s="28"/>
      <c r="N33" s="149">
        <f>L33-H33</f>
        <v>0</v>
      </c>
      <c r="O33" s="18" t="str">
        <f>IF((H33)=0,"",(N33/H33))</f>
        <v/>
      </c>
    </row>
    <row r="34" spans="1:15">
      <c r="A34" s="19"/>
      <c r="B34" s="151"/>
      <c r="C34" s="20"/>
      <c r="D34" s="146"/>
      <c r="E34" s="14"/>
      <c r="F34" s="150"/>
      <c r="G34" s="25">
        <f t="shared" si="4"/>
        <v>115</v>
      </c>
      <c r="H34" s="16">
        <f>G34*F34</f>
        <v>0</v>
      </c>
      <c r="I34" s="28"/>
      <c r="J34" s="31"/>
      <c r="K34" s="25">
        <f t="shared" si="5"/>
        <v>115</v>
      </c>
      <c r="L34" s="16">
        <f>K34*J34</f>
        <v>0</v>
      </c>
      <c r="M34" s="28"/>
      <c r="N34" s="149">
        <f>L34-H34</f>
        <v>0</v>
      </c>
      <c r="O34" s="18" t="str">
        <f>IF((H34)=0,"",(N34/H34))</f>
        <v/>
      </c>
    </row>
    <row r="35" spans="1:15">
      <c r="A35" s="19"/>
      <c r="B35" s="151"/>
      <c r="C35" s="20"/>
      <c r="D35" s="146"/>
      <c r="E35" s="14"/>
      <c r="F35" s="150"/>
      <c r="G35" s="25">
        <f t="shared" si="4"/>
        <v>115</v>
      </c>
      <c r="H35" s="16">
        <f t="shared" si="0"/>
        <v>0</v>
      </c>
      <c r="I35" s="28"/>
      <c r="J35" s="31"/>
      <c r="K35" s="25">
        <f t="shared" si="5"/>
        <v>115</v>
      </c>
      <c r="L35" s="16">
        <f t="shared" si="1"/>
        <v>0</v>
      </c>
      <c r="M35" s="28"/>
      <c r="N35" s="149">
        <f t="shared" si="2"/>
        <v>0</v>
      </c>
      <c r="O35" s="18" t="str">
        <f t="shared" si="3"/>
        <v/>
      </c>
    </row>
    <row r="36" spans="1:15">
      <c r="A36" s="19"/>
      <c r="B36" s="151"/>
      <c r="C36" s="20"/>
      <c r="D36" s="146"/>
      <c r="E36" s="14"/>
      <c r="F36" s="150"/>
      <c r="G36" s="25">
        <f t="shared" si="4"/>
        <v>115</v>
      </c>
      <c r="H36" s="16">
        <f t="shared" si="0"/>
        <v>0</v>
      </c>
      <c r="I36" s="28"/>
      <c r="J36" s="31"/>
      <c r="K36" s="25">
        <f t="shared" si="5"/>
        <v>115</v>
      </c>
      <c r="L36" s="16">
        <f t="shared" si="1"/>
        <v>0</v>
      </c>
      <c r="M36" s="28"/>
      <c r="N36" s="149">
        <f t="shared" si="2"/>
        <v>0</v>
      </c>
      <c r="O36" s="18" t="str">
        <f t="shared" si="3"/>
        <v/>
      </c>
    </row>
    <row r="37" spans="1:15">
      <c r="A37" s="19"/>
      <c r="B37" s="151"/>
      <c r="C37" s="20"/>
      <c r="D37" s="146"/>
      <c r="E37" s="14"/>
      <c r="F37" s="150"/>
      <c r="G37" s="25">
        <f t="shared" si="4"/>
        <v>115</v>
      </c>
      <c r="H37" s="16">
        <f t="shared" si="0"/>
        <v>0</v>
      </c>
      <c r="I37" s="28"/>
      <c r="J37" s="31"/>
      <c r="K37" s="25">
        <f t="shared" si="5"/>
        <v>115</v>
      </c>
      <c r="L37" s="16">
        <f t="shared" si="1"/>
        <v>0</v>
      </c>
      <c r="M37" s="28"/>
      <c r="N37" s="149">
        <f t="shared" si="2"/>
        <v>0</v>
      </c>
      <c r="O37" s="18" t="str">
        <f t="shared" si="3"/>
        <v/>
      </c>
    </row>
    <row r="38" spans="1:15">
      <c r="A38" s="19"/>
      <c r="B38" s="151"/>
      <c r="C38" s="20"/>
      <c r="D38" s="146"/>
      <c r="E38" s="14"/>
      <c r="F38" s="150"/>
      <c r="G38" s="25">
        <f t="shared" si="4"/>
        <v>115</v>
      </c>
      <c r="H38" s="16">
        <f t="shared" si="0"/>
        <v>0</v>
      </c>
      <c r="I38" s="28"/>
      <c r="J38" s="31"/>
      <c r="K38" s="25">
        <f t="shared" si="5"/>
        <v>115</v>
      </c>
      <c r="L38" s="16">
        <f t="shared" si="1"/>
        <v>0</v>
      </c>
      <c r="M38" s="28"/>
      <c r="N38" s="149">
        <f t="shared" si="2"/>
        <v>0</v>
      </c>
      <c r="O38" s="18" t="str">
        <f t="shared" si="3"/>
        <v/>
      </c>
    </row>
    <row r="39" spans="1:15">
      <c r="A39" s="19"/>
      <c r="B39" s="153" t="s">
        <v>26</v>
      </c>
      <c r="C39" s="154"/>
      <c r="D39" s="155"/>
      <c r="E39" s="154"/>
      <c r="F39" s="156"/>
      <c r="G39" s="240"/>
      <c r="H39" s="158">
        <f>SUM(H23:H38)</f>
        <v>6506.3320000000003</v>
      </c>
      <c r="I39" s="28"/>
      <c r="J39" s="159"/>
      <c r="K39" s="261"/>
      <c r="L39" s="158">
        <f>SUM(L23:L38)</f>
        <v>6931.4991007239005</v>
      </c>
      <c r="M39" s="28"/>
      <c r="N39" s="161">
        <f t="shared" si="2"/>
        <v>425.16710072390015</v>
      </c>
      <c r="O39" s="162">
        <f t="shared" si="3"/>
        <v>6.5346665482778954E-2</v>
      </c>
    </row>
    <row r="40" spans="1:15" ht="51">
      <c r="A40" s="163"/>
      <c r="B40" s="164" t="str">
        <f>'[2]J. DVA'!$B$16</f>
        <v>Rate Rider Calculation for Deferral / Variance Accounts Balances (excluding Global Adj.)</v>
      </c>
      <c r="C40" s="20"/>
      <c r="D40" s="146" t="s">
        <v>65</v>
      </c>
      <c r="E40" s="14"/>
      <c r="F40" s="172"/>
      <c r="G40" s="25">
        <f t="shared" ref="G40:G46" si="6">$F$18</f>
        <v>115</v>
      </c>
      <c r="H40" s="26">
        <f t="shared" ref="H40:H48" si="7">G40*F40</f>
        <v>0</v>
      </c>
      <c r="I40" s="173"/>
      <c r="J40" s="172">
        <f>'[2]J. DVA'!F25</f>
        <v>-0.29480743664353892</v>
      </c>
      <c r="K40" s="25">
        <f t="shared" ref="K40:K46" si="8">$F$18</f>
        <v>115</v>
      </c>
      <c r="L40" s="26">
        <f t="shared" ref="L40:L48" si="9">K40*J40</f>
        <v>-33.902855214006976</v>
      </c>
      <c r="M40" s="173"/>
      <c r="N40" s="174">
        <f t="shared" si="2"/>
        <v>-33.902855214006976</v>
      </c>
      <c r="O40" s="27" t="str">
        <f t="shared" si="3"/>
        <v/>
      </c>
    </row>
    <row r="41" spans="1:15" ht="51">
      <c r="A41" s="169"/>
      <c r="B41" s="164" t="str">
        <f>'[2]J. DVA'!$B$28</f>
        <v>Rate Rider Calculation for Deferral / Variance Accounts Balances (excluding Global Adj.) - NON-WMP</v>
      </c>
      <c r="C41" s="20"/>
      <c r="D41" s="242" t="s">
        <v>65</v>
      </c>
      <c r="E41" s="20"/>
      <c r="F41" s="166"/>
      <c r="G41" s="21">
        <f t="shared" si="6"/>
        <v>115</v>
      </c>
      <c r="H41" s="22">
        <f t="shared" si="7"/>
        <v>0</v>
      </c>
      <c r="I41" s="167"/>
      <c r="J41" s="166">
        <f>'[2]J. DVA'!F37</f>
        <v>-0.95509597629245713</v>
      </c>
      <c r="K41" s="21">
        <f t="shared" si="8"/>
        <v>115</v>
      </c>
      <c r="L41" s="22">
        <f t="shared" si="9"/>
        <v>-109.83603727363257</v>
      </c>
      <c r="M41" s="167"/>
      <c r="N41" s="168">
        <f t="shared" si="2"/>
        <v>-109.83603727363257</v>
      </c>
      <c r="O41" s="24" t="str">
        <f t="shared" si="3"/>
        <v/>
      </c>
    </row>
    <row r="42" spans="1:15" ht="38.25">
      <c r="A42" s="169"/>
      <c r="B42" s="164" t="str">
        <f>'[2]J. DVA'!$B$40</f>
        <v>Rate Rider Calculation for RSVA - Power - Global Adjustment</v>
      </c>
      <c r="C42" s="20"/>
      <c r="D42" s="242" t="s">
        <v>65</v>
      </c>
      <c r="E42" s="20"/>
      <c r="F42" s="166"/>
      <c r="G42" s="21">
        <f t="shared" si="6"/>
        <v>115</v>
      </c>
      <c r="H42" s="22"/>
      <c r="I42" s="167"/>
      <c r="J42" s="166">
        <f>'[2]J. DVA'!F49</f>
        <v>1.7625987439720781</v>
      </c>
      <c r="K42" s="21">
        <f t="shared" si="8"/>
        <v>115</v>
      </c>
      <c r="L42" s="22">
        <f t="shared" si="9"/>
        <v>202.69885555678897</v>
      </c>
      <c r="M42" s="167"/>
      <c r="N42" s="168">
        <f t="shared" si="2"/>
        <v>202.69885555678897</v>
      </c>
      <c r="O42" s="24" t="str">
        <f t="shared" si="3"/>
        <v/>
      </c>
    </row>
    <row r="43" spans="1:15" ht="25.5">
      <c r="A43" s="169"/>
      <c r="B43" s="164" t="str">
        <f>'[2]J. DVA'!$B$65</f>
        <v>Rate Rider Calculation for Group 2 Accounts</v>
      </c>
      <c r="C43" s="20"/>
      <c r="D43" s="242" t="s">
        <v>65</v>
      </c>
      <c r="E43" s="20"/>
      <c r="F43" s="166"/>
      <c r="G43" s="21">
        <f t="shared" si="6"/>
        <v>115</v>
      </c>
      <c r="H43" s="22"/>
      <c r="I43" s="167"/>
      <c r="J43" s="166">
        <f>'[2]J. DVA'!F74</f>
        <v>2.8536134822241099E-2</v>
      </c>
      <c r="K43" s="21">
        <f t="shared" si="8"/>
        <v>115</v>
      </c>
      <c r="L43" s="22">
        <f t="shared" si="9"/>
        <v>3.2816555045577265</v>
      </c>
      <c r="M43" s="167"/>
      <c r="N43" s="168">
        <f t="shared" si="2"/>
        <v>3.2816555045577265</v>
      </c>
      <c r="O43" s="24" t="str">
        <f t="shared" si="3"/>
        <v/>
      </c>
    </row>
    <row r="44" spans="1:15" ht="25.5">
      <c r="A44" s="163"/>
      <c r="B44" s="164" t="str">
        <f>'[2]J. DVA'!$B$77</f>
        <v>Rate Rider Calculation for Accounts 1575 and 1576</v>
      </c>
      <c r="C44" s="20"/>
      <c r="D44" s="242" t="s">
        <v>65</v>
      </c>
      <c r="E44" s="20"/>
      <c r="F44" s="166"/>
      <c r="G44" s="21">
        <f t="shared" si="6"/>
        <v>115</v>
      </c>
      <c r="H44" s="22">
        <f t="shared" si="7"/>
        <v>0</v>
      </c>
      <c r="I44" s="167"/>
      <c r="J44" s="166">
        <f>'[2]J. DVA'!F88</f>
        <v>-0.14019167399188479</v>
      </c>
      <c r="K44" s="21">
        <f t="shared" si="8"/>
        <v>115</v>
      </c>
      <c r="L44" s="22">
        <f t="shared" si="9"/>
        <v>-16.122042509066752</v>
      </c>
      <c r="M44" s="167"/>
      <c r="N44" s="168">
        <f t="shared" si="2"/>
        <v>-16.122042509066752</v>
      </c>
      <c r="O44" s="24" t="str">
        <f t="shared" si="3"/>
        <v/>
      </c>
    </row>
    <row r="45" spans="1:15" ht="25.5">
      <c r="A45" s="163"/>
      <c r="B45" s="164" t="str">
        <f>'[2]J. DVA'!$B$91</f>
        <v>Rate Rider Calculation for Accounts 1568</v>
      </c>
      <c r="C45" s="20"/>
      <c r="D45" s="146" t="s">
        <v>65</v>
      </c>
      <c r="E45" s="14"/>
      <c r="F45" s="172"/>
      <c r="G45" s="25">
        <f t="shared" si="6"/>
        <v>115</v>
      </c>
      <c r="H45" s="26">
        <f t="shared" si="7"/>
        <v>0</v>
      </c>
      <c r="I45" s="173"/>
      <c r="J45" s="172">
        <f>'[2]J. DVA'!F102</f>
        <v>6.0178622037680915E-2</v>
      </c>
      <c r="K45" s="25">
        <f t="shared" si="8"/>
        <v>115</v>
      </c>
      <c r="L45" s="22">
        <f t="shared" si="9"/>
        <v>6.9205415343333057</v>
      </c>
      <c r="M45" s="167"/>
      <c r="N45" s="168">
        <f t="shared" si="2"/>
        <v>6.9205415343333057</v>
      </c>
      <c r="O45" s="24" t="str">
        <f t="shared" si="3"/>
        <v/>
      </c>
    </row>
    <row r="46" spans="1:15">
      <c r="A46" s="163" t="s">
        <v>63</v>
      </c>
      <c r="B46" s="151" t="s">
        <v>27</v>
      </c>
      <c r="C46" s="20"/>
      <c r="D46" s="146" t="s">
        <v>65</v>
      </c>
      <c r="E46" s="14"/>
      <c r="F46" s="172">
        <v>0.30570000000000003</v>
      </c>
      <c r="G46" s="25">
        <f t="shared" si="6"/>
        <v>115</v>
      </c>
      <c r="H46" s="26">
        <f t="shared" si="7"/>
        <v>35.155500000000004</v>
      </c>
      <c r="I46" s="173"/>
      <c r="J46" s="172">
        <f>'[3]4.12 PowerSupplExp'!$I$174</f>
        <v>0.22</v>
      </c>
      <c r="K46" s="25">
        <f t="shared" si="8"/>
        <v>115</v>
      </c>
      <c r="L46" s="26">
        <f t="shared" si="9"/>
        <v>25.3</v>
      </c>
      <c r="M46" s="173"/>
      <c r="N46" s="174">
        <f t="shared" si="2"/>
        <v>-9.8555000000000028</v>
      </c>
      <c r="O46" s="27">
        <f t="shared" si="3"/>
        <v>-0.28034020281321564</v>
      </c>
    </row>
    <row r="47" spans="1:15">
      <c r="A47" s="19"/>
      <c r="B47" s="170" t="s">
        <v>28</v>
      </c>
      <c r="C47" s="20"/>
      <c r="D47" s="146" t="s">
        <v>65</v>
      </c>
      <c r="E47" s="14"/>
      <c r="F47" s="172">
        <f>IF(ISBLANK(D16)=1, 0, IF(D16="TOU", 0.64*$F$57+0.18*$F$58+0.18*$F$59, IF(AND(D16="non-TOU", G61&gt;0), F61,F60)))</f>
        <v>0.10766000000000001</v>
      </c>
      <c r="G47" s="25">
        <f>$F$18*(1+$F$76)-$F$18</f>
        <v>4.4849999999999852</v>
      </c>
      <c r="H47" s="26">
        <f t="shared" si="7"/>
        <v>0.48285509999999843</v>
      </c>
      <c r="I47" s="173"/>
      <c r="J47" s="172">
        <f>0.64*$F$57+0.18*$F$58+0.18*$F$59</f>
        <v>0.10766000000000001</v>
      </c>
      <c r="K47" s="25">
        <f>$F$18*(1+$J$76)-$F$18</f>
        <v>5.2555000000000121</v>
      </c>
      <c r="L47" s="26">
        <f t="shared" si="9"/>
        <v>0.56580713000000138</v>
      </c>
      <c r="M47" s="173"/>
      <c r="N47" s="174">
        <f t="shared" si="2"/>
        <v>8.2952030000002952E-2</v>
      </c>
      <c r="O47" s="27">
        <f t="shared" si="3"/>
        <v>0.17179487179487846</v>
      </c>
    </row>
    <row r="48" spans="1:15">
      <c r="A48" s="19"/>
      <c r="B48" s="170" t="s">
        <v>29</v>
      </c>
      <c r="C48" s="20"/>
      <c r="D48" s="146" t="s">
        <v>65</v>
      </c>
      <c r="E48" s="14"/>
      <c r="F48" s="172">
        <v>0.79</v>
      </c>
      <c r="G48" s="25">
        <v>1</v>
      </c>
      <c r="H48" s="26">
        <f t="shared" si="7"/>
        <v>0.79</v>
      </c>
      <c r="I48" s="173"/>
      <c r="J48" s="172">
        <v>0.79</v>
      </c>
      <c r="K48" s="25">
        <v>1</v>
      </c>
      <c r="L48" s="26">
        <f t="shared" si="9"/>
        <v>0.79</v>
      </c>
      <c r="M48" s="173"/>
      <c r="N48" s="174">
        <f t="shared" si="2"/>
        <v>0</v>
      </c>
      <c r="O48" s="27"/>
    </row>
    <row r="49" spans="2:19" ht="25.5">
      <c r="B49" s="175" t="s">
        <v>30</v>
      </c>
      <c r="C49" s="176"/>
      <c r="D49" s="176"/>
      <c r="E49" s="176"/>
      <c r="F49" s="177"/>
      <c r="G49" s="243"/>
      <c r="H49" s="179">
        <f>SUM(H40:H48)+H39</f>
        <v>6542.7603551000002</v>
      </c>
      <c r="I49" s="28"/>
      <c r="J49" s="178"/>
      <c r="K49" s="262"/>
      <c r="L49" s="179">
        <f>SUM(L40:L48)+L39</f>
        <v>7011.1950254528738</v>
      </c>
      <c r="M49" s="28"/>
      <c r="N49" s="161">
        <f t="shared" si="2"/>
        <v>468.43467035287358</v>
      </c>
      <c r="O49" s="162">
        <f t="shared" ref="O49:O67" si="10">IF((H49)=0,"",(N49/H49))</f>
        <v>7.1595877722731294E-2</v>
      </c>
    </row>
    <row r="50" spans="2:19">
      <c r="B50" s="181" t="s">
        <v>31</v>
      </c>
      <c r="C50" s="28"/>
      <c r="D50" s="146" t="s">
        <v>65</v>
      </c>
      <c r="E50" s="28"/>
      <c r="F50" s="31">
        <v>1.786</v>
      </c>
      <c r="G50" s="100">
        <f>F18*(1+F76)</f>
        <v>119.48499999999999</v>
      </c>
      <c r="H50" s="16">
        <f>G50*F50</f>
        <v>213.40020999999999</v>
      </c>
      <c r="I50" s="28"/>
      <c r="J50" s="31">
        <f>'[3]4.12 PowerSupplExp'!$N$62</f>
        <v>1.6749743229237766</v>
      </c>
      <c r="K50" s="113">
        <f>F18*(1+J76)</f>
        <v>120.25550000000001</v>
      </c>
      <c r="L50" s="16">
        <f>K50*J50</f>
        <v>201.42487469036024</v>
      </c>
      <c r="M50" s="28"/>
      <c r="N50" s="149">
        <f t="shared" si="2"/>
        <v>-11.975335309639746</v>
      </c>
      <c r="O50" s="18">
        <f t="shared" si="10"/>
        <v>-5.61167925263042E-2</v>
      </c>
    </row>
    <row r="51" spans="2:19" ht="25.5">
      <c r="B51" s="183" t="s">
        <v>32</v>
      </c>
      <c r="C51" s="28"/>
      <c r="D51" s="146" t="s">
        <v>65</v>
      </c>
      <c r="E51" s="28"/>
      <c r="F51" s="31">
        <v>1.2338</v>
      </c>
      <c r="G51" s="100">
        <f>G50</f>
        <v>119.48499999999999</v>
      </c>
      <c r="H51" s="16">
        <f>G51*F51</f>
        <v>147.420593</v>
      </c>
      <c r="I51" s="28"/>
      <c r="J51" s="31">
        <f>'[3]4.12 PowerSupplExp'!$N$78</f>
        <v>1.2418007380417413</v>
      </c>
      <c r="K51" s="113">
        <f>K50</f>
        <v>120.25550000000001</v>
      </c>
      <c r="L51" s="16">
        <f>K51*J51</f>
        <v>149.33336865357865</v>
      </c>
      <c r="M51" s="28"/>
      <c r="N51" s="149">
        <f t="shared" si="2"/>
        <v>1.9127756535786489</v>
      </c>
      <c r="O51" s="18">
        <f t="shared" si="10"/>
        <v>1.2974955633088852E-2</v>
      </c>
    </row>
    <row r="52" spans="2:19" ht="25.5">
      <c r="B52" s="175" t="s">
        <v>33</v>
      </c>
      <c r="C52" s="154"/>
      <c r="D52" s="154"/>
      <c r="E52" s="154"/>
      <c r="F52" s="184"/>
      <c r="G52" s="243"/>
      <c r="H52" s="179">
        <f>SUM(H49:H51)</f>
        <v>6903.5811580999998</v>
      </c>
      <c r="I52" s="185"/>
      <c r="J52" s="186"/>
      <c r="K52" s="263"/>
      <c r="L52" s="179">
        <f>SUM(L49:L51)</f>
        <v>7361.9532687968131</v>
      </c>
      <c r="M52" s="185"/>
      <c r="N52" s="161">
        <f t="shared" si="2"/>
        <v>458.37211069681325</v>
      </c>
      <c r="O52" s="162">
        <f t="shared" si="10"/>
        <v>6.6396280452067025E-2</v>
      </c>
    </row>
    <row r="53" spans="2:19" ht="25.5">
      <c r="B53" s="145" t="s">
        <v>34</v>
      </c>
      <c r="C53" s="20"/>
      <c r="D53" s="188" t="s">
        <v>24</v>
      </c>
      <c r="E53" s="14"/>
      <c r="F53" s="31">
        <v>3.5999999999999999E-3</v>
      </c>
      <c r="G53" s="100">
        <f>G51</f>
        <v>119.48499999999999</v>
      </c>
      <c r="H53" s="99">
        <f t="shared" ref="H53:H59" si="11">G53*F53</f>
        <v>0.43014599999999992</v>
      </c>
      <c r="I53" s="19"/>
      <c r="J53" s="31">
        <v>3.5999999999999999E-3</v>
      </c>
      <c r="K53" s="113">
        <f>K51</f>
        <v>120.25550000000001</v>
      </c>
      <c r="L53" s="16">
        <f t="shared" ref="L53:L59" si="12">K53*J53</f>
        <v>0.43291980000000002</v>
      </c>
      <c r="M53" s="28"/>
      <c r="N53" s="149">
        <f t="shared" si="2"/>
        <v>2.773800000000104E-3</v>
      </c>
      <c r="O53" s="18">
        <f t="shared" si="10"/>
        <v>6.4485081809434576E-3</v>
      </c>
    </row>
    <row r="54" spans="2:19" ht="25.5">
      <c r="B54" s="145" t="s">
        <v>35</v>
      </c>
      <c r="C54" s="20"/>
      <c r="D54" s="188" t="s">
        <v>24</v>
      </c>
      <c r="E54" s="14"/>
      <c r="F54" s="31">
        <v>1.2999999999999999E-3</v>
      </c>
      <c r="G54" s="100">
        <f>G51</f>
        <v>119.48499999999999</v>
      </c>
      <c r="H54" s="99">
        <f t="shared" si="11"/>
        <v>0.15533049999999998</v>
      </c>
      <c r="I54" s="19"/>
      <c r="J54" s="31">
        <v>1.2999999999999999E-3</v>
      </c>
      <c r="K54" s="113">
        <f>K51</f>
        <v>120.25550000000001</v>
      </c>
      <c r="L54" s="16">
        <f t="shared" si="12"/>
        <v>0.15633215</v>
      </c>
      <c r="M54" s="28"/>
      <c r="N54" s="149">
        <f t="shared" si="2"/>
        <v>1.0016500000000206E-3</v>
      </c>
      <c r="O54" s="18">
        <f t="shared" si="10"/>
        <v>6.4485081809433475E-3</v>
      </c>
    </row>
    <row r="55" spans="2:19" ht="25.5">
      <c r="B55" s="145" t="s">
        <v>36</v>
      </c>
      <c r="C55" s="20"/>
      <c r="D55" s="188" t="s">
        <v>19</v>
      </c>
      <c r="E55" s="14"/>
      <c r="F55" s="102">
        <v>0.25</v>
      </c>
      <c r="G55" s="25">
        <v>1</v>
      </c>
      <c r="H55" s="99">
        <f t="shared" si="11"/>
        <v>0.25</v>
      </c>
      <c r="I55" s="19"/>
      <c r="J55" s="102">
        <v>0.25</v>
      </c>
      <c r="K55" s="112">
        <v>1</v>
      </c>
      <c r="L55" s="16">
        <f t="shared" si="12"/>
        <v>0.25</v>
      </c>
      <c r="M55" s="28"/>
      <c r="N55" s="149">
        <f t="shared" si="2"/>
        <v>0</v>
      </c>
      <c r="O55" s="18">
        <f t="shared" si="10"/>
        <v>0</v>
      </c>
    </row>
    <row r="56" spans="2:19">
      <c r="B56" s="145" t="s">
        <v>37</v>
      </c>
      <c r="C56" s="20"/>
      <c r="D56" s="188" t="s">
        <v>24</v>
      </c>
      <c r="E56" s="14"/>
      <c r="F56" s="31">
        <v>1.1000000000000001E-3</v>
      </c>
      <c r="G56" s="100">
        <f>F18</f>
        <v>115</v>
      </c>
      <c r="H56" s="99">
        <f t="shared" si="11"/>
        <v>0.1265</v>
      </c>
      <c r="I56" s="19"/>
      <c r="J56" s="31">
        <v>1.1000000000000001E-3</v>
      </c>
      <c r="K56" s="113">
        <f>F18</f>
        <v>115</v>
      </c>
      <c r="L56" s="16">
        <f t="shared" si="12"/>
        <v>0.1265</v>
      </c>
      <c r="M56" s="28"/>
      <c r="N56" s="149">
        <f t="shared" si="2"/>
        <v>0</v>
      </c>
      <c r="O56" s="18">
        <f t="shared" si="10"/>
        <v>0</v>
      </c>
    </row>
    <row r="57" spans="2:19">
      <c r="B57" s="170" t="s">
        <v>38</v>
      </c>
      <c r="C57" s="20"/>
      <c r="D57" s="188" t="s">
        <v>24</v>
      </c>
      <c r="E57" s="14"/>
      <c r="F57" s="102">
        <v>8.3000000000000004E-2</v>
      </c>
      <c r="G57" s="247">
        <f>0.64*$F$18</f>
        <v>73.600000000000009</v>
      </c>
      <c r="H57" s="99">
        <f t="shared" si="11"/>
        <v>6.1088000000000013</v>
      </c>
      <c r="I57" s="19"/>
      <c r="J57" s="102">
        <v>8.3000000000000004E-2</v>
      </c>
      <c r="K57" s="247">
        <f>G57</f>
        <v>73.600000000000009</v>
      </c>
      <c r="L57" s="16">
        <f t="shared" si="12"/>
        <v>6.1088000000000013</v>
      </c>
      <c r="M57" s="28"/>
      <c r="N57" s="149">
        <f t="shared" si="2"/>
        <v>0</v>
      </c>
      <c r="O57" s="18">
        <f t="shared" si="10"/>
        <v>0</v>
      </c>
      <c r="S57" s="190"/>
    </row>
    <row r="58" spans="2:19">
      <c r="B58" s="170" t="s">
        <v>39</v>
      </c>
      <c r="C58" s="20"/>
      <c r="D58" s="188" t="s">
        <v>24</v>
      </c>
      <c r="E58" s="14"/>
      <c r="F58" s="102">
        <v>0.128</v>
      </c>
      <c r="G58" s="247">
        <f>0.18*$F$18</f>
        <v>20.7</v>
      </c>
      <c r="H58" s="99">
        <f t="shared" si="11"/>
        <v>2.6496</v>
      </c>
      <c r="I58" s="19"/>
      <c r="J58" s="102">
        <v>0.128</v>
      </c>
      <c r="K58" s="247">
        <f>G58</f>
        <v>20.7</v>
      </c>
      <c r="L58" s="16">
        <f t="shared" si="12"/>
        <v>2.6496</v>
      </c>
      <c r="M58" s="28"/>
      <c r="N58" s="149">
        <f t="shared" si="2"/>
        <v>0</v>
      </c>
      <c r="O58" s="18">
        <f t="shared" si="10"/>
        <v>0</v>
      </c>
      <c r="S58" s="190"/>
    </row>
    <row r="59" spans="2:19">
      <c r="B59" s="135" t="s">
        <v>40</v>
      </c>
      <c r="C59" s="20"/>
      <c r="D59" s="188" t="s">
        <v>24</v>
      </c>
      <c r="E59" s="14"/>
      <c r="F59" s="102">
        <v>0.17499999999999999</v>
      </c>
      <c r="G59" s="247">
        <f>0.18*$F$18</f>
        <v>20.7</v>
      </c>
      <c r="H59" s="99">
        <f t="shared" si="11"/>
        <v>3.6224999999999996</v>
      </c>
      <c r="I59" s="19"/>
      <c r="J59" s="102">
        <v>0.17499999999999999</v>
      </c>
      <c r="K59" s="247">
        <f>G59</f>
        <v>20.7</v>
      </c>
      <c r="L59" s="16">
        <f t="shared" si="12"/>
        <v>3.6224999999999996</v>
      </c>
      <c r="M59" s="28"/>
      <c r="N59" s="149">
        <f t="shared" si="2"/>
        <v>0</v>
      </c>
      <c r="O59" s="18">
        <f t="shared" si="10"/>
        <v>0</v>
      </c>
      <c r="S59" s="190"/>
    </row>
    <row r="60" spans="2:19" s="195" customFormat="1">
      <c r="B60" s="191" t="s">
        <v>41</v>
      </c>
      <c r="C60" s="32"/>
      <c r="D60" s="188" t="s">
        <v>24</v>
      </c>
      <c r="E60" s="32"/>
      <c r="F60" s="102">
        <v>9.9000000000000005E-2</v>
      </c>
      <c r="G60" s="249">
        <f>IF(AND($T$1=1, F18&gt;=600), 600, IF(AND($T$1=1, AND(F18&lt;600, F18&gt;=0)), F18, IF(AND($T$1=2, F18&gt;=1000), 1000, IF(AND($T$1=2, AND(F18&lt;1000, F18&gt;=0)), F18))))</f>
        <v>115</v>
      </c>
      <c r="H60" s="99">
        <f>G60*F60</f>
        <v>11.385</v>
      </c>
      <c r="I60" s="250"/>
      <c r="J60" s="102">
        <v>9.9000000000000005E-2</v>
      </c>
      <c r="K60" s="249">
        <f>G60</f>
        <v>115</v>
      </c>
      <c r="L60" s="16">
        <f>K60*J60</f>
        <v>11.385</v>
      </c>
      <c r="M60" s="193"/>
      <c r="N60" s="194">
        <f t="shared" si="2"/>
        <v>0</v>
      </c>
      <c r="O60" s="18">
        <f t="shared" si="10"/>
        <v>0</v>
      </c>
    </row>
    <row r="61" spans="2:19" s="195" customFormat="1" ht="13.5" thickBot="1">
      <c r="B61" s="191" t="s">
        <v>42</v>
      </c>
      <c r="C61" s="32"/>
      <c r="D61" s="188" t="s">
        <v>24</v>
      </c>
      <c r="E61" s="32"/>
      <c r="F61" s="102">
        <v>0.11600000000000001</v>
      </c>
      <c r="G61" s="249">
        <f>IF(AND($T$1=1, F18&gt;=600), F18-600, IF(AND($T$1=1, AND(F18&lt;600, F18&gt;=0)), 0, IF(AND($T$1=2, F18&gt;=1000), F18-1000, IF(AND($T$1=2, AND(F18&lt;1000, F18&gt;=0)), 0))))</f>
        <v>0</v>
      </c>
      <c r="H61" s="99">
        <f>G61*F61</f>
        <v>0</v>
      </c>
      <c r="I61" s="250"/>
      <c r="J61" s="102">
        <v>0.11600000000000001</v>
      </c>
      <c r="K61" s="249">
        <f>G61</f>
        <v>0</v>
      </c>
      <c r="L61" s="16">
        <f>K61*J61</f>
        <v>0</v>
      </c>
      <c r="M61" s="193"/>
      <c r="N61" s="194">
        <f t="shared" si="2"/>
        <v>0</v>
      </c>
      <c r="O61" s="18" t="str">
        <f t="shared" si="10"/>
        <v/>
      </c>
    </row>
    <row r="62" spans="2:19" ht="13.5" thickBot="1">
      <c r="B62" s="196"/>
      <c r="C62" s="197"/>
      <c r="D62" s="198"/>
      <c r="E62" s="197"/>
      <c r="F62" s="199"/>
      <c r="G62" s="253"/>
      <c r="H62" s="201"/>
      <c r="I62" s="202"/>
      <c r="J62" s="199"/>
      <c r="K62" s="264"/>
      <c r="L62" s="201"/>
      <c r="M62" s="202"/>
      <c r="N62" s="204"/>
      <c r="O62" s="205"/>
    </row>
    <row r="63" spans="2:19" ht="25.5">
      <c r="B63" s="33" t="s">
        <v>43</v>
      </c>
      <c r="C63" s="20"/>
      <c r="D63" s="20"/>
      <c r="E63" s="20"/>
      <c r="F63" s="34"/>
      <c r="G63" s="103"/>
      <c r="H63" s="36">
        <f>SUM(H53:H59,H52)</f>
        <v>6916.9240345999997</v>
      </c>
      <c r="I63" s="37"/>
      <c r="J63" s="38"/>
      <c r="K63" s="114"/>
      <c r="L63" s="36">
        <f>SUM(L53:L59,L52)</f>
        <v>7375.2999207468129</v>
      </c>
      <c r="M63" s="39"/>
      <c r="N63" s="40">
        <f>L63-H63</f>
        <v>458.37588614681317</v>
      </c>
      <c r="O63" s="41">
        <f>IF((H63)=0,"",(N63/H63))</f>
        <v>6.6268746606716306E-2</v>
      </c>
      <c r="S63" s="190"/>
    </row>
    <row r="64" spans="2:19">
      <c r="B64" s="42" t="s">
        <v>44</v>
      </c>
      <c r="C64" s="20"/>
      <c r="D64" s="20"/>
      <c r="E64" s="20"/>
      <c r="F64" s="43">
        <v>0.13</v>
      </c>
      <c r="G64" s="105"/>
      <c r="H64" s="45">
        <f>H63*F64</f>
        <v>899.20012449800004</v>
      </c>
      <c r="I64" s="46"/>
      <c r="J64" s="47">
        <v>0.13</v>
      </c>
      <c r="K64" s="115"/>
      <c r="L64" s="48">
        <f>L63*J64</f>
        <v>958.78898969708575</v>
      </c>
      <c r="M64" s="49"/>
      <c r="N64" s="50">
        <f t="shared" si="2"/>
        <v>59.588865199085717</v>
      </c>
      <c r="O64" s="18">
        <f t="shared" si="10"/>
        <v>6.6268746606716306E-2</v>
      </c>
      <c r="S64" s="190"/>
    </row>
    <row r="65" spans="1:19">
      <c r="B65" s="206" t="s">
        <v>45</v>
      </c>
      <c r="C65" s="20"/>
      <c r="D65" s="20"/>
      <c r="E65" s="20"/>
      <c r="F65" s="51"/>
      <c r="G65" s="105"/>
      <c r="H65" s="45">
        <f>H63+H64</f>
        <v>7816.1241590979998</v>
      </c>
      <c r="I65" s="46"/>
      <c r="J65" s="46"/>
      <c r="K65" s="115"/>
      <c r="L65" s="48">
        <f>L63+L64</f>
        <v>8334.0889104438993</v>
      </c>
      <c r="M65" s="49"/>
      <c r="N65" s="50">
        <f t="shared" si="2"/>
        <v>517.96475134589946</v>
      </c>
      <c r="O65" s="18">
        <f t="shared" si="10"/>
        <v>6.6268746606716375E-2</v>
      </c>
      <c r="S65" s="190"/>
    </row>
    <row r="66" spans="1:19">
      <c r="B66" s="297" t="s">
        <v>46</v>
      </c>
      <c r="C66" s="297"/>
      <c r="D66" s="297"/>
      <c r="E66" s="20"/>
      <c r="F66" s="51"/>
      <c r="G66" s="105"/>
      <c r="H66" s="52">
        <f>ROUND(-H65*0.1,2)</f>
        <v>-781.61</v>
      </c>
      <c r="I66" s="46"/>
      <c r="J66" s="46"/>
      <c r="K66" s="115"/>
      <c r="L66" s="53">
        <f>ROUND(-L65*0.1,2)</f>
        <v>-833.41</v>
      </c>
      <c r="M66" s="49"/>
      <c r="N66" s="54">
        <f t="shared" si="2"/>
        <v>-51.799999999999955</v>
      </c>
      <c r="O66" s="55">
        <f t="shared" si="10"/>
        <v>6.6273461189084004E-2</v>
      </c>
    </row>
    <row r="67" spans="1:19" ht="13.5" thickBot="1">
      <c r="B67" s="298" t="s">
        <v>47</v>
      </c>
      <c r="C67" s="298"/>
      <c r="D67" s="298"/>
      <c r="E67" s="14"/>
      <c r="F67" s="207"/>
      <c r="G67" s="255"/>
      <c r="H67" s="209">
        <f>H65+H66</f>
        <v>7034.5141590980002</v>
      </c>
      <c r="I67" s="210"/>
      <c r="J67" s="210"/>
      <c r="K67" s="265"/>
      <c r="L67" s="211">
        <f>L65+L66</f>
        <v>7500.6789104438994</v>
      </c>
      <c r="M67" s="212"/>
      <c r="N67" s="213">
        <f t="shared" si="2"/>
        <v>466.16475134589928</v>
      </c>
      <c r="O67" s="214">
        <f t="shared" si="10"/>
        <v>6.6268222766030116E-2</v>
      </c>
    </row>
    <row r="68" spans="1:19" s="195" customFormat="1" ht="13.5" thickBot="1">
      <c r="B68" s="215"/>
      <c r="C68" s="216"/>
      <c r="D68" s="217"/>
      <c r="E68" s="216"/>
      <c r="F68" s="199"/>
      <c r="G68" s="256"/>
      <c r="H68" s="201"/>
      <c r="I68" s="219"/>
      <c r="J68" s="199"/>
      <c r="K68" s="266"/>
      <c r="L68" s="201"/>
      <c r="M68" s="219"/>
      <c r="N68" s="221"/>
      <c r="O68" s="205"/>
    </row>
    <row r="69" spans="1:19" s="195" customFormat="1" ht="25.5">
      <c r="B69" s="56" t="s">
        <v>48</v>
      </c>
      <c r="C69" s="32"/>
      <c r="D69" s="32"/>
      <c r="E69" s="32"/>
      <c r="F69" s="57"/>
      <c r="G69" s="107"/>
      <c r="H69" s="59">
        <f>SUM(H60:H61,H52,H53:H56)</f>
        <v>6915.9281345999998</v>
      </c>
      <c r="I69" s="60"/>
      <c r="J69" s="61"/>
      <c r="K69" s="116"/>
      <c r="L69" s="59">
        <f>SUM(L60:L61,L52,L53:L56)</f>
        <v>7374.304020746813</v>
      </c>
      <c r="M69" s="62"/>
      <c r="N69" s="63">
        <f>L69-H69</f>
        <v>458.37588614681317</v>
      </c>
      <c r="O69" s="41">
        <f>IF((H69)=0,"",(N69/H69))</f>
        <v>6.6278289367060414E-2</v>
      </c>
    </row>
    <row r="70" spans="1:19" s="195" customFormat="1">
      <c r="B70" s="64" t="s">
        <v>44</v>
      </c>
      <c r="C70" s="32"/>
      <c r="D70" s="32"/>
      <c r="E70" s="32"/>
      <c r="F70" s="65">
        <v>0.13</v>
      </c>
      <c r="G70" s="107"/>
      <c r="H70" s="66">
        <f>H69*F70</f>
        <v>899.07065749800006</v>
      </c>
      <c r="I70" s="67"/>
      <c r="J70" s="68">
        <v>0.13</v>
      </c>
      <c r="K70" s="117"/>
      <c r="L70" s="70">
        <f>L69*J70</f>
        <v>958.65952269708566</v>
      </c>
      <c r="M70" s="71"/>
      <c r="N70" s="72">
        <f>L70-H70</f>
        <v>59.588865199085603</v>
      </c>
      <c r="O70" s="18">
        <f>IF((H70)=0,"",(N70/H70))</f>
        <v>6.6278289367060289E-2</v>
      </c>
    </row>
    <row r="71" spans="1:19" s="195" customFormat="1">
      <c r="B71" s="222" t="s">
        <v>45</v>
      </c>
      <c r="C71" s="32"/>
      <c r="D71" s="32"/>
      <c r="E71" s="32"/>
      <c r="F71" s="73"/>
      <c r="G71" s="110"/>
      <c r="H71" s="66">
        <f>H69+H70</f>
        <v>7814.9987920980002</v>
      </c>
      <c r="I71" s="67"/>
      <c r="J71" s="67"/>
      <c r="K71" s="118"/>
      <c r="L71" s="70">
        <f>L69+L70</f>
        <v>8332.9635434438987</v>
      </c>
      <c r="M71" s="71"/>
      <c r="N71" s="72">
        <f>L71-H71</f>
        <v>517.96475134589855</v>
      </c>
      <c r="O71" s="18">
        <f>IF((H71)=0,"",(N71/H71))</f>
        <v>6.6278289367060372E-2</v>
      </c>
    </row>
    <row r="72" spans="1:19" s="195" customFormat="1">
      <c r="B72" s="299" t="s">
        <v>46</v>
      </c>
      <c r="C72" s="299"/>
      <c r="D72" s="299"/>
      <c r="E72" s="32"/>
      <c r="F72" s="73"/>
      <c r="G72" s="110"/>
      <c r="H72" s="75">
        <f>ROUND(-H71*0.1,2)</f>
        <v>-781.5</v>
      </c>
      <c r="I72" s="67"/>
      <c r="J72" s="67"/>
      <c r="K72" s="118"/>
      <c r="L72" s="76">
        <f>ROUND(-L71*0.1,2)</f>
        <v>-833.3</v>
      </c>
      <c r="M72" s="71"/>
      <c r="N72" s="77">
        <f>L72-H72</f>
        <v>-51.799999999999955</v>
      </c>
      <c r="O72" s="55">
        <f>IF((H72)=0,"",(N72/H72))</f>
        <v>6.6282789507357581E-2</v>
      </c>
    </row>
    <row r="73" spans="1:19" s="195" customFormat="1" ht="13.5" thickBot="1">
      <c r="B73" s="293" t="s">
        <v>49</v>
      </c>
      <c r="C73" s="293"/>
      <c r="D73" s="293"/>
      <c r="E73" s="32"/>
      <c r="F73" s="73"/>
      <c r="G73" s="110"/>
      <c r="H73" s="59">
        <f>SUM(H71:H72)</f>
        <v>7033.4987920980002</v>
      </c>
      <c r="I73" s="60"/>
      <c r="J73" s="60"/>
      <c r="K73" s="267"/>
      <c r="L73" s="223">
        <f>SUM(L71:L72)</f>
        <v>7499.6635434438986</v>
      </c>
      <c r="M73" s="62"/>
      <c r="N73" s="63">
        <f>L73-H73</f>
        <v>466.16475134589837</v>
      </c>
      <c r="O73" s="41">
        <f>IF((H73)=0,"",(N73/H73))</f>
        <v>6.6277789351385896E-2</v>
      </c>
    </row>
    <row r="74" spans="1:19" s="195" customFormat="1" ht="13.5" thickBot="1">
      <c r="B74" s="215"/>
      <c r="C74" s="216"/>
      <c r="D74" s="217"/>
      <c r="E74" s="216"/>
      <c r="F74" s="224"/>
      <c r="G74" s="259"/>
      <c r="H74" s="226"/>
      <c r="I74" s="227"/>
      <c r="J74" s="224"/>
      <c r="K74" s="256"/>
      <c r="L74" s="228"/>
      <c r="M74" s="219"/>
      <c r="N74" s="229"/>
      <c r="O74" s="205"/>
    </row>
    <row r="75" spans="1:19">
      <c r="L75" s="190"/>
    </row>
    <row r="76" spans="1:19">
      <c r="B76" s="230" t="s">
        <v>50</v>
      </c>
      <c r="F76" s="231">
        <v>3.9E-2</v>
      </c>
      <c r="J76" s="231">
        <v>4.5699999999999998E-2</v>
      </c>
    </row>
    <row r="78" spans="1:19" ht="14.25">
      <c r="A78" s="232" t="s">
        <v>51</v>
      </c>
    </row>
    <row r="80" spans="1:19">
      <c r="A80" s="12" t="s">
        <v>52</v>
      </c>
    </row>
    <row r="81" spans="1:2">
      <c r="A81" s="12" t="s">
        <v>53</v>
      </c>
    </row>
    <row r="83" spans="1:2">
      <c r="A83" s="233" t="s">
        <v>54</v>
      </c>
    </row>
    <row r="84" spans="1:2">
      <c r="A84" s="233" t="s">
        <v>55</v>
      </c>
    </row>
    <row r="86" spans="1:2">
      <c r="A86" s="12" t="s">
        <v>56</v>
      </c>
    </row>
    <row r="87" spans="1:2">
      <c r="A87" s="12" t="s">
        <v>57</v>
      </c>
    </row>
    <row r="88" spans="1:2">
      <c r="A88" s="12" t="s">
        <v>58</v>
      </c>
    </row>
    <row r="89" spans="1:2">
      <c r="A89" s="12" t="s">
        <v>59</v>
      </c>
    </row>
    <row r="90" spans="1:2">
      <c r="A90" s="12" t="s">
        <v>60</v>
      </c>
    </row>
    <row r="92" spans="1:2" ht="51">
      <c r="B92" s="13" t="s">
        <v>61</v>
      </c>
    </row>
  </sheetData>
  <mergeCells count="14">
    <mergeCell ref="B73:D73"/>
    <mergeCell ref="D21:D22"/>
    <mergeCell ref="N21:N22"/>
    <mergeCell ref="O21:O22"/>
    <mergeCell ref="B66:D66"/>
    <mergeCell ref="B67:D67"/>
    <mergeCell ref="B72:D72"/>
    <mergeCell ref="A3:K3"/>
    <mergeCell ref="B10:O10"/>
    <mergeCell ref="B11:O11"/>
    <mergeCell ref="D14:O14"/>
    <mergeCell ref="F20:H20"/>
    <mergeCell ref="J20:L20"/>
    <mergeCell ref="N20:O20"/>
  </mergeCells>
  <dataValidations disablePrompts="1" count="3">
    <dataValidation type="list" allowBlank="1" showInputMessage="1" showErrorMessage="1" sqref="E23:E38 E74 E50:E51 E53:E62 E68 E40:E48">
      <formula1>"#REF!"</formula1>
      <formula2>0</formula2>
    </dataValidation>
    <dataValidation type="list" allowBlank="1" showInputMessage="1" showErrorMessage="1" prompt="Select Charge Unit - monthly, per kWh, per kW" sqref="D74 D23:D38 D50:D51 D68 D53:D62 D40:D48">
      <formula1>"Monthly,per kWh,per kW"</formula1>
      <formula2>0</formula2>
    </dataValidation>
    <dataValidation type="list" allowBlank="1" showInputMessage="1" showErrorMessage="1" sqref="D16">
      <formula1>"TOU,non-TOU"</formula1>
      <formula2>0</formula2>
    </dataValidation>
  </dataValidations>
  <pageMargins left="0.25" right="0.25" top="0.75" bottom="0.75" header="0.3" footer="0.3"/>
  <pageSetup paperSize="9" scale="59" orientation="portrait" horizontalDpi="4294967292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2">
    <pageSetUpPr fitToPage="1"/>
  </sheetPr>
  <dimension ref="A1:T92"/>
  <sheetViews>
    <sheetView showGridLines="0" topLeftCell="A4" workbookViewId="0">
      <selection activeCell="T59" sqref="T59"/>
    </sheetView>
  </sheetViews>
  <sheetFormatPr defaultRowHeight="12.75"/>
  <cols>
    <col min="1" max="1" width="11.28515625" style="12" customWidth="1"/>
    <col min="2" max="2" width="26.570312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92" customWidth="1"/>
    <col min="8" max="8" width="11.140625" style="12" customWidth="1"/>
    <col min="9" max="9" width="2.85546875" style="12" customWidth="1"/>
    <col min="10" max="10" width="12.140625" style="12" customWidth="1"/>
    <col min="11" max="11" width="8.5703125" style="92" customWidth="1"/>
    <col min="12" max="12" width="13.140625" style="12" customWidth="1"/>
    <col min="13" max="13" width="2.85546875" style="12" customWidth="1"/>
    <col min="14" max="14" width="12.855468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85"/>
      <c r="H1" s="1"/>
      <c r="I1" s="1"/>
      <c r="J1" s="1"/>
      <c r="K1" s="119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87"/>
      <c r="H2" s="5"/>
      <c r="I2" s="5"/>
      <c r="J2" s="5"/>
      <c r="K2" s="87"/>
      <c r="N2" s="3"/>
      <c r="O2" s="7"/>
    </row>
    <row r="3" spans="1:20" s="2" customFormat="1" ht="12.75" customHeight="1">
      <c r="A3" s="288"/>
      <c r="B3" s="288"/>
      <c r="C3" s="288"/>
      <c r="D3" s="288"/>
      <c r="E3" s="288"/>
      <c r="F3" s="288"/>
      <c r="G3" s="288"/>
      <c r="H3" s="288"/>
      <c r="I3" s="288"/>
      <c r="J3" s="288"/>
      <c r="K3" s="288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87"/>
      <c r="H4" s="5"/>
      <c r="I4" s="8"/>
      <c r="J4" s="8"/>
      <c r="K4" s="90"/>
      <c r="N4" s="3"/>
      <c r="O4" s="7"/>
    </row>
    <row r="5" spans="1:20" s="2" customFormat="1" ht="12.75" customHeight="1">
      <c r="B5" s="9"/>
      <c r="C5" s="10"/>
      <c r="D5" s="10"/>
      <c r="E5" s="10"/>
      <c r="G5" s="90"/>
      <c r="K5" s="90"/>
      <c r="N5" s="3"/>
      <c r="O5" s="4"/>
    </row>
    <row r="6" spans="1:20" s="2" customFormat="1" ht="12.75" customHeight="1">
      <c r="B6" s="9"/>
      <c r="G6" s="90"/>
      <c r="K6" s="90"/>
      <c r="N6" s="3"/>
      <c r="O6" s="11"/>
    </row>
    <row r="7" spans="1:20" s="2" customFormat="1" ht="12.75" customHeight="1">
      <c r="B7" s="9"/>
      <c r="G7" s="90"/>
      <c r="K7" s="90"/>
      <c r="N7" s="3"/>
      <c r="O7" s="4"/>
    </row>
    <row r="8" spans="1:20" s="2" customFormat="1" ht="12.75" customHeight="1">
      <c r="B8" s="9"/>
      <c r="G8" s="90"/>
      <c r="K8" s="90"/>
    </row>
    <row r="9" spans="1:20" ht="12.75" customHeight="1"/>
    <row r="10" spans="1:20" s="130" customFormat="1" ht="18.75" customHeight="1">
      <c r="B10" s="289" t="s">
        <v>0</v>
      </c>
      <c r="C10" s="289"/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89"/>
      <c r="O10" s="289"/>
    </row>
    <row r="11" spans="1:20" ht="18.75" customHeight="1">
      <c r="B11" s="290" t="s">
        <v>1</v>
      </c>
      <c r="C11" s="290"/>
      <c r="D11" s="290"/>
      <c r="E11" s="290"/>
      <c r="F11" s="290"/>
      <c r="G11" s="290"/>
      <c r="H11" s="290"/>
      <c r="I11" s="290"/>
      <c r="J11" s="290"/>
      <c r="K11" s="290"/>
      <c r="L11" s="290"/>
      <c r="M11" s="290"/>
      <c r="N11" s="290"/>
      <c r="O11" s="290"/>
    </row>
    <row r="12" spans="1:20" ht="7.5" customHeight="1"/>
    <row r="13" spans="1:20" ht="7.5" customHeight="1"/>
    <row r="14" spans="1:20" ht="15.75">
      <c r="B14" s="131" t="s">
        <v>2</v>
      </c>
      <c r="D14" s="291" t="s">
        <v>69</v>
      </c>
      <c r="E14" s="291"/>
      <c r="F14" s="291"/>
      <c r="G14" s="291"/>
      <c r="H14" s="291"/>
      <c r="I14" s="291"/>
      <c r="J14" s="291"/>
      <c r="K14" s="291"/>
      <c r="L14" s="291"/>
      <c r="M14" s="291"/>
      <c r="N14" s="291"/>
      <c r="O14" s="291"/>
    </row>
    <row r="15" spans="1:20" ht="7.5" customHeight="1">
      <c r="B15" s="132"/>
      <c r="D15" s="133"/>
      <c r="E15" s="133"/>
      <c r="F15" s="133"/>
      <c r="G15" s="234"/>
      <c r="H15" s="133"/>
      <c r="I15" s="133"/>
      <c r="J15" s="133"/>
      <c r="K15" s="234"/>
      <c r="L15" s="133"/>
      <c r="M15" s="133"/>
      <c r="N15" s="133"/>
      <c r="O15" s="133"/>
    </row>
    <row r="16" spans="1:20" ht="15.75">
      <c r="B16" s="131" t="s">
        <v>4</v>
      </c>
      <c r="D16" s="134" t="s">
        <v>5</v>
      </c>
      <c r="E16" s="133"/>
      <c r="F16" s="133"/>
      <c r="G16" s="234"/>
      <c r="H16" s="133"/>
      <c r="I16" s="133"/>
      <c r="J16" s="133"/>
      <c r="K16" s="234"/>
      <c r="L16" s="133"/>
      <c r="M16" s="133"/>
      <c r="N16" s="133"/>
      <c r="O16" s="133"/>
    </row>
    <row r="17" spans="1:15" ht="15.75">
      <c r="B17" s="132"/>
      <c r="D17" s="133"/>
      <c r="E17" s="133"/>
      <c r="F17" s="133"/>
      <c r="G17" s="234"/>
      <c r="H17" s="133"/>
      <c r="I17" s="133"/>
      <c r="J17" s="133"/>
      <c r="K17" s="234"/>
      <c r="L17" s="133"/>
      <c r="M17" s="133"/>
      <c r="N17" s="133"/>
      <c r="O17" s="133"/>
    </row>
    <row r="18" spans="1:15">
      <c r="B18" s="135"/>
      <c r="D18" s="136" t="s">
        <v>6</v>
      </c>
      <c r="E18" s="136"/>
      <c r="F18" s="137">
        <v>1800</v>
      </c>
      <c r="G18" s="235" t="s">
        <v>70</v>
      </c>
    </row>
    <row r="19" spans="1:15">
      <c r="B19" s="135"/>
    </row>
    <row r="20" spans="1:15">
      <c r="B20" s="135"/>
      <c r="D20" s="138"/>
      <c r="E20" s="138"/>
      <c r="F20" s="292" t="s">
        <v>8</v>
      </c>
      <c r="G20" s="292"/>
      <c r="H20" s="292"/>
      <c r="J20" s="292" t="s">
        <v>9</v>
      </c>
      <c r="K20" s="292"/>
      <c r="L20" s="292"/>
      <c r="N20" s="292" t="s">
        <v>10</v>
      </c>
      <c r="O20" s="292"/>
    </row>
    <row r="21" spans="1:15">
      <c r="B21" s="135"/>
      <c r="D21" s="294" t="s">
        <v>11</v>
      </c>
      <c r="E21" s="139"/>
      <c r="F21" s="140" t="s">
        <v>12</v>
      </c>
      <c r="G21" s="236" t="s">
        <v>13</v>
      </c>
      <c r="H21" s="141" t="s">
        <v>14</v>
      </c>
      <c r="J21" s="140" t="s">
        <v>12</v>
      </c>
      <c r="K21" s="237" t="s">
        <v>13</v>
      </c>
      <c r="L21" s="141" t="s">
        <v>14</v>
      </c>
      <c r="N21" s="295" t="s">
        <v>15</v>
      </c>
      <c r="O21" s="296" t="s">
        <v>16</v>
      </c>
    </row>
    <row r="22" spans="1:15">
      <c r="B22" s="135"/>
      <c r="D22" s="294"/>
      <c r="E22" s="139"/>
      <c r="F22" s="143" t="s">
        <v>17</v>
      </c>
      <c r="G22" s="238"/>
      <c r="H22" s="144" t="s">
        <v>17</v>
      </c>
      <c r="J22" s="143" t="s">
        <v>17</v>
      </c>
      <c r="K22" s="239"/>
      <c r="L22" s="144" t="s">
        <v>17</v>
      </c>
      <c r="N22" s="295"/>
      <c r="O22" s="296"/>
    </row>
    <row r="23" spans="1:15">
      <c r="B23" s="145" t="s">
        <v>18</v>
      </c>
      <c r="C23" s="20"/>
      <c r="D23" s="146" t="s">
        <v>19</v>
      </c>
      <c r="E23" s="14"/>
      <c r="F23" s="147">
        <f>'[2]B. CurrentTariff'!C137</f>
        <v>6.25</v>
      </c>
      <c r="G23" s="25">
        <v>1</v>
      </c>
      <c r="H23" s="16">
        <f>G23*F23</f>
        <v>6.25</v>
      </c>
      <c r="I23" s="28"/>
      <c r="J23" s="148">
        <f>'[2]G. RateDesign'!B51</f>
        <v>10.85</v>
      </c>
      <c r="K23" s="120">
        <v>1</v>
      </c>
      <c r="L23" s="16">
        <f>K23*J23</f>
        <v>10.85</v>
      </c>
      <c r="M23" s="28"/>
      <c r="N23" s="149">
        <f>L23-H23</f>
        <v>4.5999999999999996</v>
      </c>
      <c r="O23" s="18">
        <f>IF((H23)=0,"",(N23/H23))</f>
        <v>0.73599999999999999</v>
      </c>
    </row>
    <row r="24" spans="1:15">
      <c r="A24" s="19"/>
      <c r="B24" s="145" t="s">
        <v>20</v>
      </c>
      <c r="C24" s="20"/>
      <c r="D24" s="146"/>
      <c r="E24" s="14"/>
      <c r="F24" s="150"/>
      <c r="G24" s="25">
        <v>1</v>
      </c>
      <c r="H24" s="16">
        <f t="shared" ref="H24:H38" si="0">G24*F24</f>
        <v>0</v>
      </c>
      <c r="I24" s="28"/>
      <c r="J24" s="31"/>
      <c r="K24" s="120">
        <v>1</v>
      </c>
      <c r="L24" s="16">
        <f>K24*J24</f>
        <v>0</v>
      </c>
      <c r="M24" s="28"/>
      <c r="N24" s="149">
        <f>L24-H24</f>
        <v>0</v>
      </c>
      <c r="O24" s="18" t="str">
        <f>IF((H24)=0,"",(N24/H24))</f>
        <v/>
      </c>
    </row>
    <row r="25" spans="1:15">
      <c r="A25" s="19"/>
      <c r="B25" s="152"/>
      <c r="C25" s="20"/>
      <c r="D25" s="146"/>
      <c r="E25" s="14"/>
      <c r="F25" s="150"/>
      <c r="G25" s="25">
        <v>1</v>
      </c>
      <c r="H25" s="16">
        <f t="shared" si="0"/>
        <v>0</v>
      </c>
      <c r="I25" s="28"/>
      <c r="J25" s="31"/>
      <c r="K25" s="120">
        <v>1</v>
      </c>
      <c r="L25" s="16">
        <f t="shared" ref="L25:L38" si="1">K25*J25</f>
        <v>0</v>
      </c>
      <c r="M25" s="28"/>
      <c r="N25" s="149">
        <f t="shared" ref="N25:N67" si="2">L25-H25</f>
        <v>0</v>
      </c>
      <c r="O25" s="18" t="str">
        <f t="shared" ref="O25:O47" si="3">IF((H25)=0,"",(N25/H25))</f>
        <v/>
      </c>
    </row>
    <row r="26" spans="1:15">
      <c r="A26" s="19"/>
      <c r="B26" s="152"/>
      <c r="C26" s="20"/>
      <c r="D26" s="146"/>
      <c r="E26" s="14"/>
      <c r="F26" s="150"/>
      <c r="G26" s="25">
        <v>1</v>
      </c>
      <c r="H26" s="16">
        <f t="shared" si="0"/>
        <v>0</v>
      </c>
      <c r="I26" s="28"/>
      <c r="J26" s="31"/>
      <c r="K26" s="120">
        <v>1</v>
      </c>
      <c r="L26" s="16">
        <f t="shared" si="1"/>
        <v>0</v>
      </c>
      <c r="M26" s="28"/>
      <c r="N26" s="149">
        <f t="shared" si="2"/>
        <v>0</v>
      </c>
      <c r="O26" s="18" t="str">
        <f t="shared" si="3"/>
        <v/>
      </c>
    </row>
    <row r="27" spans="1:15">
      <c r="A27" s="19"/>
      <c r="B27" s="152"/>
      <c r="C27" s="20"/>
      <c r="D27" s="146"/>
      <c r="E27" s="14"/>
      <c r="F27" s="150"/>
      <c r="G27" s="25">
        <v>1</v>
      </c>
      <c r="H27" s="16">
        <f t="shared" si="0"/>
        <v>0</v>
      </c>
      <c r="I27" s="28"/>
      <c r="J27" s="31"/>
      <c r="K27" s="120">
        <v>1</v>
      </c>
      <c r="L27" s="16">
        <f t="shared" si="1"/>
        <v>0</v>
      </c>
      <c r="M27" s="28"/>
      <c r="N27" s="149">
        <f t="shared" si="2"/>
        <v>0</v>
      </c>
      <c r="O27" s="18" t="str">
        <f t="shared" si="3"/>
        <v/>
      </c>
    </row>
    <row r="28" spans="1:15">
      <c r="A28" s="19"/>
      <c r="B28" s="152"/>
      <c r="C28" s="20"/>
      <c r="D28" s="146"/>
      <c r="E28" s="14"/>
      <c r="F28" s="150"/>
      <c r="G28" s="25">
        <v>1</v>
      </c>
      <c r="H28" s="16">
        <f t="shared" si="0"/>
        <v>0</v>
      </c>
      <c r="I28" s="28"/>
      <c r="J28" s="31"/>
      <c r="K28" s="120">
        <v>1</v>
      </c>
      <c r="L28" s="16">
        <f t="shared" si="1"/>
        <v>0</v>
      </c>
      <c r="M28" s="28"/>
      <c r="N28" s="149">
        <f t="shared" si="2"/>
        <v>0</v>
      </c>
      <c r="O28" s="18" t="str">
        <f t="shared" si="3"/>
        <v/>
      </c>
    </row>
    <row r="29" spans="1:15">
      <c r="A29" s="19"/>
      <c r="B29" s="145" t="s">
        <v>23</v>
      </c>
      <c r="C29" s="20"/>
      <c r="D29" s="146" t="s">
        <v>24</v>
      </c>
      <c r="E29" s="14"/>
      <c r="F29" s="150">
        <f>'[2]B. CurrentTariff'!C138</f>
        <v>2E-3</v>
      </c>
      <c r="G29" s="25">
        <f t="shared" ref="G29:G38" si="4">$F$18</f>
        <v>1800</v>
      </c>
      <c r="H29" s="16">
        <f t="shared" si="0"/>
        <v>3.6</v>
      </c>
      <c r="I29" s="28"/>
      <c r="J29" s="31">
        <f>'[2]G. RateDesign'!G51</f>
        <v>3.0624025836642481E-3</v>
      </c>
      <c r="K29" s="121">
        <f>$F$18</f>
        <v>1800</v>
      </c>
      <c r="L29" s="16">
        <f t="shared" si="1"/>
        <v>5.5123246505956462</v>
      </c>
      <c r="M29" s="28"/>
      <c r="N29" s="149">
        <f t="shared" si="2"/>
        <v>1.9123246505956462</v>
      </c>
      <c r="O29" s="18">
        <f t="shared" si="3"/>
        <v>0.53120129183212395</v>
      </c>
    </row>
    <row r="30" spans="1:15">
      <c r="A30" s="19"/>
      <c r="B30" s="145" t="s">
        <v>22</v>
      </c>
      <c r="C30" s="20"/>
      <c r="D30" s="146" t="s">
        <v>24</v>
      </c>
      <c r="E30" s="14"/>
      <c r="F30" s="150"/>
      <c r="G30" s="25">
        <f t="shared" si="4"/>
        <v>1800</v>
      </c>
      <c r="H30" s="16">
        <f t="shared" si="0"/>
        <v>0</v>
      </c>
      <c r="I30" s="28"/>
      <c r="J30" s="31"/>
      <c r="K30" s="121">
        <f t="shared" ref="K30:K38" si="5">$F$18</f>
        <v>1800</v>
      </c>
      <c r="L30" s="16">
        <f t="shared" si="1"/>
        <v>0</v>
      </c>
      <c r="M30" s="28"/>
      <c r="N30" s="149">
        <f t="shared" si="2"/>
        <v>0</v>
      </c>
      <c r="O30" s="18" t="str">
        <f t="shared" si="3"/>
        <v/>
      </c>
    </row>
    <row r="31" spans="1:15">
      <c r="A31" s="19"/>
      <c r="B31" s="145" t="s">
        <v>25</v>
      </c>
      <c r="C31" s="20"/>
      <c r="D31" s="146" t="s">
        <v>24</v>
      </c>
      <c r="E31" s="14"/>
      <c r="F31" s="150"/>
      <c r="G31" s="25">
        <f t="shared" si="4"/>
        <v>1800</v>
      </c>
      <c r="H31" s="16">
        <f t="shared" si="0"/>
        <v>0</v>
      </c>
      <c r="I31" s="28"/>
      <c r="J31" s="31"/>
      <c r="K31" s="121">
        <f t="shared" si="5"/>
        <v>1800</v>
      </c>
      <c r="L31" s="16">
        <f t="shared" si="1"/>
        <v>0</v>
      </c>
      <c r="M31" s="28"/>
      <c r="N31" s="149">
        <f t="shared" si="2"/>
        <v>0</v>
      </c>
      <c r="O31" s="18" t="str">
        <f t="shared" si="3"/>
        <v/>
      </c>
    </row>
    <row r="32" spans="1:15">
      <c r="A32" s="19"/>
      <c r="B32" s="151" t="s">
        <v>21</v>
      </c>
      <c r="C32" s="20"/>
      <c r="D32" s="146"/>
      <c r="E32" s="14"/>
      <c r="F32" s="150"/>
      <c r="G32" s="25">
        <f t="shared" si="4"/>
        <v>1800</v>
      </c>
      <c r="H32" s="16">
        <f>G32*F32</f>
        <v>0</v>
      </c>
      <c r="I32" s="28"/>
      <c r="J32" s="31"/>
      <c r="K32" s="121">
        <f t="shared" si="5"/>
        <v>1800</v>
      </c>
      <c r="L32" s="16">
        <f>K32*J32</f>
        <v>0</v>
      </c>
      <c r="M32" s="28"/>
      <c r="N32" s="149">
        <f>L32-H32</f>
        <v>0</v>
      </c>
      <c r="O32" s="18" t="str">
        <f>IF((H32)=0,"",(N32/H32))</f>
        <v/>
      </c>
    </row>
    <row r="33" spans="1:15">
      <c r="A33" s="19"/>
      <c r="B33" s="151"/>
      <c r="C33" s="20"/>
      <c r="D33" s="146"/>
      <c r="E33" s="14"/>
      <c r="F33" s="150"/>
      <c r="G33" s="25">
        <f t="shared" si="4"/>
        <v>1800</v>
      </c>
      <c r="H33" s="16">
        <f>G33*F33</f>
        <v>0</v>
      </c>
      <c r="I33" s="28"/>
      <c r="J33" s="31"/>
      <c r="K33" s="121">
        <f t="shared" si="5"/>
        <v>1800</v>
      </c>
      <c r="L33" s="16">
        <f>K33*J33</f>
        <v>0</v>
      </c>
      <c r="M33" s="28"/>
      <c r="N33" s="149">
        <f>L33-H33</f>
        <v>0</v>
      </c>
      <c r="O33" s="18" t="str">
        <f>IF((H33)=0,"",(N33/H33))</f>
        <v/>
      </c>
    </row>
    <row r="34" spans="1:15">
      <c r="A34" s="19"/>
      <c r="B34" s="151"/>
      <c r="C34" s="20"/>
      <c r="D34" s="146"/>
      <c r="E34" s="14"/>
      <c r="F34" s="150"/>
      <c r="G34" s="25">
        <f t="shared" si="4"/>
        <v>1800</v>
      </c>
      <c r="H34" s="16">
        <f>G34*F34</f>
        <v>0</v>
      </c>
      <c r="I34" s="28"/>
      <c r="J34" s="31"/>
      <c r="K34" s="121">
        <f t="shared" si="5"/>
        <v>1800</v>
      </c>
      <c r="L34" s="16">
        <f>K34*J34</f>
        <v>0</v>
      </c>
      <c r="M34" s="28"/>
      <c r="N34" s="149">
        <f>L34-H34</f>
        <v>0</v>
      </c>
      <c r="O34" s="18" t="str">
        <f>IF((H34)=0,"",(N34/H34))</f>
        <v/>
      </c>
    </row>
    <row r="35" spans="1:15">
      <c r="A35" s="19"/>
      <c r="B35" s="151"/>
      <c r="C35" s="20"/>
      <c r="D35" s="146"/>
      <c r="E35" s="14"/>
      <c r="F35" s="150"/>
      <c r="G35" s="25">
        <f t="shared" si="4"/>
        <v>1800</v>
      </c>
      <c r="H35" s="16">
        <f t="shared" si="0"/>
        <v>0</v>
      </c>
      <c r="I35" s="28"/>
      <c r="J35" s="31"/>
      <c r="K35" s="121">
        <f t="shared" si="5"/>
        <v>1800</v>
      </c>
      <c r="L35" s="16">
        <f t="shared" si="1"/>
        <v>0</v>
      </c>
      <c r="M35" s="28"/>
      <c r="N35" s="149">
        <f t="shared" si="2"/>
        <v>0</v>
      </c>
      <c r="O35" s="18" t="str">
        <f t="shared" si="3"/>
        <v/>
      </c>
    </row>
    <row r="36" spans="1:15">
      <c r="A36" s="19"/>
      <c r="B36" s="151"/>
      <c r="C36" s="20"/>
      <c r="D36" s="146"/>
      <c r="E36" s="14"/>
      <c r="F36" s="150"/>
      <c r="G36" s="25">
        <f t="shared" si="4"/>
        <v>1800</v>
      </c>
      <c r="H36" s="16">
        <f t="shared" si="0"/>
        <v>0</v>
      </c>
      <c r="I36" s="28"/>
      <c r="J36" s="31"/>
      <c r="K36" s="121">
        <f t="shared" si="5"/>
        <v>1800</v>
      </c>
      <c r="L36" s="16">
        <f t="shared" si="1"/>
        <v>0</v>
      </c>
      <c r="M36" s="28"/>
      <c r="N36" s="149">
        <f t="shared" si="2"/>
        <v>0</v>
      </c>
      <c r="O36" s="18" t="str">
        <f t="shared" si="3"/>
        <v/>
      </c>
    </row>
    <row r="37" spans="1:15">
      <c r="A37" s="19"/>
      <c r="B37" s="151"/>
      <c r="C37" s="20"/>
      <c r="D37" s="146"/>
      <c r="E37" s="14"/>
      <c r="F37" s="150"/>
      <c r="G37" s="25">
        <f t="shared" si="4"/>
        <v>1800</v>
      </c>
      <c r="H37" s="16">
        <f t="shared" si="0"/>
        <v>0</v>
      </c>
      <c r="I37" s="28"/>
      <c r="J37" s="31"/>
      <c r="K37" s="121">
        <f t="shared" si="5"/>
        <v>1800</v>
      </c>
      <c r="L37" s="16">
        <f t="shared" si="1"/>
        <v>0</v>
      </c>
      <c r="M37" s="28"/>
      <c r="N37" s="149">
        <f t="shared" si="2"/>
        <v>0</v>
      </c>
      <c r="O37" s="18" t="str">
        <f t="shared" si="3"/>
        <v/>
      </c>
    </row>
    <row r="38" spans="1:15">
      <c r="A38" s="19"/>
      <c r="B38" s="151"/>
      <c r="C38" s="20"/>
      <c r="D38" s="146"/>
      <c r="E38" s="14"/>
      <c r="F38" s="150"/>
      <c r="G38" s="25">
        <f t="shared" si="4"/>
        <v>1800</v>
      </c>
      <c r="H38" s="16">
        <f t="shared" si="0"/>
        <v>0</v>
      </c>
      <c r="I38" s="28"/>
      <c r="J38" s="31"/>
      <c r="K38" s="121">
        <f t="shared" si="5"/>
        <v>1800</v>
      </c>
      <c r="L38" s="16">
        <f t="shared" si="1"/>
        <v>0</v>
      </c>
      <c r="M38" s="28"/>
      <c r="N38" s="149">
        <f t="shared" si="2"/>
        <v>0</v>
      </c>
      <c r="O38" s="18" t="str">
        <f t="shared" si="3"/>
        <v/>
      </c>
    </row>
    <row r="39" spans="1:15">
      <c r="A39" s="19"/>
      <c r="B39" s="153" t="s">
        <v>26</v>
      </c>
      <c r="C39" s="154"/>
      <c r="D39" s="155"/>
      <c r="E39" s="154"/>
      <c r="F39" s="156"/>
      <c r="G39" s="240"/>
      <c r="H39" s="158">
        <f>SUM(H23:H38)</f>
        <v>9.85</v>
      </c>
      <c r="I39" s="28"/>
      <c r="J39" s="159"/>
      <c r="K39" s="241"/>
      <c r="L39" s="158">
        <f>SUM(L23:L38)</f>
        <v>16.362324650595646</v>
      </c>
      <c r="M39" s="28"/>
      <c r="N39" s="161">
        <f t="shared" si="2"/>
        <v>6.5123246505956462</v>
      </c>
      <c r="O39" s="162">
        <f t="shared" si="3"/>
        <v>0.66114971072037021</v>
      </c>
    </row>
    <row r="40" spans="1:15" ht="51">
      <c r="A40" s="163"/>
      <c r="B40" s="164" t="str">
        <f>'[2]J. DVA'!$B$16</f>
        <v>Rate Rider Calculation for Deferral / Variance Accounts Balances (excluding Global Adj.)</v>
      </c>
      <c r="C40" s="20"/>
      <c r="D40" s="242" t="s">
        <v>24</v>
      </c>
      <c r="E40" s="20"/>
      <c r="F40" s="166"/>
      <c r="G40" s="21">
        <f t="shared" ref="G40:G46" si="6">$F$18</f>
        <v>1800</v>
      </c>
      <c r="H40" s="22">
        <f t="shared" ref="H40:H48" si="7">G40*F40</f>
        <v>0</v>
      </c>
      <c r="I40" s="167"/>
      <c r="J40" s="166">
        <f>'[2]J. DVA'!F23</f>
        <v>-8.2963951844851433E-4</v>
      </c>
      <c r="K40" s="122">
        <f t="shared" ref="K40:K46" si="8">$F$18</f>
        <v>1800</v>
      </c>
      <c r="L40" s="22">
        <f t="shared" ref="L40:L48" si="9">K40*J40</f>
        <v>-1.4933511332073257</v>
      </c>
      <c r="M40" s="167"/>
      <c r="N40" s="168">
        <f t="shared" si="2"/>
        <v>-1.4933511332073257</v>
      </c>
      <c r="O40" s="27" t="str">
        <f t="shared" si="3"/>
        <v/>
      </c>
    </row>
    <row r="41" spans="1:15" ht="51">
      <c r="A41" s="169"/>
      <c r="B41" s="164" t="str">
        <f>'[2]J. DVA'!$B$28</f>
        <v>Rate Rider Calculation for Deferral / Variance Accounts Balances (excluding Global Adj.) - NON-WMP</v>
      </c>
      <c r="C41" s="20"/>
      <c r="D41" s="242" t="s">
        <v>24</v>
      </c>
      <c r="E41" s="20"/>
      <c r="F41" s="166"/>
      <c r="G41" s="21">
        <f t="shared" si="6"/>
        <v>1800</v>
      </c>
      <c r="H41" s="22">
        <f t="shared" si="7"/>
        <v>0</v>
      </c>
      <c r="I41" s="167"/>
      <c r="J41" s="166">
        <f>'[2]J. DVA'!F35</f>
        <v>-2.6878065725373349E-3</v>
      </c>
      <c r="K41" s="122">
        <f t="shared" si="8"/>
        <v>1800</v>
      </c>
      <c r="L41" s="22">
        <f t="shared" si="9"/>
        <v>-4.8380518305672027</v>
      </c>
      <c r="M41" s="167"/>
      <c r="N41" s="168">
        <f t="shared" si="2"/>
        <v>-4.8380518305672027</v>
      </c>
      <c r="O41" s="24" t="str">
        <f t="shared" si="3"/>
        <v/>
      </c>
    </row>
    <row r="42" spans="1:15" ht="38.25">
      <c r="A42" s="169"/>
      <c r="B42" s="164" t="str">
        <f>'[2]J. DVA'!$B$40</f>
        <v>Rate Rider Calculation for RSVA - Power - Global Adjustment</v>
      </c>
      <c r="C42" s="20"/>
      <c r="D42" s="242" t="s">
        <v>24</v>
      </c>
      <c r="E42" s="20"/>
      <c r="F42" s="166"/>
      <c r="G42" s="21">
        <f t="shared" si="6"/>
        <v>1800</v>
      </c>
      <c r="H42" s="22"/>
      <c r="I42" s="167"/>
      <c r="J42" s="166">
        <v>0</v>
      </c>
      <c r="K42" s="122">
        <f t="shared" si="8"/>
        <v>1800</v>
      </c>
      <c r="L42" s="22">
        <f t="shared" si="9"/>
        <v>0</v>
      </c>
      <c r="M42" s="167"/>
      <c r="N42" s="168">
        <f t="shared" si="2"/>
        <v>0</v>
      </c>
      <c r="O42" s="24" t="str">
        <f t="shared" si="3"/>
        <v/>
      </c>
    </row>
    <row r="43" spans="1:15" ht="25.5">
      <c r="A43" s="169"/>
      <c r="B43" s="164" t="str">
        <f>'[2]J. DVA'!$B$65</f>
        <v>Rate Rider Calculation for Group 2 Accounts</v>
      </c>
      <c r="C43" s="20"/>
      <c r="D43" s="242" t="s">
        <v>24</v>
      </c>
      <c r="E43" s="20"/>
      <c r="F43" s="166"/>
      <c r="G43" s="21">
        <f t="shared" si="6"/>
        <v>1800</v>
      </c>
      <c r="H43" s="22"/>
      <c r="I43" s="167"/>
      <c r="J43" s="166">
        <f>'[2]J. DVA'!F72</f>
        <v>8.0305657896044986E-5</v>
      </c>
      <c r="K43" s="122">
        <f t="shared" si="8"/>
        <v>1800</v>
      </c>
      <c r="L43" s="22">
        <f t="shared" si="9"/>
        <v>0.14455018421288096</v>
      </c>
      <c r="M43" s="167"/>
      <c r="N43" s="168">
        <f t="shared" si="2"/>
        <v>0.14455018421288096</v>
      </c>
      <c r="O43" s="24" t="str">
        <f t="shared" si="3"/>
        <v/>
      </c>
    </row>
    <row r="44" spans="1:15" ht="25.5">
      <c r="A44" s="163"/>
      <c r="B44" s="164" t="str">
        <f>'[2]J. DVA'!$B$77</f>
        <v>Rate Rider Calculation for Accounts 1575 and 1576</v>
      </c>
      <c r="C44" s="20"/>
      <c r="D44" s="242" t="s">
        <v>24</v>
      </c>
      <c r="E44" s="20"/>
      <c r="F44" s="166"/>
      <c r="G44" s="21">
        <f t="shared" si="6"/>
        <v>1800</v>
      </c>
      <c r="H44" s="22">
        <f t="shared" si="7"/>
        <v>0</v>
      </c>
      <c r="I44" s="167"/>
      <c r="J44" s="166">
        <f>'[2]J. DVA'!F86</f>
        <v>-3.9452380925434662E-4</v>
      </c>
      <c r="K44" s="122">
        <f t="shared" si="8"/>
        <v>1800</v>
      </c>
      <c r="L44" s="22">
        <f t="shared" si="9"/>
        <v>-0.71014285665782395</v>
      </c>
      <c r="M44" s="167"/>
      <c r="N44" s="168">
        <f t="shared" si="2"/>
        <v>-0.71014285665782395</v>
      </c>
      <c r="O44" s="24" t="str">
        <f t="shared" si="3"/>
        <v/>
      </c>
    </row>
    <row r="45" spans="1:15" ht="25.5">
      <c r="A45" s="163"/>
      <c r="B45" s="164" t="str">
        <f>'[2]J. DVA'!$B$91</f>
        <v>Rate Rider Calculation for Accounts 1568</v>
      </c>
      <c r="C45" s="20"/>
      <c r="D45" s="242" t="s">
        <v>24</v>
      </c>
      <c r="E45" s="20"/>
      <c r="F45" s="166"/>
      <c r="G45" s="21">
        <f t="shared" si="6"/>
        <v>1800</v>
      </c>
      <c r="H45" s="22">
        <f t="shared" si="7"/>
        <v>0</v>
      </c>
      <c r="I45" s="167"/>
      <c r="J45" s="166">
        <f>'[2]J. DVA'!F100</f>
        <v>3.1128798591894326E-4</v>
      </c>
      <c r="K45" s="122">
        <f t="shared" si="8"/>
        <v>1800</v>
      </c>
      <c r="L45" s="22">
        <f t="shared" si="9"/>
        <v>0.56031837465409784</v>
      </c>
      <c r="M45" s="167"/>
      <c r="N45" s="168">
        <f t="shared" si="2"/>
        <v>0.56031837465409784</v>
      </c>
      <c r="O45" s="24" t="str">
        <f t="shared" si="3"/>
        <v/>
      </c>
    </row>
    <row r="46" spans="1:15">
      <c r="A46" s="163"/>
      <c r="B46" s="151" t="s">
        <v>27</v>
      </c>
      <c r="C46" s="20"/>
      <c r="D46" s="146" t="s">
        <v>24</v>
      </c>
      <c r="E46" s="14"/>
      <c r="F46" s="172">
        <v>1E-3</v>
      </c>
      <c r="G46" s="25">
        <f t="shared" si="6"/>
        <v>1800</v>
      </c>
      <c r="H46" s="26">
        <f t="shared" si="7"/>
        <v>1.8</v>
      </c>
      <c r="I46" s="173"/>
      <c r="J46" s="172">
        <f>'[3]4.12 PowerSupplExp'!$I$176</f>
        <v>6.9999999999999999E-4</v>
      </c>
      <c r="K46" s="121">
        <f t="shared" si="8"/>
        <v>1800</v>
      </c>
      <c r="L46" s="26">
        <f t="shared" si="9"/>
        <v>1.26</v>
      </c>
      <c r="M46" s="173"/>
      <c r="N46" s="174">
        <f t="shared" si="2"/>
        <v>-0.54</v>
      </c>
      <c r="O46" s="27">
        <f t="shared" si="3"/>
        <v>-0.3</v>
      </c>
    </row>
    <row r="47" spans="1:15">
      <c r="A47" s="19"/>
      <c r="B47" s="170" t="s">
        <v>28</v>
      </c>
      <c r="C47" s="20"/>
      <c r="D47" s="146" t="s">
        <v>24</v>
      </c>
      <c r="E47" s="14"/>
      <c r="F47" s="172">
        <f>IF(ISBLANK(D16)=1, 0, IF(D16="TOU", 0.64*$F$57+0.18*$F$58+0.18*$F$59, IF(AND(D16="non-TOU", G61&gt;0), F61,F60)))</f>
        <v>0.10766000000000001</v>
      </c>
      <c r="G47" s="25">
        <f>$F$18*(1+$F$76)-$F$18</f>
        <v>70.199999999999818</v>
      </c>
      <c r="H47" s="26">
        <f t="shared" si="7"/>
        <v>7.557731999999981</v>
      </c>
      <c r="I47" s="173"/>
      <c r="J47" s="172">
        <f>0.64*$F$57+0.18*$F$58+0.18*$F$59</f>
        <v>0.10766000000000001</v>
      </c>
      <c r="K47" s="121">
        <f>$F$18*(1+$J$76)-$F$18</f>
        <v>82.260000000000218</v>
      </c>
      <c r="L47" s="26">
        <f t="shared" si="9"/>
        <v>8.8561116000000233</v>
      </c>
      <c r="M47" s="173"/>
      <c r="N47" s="174">
        <f t="shared" si="2"/>
        <v>1.2983796000000423</v>
      </c>
      <c r="O47" s="27">
        <f t="shared" si="3"/>
        <v>0.17179487179487782</v>
      </c>
    </row>
    <row r="48" spans="1:15">
      <c r="A48" s="19"/>
      <c r="B48" s="170" t="s">
        <v>29</v>
      </c>
      <c r="C48" s="20"/>
      <c r="D48" s="146" t="s">
        <v>24</v>
      </c>
      <c r="E48" s="14"/>
      <c r="F48" s="172">
        <v>0.79</v>
      </c>
      <c r="G48" s="25">
        <v>1</v>
      </c>
      <c r="H48" s="26">
        <f t="shared" si="7"/>
        <v>0.79</v>
      </c>
      <c r="I48" s="173"/>
      <c r="J48" s="172">
        <v>0.79</v>
      </c>
      <c r="K48" s="121">
        <v>1</v>
      </c>
      <c r="L48" s="26">
        <f t="shared" si="9"/>
        <v>0.79</v>
      </c>
      <c r="M48" s="173"/>
      <c r="N48" s="174">
        <f t="shared" si="2"/>
        <v>0</v>
      </c>
      <c r="O48" s="27"/>
    </row>
    <row r="49" spans="2:19" ht="25.5">
      <c r="B49" s="175" t="s">
        <v>30</v>
      </c>
      <c r="C49" s="176"/>
      <c r="D49" s="176"/>
      <c r="E49" s="176"/>
      <c r="F49" s="177"/>
      <c r="G49" s="243"/>
      <c r="H49" s="179">
        <f>SUM(H40:H48)+H39</f>
        <v>19.997731999999978</v>
      </c>
      <c r="I49" s="28"/>
      <c r="J49" s="178"/>
      <c r="K49" s="244"/>
      <c r="L49" s="179">
        <f>SUM(L40:L48)+L39</f>
        <v>20.931758989030296</v>
      </c>
      <c r="M49" s="28"/>
      <c r="N49" s="161">
        <f t="shared" si="2"/>
        <v>0.93402698903031833</v>
      </c>
      <c r="O49" s="162">
        <f t="shared" ref="O49:O67" si="10">IF((H49)=0,"",(N49/H49))</f>
        <v>4.6706645985170686E-2</v>
      </c>
    </row>
    <row r="50" spans="2:19">
      <c r="B50" s="181" t="s">
        <v>31</v>
      </c>
      <c r="C50" s="28"/>
      <c r="D50" s="146" t="s">
        <v>24</v>
      </c>
      <c r="E50" s="28"/>
      <c r="F50" s="31">
        <v>5.7999999999999996E-3</v>
      </c>
      <c r="G50" s="100">
        <f>F18*(1+F76)</f>
        <v>1870.1999999999998</v>
      </c>
      <c r="H50" s="16">
        <f>G50*F50</f>
        <v>10.847159999999999</v>
      </c>
      <c r="I50" s="28"/>
      <c r="J50" s="31">
        <f>'[3]4.12 PowerSupplExp'!$N$63</f>
        <v>5.4394385425159753E-3</v>
      </c>
      <c r="K50" s="124">
        <f>F18*(1+J76)</f>
        <v>1882.2600000000002</v>
      </c>
      <c r="L50" s="16">
        <f>K50*J50</f>
        <v>10.238437591036121</v>
      </c>
      <c r="M50" s="28"/>
      <c r="N50" s="149">
        <f t="shared" si="2"/>
        <v>-0.60872240896387808</v>
      </c>
      <c r="O50" s="18">
        <f t="shared" si="10"/>
        <v>-5.6118136817736454E-2</v>
      </c>
    </row>
    <row r="51" spans="2:19" ht="25.5">
      <c r="B51" s="183" t="s">
        <v>32</v>
      </c>
      <c r="C51" s="28"/>
      <c r="D51" s="146" t="s">
        <v>24</v>
      </c>
      <c r="E51" s="28"/>
      <c r="F51" s="31">
        <v>4.0000000000000001E-3</v>
      </c>
      <c r="G51" s="100">
        <f>G50</f>
        <v>1870.1999999999998</v>
      </c>
      <c r="H51" s="16">
        <f>G51*F51</f>
        <v>7.4807999999999995</v>
      </c>
      <c r="I51" s="28"/>
      <c r="J51" s="31">
        <f>'[3]4.12 PowerSupplExp'!$N$79</f>
        <v>4.0259349604509975E-3</v>
      </c>
      <c r="K51" s="124">
        <f>K50</f>
        <v>1882.2600000000002</v>
      </c>
      <c r="L51" s="16">
        <f>K51*J51</f>
        <v>7.5778563386584956</v>
      </c>
      <c r="M51" s="28"/>
      <c r="N51" s="149">
        <f t="shared" si="2"/>
        <v>9.7056338658496166E-2</v>
      </c>
      <c r="O51" s="18">
        <f t="shared" si="10"/>
        <v>1.297405874485298E-2</v>
      </c>
    </row>
    <row r="52" spans="2:19" ht="25.5">
      <c r="B52" s="175" t="s">
        <v>33</v>
      </c>
      <c r="C52" s="154"/>
      <c r="D52" s="154"/>
      <c r="E52" s="154"/>
      <c r="F52" s="184"/>
      <c r="G52" s="243"/>
      <c r="H52" s="179">
        <f>SUM(H49:H51)</f>
        <v>38.325691999999975</v>
      </c>
      <c r="I52" s="185"/>
      <c r="J52" s="186"/>
      <c r="K52" s="245"/>
      <c r="L52" s="179">
        <f>SUM(L49:L51)</f>
        <v>38.748052918724909</v>
      </c>
      <c r="M52" s="185"/>
      <c r="N52" s="161">
        <f t="shared" si="2"/>
        <v>0.42236091872493375</v>
      </c>
      <c r="O52" s="162">
        <f t="shared" si="10"/>
        <v>1.1020307701813552E-2</v>
      </c>
    </row>
    <row r="53" spans="2:19" ht="25.5">
      <c r="B53" s="145" t="s">
        <v>34</v>
      </c>
      <c r="C53" s="20"/>
      <c r="D53" s="188" t="s">
        <v>24</v>
      </c>
      <c r="E53" s="14"/>
      <c r="F53" s="31">
        <v>3.5999999999999999E-3</v>
      </c>
      <c r="G53" s="100">
        <f>G51</f>
        <v>1870.1999999999998</v>
      </c>
      <c r="H53" s="99">
        <f t="shared" ref="H53:H59" si="11">G53*F53</f>
        <v>6.7327199999999996</v>
      </c>
      <c r="I53" s="19"/>
      <c r="J53" s="31">
        <v>3.5999999999999999E-3</v>
      </c>
      <c r="K53" s="124">
        <f>K51</f>
        <v>1882.2600000000002</v>
      </c>
      <c r="L53" s="99">
        <f t="shared" ref="L53:L59" si="12">K53*J53</f>
        <v>6.7761360000000002</v>
      </c>
      <c r="M53" s="19"/>
      <c r="N53" s="246">
        <f t="shared" si="2"/>
        <v>4.3416000000000565E-2</v>
      </c>
      <c r="O53" s="123">
        <f t="shared" si="10"/>
        <v>6.4485081809432989E-3</v>
      </c>
    </row>
    <row r="54" spans="2:19" ht="25.5">
      <c r="B54" s="145" t="s">
        <v>35</v>
      </c>
      <c r="C54" s="20"/>
      <c r="D54" s="188" t="s">
        <v>24</v>
      </c>
      <c r="E54" s="14"/>
      <c r="F54" s="31">
        <v>1.2999999999999999E-3</v>
      </c>
      <c r="G54" s="100">
        <f>G51</f>
        <v>1870.1999999999998</v>
      </c>
      <c r="H54" s="99">
        <f t="shared" si="11"/>
        <v>2.4312599999999995</v>
      </c>
      <c r="I54" s="19"/>
      <c r="J54" s="31">
        <v>1.2999999999999999E-3</v>
      </c>
      <c r="K54" s="124">
        <f>K51</f>
        <v>1882.2600000000002</v>
      </c>
      <c r="L54" s="99">
        <f t="shared" si="12"/>
        <v>2.4469380000000003</v>
      </c>
      <c r="M54" s="19"/>
      <c r="N54" s="246">
        <f t="shared" si="2"/>
        <v>1.5678000000000747E-2</v>
      </c>
      <c r="O54" s="123">
        <f t="shared" si="10"/>
        <v>6.4485081809435227E-3</v>
      </c>
    </row>
    <row r="55" spans="2:19" ht="25.5">
      <c r="B55" s="145" t="s">
        <v>36</v>
      </c>
      <c r="C55" s="20"/>
      <c r="D55" s="188" t="s">
        <v>19</v>
      </c>
      <c r="E55" s="14"/>
      <c r="F55" s="102">
        <v>0.25</v>
      </c>
      <c r="G55" s="25">
        <v>1</v>
      </c>
      <c r="H55" s="99">
        <f t="shared" si="11"/>
        <v>0.25</v>
      </c>
      <c r="I55" s="19"/>
      <c r="J55" s="102">
        <v>0.25</v>
      </c>
      <c r="K55" s="120">
        <v>1</v>
      </c>
      <c r="L55" s="99">
        <f t="shared" si="12"/>
        <v>0.25</v>
      </c>
      <c r="M55" s="19"/>
      <c r="N55" s="246">
        <f t="shared" si="2"/>
        <v>0</v>
      </c>
      <c r="O55" s="123">
        <f t="shared" si="10"/>
        <v>0</v>
      </c>
    </row>
    <row r="56" spans="2:19">
      <c r="B56" s="145" t="s">
        <v>37</v>
      </c>
      <c r="C56" s="20"/>
      <c r="D56" s="188" t="s">
        <v>24</v>
      </c>
      <c r="E56" s="14"/>
      <c r="F56" s="31">
        <v>1.1000000000000001E-3</v>
      </c>
      <c r="G56" s="100">
        <f>F18</f>
        <v>1800</v>
      </c>
      <c r="H56" s="99">
        <f t="shared" si="11"/>
        <v>1.9800000000000002</v>
      </c>
      <c r="I56" s="19"/>
      <c r="J56" s="31">
        <v>1.1000000000000001E-3</v>
      </c>
      <c r="K56" s="124">
        <f>F18</f>
        <v>1800</v>
      </c>
      <c r="L56" s="99">
        <f t="shared" si="12"/>
        <v>1.9800000000000002</v>
      </c>
      <c r="M56" s="19"/>
      <c r="N56" s="246">
        <f t="shared" si="2"/>
        <v>0</v>
      </c>
      <c r="O56" s="123">
        <f t="shared" si="10"/>
        <v>0</v>
      </c>
    </row>
    <row r="57" spans="2:19">
      <c r="B57" s="170" t="s">
        <v>38</v>
      </c>
      <c r="C57" s="20"/>
      <c r="D57" s="188" t="s">
        <v>24</v>
      </c>
      <c r="E57" s="14"/>
      <c r="F57" s="102">
        <v>8.3000000000000004E-2</v>
      </c>
      <c r="G57" s="247">
        <f>0.64*$F$18</f>
        <v>1152</v>
      </c>
      <c r="H57" s="99">
        <f t="shared" si="11"/>
        <v>95.616</v>
      </c>
      <c r="I57" s="19"/>
      <c r="J57" s="102">
        <v>8.3000000000000004E-2</v>
      </c>
      <c r="K57" s="248">
        <f>G57</f>
        <v>1152</v>
      </c>
      <c r="L57" s="99">
        <f t="shared" si="12"/>
        <v>95.616</v>
      </c>
      <c r="M57" s="19"/>
      <c r="N57" s="246">
        <f t="shared" si="2"/>
        <v>0</v>
      </c>
      <c r="O57" s="123">
        <f t="shared" si="10"/>
        <v>0</v>
      </c>
      <c r="S57" s="190"/>
    </row>
    <row r="58" spans="2:19">
      <c r="B58" s="170" t="s">
        <v>39</v>
      </c>
      <c r="C58" s="20"/>
      <c r="D58" s="188" t="s">
        <v>24</v>
      </c>
      <c r="E58" s="14"/>
      <c r="F58" s="102">
        <v>0.128</v>
      </c>
      <c r="G58" s="247">
        <f>0.18*$F$18</f>
        <v>324</v>
      </c>
      <c r="H58" s="99">
        <f t="shared" si="11"/>
        <v>41.472000000000001</v>
      </c>
      <c r="I58" s="19"/>
      <c r="J58" s="102">
        <v>0.128</v>
      </c>
      <c r="K58" s="248">
        <f>G58</f>
        <v>324</v>
      </c>
      <c r="L58" s="99">
        <f t="shared" si="12"/>
        <v>41.472000000000001</v>
      </c>
      <c r="M58" s="19"/>
      <c r="N58" s="246">
        <f t="shared" si="2"/>
        <v>0</v>
      </c>
      <c r="O58" s="123">
        <f t="shared" si="10"/>
        <v>0</v>
      </c>
      <c r="S58" s="190"/>
    </row>
    <row r="59" spans="2:19">
      <c r="B59" s="135" t="s">
        <v>40</v>
      </c>
      <c r="C59" s="20"/>
      <c r="D59" s="188" t="s">
        <v>24</v>
      </c>
      <c r="E59" s="14"/>
      <c r="F59" s="102">
        <v>0.17499999999999999</v>
      </c>
      <c r="G59" s="247">
        <f>0.18*$F$18</f>
        <v>324</v>
      </c>
      <c r="H59" s="99">
        <f t="shared" si="11"/>
        <v>56.699999999999996</v>
      </c>
      <c r="I59" s="19"/>
      <c r="J59" s="102">
        <v>0.17499999999999999</v>
      </c>
      <c r="K59" s="248">
        <f>G59</f>
        <v>324</v>
      </c>
      <c r="L59" s="99">
        <f t="shared" si="12"/>
        <v>56.699999999999996</v>
      </c>
      <c r="M59" s="19"/>
      <c r="N59" s="246">
        <f t="shared" si="2"/>
        <v>0</v>
      </c>
      <c r="O59" s="123">
        <f t="shared" si="10"/>
        <v>0</v>
      </c>
      <c r="S59" s="190"/>
    </row>
    <row r="60" spans="2:19" s="195" customFormat="1">
      <c r="B60" s="191" t="s">
        <v>41</v>
      </c>
      <c r="C60" s="32"/>
      <c r="D60" s="188" t="s">
        <v>24</v>
      </c>
      <c r="E60" s="32"/>
      <c r="F60" s="102">
        <v>9.9000000000000005E-2</v>
      </c>
      <c r="G60" s="249">
        <f>IF(AND($T$1=1, F18&gt;=600), 600, IF(AND($T$1=1, AND(F18&lt;600, F18&gt;=0)), F18, IF(AND($T$1=2, F18&gt;=1000), 1000, IF(AND($T$1=2, AND(F18&lt;1000, F18&gt;=0)), F18))))</f>
        <v>600</v>
      </c>
      <c r="H60" s="99">
        <f>G60*F60</f>
        <v>59.400000000000006</v>
      </c>
      <c r="I60" s="250"/>
      <c r="J60" s="102">
        <v>9.9000000000000005E-2</v>
      </c>
      <c r="K60" s="251">
        <f>G60</f>
        <v>600</v>
      </c>
      <c r="L60" s="99">
        <f>K60*J60</f>
        <v>59.400000000000006</v>
      </c>
      <c r="M60" s="250"/>
      <c r="N60" s="252">
        <f t="shared" si="2"/>
        <v>0</v>
      </c>
      <c r="O60" s="123">
        <f t="shared" si="10"/>
        <v>0</v>
      </c>
    </row>
    <row r="61" spans="2:19" s="195" customFormat="1" ht="13.5" thickBot="1">
      <c r="B61" s="191" t="s">
        <v>42</v>
      </c>
      <c r="C61" s="32"/>
      <c r="D61" s="188" t="s">
        <v>24</v>
      </c>
      <c r="E61" s="32"/>
      <c r="F61" s="102">
        <v>0.11600000000000001</v>
      </c>
      <c r="G61" s="249">
        <f>IF(AND($T$1=1, F18&gt;=600), F18-600, IF(AND($T$1=1, AND(F18&lt;600, F18&gt;=0)), 0, IF(AND($T$1=2, F18&gt;=1000), F18-1000, IF(AND($T$1=2, AND(F18&lt;1000, F18&gt;=0)), 0))))</f>
        <v>1200</v>
      </c>
      <c r="H61" s="99">
        <f>G61*F61</f>
        <v>139.20000000000002</v>
      </c>
      <c r="I61" s="250"/>
      <c r="J61" s="102">
        <v>0.11600000000000001</v>
      </c>
      <c r="K61" s="251">
        <f>G61</f>
        <v>1200</v>
      </c>
      <c r="L61" s="99">
        <f>K61*J61</f>
        <v>139.20000000000002</v>
      </c>
      <c r="M61" s="250"/>
      <c r="N61" s="252">
        <f t="shared" si="2"/>
        <v>0</v>
      </c>
      <c r="O61" s="123">
        <f t="shared" si="10"/>
        <v>0</v>
      </c>
    </row>
    <row r="62" spans="2:19" ht="13.5" thickBot="1">
      <c r="B62" s="196"/>
      <c r="C62" s="197"/>
      <c r="D62" s="198"/>
      <c r="E62" s="197"/>
      <c r="F62" s="199"/>
      <c r="G62" s="253"/>
      <c r="H62" s="201"/>
      <c r="I62" s="202"/>
      <c r="J62" s="199"/>
      <c r="K62" s="254"/>
      <c r="L62" s="201"/>
      <c r="M62" s="202"/>
      <c r="N62" s="204"/>
      <c r="O62" s="205"/>
    </row>
    <row r="63" spans="2:19" ht="25.5">
      <c r="B63" s="33" t="s">
        <v>43</v>
      </c>
      <c r="C63" s="20"/>
      <c r="D63" s="20"/>
      <c r="E63" s="20"/>
      <c r="F63" s="34"/>
      <c r="G63" s="103"/>
      <c r="H63" s="36">
        <f>SUM(H53:H59,H52)</f>
        <v>243.50767199999996</v>
      </c>
      <c r="I63" s="37"/>
      <c r="J63" s="38"/>
      <c r="K63" s="125"/>
      <c r="L63" s="36">
        <f>SUM(L53:L59,L52)</f>
        <v>243.98912691872491</v>
      </c>
      <c r="M63" s="39"/>
      <c r="N63" s="40">
        <f>L63-H63</f>
        <v>0.48145491872494972</v>
      </c>
      <c r="O63" s="41">
        <f>IF((H63)=0,"",(N63/H63))</f>
        <v>1.9771652973831141E-3</v>
      </c>
      <c r="S63" s="190"/>
    </row>
    <row r="64" spans="2:19">
      <c r="B64" s="42" t="s">
        <v>44</v>
      </c>
      <c r="C64" s="20"/>
      <c r="D64" s="20"/>
      <c r="E64" s="20"/>
      <c r="F64" s="43">
        <v>0.13</v>
      </c>
      <c r="G64" s="105"/>
      <c r="H64" s="45">
        <f>H63*F64</f>
        <v>31.655997359999997</v>
      </c>
      <c r="I64" s="46"/>
      <c r="J64" s="47">
        <v>0.13</v>
      </c>
      <c r="K64" s="126"/>
      <c r="L64" s="48">
        <f>L63*J64</f>
        <v>31.718586499434238</v>
      </c>
      <c r="M64" s="49"/>
      <c r="N64" s="50">
        <f t="shared" si="2"/>
        <v>6.2589139434241048E-2</v>
      </c>
      <c r="O64" s="18">
        <f t="shared" si="10"/>
        <v>1.9771652973830378E-3</v>
      </c>
      <c r="S64" s="190"/>
    </row>
    <row r="65" spans="1:19">
      <c r="B65" s="206" t="s">
        <v>45</v>
      </c>
      <c r="C65" s="20"/>
      <c r="D65" s="20"/>
      <c r="E65" s="20"/>
      <c r="F65" s="51"/>
      <c r="G65" s="105"/>
      <c r="H65" s="45">
        <f>H63+H64</f>
        <v>275.16366935999997</v>
      </c>
      <c r="I65" s="46"/>
      <c r="J65" s="46"/>
      <c r="K65" s="126"/>
      <c r="L65" s="48">
        <f>L63+L64</f>
        <v>275.70771341815913</v>
      </c>
      <c r="M65" s="49"/>
      <c r="N65" s="50">
        <f t="shared" si="2"/>
        <v>0.54404405815915879</v>
      </c>
      <c r="O65" s="18">
        <f t="shared" si="10"/>
        <v>1.9771652973829888E-3</v>
      </c>
      <c r="S65" s="190"/>
    </row>
    <row r="66" spans="1:19">
      <c r="B66" s="297" t="s">
        <v>46</v>
      </c>
      <c r="C66" s="297"/>
      <c r="D66" s="297"/>
      <c r="E66" s="20"/>
      <c r="F66" s="51"/>
      <c r="G66" s="105"/>
      <c r="H66" s="52">
        <f>ROUND(-H65*0.1,2)</f>
        <v>-27.52</v>
      </c>
      <c r="I66" s="46"/>
      <c r="J66" s="46"/>
      <c r="K66" s="126"/>
      <c r="L66" s="53">
        <f>ROUND(-L65*0.1,2)</f>
        <v>-27.57</v>
      </c>
      <c r="M66" s="49"/>
      <c r="N66" s="54">
        <f t="shared" si="2"/>
        <v>-5.0000000000000711E-2</v>
      </c>
      <c r="O66" s="55">
        <f t="shared" si="10"/>
        <v>1.8168604651163048E-3</v>
      </c>
    </row>
    <row r="67" spans="1:19" ht="13.5" thickBot="1">
      <c r="B67" s="298" t="s">
        <v>47</v>
      </c>
      <c r="C67" s="298"/>
      <c r="D67" s="298"/>
      <c r="E67" s="14"/>
      <c r="F67" s="207"/>
      <c r="G67" s="255"/>
      <c r="H67" s="209">
        <f>H65+H66</f>
        <v>247.64366935999996</v>
      </c>
      <c r="I67" s="210"/>
      <c r="J67" s="210"/>
      <c r="K67" s="238"/>
      <c r="L67" s="211">
        <f>L65+L66</f>
        <v>248.13771341815914</v>
      </c>
      <c r="M67" s="212"/>
      <c r="N67" s="213">
        <f t="shared" si="2"/>
        <v>0.49404405815917585</v>
      </c>
      <c r="O67" s="214">
        <f t="shared" si="10"/>
        <v>1.9949795584759461E-3</v>
      </c>
    </row>
    <row r="68" spans="1:19" s="195" customFormat="1" ht="13.5" thickBot="1">
      <c r="B68" s="215"/>
      <c r="C68" s="216"/>
      <c r="D68" s="217"/>
      <c r="E68" s="216"/>
      <c r="F68" s="199"/>
      <c r="G68" s="256"/>
      <c r="H68" s="201"/>
      <c r="I68" s="219"/>
      <c r="J68" s="199"/>
      <c r="K68" s="257"/>
      <c r="L68" s="201"/>
      <c r="M68" s="219"/>
      <c r="N68" s="221"/>
      <c r="O68" s="205"/>
    </row>
    <row r="69" spans="1:19" s="195" customFormat="1" ht="25.5">
      <c r="B69" s="56" t="s">
        <v>48</v>
      </c>
      <c r="C69" s="32"/>
      <c r="D69" s="32"/>
      <c r="E69" s="32"/>
      <c r="F69" s="57"/>
      <c r="G69" s="107"/>
      <c r="H69" s="59">
        <f>SUM(H60:H61,H52,H53:H56)</f>
        <v>248.319672</v>
      </c>
      <c r="I69" s="60"/>
      <c r="J69" s="61"/>
      <c r="K69" s="127"/>
      <c r="L69" s="59">
        <f>SUM(L60:L61,L52,L53:L56)</f>
        <v>248.80112691872492</v>
      </c>
      <c r="M69" s="62"/>
      <c r="N69" s="63">
        <f>L69-H69</f>
        <v>0.4814549187249213</v>
      </c>
      <c r="O69" s="41">
        <f>IF((H69)=0,"",(N69/H69))</f>
        <v>1.9388512994045889E-3</v>
      </c>
    </row>
    <row r="70" spans="1:19" s="195" customFormat="1">
      <c r="B70" s="64" t="s">
        <v>44</v>
      </c>
      <c r="C70" s="32"/>
      <c r="D70" s="32"/>
      <c r="E70" s="32"/>
      <c r="F70" s="65">
        <v>0.13</v>
      </c>
      <c r="G70" s="107"/>
      <c r="H70" s="66">
        <f>H69*F70</f>
        <v>32.281557360000001</v>
      </c>
      <c r="I70" s="67"/>
      <c r="J70" s="68">
        <v>0.13</v>
      </c>
      <c r="K70" s="128"/>
      <c r="L70" s="70">
        <f>L69*J70</f>
        <v>32.344146499434238</v>
      </c>
      <c r="M70" s="71"/>
      <c r="N70" s="72">
        <f>L70-H70</f>
        <v>6.2589139434237495E-2</v>
      </c>
      <c r="O70" s="18">
        <f>IF((H70)=0,"",(N70/H70))</f>
        <v>1.9388512994045184E-3</v>
      </c>
    </row>
    <row r="71" spans="1:19" s="195" customFormat="1">
      <c r="B71" s="222" t="s">
        <v>45</v>
      </c>
      <c r="C71" s="32"/>
      <c r="D71" s="32"/>
      <c r="E71" s="32"/>
      <c r="F71" s="73"/>
      <c r="G71" s="110"/>
      <c r="H71" s="66">
        <f>H69+H70</f>
        <v>280.60122935999999</v>
      </c>
      <c r="I71" s="67"/>
      <c r="J71" s="67"/>
      <c r="K71" s="129"/>
      <c r="L71" s="70">
        <f>L69+L70</f>
        <v>281.14527341815915</v>
      </c>
      <c r="M71" s="71"/>
      <c r="N71" s="72">
        <f>L71-H71</f>
        <v>0.54404405815915879</v>
      </c>
      <c r="O71" s="18">
        <f>IF((H71)=0,"",(N71/H71))</f>
        <v>1.9388512994045809E-3</v>
      </c>
    </row>
    <row r="72" spans="1:19" s="195" customFormat="1">
      <c r="B72" s="299" t="s">
        <v>46</v>
      </c>
      <c r="C72" s="299"/>
      <c r="D72" s="299"/>
      <c r="E72" s="32"/>
      <c r="F72" s="73"/>
      <c r="G72" s="110"/>
      <c r="H72" s="75">
        <f>ROUND(-H71*0.1,2)</f>
        <v>-28.06</v>
      </c>
      <c r="I72" s="67"/>
      <c r="J72" s="67"/>
      <c r="K72" s="129"/>
      <c r="L72" s="76">
        <f>ROUND(-L71*0.1,2)</f>
        <v>-28.11</v>
      </c>
      <c r="M72" s="71"/>
      <c r="N72" s="77">
        <f>L72-H72</f>
        <v>-5.0000000000000711E-2</v>
      </c>
      <c r="O72" s="55">
        <f>IF((H72)=0,"",(N72/H72))</f>
        <v>1.7818959372772885E-3</v>
      </c>
    </row>
    <row r="73" spans="1:19" s="195" customFormat="1" ht="13.5" thickBot="1">
      <c r="B73" s="293" t="s">
        <v>49</v>
      </c>
      <c r="C73" s="293"/>
      <c r="D73" s="293"/>
      <c r="E73" s="32"/>
      <c r="F73" s="73"/>
      <c r="G73" s="110"/>
      <c r="H73" s="59">
        <f>SUM(H71:H72)</f>
        <v>252.54122935999999</v>
      </c>
      <c r="I73" s="60"/>
      <c r="J73" s="60"/>
      <c r="K73" s="258"/>
      <c r="L73" s="223">
        <f>SUM(L71:L72)</f>
        <v>253.03527341815914</v>
      </c>
      <c r="M73" s="62"/>
      <c r="N73" s="63">
        <f>L73-H73</f>
        <v>0.49404405815914743</v>
      </c>
      <c r="O73" s="41">
        <f>IF((H73)=0,"",(N73/H73))</f>
        <v>1.9562906991906766E-3</v>
      </c>
    </row>
    <row r="74" spans="1:19" s="195" customFormat="1" ht="13.5" thickBot="1">
      <c r="B74" s="215"/>
      <c r="C74" s="216"/>
      <c r="D74" s="217"/>
      <c r="E74" s="216"/>
      <c r="F74" s="224"/>
      <c r="G74" s="259"/>
      <c r="H74" s="226"/>
      <c r="I74" s="227"/>
      <c r="J74" s="224"/>
      <c r="K74" s="260"/>
      <c r="L74" s="228"/>
      <c r="M74" s="219"/>
      <c r="N74" s="229"/>
      <c r="O74" s="205"/>
    </row>
    <row r="75" spans="1:19">
      <c r="L75" s="190"/>
    </row>
    <row r="76" spans="1:19">
      <c r="B76" s="230" t="s">
        <v>50</v>
      </c>
      <c r="F76" s="231">
        <v>3.9E-2</v>
      </c>
      <c r="J76" s="231">
        <v>4.5699999999999998E-2</v>
      </c>
    </row>
    <row r="78" spans="1:19" ht="14.25">
      <c r="A78" s="232" t="s">
        <v>51</v>
      </c>
    </row>
    <row r="80" spans="1:19">
      <c r="A80" s="12" t="s">
        <v>52</v>
      </c>
    </row>
    <row r="81" spans="1:2">
      <c r="A81" s="12" t="s">
        <v>53</v>
      </c>
    </row>
    <row r="83" spans="1:2">
      <c r="A83" s="233" t="s">
        <v>54</v>
      </c>
    </row>
    <row r="84" spans="1:2">
      <c r="A84" s="233" t="s">
        <v>55</v>
      </c>
    </row>
    <row r="86" spans="1:2">
      <c r="A86" s="12" t="s">
        <v>56</v>
      </c>
    </row>
    <row r="87" spans="1:2">
      <c r="A87" s="12" t="s">
        <v>57</v>
      </c>
    </row>
    <row r="88" spans="1:2">
      <c r="A88" s="12" t="s">
        <v>58</v>
      </c>
    </row>
    <row r="89" spans="1:2">
      <c r="A89" s="12" t="s">
        <v>59</v>
      </c>
    </row>
    <row r="90" spans="1:2">
      <c r="A90" s="12" t="s">
        <v>60</v>
      </c>
    </row>
    <row r="92" spans="1:2" ht="51">
      <c r="B92" s="13" t="s">
        <v>61</v>
      </c>
    </row>
  </sheetData>
  <mergeCells count="14">
    <mergeCell ref="B73:D73"/>
    <mergeCell ref="D21:D22"/>
    <mergeCell ref="N21:N22"/>
    <mergeCell ref="O21:O22"/>
    <mergeCell ref="B66:D66"/>
    <mergeCell ref="B67:D67"/>
    <mergeCell ref="B72:D72"/>
    <mergeCell ref="A3:K3"/>
    <mergeCell ref="B10:O10"/>
    <mergeCell ref="B11:O11"/>
    <mergeCell ref="D14:O14"/>
    <mergeCell ref="F20:H20"/>
    <mergeCell ref="J20:L20"/>
    <mergeCell ref="N20:O20"/>
  </mergeCells>
  <dataValidations count="3">
    <dataValidation type="list" allowBlank="1" showInputMessage="1" showErrorMessage="1" sqref="E23:E38 E74 E50:E51 E53:E62 E68 E40:E48">
      <formula1>"#REF!"</formula1>
      <formula2>0</formula2>
    </dataValidation>
    <dataValidation type="list" allowBlank="1" showInputMessage="1" showErrorMessage="1" prompt="Select Charge Unit - monthly, per kWh, per kW" sqref="D74 D50:D51 D23:D38 D68 D53:D62 D40:D48">
      <formula1>"Monthly,per kWh,per kW"</formula1>
      <formula2>0</formula2>
    </dataValidation>
    <dataValidation type="list" allowBlank="1" showInputMessage="1" showErrorMessage="1" sqref="D16">
      <formula1>"TOU,non-TOU"</formula1>
      <formula2>0</formula2>
    </dataValidation>
  </dataValidations>
  <pageMargins left="0.25" right="0.25" top="0.75" bottom="0.75" header="0.3" footer="0.3"/>
  <pageSetup paperSize="9" scale="59" orientation="portrait" horizontalDpi="4294967292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Bill Impact - Res 10 Pct</vt:lpstr>
      <vt:lpstr>Bill Impact - Residential</vt:lpstr>
      <vt:lpstr>Bill Impact - GS&lt;50</vt:lpstr>
      <vt:lpstr>Bill Impact - GS&gt;50</vt:lpstr>
      <vt:lpstr>Bill Impact - Sentinel</vt:lpstr>
      <vt:lpstr>Bill Impact - StreetLight</vt:lpstr>
      <vt:lpstr>Bill Impact - USL</vt:lpstr>
      <vt:lpstr>'Bill Impact - GS&lt;50'!Print_Area</vt:lpstr>
      <vt:lpstr>'Bill Impact - GS&gt;50'!Print_Area</vt:lpstr>
      <vt:lpstr>'Bill Impact - Res 10 Pct'!Print_Area</vt:lpstr>
      <vt:lpstr>'Bill Impact - Residential'!Print_Area</vt:lpstr>
      <vt:lpstr>'Bill Impact - Sentinel'!Print_Area</vt:lpstr>
      <vt:lpstr>'Bill Impact - StreetLight'!Print_Area</vt:lpstr>
      <vt:lpstr>'Bill Impact - USL'!Print_Area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Ris-Schofield</dc:creator>
  <cp:lastModifiedBy>Manuela Ris-Schofield</cp:lastModifiedBy>
  <cp:lastPrinted>2016-05-20T20:30:03Z</cp:lastPrinted>
  <dcterms:created xsi:type="dcterms:W3CDTF">2016-02-19T02:36:04Z</dcterms:created>
  <dcterms:modified xsi:type="dcterms:W3CDTF">2016-05-20T23:25:53Z</dcterms:modified>
</cp:coreProperties>
</file>