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34725" windowHeight="17400" tabRatio="799"/>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6.1 Regression Scenarios" sheetId="17" state="hidden" r:id="rId7"/>
    <sheet name="7. Weather Senstive Class" sheetId="29" r:id="rId8"/>
    <sheet name="8. KW and Non-Weather Sensitive" sheetId="46" r:id="rId9"/>
    <sheet name="9. Weather Adj LF" sheetId="32" r:id="rId10"/>
    <sheet name="10. CDM Adjustment" sheetId="42" state="hidden" r:id="rId11"/>
    <sheet name="10. CDM Adjustment V2" sheetId="57" r:id="rId12"/>
    <sheet name="10.1 CDM Allocation" sheetId="53" r:id="rId13"/>
    <sheet name="10.2 LRAMVA Alloc" sheetId="59" r:id="rId14"/>
    <sheet name="11. Final Load Forecast" sheetId="51" r:id="rId15"/>
    <sheet name="12. Analysis_ Avg Per Cust" sheetId="38" r:id="rId16"/>
    <sheet name="14. Winter Flag" sheetId="56" state="hidden" r:id="rId17"/>
    <sheet name="13. Analysis_Weather adj LF" sheetId="47" r:id="rId18"/>
    <sheet name="Appendix 2-IA" sheetId="58" r:id="rId19"/>
  </sheets>
  <externalReferences>
    <externalReference r:id="rId20"/>
    <externalReference r:id="rId21"/>
  </externalReferences>
  <definedNames>
    <definedName name="AllVariables">'5.Variables'!$B$120:$B$125</definedName>
    <definedName name="EBNUMBER">'[1]LDC Info'!$E$16</definedName>
    <definedName name="_xlnm.Print_Area" localSheetId="4">'5.Variables'!$A$10:$Z$132</definedName>
    <definedName name="RebaseYear">'[1]LDC Info'!$E$28</definedName>
    <definedName name="TestYear">'[2]LDC Info'!$E$24</definedName>
    <definedName name="Variable1">'5.Variables'!$B$16</definedName>
    <definedName name="Variable2">'5.Variables'!$B$39</definedName>
    <definedName name="Variable3">'5.Variables'!$B$62</definedName>
    <definedName name="Variable5">'5.Variables'!$B$90</definedName>
    <definedName name="Variable6">'5.Variables'!$B$104</definedName>
  </definedNames>
  <calcPr calcId="152511"/>
</workbook>
</file>

<file path=xl/calcChain.xml><?xml version="1.0" encoding="utf-8"?>
<calcChain xmlns="http://schemas.openxmlformats.org/spreadsheetml/2006/main">
  <c r="H34" i="59" l="1"/>
  <c r="E32" i="59"/>
  <c r="B32" i="59"/>
  <c r="E30" i="59"/>
  <c r="B30" i="59"/>
  <c r="E28" i="59"/>
  <c r="B28" i="59"/>
  <c r="E26" i="59"/>
  <c r="B26" i="59"/>
  <c r="E24" i="59"/>
  <c r="B24" i="59"/>
  <c r="E22" i="59"/>
  <c r="B22" i="59"/>
  <c r="E20" i="59"/>
  <c r="B20" i="59"/>
  <c r="E19" i="59"/>
  <c r="E34" i="59" l="1"/>
  <c r="G20" i="59" s="1"/>
  <c r="H20" i="59" s="1"/>
  <c r="G24" i="59"/>
  <c r="H24" i="59" s="1"/>
  <c r="E35" i="59"/>
  <c r="G30" i="59" s="1"/>
  <c r="H30" i="59" s="1"/>
  <c r="G22" i="59"/>
  <c r="H22" i="59" s="1"/>
  <c r="C108" i="58"/>
  <c r="D108" i="58"/>
  <c r="C109" i="58"/>
  <c r="D109" i="58"/>
  <c r="D107" i="58"/>
  <c r="C107" i="58"/>
  <c r="D52" i="58"/>
  <c r="E52" i="58"/>
  <c r="F52" i="58"/>
  <c r="G52" i="58"/>
  <c r="H52" i="58"/>
  <c r="I52" i="58"/>
  <c r="J52" i="58"/>
  <c r="D53" i="58"/>
  <c r="E53" i="58"/>
  <c r="F53" i="58"/>
  <c r="G53" i="58"/>
  <c r="H53" i="58"/>
  <c r="H57" i="58" s="1"/>
  <c r="D54" i="58"/>
  <c r="E54" i="58"/>
  <c r="F54" i="58"/>
  <c r="G54" i="58"/>
  <c r="H54" i="58"/>
  <c r="C53" i="58"/>
  <c r="C54" i="58"/>
  <c r="C52" i="58"/>
  <c r="A51" i="58"/>
  <c r="D43" i="58"/>
  <c r="E43" i="58"/>
  <c r="F43" i="58"/>
  <c r="G43" i="58"/>
  <c r="G47" i="58" s="1"/>
  <c r="H43" i="58"/>
  <c r="I43" i="58"/>
  <c r="J43" i="58"/>
  <c r="D44" i="58"/>
  <c r="E44" i="58"/>
  <c r="F44" i="58"/>
  <c r="G44" i="58"/>
  <c r="H44" i="58"/>
  <c r="H48" i="58" s="1"/>
  <c r="D45" i="58"/>
  <c r="E45" i="58"/>
  <c r="F45" i="58"/>
  <c r="G45" i="58"/>
  <c r="H45" i="58"/>
  <c r="C44" i="58"/>
  <c r="C45" i="58"/>
  <c r="C43" i="58"/>
  <c r="A42" i="58"/>
  <c r="D34" i="58"/>
  <c r="E34" i="58"/>
  <c r="F34" i="58"/>
  <c r="G34" i="58"/>
  <c r="G38" i="58" s="1"/>
  <c r="H34" i="58"/>
  <c r="I34" i="58"/>
  <c r="J34" i="58"/>
  <c r="D35" i="58"/>
  <c r="E35" i="58"/>
  <c r="F35" i="58"/>
  <c r="G35" i="58"/>
  <c r="H35" i="58"/>
  <c r="C35" i="58"/>
  <c r="C34" i="58"/>
  <c r="A33" i="58"/>
  <c r="D25" i="58"/>
  <c r="E25" i="58"/>
  <c r="E29" i="58" s="1"/>
  <c r="F25" i="58"/>
  <c r="G25" i="58"/>
  <c r="H25" i="58"/>
  <c r="I25" i="58"/>
  <c r="J25" i="58"/>
  <c r="D26" i="58"/>
  <c r="E26" i="58"/>
  <c r="F26" i="58"/>
  <c r="F30" i="58" s="1"/>
  <c r="G26" i="58"/>
  <c r="H26" i="58"/>
  <c r="C26" i="58"/>
  <c r="C25" i="58"/>
  <c r="A24" i="58"/>
  <c r="A15" i="58"/>
  <c r="D17" i="58"/>
  <c r="E17" i="58"/>
  <c r="E21" i="58" s="1"/>
  <c r="F17" i="58"/>
  <c r="G17" i="58"/>
  <c r="H17" i="58"/>
  <c r="H21" i="58" s="1"/>
  <c r="C17" i="58"/>
  <c r="D16" i="58"/>
  <c r="E16" i="58"/>
  <c r="E107" i="58" s="1"/>
  <c r="F16" i="58"/>
  <c r="G16" i="58"/>
  <c r="H16" i="58"/>
  <c r="I16" i="58"/>
  <c r="I20" i="58" s="1"/>
  <c r="J16" i="58"/>
  <c r="C16" i="58"/>
  <c r="B107" i="58"/>
  <c r="I101" i="58"/>
  <c r="I102" i="58"/>
  <c r="I103" i="58"/>
  <c r="I92" i="58"/>
  <c r="I93" i="58"/>
  <c r="I94" i="58"/>
  <c r="I83" i="58"/>
  <c r="I84" i="58"/>
  <c r="I85" i="58"/>
  <c r="I74" i="58"/>
  <c r="I75" i="58"/>
  <c r="I76" i="58"/>
  <c r="I65" i="58"/>
  <c r="I66" i="58"/>
  <c r="I67" i="58"/>
  <c r="I56" i="58"/>
  <c r="I47" i="58"/>
  <c r="I38" i="58"/>
  <c r="I40" i="58"/>
  <c r="I29" i="58"/>
  <c r="I31" i="58"/>
  <c r="I22" i="58"/>
  <c r="H109" i="58"/>
  <c r="G109" i="58"/>
  <c r="F109" i="58"/>
  <c r="B109" i="58"/>
  <c r="H114" i="58" s="1"/>
  <c r="G108" i="58"/>
  <c r="B108" i="58"/>
  <c r="J107" i="58"/>
  <c r="H107" i="58"/>
  <c r="F107" i="58"/>
  <c r="J103" i="58"/>
  <c r="H103" i="58"/>
  <c r="G103" i="58"/>
  <c r="F103" i="58"/>
  <c r="E103" i="58"/>
  <c r="J102" i="58"/>
  <c r="H102" i="58"/>
  <c r="G102" i="58"/>
  <c r="F102" i="58"/>
  <c r="E102" i="58"/>
  <c r="J101" i="58"/>
  <c r="H101" i="58"/>
  <c r="G101" i="58"/>
  <c r="F101" i="58"/>
  <c r="E101" i="58"/>
  <c r="A101" i="58"/>
  <c r="J94" i="58"/>
  <c r="H94" i="58"/>
  <c r="G94" i="58"/>
  <c r="F94" i="58"/>
  <c r="E94" i="58"/>
  <c r="J93" i="58"/>
  <c r="H93" i="58"/>
  <c r="G93" i="58"/>
  <c r="F93" i="58"/>
  <c r="E93" i="58"/>
  <c r="J92" i="58"/>
  <c r="H92" i="58"/>
  <c r="G92" i="58"/>
  <c r="F92" i="58"/>
  <c r="E92" i="58"/>
  <c r="A92" i="58"/>
  <c r="J85" i="58"/>
  <c r="H85" i="58"/>
  <c r="G85" i="58"/>
  <c r="F85" i="58"/>
  <c r="E85" i="58"/>
  <c r="J84" i="58"/>
  <c r="H84" i="58"/>
  <c r="G84" i="58"/>
  <c r="F84" i="58"/>
  <c r="E84" i="58"/>
  <c r="J83" i="58"/>
  <c r="H83" i="58"/>
  <c r="G83" i="58"/>
  <c r="F83" i="58"/>
  <c r="E83" i="58"/>
  <c r="A83" i="58"/>
  <c r="J76" i="58"/>
  <c r="H76" i="58"/>
  <c r="G76" i="58"/>
  <c r="F76" i="58"/>
  <c r="E76" i="58"/>
  <c r="J75" i="58"/>
  <c r="H75" i="58"/>
  <c r="G75" i="58"/>
  <c r="F75" i="58"/>
  <c r="E75" i="58"/>
  <c r="J74" i="58"/>
  <c r="H74" i="58"/>
  <c r="G74" i="58"/>
  <c r="F74" i="58"/>
  <c r="E74" i="58"/>
  <c r="A74" i="58"/>
  <c r="J67" i="58"/>
  <c r="H67" i="58"/>
  <c r="G67" i="58"/>
  <c r="F67" i="58"/>
  <c r="E67" i="58"/>
  <c r="J66" i="58"/>
  <c r="H66" i="58"/>
  <c r="G66" i="58"/>
  <c r="F66" i="58"/>
  <c r="E66" i="58"/>
  <c r="J65" i="58"/>
  <c r="H65" i="58"/>
  <c r="G65" i="58"/>
  <c r="F65" i="58"/>
  <c r="E65" i="58"/>
  <c r="A65" i="58"/>
  <c r="H58" i="58"/>
  <c r="G58" i="58"/>
  <c r="F58" i="58"/>
  <c r="E58" i="58"/>
  <c r="G57" i="58"/>
  <c r="F57" i="58"/>
  <c r="E57" i="58"/>
  <c r="J56" i="58"/>
  <c r="H56" i="58"/>
  <c r="G56" i="58"/>
  <c r="F56" i="58"/>
  <c r="E56" i="58"/>
  <c r="A56" i="58"/>
  <c r="H49" i="58"/>
  <c r="G49" i="58"/>
  <c r="F49" i="58"/>
  <c r="G48" i="58"/>
  <c r="F48" i="58"/>
  <c r="E48" i="58"/>
  <c r="J47" i="58"/>
  <c r="H47" i="58"/>
  <c r="F47" i="58"/>
  <c r="E47" i="58"/>
  <c r="A47" i="58"/>
  <c r="J40" i="58"/>
  <c r="H40" i="58"/>
  <c r="G40" i="58"/>
  <c r="F40" i="58"/>
  <c r="E40" i="58"/>
  <c r="H39" i="58"/>
  <c r="G39" i="58"/>
  <c r="F39" i="58"/>
  <c r="E39" i="58"/>
  <c r="J38" i="58"/>
  <c r="H38" i="58"/>
  <c r="F38" i="58"/>
  <c r="E38" i="58"/>
  <c r="A38" i="58"/>
  <c r="J31" i="58"/>
  <c r="H31" i="58"/>
  <c r="G31" i="58"/>
  <c r="F31" i="58"/>
  <c r="E31" i="58"/>
  <c r="G30" i="58"/>
  <c r="E30" i="58"/>
  <c r="J29" i="58"/>
  <c r="H29" i="58"/>
  <c r="G29" i="58"/>
  <c r="F29" i="58"/>
  <c r="A29" i="58"/>
  <c r="J22" i="58"/>
  <c r="H22" i="58"/>
  <c r="G22" i="58"/>
  <c r="F22" i="58"/>
  <c r="E22" i="58"/>
  <c r="G21" i="58"/>
  <c r="F21" i="58"/>
  <c r="J20" i="58"/>
  <c r="G20" i="58"/>
  <c r="F20" i="58"/>
  <c r="E20" i="58"/>
  <c r="A20" i="58"/>
  <c r="G34" i="59" l="1"/>
  <c r="G28" i="59"/>
  <c r="H28" i="59" s="1"/>
  <c r="G32" i="59"/>
  <c r="H32" i="59" s="1"/>
  <c r="G26" i="59"/>
  <c r="H26" i="59" s="1"/>
  <c r="J34" i="59"/>
  <c r="E109" i="58"/>
  <c r="E114" i="58" s="1"/>
  <c r="E49" i="58"/>
  <c r="G114" i="58"/>
  <c r="F114" i="58"/>
  <c r="H108" i="58"/>
  <c r="H113" i="58" s="1"/>
  <c r="G107" i="58"/>
  <c r="G112" i="58" s="1"/>
  <c r="H30" i="58"/>
  <c r="F108" i="58"/>
  <c r="F113" i="58" s="1"/>
  <c r="G113" i="58"/>
  <c r="E108" i="58"/>
  <c r="E113" i="58" s="1"/>
  <c r="I107" i="58"/>
  <c r="I112" i="58" s="1"/>
  <c r="F112" i="58"/>
  <c r="H112" i="58"/>
  <c r="H20" i="58"/>
  <c r="E112" i="58"/>
  <c r="J112" i="58"/>
  <c r="G38" i="57" l="1"/>
  <c r="H38" i="57"/>
  <c r="M13" i="47" l="1"/>
  <c r="N15" i="47"/>
  <c r="S15" i="47"/>
  <c r="N16" i="47"/>
  <c r="O16" i="47"/>
  <c r="P16" i="47"/>
  <c r="S16" i="47"/>
  <c r="T16" i="47"/>
  <c r="N17" i="47"/>
  <c r="O17" i="47"/>
  <c r="P17" i="47"/>
  <c r="S17" i="47"/>
  <c r="T17" i="47"/>
  <c r="N18" i="47"/>
  <c r="O18" i="47"/>
  <c r="P18" i="47"/>
  <c r="S18" i="47"/>
  <c r="T18" i="47"/>
  <c r="N19" i="47"/>
  <c r="O19" i="47"/>
  <c r="P19" i="47"/>
  <c r="S19" i="47"/>
  <c r="T19" i="47"/>
  <c r="N20" i="47"/>
  <c r="O20" i="47"/>
  <c r="P20" i="47"/>
  <c r="S20" i="47"/>
  <c r="T20" i="47"/>
  <c r="N21" i="47"/>
  <c r="O21" i="47"/>
  <c r="P21" i="47"/>
  <c r="S21" i="47"/>
  <c r="T21" i="47"/>
  <c r="N22" i="47"/>
  <c r="O22" i="47"/>
  <c r="P22" i="47"/>
  <c r="S22" i="47"/>
  <c r="T22" i="47"/>
  <c r="N23" i="47"/>
  <c r="O23" i="47"/>
  <c r="P23" i="47"/>
  <c r="S23" i="47"/>
  <c r="T23" i="47"/>
  <c r="N24" i="47"/>
  <c r="O24" i="47"/>
  <c r="P24" i="47"/>
  <c r="C30" i="46" l="1"/>
  <c r="D42" i="57" l="1"/>
  <c r="E42" i="57"/>
  <c r="E43" i="57"/>
  <c r="F44" i="57"/>
  <c r="F42" i="57"/>
  <c r="F43" i="57"/>
  <c r="E117" i="57"/>
  <c r="D117" i="57"/>
  <c r="C117" i="57"/>
  <c r="D115" i="57"/>
  <c r="C115" i="57"/>
  <c r="B115" i="57"/>
  <c r="D88" i="57"/>
  <c r="F88" i="57" s="1"/>
  <c r="C88" i="57"/>
  <c r="H68" i="57"/>
  <c r="A67" i="57"/>
  <c r="A66" i="57"/>
  <c r="A65" i="57"/>
  <c r="A64" i="57"/>
  <c r="A63" i="57"/>
  <c r="B62" i="57"/>
  <c r="C62" i="57" s="1"/>
  <c r="A62" i="57"/>
  <c r="E39" i="57"/>
  <c r="D39" i="57"/>
  <c r="C39" i="57"/>
  <c r="B39" i="57"/>
  <c r="F38" i="57"/>
  <c r="F37" i="57"/>
  <c r="F36" i="57"/>
  <c r="F35" i="57"/>
  <c r="K29" i="57"/>
  <c r="J29" i="57"/>
  <c r="N28" i="57"/>
  <c r="M28" i="57"/>
  <c r="L28" i="57"/>
  <c r="K28" i="57"/>
  <c r="E121" i="57" l="1"/>
  <c r="E124" i="57" s="1"/>
  <c r="B54" i="57"/>
  <c r="H54" i="57" s="1"/>
  <c r="B68" i="57"/>
  <c r="C121" i="57"/>
  <c r="C124" i="57" s="1"/>
  <c r="F39" i="57"/>
  <c r="E30" i="57" s="1"/>
  <c r="F119" i="57"/>
  <c r="H62" i="57"/>
  <c r="B121" i="57"/>
  <c r="D121" i="57"/>
  <c r="D124" i="57" s="1"/>
  <c r="E88" i="57"/>
  <c r="C63" i="57"/>
  <c r="B60" i="57" l="1"/>
  <c r="E29" i="57"/>
  <c r="C29" i="57"/>
  <c r="B29" i="57"/>
  <c r="B33" i="57" s="1"/>
  <c r="E31" i="57"/>
  <c r="D31" i="57"/>
  <c r="D29" i="57"/>
  <c r="C30" i="57"/>
  <c r="E32" i="57"/>
  <c r="F32" i="57" s="1"/>
  <c r="D30" i="57"/>
  <c r="H63" i="57"/>
  <c r="D64" i="57"/>
  <c r="G119" i="57"/>
  <c r="G121" i="57" s="1"/>
  <c r="G124" i="57" s="1"/>
  <c r="C55" i="57"/>
  <c r="C68" i="57"/>
  <c r="B124" i="57"/>
  <c r="F121" i="57"/>
  <c r="F124" i="57" s="1"/>
  <c r="H119" i="57" l="1"/>
  <c r="F30" i="57"/>
  <c r="F31" i="57"/>
  <c r="C33" i="57"/>
  <c r="E33" i="57"/>
  <c r="F29" i="57"/>
  <c r="D33" i="57"/>
  <c r="H121" i="57"/>
  <c r="L34" i="53" s="1"/>
  <c r="H124" i="57"/>
  <c r="C60" i="57"/>
  <c r="H55" i="57"/>
  <c r="D68" i="57"/>
  <c r="H64" i="57"/>
  <c r="D56" i="57"/>
  <c r="E65" i="57"/>
  <c r="F33" i="57" l="1"/>
  <c r="E68" i="57"/>
  <c r="F66" i="57"/>
  <c r="H65" i="57"/>
  <c r="E57" i="57"/>
  <c r="H56" i="57"/>
  <c r="D60" i="57"/>
  <c r="E60" i="57" l="1"/>
  <c r="H57" i="57"/>
  <c r="G67" i="57"/>
  <c r="F58" i="57"/>
  <c r="F68" i="57"/>
  <c r="H66" i="57"/>
  <c r="H58" i="57" l="1"/>
  <c r="F60" i="57"/>
  <c r="H67" i="57"/>
  <c r="G68" i="57"/>
  <c r="G59" i="57"/>
  <c r="G60" i="57" l="1"/>
  <c r="H60" i="57" s="1"/>
  <c r="H59" i="57"/>
  <c r="F30" i="46" l="1"/>
  <c r="C21" i="29" l="1"/>
  <c r="R37" i="6" l="1"/>
  <c r="C18" i="6"/>
  <c r="C19" i="6"/>
  <c r="I15" i="6"/>
  <c r="AK28" i="46" l="1"/>
  <c r="AK30" i="46"/>
  <c r="AK29" i="46"/>
  <c r="AK27" i="46"/>
  <c r="AK26" i="46"/>
  <c r="AK25" i="46"/>
  <c r="AK24" i="46"/>
  <c r="AK23" i="46"/>
  <c r="AK22" i="46"/>
  <c r="AK21" i="46"/>
  <c r="G24" i="6"/>
  <c r="G23" i="6"/>
  <c r="AH30" i="46"/>
  <c r="AH29" i="46"/>
  <c r="AH28" i="46"/>
  <c r="AH27" i="46"/>
  <c r="AH26" i="46"/>
  <c r="AH25" i="46"/>
  <c r="AH24" i="46"/>
  <c r="AH23" i="46"/>
  <c r="AH22" i="46"/>
  <c r="AH21" i="46"/>
  <c r="AA24" i="46"/>
  <c r="U20" i="30"/>
  <c r="K139" i="4"/>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B40" i="52"/>
  <c r="L20" i="4"/>
  <c r="L21" i="4"/>
  <c r="L22" i="4"/>
  <c r="L23" i="4"/>
  <c r="L24" i="4"/>
  <c r="L25" i="4"/>
  <c r="L26" i="4"/>
  <c r="L27" i="4"/>
  <c r="L28" i="4"/>
  <c r="L29" i="4"/>
  <c r="L30" i="4"/>
  <c r="L31" i="4"/>
  <c r="B18" i="52"/>
  <c r="K140" i="4" l="1"/>
  <c r="A21" i="4"/>
  <c r="X21" i="46"/>
  <c r="Z21" i="46" s="1"/>
  <c r="AR30" i="46"/>
  <c r="AR29" i="46"/>
  <c r="AT29" i="46" s="1"/>
  <c r="AR28" i="46"/>
  <c r="AT28" i="46" s="1"/>
  <c r="AR27" i="46"/>
  <c r="AT27" i="46" s="1"/>
  <c r="AR26" i="46"/>
  <c r="AT26" i="46" s="1"/>
  <c r="AR25" i="46"/>
  <c r="AT25" i="46" s="1"/>
  <c r="AR24" i="46"/>
  <c r="AT24" i="46" s="1"/>
  <c r="AR23" i="46"/>
  <c r="AT23" i="46" s="1"/>
  <c r="AR22" i="46"/>
  <c r="AT22" i="46" s="1"/>
  <c r="AR21" i="46"/>
  <c r="AT21" i="46" s="1"/>
  <c r="AJ29" i="46"/>
  <c r="AJ28" i="46"/>
  <c r="AJ27" i="46"/>
  <c r="AJ26" i="46"/>
  <c r="AJ25" i="46"/>
  <c r="AJ24" i="46"/>
  <c r="AJ23" i="46"/>
  <c r="AJ22" i="46"/>
  <c r="AJ21" i="46"/>
  <c r="X30" i="46"/>
  <c r="X29" i="46"/>
  <c r="Z29" i="46" s="1"/>
  <c r="X28" i="46"/>
  <c r="Z28" i="46" s="1"/>
  <c r="X27" i="46"/>
  <c r="Z27" i="46" s="1"/>
  <c r="X26" i="46"/>
  <c r="Z26" i="46" s="1"/>
  <c r="X25" i="46"/>
  <c r="Z25" i="46" s="1"/>
  <c r="X24" i="46"/>
  <c r="Z24" i="46" s="1"/>
  <c r="X23" i="46"/>
  <c r="Z23" i="46" s="1"/>
  <c r="X22" i="46"/>
  <c r="Z22" i="46" s="1"/>
  <c r="N30" i="46"/>
  <c r="N29" i="46"/>
  <c r="P29" i="46" s="1"/>
  <c r="N28" i="46"/>
  <c r="P28" i="46" s="1"/>
  <c r="N27" i="46"/>
  <c r="P27" i="46" s="1"/>
  <c r="N26" i="46"/>
  <c r="P26" i="46" s="1"/>
  <c r="N25" i="46"/>
  <c r="P25" i="46" s="1"/>
  <c r="N24" i="46"/>
  <c r="P24" i="46" s="1"/>
  <c r="N23" i="46"/>
  <c r="P23" i="46" s="1"/>
  <c r="N22" i="46"/>
  <c r="P22" i="46" s="1"/>
  <c r="N21" i="46"/>
  <c r="P21" i="46" s="1"/>
  <c r="C29" i="46"/>
  <c r="E29" i="46" s="1"/>
  <c r="C28" i="46"/>
  <c r="E28" i="46" s="1"/>
  <c r="C27" i="46"/>
  <c r="E27" i="46" s="1"/>
  <c r="C26" i="46"/>
  <c r="E26" i="46" s="1"/>
  <c r="C25" i="46"/>
  <c r="E25" i="46" s="1"/>
  <c r="C24" i="46"/>
  <c r="E24" i="46" s="1"/>
  <c r="C23" i="46"/>
  <c r="E23" i="46" s="1"/>
  <c r="C22" i="46"/>
  <c r="E22" i="46" s="1"/>
  <c r="C21" i="46"/>
  <c r="E21" i="46" s="1"/>
  <c r="N34" i="53"/>
  <c r="I19" i="53"/>
  <c r="I37" i="53" s="1"/>
  <c r="H19" i="53"/>
  <c r="H37" i="53" s="1"/>
  <c r="G19" i="53"/>
  <c r="G37" i="53" s="1"/>
  <c r="F19" i="53"/>
  <c r="F37" i="53" s="1"/>
  <c r="E19" i="53"/>
  <c r="E37" i="53" s="1"/>
  <c r="B74" i="32"/>
  <c r="F74" i="32" s="1"/>
  <c r="AU30" i="46"/>
  <c r="AU29" i="46"/>
  <c r="AU28" i="46"/>
  <c r="AU27" i="46"/>
  <c r="AY27" i="46" s="1"/>
  <c r="AU26" i="46"/>
  <c r="AU25" i="46"/>
  <c r="AU24" i="46"/>
  <c r="AU23" i="46"/>
  <c r="AY23" i="46" s="1"/>
  <c r="AU22" i="46"/>
  <c r="AU21" i="46"/>
  <c r="AQ47" i="46"/>
  <c r="AO21" i="46" l="1"/>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Z30" i="46"/>
  <c r="AJ30" i="46"/>
  <c r="P30" i="46"/>
  <c r="E30" i="46"/>
  <c r="AT30" i="46"/>
  <c r="AY28" i="46"/>
  <c r="AY29" i="46"/>
  <c r="AY25" i="46"/>
  <c r="AY26" i="46"/>
  <c r="AY21" i="46"/>
  <c r="AY24" i="46"/>
  <c r="AY22" i="46"/>
  <c r="AY30" i="46"/>
  <c r="AY34" i="46" l="1"/>
  <c r="F89" i="42"/>
  <c r="E89" i="42"/>
  <c r="D89" i="42"/>
  <c r="E87" i="42"/>
  <c r="D87" i="42"/>
  <c r="C87" i="42"/>
  <c r="E71" i="42"/>
  <c r="G71" i="42" s="1"/>
  <c r="D71" i="42"/>
  <c r="I54" i="42"/>
  <c r="B53" i="42"/>
  <c r="B52" i="42"/>
  <c r="B51" i="42"/>
  <c r="B50" i="42"/>
  <c r="B49" i="42"/>
  <c r="C48" i="42"/>
  <c r="G91" i="42" s="1"/>
  <c r="B48" i="42"/>
  <c r="E30" i="42"/>
  <c r="D30" i="42"/>
  <c r="C30" i="42"/>
  <c r="F29" i="42"/>
  <c r="D93" i="42" l="1"/>
  <c r="H89" i="42"/>
  <c r="E93" i="42"/>
  <c r="F71" i="42"/>
  <c r="C54" i="42"/>
  <c r="C40" i="42"/>
  <c r="C46" i="42" s="1"/>
  <c r="D49" i="42"/>
  <c r="I49" i="42" s="1"/>
  <c r="F87" i="42"/>
  <c r="F93" i="42" s="1"/>
  <c r="F30" i="42"/>
  <c r="G29" i="42"/>
  <c r="G30" i="42" s="1"/>
  <c r="I91" i="42"/>
  <c r="I48" i="42"/>
  <c r="G93" i="42" l="1"/>
  <c r="I93" i="42" s="1"/>
  <c r="I40" i="42"/>
  <c r="E50" i="42"/>
  <c r="D41" i="42"/>
  <c r="D46" i="42" s="1"/>
  <c r="D54" i="42"/>
  <c r="H87" i="42"/>
  <c r="F20" i="42"/>
  <c r="E20" i="42"/>
  <c r="D21" i="42"/>
  <c r="D20" i="42"/>
  <c r="F22" i="42"/>
  <c r="C20" i="42"/>
  <c r="F21" i="42"/>
  <c r="E22" i="42"/>
  <c r="E21" i="42"/>
  <c r="F23" i="42"/>
  <c r="G23" i="42" s="1"/>
  <c r="D24" i="42" l="1"/>
  <c r="I41" i="42"/>
  <c r="E42" i="42"/>
  <c r="F51" i="42"/>
  <c r="I50" i="42"/>
  <c r="E54" i="42"/>
  <c r="G21" i="42"/>
  <c r="E24" i="42"/>
  <c r="G22" i="42"/>
  <c r="C24" i="42"/>
  <c r="G20" i="42"/>
  <c r="F24" i="42"/>
  <c r="F43" i="42" l="1"/>
  <c r="I51" i="42"/>
  <c r="F54" i="42"/>
  <c r="G52" i="42"/>
  <c r="E46" i="42"/>
  <c r="I42" i="42"/>
  <c r="G24" i="42"/>
  <c r="B65" i="32"/>
  <c r="F65" i="32" s="1"/>
  <c r="B66" i="32"/>
  <c r="F66" i="32" s="1"/>
  <c r="B67" i="32"/>
  <c r="F67" i="32" s="1"/>
  <c r="B68" i="32"/>
  <c r="F68" i="32" s="1"/>
  <c r="B69" i="32"/>
  <c r="F69" i="32" s="1"/>
  <c r="B70" i="32"/>
  <c r="F70" i="32" s="1"/>
  <c r="B71" i="32"/>
  <c r="F71" i="32" s="1"/>
  <c r="B72" i="32"/>
  <c r="F72" i="32" s="1"/>
  <c r="B73" i="32"/>
  <c r="F73" i="32" s="1"/>
  <c r="AA30" i="46"/>
  <c r="AA29" i="46"/>
  <c r="AA28" i="46"/>
  <c r="AA27" i="46"/>
  <c r="AA26" i="46"/>
  <c r="AA25" i="46"/>
  <c r="AE25" i="46" s="1"/>
  <c r="AA23" i="46"/>
  <c r="AE23" i="46" s="1"/>
  <c r="AA22" i="46"/>
  <c r="AE22" i="46" s="1"/>
  <c r="AA21" i="46"/>
  <c r="AE21" i="46" s="1"/>
  <c r="AE24" i="46"/>
  <c r="AO22" i="46"/>
  <c r="AO24" i="46"/>
  <c r="AO25" i="46"/>
  <c r="AO23" i="46"/>
  <c r="AO26" i="46"/>
  <c r="AG47" i="46"/>
  <c r="W47" i="46"/>
  <c r="M47" i="46"/>
  <c r="B47" i="46"/>
  <c r="V37" i="6"/>
  <c r="V36" i="6"/>
  <c r="C16" i="32" l="1"/>
  <c r="E17" i="32"/>
  <c r="W37" i="6"/>
  <c r="M41" i="32"/>
  <c r="E41" i="32"/>
  <c r="D39" i="51" s="1"/>
  <c r="G37" i="32"/>
  <c r="F35" i="51" s="1"/>
  <c r="I33" i="32"/>
  <c r="H31" i="51" s="1"/>
  <c r="K29" i="32"/>
  <c r="J27" i="51" s="1"/>
  <c r="K41" i="32"/>
  <c r="J39" i="51" s="1"/>
  <c r="E37" i="32"/>
  <c r="D35" i="51" s="1"/>
  <c r="I29" i="32"/>
  <c r="H27" i="51" s="1"/>
  <c r="H37" i="32"/>
  <c r="G35" i="51" s="1"/>
  <c r="L41" i="32"/>
  <c r="N37" i="32"/>
  <c r="F37" i="32"/>
  <c r="E35" i="51" s="1"/>
  <c r="H33" i="32"/>
  <c r="G31" i="51" s="1"/>
  <c r="J29" i="32"/>
  <c r="I27" i="51" s="1"/>
  <c r="F68" i="47" s="1"/>
  <c r="M37" i="32"/>
  <c r="G33" i="32"/>
  <c r="F31" i="51" s="1"/>
  <c r="F41" i="32"/>
  <c r="E39" i="51" s="1"/>
  <c r="L29" i="32"/>
  <c r="J41" i="32"/>
  <c r="I39" i="51" s="1"/>
  <c r="L37" i="32"/>
  <c r="N33" i="32"/>
  <c r="F33" i="32"/>
  <c r="E31" i="51" s="1"/>
  <c r="H29" i="32"/>
  <c r="G27" i="51" s="1"/>
  <c r="I41" i="32"/>
  <c r="H39" i="51" s="1"/>
  <c r="K37" i="32"/>
  <c r="J35" i="51" s="1"/>
  <c r="M33" i="32"/>
  <c r="E33" i="32"/>
  <c r="D31" i="51" s="1"/>
  <c r="G29" i="32"/>
  <c r="F27" i="51" s="1"/>
  <c r="H41" i="32"/>
  <c r="G39" i="51" s="1"/>
  <c r="J37" i="32"/>
  <c r="I35" i="51" s="1"/>
  <c r="L33" i="32"/>
  <c r="N29" i="32"/>
  <c r="F29" i="32"/>
  <c r="E27" i="51" s="1"/>
  <c r="G41" i="32"/>
  <c r="F39" i="51" s="1"/>
  <c r="I37" i="32"/>
  <c r="H35" i="51" s="1"/>
  <c r="K33" i="32"/>
  <c r="J31" i="51" s="1"/>
  <c r="M29" i="32"/>
  <c r="E29" i="32"/>
  <c r="D27" i="51" s="1"/>
  <c r="N41" i="32"/>
  <c r="J33" i="32"/>
  <c r="I31" i="51" s="1"/>
  <c r="H42" i="32"/>
  <c r="G40" i="51" s="1"/>
  <c r="L38" i="32"/>
  <c r="L22" i="32"/>
  <c r="P18" i="32"/>
  <c r="H18" i="32"/>
  <c r="G16" i="51" s="1"/>
  <c r="N42" i="32"/>
  <c r="E42" i="32"/>
  <c r="D40" i="51" s="1"/>
  <c r="H38" i="32"/>
  <c r="G36" i="51" s="1"/>
  <c r="J22" i="32"/>
  <c r="I20" i="51" s="1"/>
  <c r="M18" i="32"/>
  <c r="M42" i="32"/>
  <c r="G38" i="32"/>
  <c r="F36" i="51" s="1"/>
  <c r="I22" i="32"/>
  <c r="H20" i="51" s="1"/>
  <c r="L18" i="32"/>
  <c r="L42" i="32"/>
  <c r="F38" i="32"/>
  <c r="E36" i="51" s="1"/>
  <c r="H22" i="32"/>
  <c r="G20" i="51" s="1"/>
  <c r="K18" i="32"/>
  <c r="J16" i="51" s="1"/>
  <c r="J42" i="32"/>
  <c r="I40" i="51" s="1"/>
  <c r="M38" i="32"/>
  <c r="O22" i="32"/>
  <c r="F22" i="32"/>
  <c r="E20" i="51" s="1"/>
  <c r="I18" i="32"/>
  <c r="H16" i="51" s="1"/>
  <c r="J38" i="32"/>
  <c r="I36" i="51" s="1"/>
  <c r="O18" i="32"/>
  <c r="E38" i="32"/>
  <c r="D36" i="51" s="1"/>
  <c r="P22" i="32"/>
  <c r="I40" i="53" s="1"/>
  <c r="G42" i="32"/>
  <c r="F40" i="51" s="1"/>
  <c r="F18" i="32"/>
  <c r="E16" i="51" s="1"/>
  <c r="E18" i="32"/>
  <c r="I38" i="32"/>
  <c r="H36" i="51" s="1"/>
  <c r="N18" i="32"/>
  <c r="K42" i="32"/>
  <c r="J40" i="51" s="1"/>
  <c r="J18" i="32"/>
  <c r="I16" i="51" s="1"/>
  <c r="F42" i="32"/>
  <c r="E40" i="51" s="1"/>
  <c r="K22" i="32"/>
  <c r="J20" i="51" s="1"/>
  <c r="I42" i="32"/>
  <c r="H40" i="51" s="1"/>
  <c r="N22" i="32"/>
  <c r="G18" i="32"/>
  <c r="M22" i="32"/>
  <c r="N38" i="32"/>
  <c r="G22" i="32"/>
  <c r="F20" i="51" s="1"/>
  <c r="K38" i="32"/>
  <c r="J36" i="51" s="1"/>
  <c r="E22" i="32"/>
  <c r="D20" i="51" s="1"/>
  <c r="AE30" i="46"/>
  <c r="C28" i="32"/>
  <c r="C20" i="32"/>
  <c r="C36" i="32"/>
  <c r="C32" i="32"/>
  <c r="C24" i="32"/>
  <c r="C40" i="32"/>
  <c r="AE28" i="46"/>
  <c r="AE29" i="46"/>
  <c r="AO28" i="46"/>
  <c r="AO27" i="46"/>
  <c r="AO29" i="46"/>
  <c r="AO30" i="46"/>
  <c r="G44" i="42"/>
  <c r="H53" i="42"/>
  <c r="G54" i="42"/>
  <c r="I52" i="42"/>
  <c r="I43" i="42"/>
  <c r="F46" i="42"/>
  <c r="AE26" i="46"/>
  <c r="AE27" i="46"/>
  <c r="Q30" i="46"/>
  <c r="Q29" i="46"/>
  <c r="Q28" i="46"/>
  <c r="Q27" i="46"/>
  <c r="Q26" i="46"/>
  <c r="Q25" i="46"/>
  <c r="Q24" i="46"/>
  <c r="Q23" i="46"/>
  <c r="Q22" i="46"/>
  <c r="Q21" i="46"/>
  <c r="N26" i="32"/>
  <c r="F29" i="46"/>
  <c r="M26" i="32" s="1"/>
  <c r="F28" i="46"/>
  <c r="L26" i="32" s="1"/>
  <c r="F27" i="46"/>
  <c r="K26" i="32" s="1"/>
  <c r="J24" i="51" s="1"/>
  <c r="F26" i="46"/>
  <c r="J26" i="32" s="1"/>
  <c r="I24" i="51" s="1"/>
  <c r="F25" i="46"/>
  <c r="I26" i="32" s="1"/>
  <c r="H24" i="51" s="1"/>
  <c r="F24" i="46"/>
  <c r="H26" i="32" s="1"/>
  <c r="G24" i="51" s="1"/>
  <c r="F23" i="46"/>
  <c r="G26" i="32" s="1"/>
  <c r="F24" i="51" s="1"/>
  <c r="F22" i="46"/>
  <c r="F26" i="32" s="1"/>
  <c r="E24" i="51" s="1"/>
  <c r="F21" i="46"/>
  <c r="E26" i="32" s="1"/>
  <c r="D24" i="51" s="1"/>
  <c r="AI30" i="29"/>
  <c r="AI29" i="29"/>
  <c r="AI28" i="29"/>
  <c r="AI27" i="29"/>
  <c r="AI26" i="29"/>
  <c r="AI25" i="29"/>
  <c r="AI24" i="29"/>
  <c r="AI23" i="29"/>
  <c r="AI22" i="29"/>
  <c r="AI21" i="29"/>
  <c r="AA21" i="29"/>
  <c r="AH40" i="29"/>
  <c r="N37" i="6"/>
  <c r="P37" i="6"/>
  <c r="L37" i="6"/>
  <c r="H37" i="6"/>
  <c r="F37" i="6"/>
  <c r="D37" i="6"/>
  <c r="J37" i="6"/>
  <c r="AA30" i="29"/>
  <c r="AA29" i="29"/>
  <c r="AA28" i="29"/>
  <c r="AA27" i="29"/>
  <c r="AA26" i="29"/>
  <c r="AA25" i="29"/>
  <c r="AA24" i="29"/>
  <c r="AA23" i="29"/>
  <c r="AA22" i="29"/>
  <c r="S30" i="29"/>
  <c r="S29" i="29"/>
  <c r="S28" i="29"/>
  <c r="S27" i="29"/>
  <c r="S26" i="29"/>
  <c r="S25" i="29"/>
  <c r="S24" i="29"/>
  <c r="S23" i="29"/>
  <c r="S22" i="29"/>
  <c r="S21" i="29"/>
  <c r="K30" i="29"/>
  <c r="N21" i="32" s="1"/>
  <c r="K29" i="29"/>
  <c r="M21" i="32" s="1"/>
  <c r="K28" i="29"/>
  <c r="L21" i="32" s="1"/>
  <c r="K26" i="29"/>
  <c r="J21" i="32" s="1"/>
  <c r="K27" i="29"/>
  <c r="K21" i="32" s="1"/>
  <c r="K25" i="29"/>
  <c r="I21" i="32" s="1"/>
  <c r="K24" i="29"/>
  <c r="H21" i="32" s="1"/>
  <c r="K23" i="29"/>
  <c r="G21" i="32" s="1"/>
  <c r="K22" i="29"/>
  <c r="F21" i="32" s="1"/>
  <c r="K21" i="29"/>
  <c r="E21" i="32" s="1"/>
  <c r="C30" i="29"/>
  <c r="N17" i="32" s="1"/>
  <c r="C29" i="29"/>
  <c r="M17" i="32" s="1"/>
  <c r="C28" i="29"/>
  <c r="L17" i="32" s="1"/>
  <c r="C27" i="29"/>
  <c r="K17" i="32" s="1"/>
  <c r="C26" i="29"/>
  <c r="J17" i="32" s="1"/>
  <c r="C25" i="29"/>
  <c r="I17" i="32" s="1"/>
  <c r="C24" i="29"/>
  <c r="H17" i="32" s="1"/>
  <c r="C23" i="29"/>
  <c r="G17" i="32" s="1"/>
  <c r="C22" i="29"/>
  <c r="F17" i="32" s="1"/>
  <c r="M26" i="6"/>
  <c r="M25" i="6"/>
  <c r="R29" i="46" s="1"/>
  <c r="M24" i="6"/>
  <c r="R28" i="46" s="1"/>
  <c r="M23" i="6"/>
  <c r="R27" i="46" s="1"/>
  <c r="M22" i="6"/>
  <c r="R26" i="46" s="1"/>
  <c r="M21" i="6"/>
  <c r="R25" i="46" s="1"/>
  <c r="M20" i="6"/>
  <c r="R24" i="46" s="1"/>
  <c r="M19" i="6"/>
  <c r="R23" i="46" s="1"/>
  <c r="M18" i="6"/>
  <c r="R22" i="46" s="1"/>
  <c r="M17" i="6"/>
  <c r="R21" i="46" s="1"/>
  <c r="O26" i="6"/>
  <c r="AB30" i="46" s="1"/>
  <c r="AD30" i="46" s="1"/>
  <c r="O25" i="6"/>
  <c r="AB29" i="46" s="1"/>
  <c r="AC29" i="46" s="1"/>
  <c r="O24" i="6"/>
  <c r="AB28" i="46" s="1"/>
  <c r="AC28" i="46" s="1"/>
  <c r="O23" i="6"/>
  <c r="AB27" i="46" s="1"/>
  <c r="AC27" i="46" s="1"/>
  <c r="O22" i="6"/>
  <c r="AB26" i="46" s="1"/>
  <c r="AD26" i="46" s="1"/>
  <c r="O21" i="6"/>
  <c r="AB25" i="46" s="1"/>
  <c r="AC25" i="46" s="1"/>
  <c r="O20" i="6"/>
  <c r="AB24" i="46" s="1"/>
  <c r="AC24" i="46" s="1"/>
  <c r="O19" i="6"/>
  <c r="AB23" i="46" s="1"/>
  <c r="AC23" i="46" s="1"/>
  <c r="O18" i="6"/>
  <c r="AB22" i="46" s="1"/>
  <c r="AC22" i="46" s="1"/>
  <c r="O17" i="6"/>
  <c r="AB21" i="46" s="1"/>
  <c r="AD21" i="46" s="1"/>
  <c r="K26" i="6"/>
  <c r="K25" i="6"/>
  <c r="G29" i="46" s="1"/>
  <c r="K24" i="6"/>
  <c r="G28" i="46" s="1"/>
  <c r="K23" i="6"/>
  <c r="G27" i="46" s="1"/>
  <c r="K22" i="6"/>
  <c r="G26" i="46" s="1"/>
  <c r="K21" i="6"/>
  <c r="G25" i="46" s="1"/>
  <c r="K20" i="6"/>
  <c r="G24" i="46" s="1"/>
  <c r="K19" i="6"/>
  <c r="G23" i="46" s="1"/>
  <c r="K18" i="6"/>
  <c r="G22" i="46" s="1"/>
  <c r="K17" i="6"/>
  <c r="G21" i="46" s="1"/>
  <c r="G17" i="6"/>
  <c r="AV21" i="46" s="1"/>
  <c r="G18" i="6"/>
  <c r="AV22" i="46" s="1"/>
  <c r="G19" i="6"/>
  <c r="AV23" i="46" s="1"/>
  <c r="G20" i="6"/>
  <c r="AV24" i="46" s="1"/>
  <c r="G21" i="6"/>
  <c r="AV25" i="46" s="1"/>
  <c r="G22" i="6"/>
  <c r="AV26" i="46" s="1"/>
  <c r="AV27" i="46"/>
  <c r="AV28" i="46"/>
  <c r="G25" i="6"/>
  <c r="AV29" i="46" s="1"/>
  <c r="G26" i="6"/>
  <c r="AV30" i="46" s="1"/>
  <c r="O15" i="6"/>
  <c r="M15" i="6"/>
  <c r="AE34" i="46" l="1"/>
  <c r="H30" i="32"/>
  <c r="G28" i="51" s="1"/>
  <c r="L30" i="32"/>
  <c r="K28" i="51" s="1"/>
  <c r="E30" i="32"/>
  <c r="D28" i="51" s="1"/>
  <c r="H63" i="47" s="1"/>
  <c r="I30" i="32"/>
  <c r="H28" i="51" s="1"/>
  <c r="H67" i="47" s="1"/>
  <c r="M30" i="32"/>
  <c r="L28" i="51" s="1"/>
  <c r="F30" i="32"/>
  <c r="E28" i="51" s="1"/>
  <c r="H64" i="47" s="1"/>
  <c r="J30" i="32"/>
  <c r="I28" i="51" s="1"/>
  <c r="H68" i="47" s="1"/>
  <c r="N30" i="32"/>
  <c r="G44" i="53" s="1"/>
  <c r="G30" i="32"/>
  <c r="F28" i="51" s="1"/>
  <c r="H65" i="47" s="1"/>
  <c r="K30" i="32"/>
  <c r="J28" i="51" s="1"/>
  <c r="H69" i="47" s="1"/>
  <c r="K34" i="32"/>
  <c r="J32" i="51" s="1"/>
  <c r="H85" i="47" s="1"/>
  <c r="G34" i="32"/>
  <c r="F32" i="51" s="1"/>
  <c r="H81" i="47" s="1"/>
  <c r="E34" i="32"/>
  <c r="D32" i="51" s="1"/>
  <c r="H79" i="47" s="1"/>
  <c r="F34" i="32"/>
  <c r="E32" i="51" s="1"/>
  <c r="H80" i="47" s="1"/>
  <c r="N34" i="32"/>
  <c r="G46" i="53" s="1"/>
  <c r="I34" i="32"/>
  <c r="H32" i="51" s="1"/>
  <c r="H83" i="47" s="1"/>
  <c r="M34" i="32"/>
  <c r="L32" i="51" s="1"/>
  <c r="L34" i="32"/>
  <c r="K32" i="51" s="1"/>
  <c r="J34" i="32"/>
  <c r="I32" i="51" s="1"/>
  <c r="H84" i="47" s="1"/>
  <c r="H34" i="32"/>
  <c r="G32" i="51" s="1"/>
  <c r="H82" i="47" s="1"/>
  <c r="AW30" i="46"/>
  <c r="AX30" i="46"/>
  <c r="AW22" i="46"/>
  <c r="AX22" i="46"/>
  <c r="AW29" i="46"/>
  <c r="AX29" i="46"/>
  <c r="AW21" i="46"/>
  <c r="AX21" i="46"/>
  <c r="AW28" i="46"/>
  <c r="AX28" i="46"/>
  <c r="AW24" i="46"/>
  <c r="AX24" i="46"/>
  <c r="AW26" i="46"/>
  <c r="AX26" i="46"/>
  <c r="AW25" i="46"/>
  <c r="AX25" i="46"/>
  <c r="AW27" i="46"/>
  <c r="AW34" i="46" s="1"/>
  <c r="AU49" i="46" s="1"/>
  <c r="AX27" i="46"/>
  <c r="AW23" i="46"/>
  <c r="AX23" i="46"/>
  <c r="AD24" i="46"/>
  <c r="H21" i="46"/>
  <c r="N36" i="6"/>
  <c r="R30" i="46"/>
  <c r="T30" i="46" s="1"/>
  <c r="N21" i="6"/>
  <c r="N23" i="6"/>
  <c r="N19" i="6"/>
  <c r="AC26" i="46"/>
  <c r="AD25" i="46"/>
  <c r="AD28" i="46"/>
  <c r="AD29" i="46"/>
  <c r="N25" i="6"/>
  <c r="AC30" i="46"/>
  <c r="N18" i="6"/>
  <c r="AD27" i="46"/>
  <c r="AD22" i="46"/>
  <c r="AC21" i="46"/>
  <c r="N24" i="6"/>
  <c r="AD23" i="46"/>
  <c r="N20" i="6"/>
  <c r="N22" i="6"/>
  <c r="L36" i="6"/>
  <c r="G30" i="46"/>
  <c r="I30" i="46" s="1"/>
  <c r="H53" i="47"/>
  <c r="F42" i="53"/>
  <c r="L24" i="51"/>
  <c r="H48" i="47"/>
  <c r="E44" i="53"/>
  <c r="H49" i="47"/>
  <c r="H51" i="47"/>
  <c r="H52" i="47"/>
  <c r="F69" i="47"/>
  <c r="B26" i="53"/>
  <c r="B44" i="53" s="1"/>
  <c r="B26" i="51"/>
  <c r="F97" i="47"/>
  <c r="F99" i="47"/>
  <c r="H66" i="47"/>
  <c r="H20" i="47"/>
  <c r="H113" i="47"/>
  <c r="H38" i="53"/>
  <c r="N16" i="51"/>
  <c r="S25" i="47" s="1"/>
  <c r="K39" i="51"/>
  <c r="E32" i="53"/>
  <c r="F48" i="53"/>
  <c r="L36" i="51"/>
  <c r="G32" i="53"/>
  <c r="M39" i="51"/>
  <c r="F38" i="53"/>
  <c r="L16" i="51"/>
  <c r="G50" i="53"/>
  <c r="M40" i="51"/>
  <c r="F79" i="47"/>
  <c r="F117" i="47"/>
  <c r="F32" i="53"/>
  <c r="L39" i="51"/>
  <c r="F40" i="53"/>
  <c r="L20" i="51"/>
  <c r="H99" i="47"/>
  <c r="H19" i="47"/>
  <c r="H116" i="47"/>
  <c r="H21" i="47"/>
  <c r="K40" i="51"/>
  <c r="E50" i="53"/>
  <c r="E38" i="53"/>
  <c r="K16" i="51"/>
  <c r="F50" i="53"/>
  <c r="L40" i="51"/>
  <c r="H36" i="47"/>
  <c r="H18" i="47"/>
  <c r="E48" i="53"/>
  <c r="K36" i="51"/>
  <c r="F28" i="53"/>
  <c r="L31" i="51"/>
  <c r="B14" i="51"/>
  <c r="B20" i="53"/>
  <c r="B38" i="53" s="1"/>
  <c r="H31" i="47"/>
  <c r="H33" i="47"/>
  <c r="H115" i="47"/>
  <c r="H117" i="47"/>
  <c r="O15" i="38"/>
  <c r="C111" i="47"/>
  <c r="F111" i="47"/>
  <c r="H32" i="47"/>
  <c r="F83" i="47"/>
  <c r="H34" i="47"/>
  <c r="F85" i="47"/>
  <c r="H35" i="47"/>
  <c r="I38" i="53"/>
  <c r="H114" i="47"/>
  <c r="F80" i="47"/>
  <c r="B32" i="53"/>
  <c r="B50" i="53" s="1"/>
  <c r="H37" i="47"/>
  <c r="H100" i="47"/>
  <c r="H40" i="53"/>
  <c r="N20" i="51"/>
  <c r="H47" i="47"/>
  <c r="F66" i="47"/>
  <c r="E40" i="53"/>
  <c r="K20" i="51"/>
  <c r="G28" i="53"/>
  <c r="M31" i="51"/>
  <c r="H112" i="47"/>
  <c r="D16" i="51"/>
  <c r="E42" i="53"/>
  <c r="K24" i="51"/>
  <c r="F65" i="47"/>
  <c r="M28" i="51"/>
  <c r="F82" i="47"/>
  <c r="B28" i="53"/>
  <c r="B46" i="53" s="1"/>
  <c r="B30" i="51"/>
  <c r="H101" i="47"/>
  <c r="G48" i="53"/>
  <c r="M36" i="51"/>
  <c r="G30" i="53"/>
  <c r="M35" i="51"/>
  <c r="E26" i="53"/>
  <c r="K27" i="51"/>
  <c r="E28" i="53"/>
  <c r="K31" i="51"/>
  <c r="B30" i="53"/>
  <c r="B48" i="53" s="1"/>
  <c r="B34" i="51"/>
  <c r="F67" i="47"/>
  <c r="L35" i="51"/>
  <c r="F30" i="53"/>
  <c r="F16" i="51"/>
  <c r="G38" i="53"/>
  <c r="M16" i="51"/>
  <c r="S24" i="47" s="1"/>
  <c r="F96" i="47"/>
  <c r="F98" i="47"/>
  <c r="F100" i="47"/>
  <c r="F101" i="47"/>
  <c r="F114" i="47"/>
  <c r="H98" i="47"/>
  <c r="B24" i="53"/>
  <c r="B42" i="53" s="1"/>
  <c r="B22" i="51"/>
  <c r="F95" i="47"/>
  <c r="H95" i="47"/>
  <c r="F64" i="47"/>
  <c r="G42" i="53"/>
  <c r="M24" i="51"/>
  <c r="H50" i="47"/>
  <c r="F81" i="47"/>
  <c r="F115" i="47"/>
  <c r="G26" i="53"/>
  <c r="M27" i="51"/>
  <c r="E30" i="53"/>
  <c r="K35" i="51"/>
  <c r="B22" i="53"/>
  <c r="B40" i="53" s="1"/>
  <c r="B18" i="51"/>
  <c r="F63" i="47"/>
  <c r="G40" i="53"/>
  <c r="M20" i="51"/>
  <c r="L27" i="51"/>
  <c r="F26" i="53"/>
  <c r="H16" i="47"/>
  <c r="F116" i="47"/>
  <c r="F112" i="47"/>
  <c r="H96" i="47"/>
  <c r="F113" i="47"/>
  <c r="H97" i="47"/>
  <c r="H111" i="47"/>
  <c r="P15" i="38"/>
  <c r="F84" i="47"/>
  <c r="H45" i="42"/>
  <c r="I53" i="42"/>
  <c r="H54" i="42"/>
  <c r="G46" i="42"/>
  <c r="I44" i="42"/>
  <c r="U21" i="46"/>
  <c r="T21" i="46"/>
  <c r="S21" i="46"/>
  <c r="U29" i="46"/>
  <c r="T29" i="46"/>
  <c r="S29" i="46"/>
  <c r="U22" i="46"/>
  <c r="T22" i="46"/>
  <c r="S22" i="46"/>
  <c r="U30" i="46"/>
  <c r="U23" i="46"/>
  <c r="T23" i="46"/>
  <c r="S23" i="46"/>
  <c r="U24" i="46"/>
  <c r="S24" i="46"/>
  <c r="T24" i="46"/>
  <c r="U25" i="46"/>
  <c r="T25" i="46"/>
  <c r="S25" i="46"/>
  <c r="U26" i="46"/>
  <c r="T26" i="46"/>
  <c r="S26" i="46"/>
  <c r="U27" i="46"/>
  <c r="T27" i="46"/>
  <c r="S27" i="46"/>
  <c r="U28" i="46"/>
  <c r="S28" i="46"/>
  <c r="T28" i="46"/>
  <c r="J28" i="46"/>
  <c r="H28" i="46"/>
  <c r="I28" i="46"/>
  <c r="I21" i="46"/>
  <c r="J29" i="46"/>
  <c r="H29" i="46"/>
  <c r="I29" i="46"/>
  <c r="J22" i="46"/>
  <c r="I22" i="46"/>
  <c r="H22" i="46"/>
  <c r="J30" i="46"/>
  <c r="J23" i="46"/>
  <c r="I23" i="46"/>
  <c r="H23" i="46"/>
  <c r="J24" i="46"/>
  <c r="I24" i="46"/>
  <c r="H24" i="46"/>
  <c r="J25" i="46"/>
  <c r="I25" i="46"/>
  <c r="H25" i="46"/>
  <c r="J26" i="46"/>
  <c r="H26" i="46"/>
  <c r="I26" i="46"/>
  <c r="J27" i="46"/>
  <c r="H27" i="46"/>
  <c r="I27" i="46"/>
  <c r="J21" i="46"/>
  <c r="AO34" i="46"/>
  <c r="N26" i="6"/>
  <c r="R20" i="30"/>
  <c r="O20" i="30"/>
  <c r="L20" i="30"/>
  <c r="J20" i="30"/>
  <c r="H20" i="30"/>
  <c r="Z40" i="29"/>
  <c r="U34" i="46" l="1"/>
  <c r="F44" i="53"/>
  <c r="F46" i="53"/>
  <c r="G58" i="32"/>
  <c r="M32" i="51"/>
  <c r="F58" i="32"/>
  <c r="AX34" i="46"/>
  <c r="AV49" i="46" s="1"/>
  <c r="E46" i="53"/>
  <c r="E52" i="53" s="1"/>
  <c r="E58" i="32"/>
  <c r="S30" i="46"/>
  <c r="AU50" i="46"/>
  <c r="H30" i="46"/>
  <c r="N28" i="6"/>
  <c r="M30" i="6" s="1"/>
  <c r="M31" i="6" s="1"/>
  <c r="M43" i="6" s="1"/>
  <c r="I21" i="47"/>
  <c r="I114" i="47"/>
  <c r="I19" i="47"/>
  <c r="G98" i="47"/>
  <c r="I117" i="47"/>
  <c r="G112" i="47"/>
  <c r="I100" i="47"/>
  <c r="G81" i="47"/>
  <c r="I96" i="47"/>
  <c r="G100" i="47"/>
  <c r="I84" i="47"/>
  <c r="G82" i="47"/>
  <c r="I112" i="47"/>
  <c r="I83" i="47"/>
  <c r="I115" i="47"/>
  <c r="I97" i="47"/>
  <c r="G99" i="47"/>
  <c r="G114" i="47"/>
  <c r="I37" i="47"/>
  <c r="I35" i="47"/>
  <c r="I33" i="47"/>
  <c r="F102" i="47"/>
  <c r="G102" i="47" s="1"/>
  <c r="H56" i="47"/>
  <c r="H102" i="47"/>
  <c r="H22" i="47"/>
  <c r="I22" i="47" s="1"/>
  <c r="H39" i="47"/>
  <c r="F104" i="47"/>
  <c r="L58" i="32"/>
  <c r="G116" i="47"/>
  <c r="F88" i="47"/>
  <c r="G83" i="47"/>
  <c r="F71" i="47"/>
  <c r="I98" i="47"/>
  <c r="I101" i="47"/>
  <c r="I81" i="47"/>
  <c r="H41" i="47"/>
  <c r="F87" i="47"/>
  <c r="H119" i="47"/>
  <c r="H23" i="47"/>
  <c r="H55" i="47"/>
  <c r="J58" i="32"/>
  <c r="H40" i="47"/>
  <c r="G96" i="47"/>
  <c r="F103" i="47"/>
  <c r="H86" i="47"/>
  <c r="I86" i="47" s="1"/>
  <c r="B77" i="47"/>
  <c r="K13" i="38"/>
  <c r="O13" i="38"/>
  <c r="B109" i="47"/>
  <c r="I34" i="47"/>
  <c r="I116" i="47"/>
  <c r="H88" i="47"/>
  <c r="F118" i="47"/>
  <c r="G118" i="47" s="1"/>
  <c r="I58" i="32"/>
  <c r="H54" i="47"/>
  <c r="N38" i="53"/>
  <c r="M38" i="53"/>
  <c r="G115" i="47"/>
  <c r="F86" i="47"/>
  <c r="G86" i="47" s="1"/>
  <c r="H25" i="47"/>
  <c r="G13" i="38"/>
  <c r="B45" i="47"/>
  <c r="H24" i="47"/>
  <c r="T24" i="47" s="1"/>
  <c r="F119" i="47"/>
  <c r="F120" i="47"/>
  <c r="G52" i="53"/>
  <c r="H118" i="47"/>
  <c r="I118" i="47" s="1"/>
  <c r="K58" i="32"/>
  <c r="I82" i="47"/>
  <c r="G113" i="47"/>
  <c r="F72" i="47"/>
  <c r="G101" i="47"/>
  <c r="B93" i="47"/>
  <c r="M13" i="38"/>
  <c r="I85" i="47"/>
  <c r="H72" i="47"/>
  <c r="H38" i="47"/>
  <c r="I38" i="47" s="1"/>
  <c r="G80" i="47"/>
  <c r="I32" i="47"/>
  <c r="H87" i="47"/>
  <c r="I99" i="47"/>
  <c r="H120" i="47"/>
  <c r="H103" i="47"/>
  <c r="I113" i="47"/>
  <c r="G97" i="47"/>
  <c r="H71" i="47"/>
  <c r="N58" i="32"/>
  <c r="M58" i="32"/>
  <c r="G84" i="47"/>
  <c r="B29" i="47"/>
  <c r="E13" i="38"/>
  <c r="I80" i="47"/>
  <c r="H104" i="47"/>
  <c r="H15" i="47"/>
  <c r="I16" i="47" s="1"/>
  <c r="H70" i="47"/>
  <c r="H17" i="47"/>
  <c r="I17" i="47" s="1"/>
  <c r="F70" i="47"/>
  <c r="G85" i="47"/>
  <c r="B13" i="47"/>
  <c r="C13" i="38"/>
  <c r="I36" i="47"/>
  <c r="G117" i="47"/>
  <c r="I20" i="47"/>
  <c r="B61" i="47"/>
  <c r="I13" i="38"/>
  <c r="H58" i="32"/>
  <c r="H46" i="42"/>
  <c r="I46" i="42" s="1"/>
  <c r="I45" i="42"/>
  <c r="I34" i="46"/>
  <c r="G49" i="46" s="1"/>
  <c r="J34" i="46"/>
  <c r="B125" i="52"/>
  <c r="B123" i="52"/>
  <c r="T25" i="47" l="1"/>
  <c r="F52" i="53"/>
  <c r="N42" i="6"/>
  <c r="AV50" i="46"/>
  <c r="M42" i="6"/>
  <c r="R31" i="46" s="1"/>
  <c r="P49" i="46" s="1"/>
  <c r="N43" i="6"/>
  <c r="R32" i="46"/>
  <c r="P50" i="46" s="1"/>
  <c r="G103" i="47"/>
  <c r="I120" i="47"/>
  <c r="G119" i="47"/>
  <c r="I87" i="47"/>
  <c r="I23" i="47"/>
  <c r="I18" i="47"/>
  <c r="I41" i="47"/>
  <c r="G88" i="47"/>
  <c r="I39" i="47"/>
  <c r="O38" i="53"/>
  <c r="O16" i="51" s="1"/>
  <c r="S26" i="47" s="1"/>
  <c r="I119" i="47"/>
  <c r="I88" i="47"/>
  <c r="I25" i="47"/>
  <c r="I104" i="47"/>
  <c r="G120" i="47"/>
  <c r="G87" i="47"/>
  <c r="G104" i="47"/>
  <c r="I24" i="47"/>
  <c r="I40" i="47"/>
  <c r="I103" i="47"/>
  <c r="I102" i="47"/>
  <c r="G50" i="46"/>
  <c r="H26" i="47" l="1"/>
  <c r="I26" i="47" l="1"/>
  <c r="T26" i="47"/>
  <c r="M20" i="4"/>
  <c r="N20" i="4"/>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M48" i="4"/>
  <c r="N48" i="4"/>
  <c r="M49" i="4"/>
  <c r="N49" i="4"/>
  <c r="M50" i="4"/>
  <c r="N50" i="4"/>
  <c r="M51" i="4"/>
  <c r="N51"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M128" i="4"/>
  <c r="N128" i="4"/>
  <c r="M129" i="4"/>
  <c r="N129" i="4"/>
  <c r="M130" i="4"/>
  <c r="N130" i="4"/>
  <c r="M131" i="4"/>
  <c r="N131" i="4"/>
  <c r="M132" i="4"/>
  <c r="N132" i="4"/>
  <c r="M133" i="4"/>
  <c r="N133" i="4"/>
  <c r="M134" i="4"/>
  <c r="N134" i="4"/>
  <c r="M135" i="4"/>
  <c r="N135" i="4"/>
  <c r="M136" i="4"/>
  <c r="N136" i="4"/>
  <c r="M137" i="4"/>
  <c r="N137" i="4"/>
  <c r="M138" i="4"/>
  <c r="N138" i="4"/>
  <c r="M139" i="4"/>
  <c r="N139"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C177" i="4" l="1"/>
  <c r="D177" i="4"/>
  <c r="D179" i="4"/>
  <c r="C179" i="4"/>
  <c r="C178" i="4"/>
  <c r="D178" i="4"/>
  <c r="J36" i="6"/>
  <c r="L148" i="4" l="1"/>
  <c r="L146" i="4"/>
  <c r="L141" i="4"/>
  <c r="L142" i="4"/>
  <c r="L143" i="4"/>
  <c r="L147" i="4"/>
  <c r="L140" i="4"/>
  <c r="L145" i="4"/>
  <c r="L150" i="4"/>
  <c r="L149" i="4"/>
  <c r="L144" i="4"/>
  <c r="L151" i="4"/>
  <c r="N146" i="4"/>
  <c r="N158" i="4" s="1"/>
  <c r="N142" i="4"/>
  <c r="N154" i="4" s="1"/>
  <c r="N150" i="4"/>
  <c r="N162" i="4" s="1"/>
  <c r="N144" i="4"/>
  <c r="N156" i="4" s="1"/>
  <c r="N141" i="4"/>
  <c r="N153" i="4" s="1"/>
  <c r="N143" i="4"/>
  <c r="N155" i="4" s="1"/>
  <c r="N151" i="4"/>
  <c r="N163" i="4" s="1"/>
  <c r="N148" i="4"/>
  <c r="N160" i="4" s="1"/>
  <c r="N145" i="4"/>
  <c r="N157" i="4" s="1"/>
  <c r="N140" i="4"/>
  <c r="N152" i="4" s="1"/>
  <c r="N147" i="4"/>
  <c r="N159" i="4" s="1"/>
  <c r="N149" i="4"/>
  <c r="N161" i="4" s="1"/>
  <c r="M143" i="4"/>
  <c r="M155" i="4" s="1"/>
  <c r="M151" i="4"/>
  <c r="M163" i="4" s="1"/>
  <c r="M150" i="4"/>
  <c r="M162" i="4" s="1"/>
  <c r="M141" i="4"/>
  <c r="M153" i="4" s="1"/>
  <c r="M148" i="4"/>
  <c r="M160" i="4" s="1"/>
  <c r="M145" i="4"/>
  <c r="M157" i="4" s="1"/>
  <c r="M142" i="4"/>
  <c r="M154" i="4" s="1"/>
  <c r="M147" i="4"/>
  <c r="M159" i="4" s="1"/>
  <c r="M144" i="4"/>
  <c r="M156" i="4" s="1"/>
  <c r="M140" i="4"/>
  <c r="M152" i="4" s="1"/>
  <c r="M149" i="4"/>
  <c r="M161" i="4" s="1"/>
  <c r="M146" i="4"/>
  <c r="M158" i="4" s="1"/>
  <c r="J119" i="4" l="1"/>
  <c r="E22" i="6" l="1"/>
  <c r="C22" i="6"/>
  <c r="J43" i="6" l="1"/>
  <c r="J42" i="6"/>
  <c r="J20" i="4"/>
  <c r="J21" i="4" l="1"/>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20" i="4"/>
  <c r="J121" i="4"/>
  <c r="J122" i="4"/>
  <c r="J123" i="4"/>
  <c r="J124" i="4"/>
  <c r="J125" i="4"/>
  <c r="J126" i="4"/>
  <c r="J127" i="4"/>
  <c r="J128" i="4"/>
  <c r="J129" i="4"/>
  <c r="J130" i="4"/>
  <c r="J131" i="4"/>
  <c r="J132" i="4"/>
  <c r="J133" i="4"/>
  <c r="J134" i="4"/>
  <c r="J135" i="4"/>
  <c r="J136" i="4"/>
  <c r="J137" i="4"/>
  <c r="J138" i="4"/>
  <c r="J139" i="4"/>
  <c r="B124" i="52"/>
  <c r="B122" i="52"/>
  <c r="B121" i="52"/>
  <c r="B120" i="52"/>
  <c r="B36" i="52"/>
  <c r="B59" i="52" s="1"/>
  <c r="B73" i="52" s="1"/>
  <c r="B87" i="52" s="1"/>
  <c r="B101" i="52" s="1"/>
  <c r="B115" i="52" s="1"/>
  <c r="B20" i="52"/>
  <c r="B43" i="52" s="1"/>
  <c r="B41" i="52"/>
  <c r="B25" i="52"/>
  <c r="B48" i="52" s="1"/>
  <c r="B23" i="52"/>
  <c r="B46" i="52" s="1"/>
  <c r="B22" i="52"/>
  <c r="B45" i="52" s="1"/>
  <c r="B19" i="52"/>
  <c r="B42" i="52" s="1"/>
  <c r="B21" i="52"/>
  <c r="B44" i="52" s="1"/>
  <c r="B24" i="52"/>
  <c r="B47" i="52" s="1"/>
  <c r="B26" i="52"/>
  <c r="B49" i="52" s="1"/>
  <c r="B32" i="52"/>
  <c r="B55" i="52" s="1"/>
  <c r="B69" i="52" s="1"/>
  <c r="B83" i="52" s="1"/>
  <c r="B97" i="52" s="1"/>
  <c r="B111" i="52" s="1"/>
  <c r="B34" i="52"/>
  <c r="B57" i="52" s="1"/>
  <c r="B71" i="52" s="1"/>
  <c r="B85" i="52" s="1"/>
  <c r="B99" i="52" s="1"/>
  <c r="B113" i="52" s="1"/>
  <c r="B33" i="52"/>
  <c r="B56" i="52" s="1"/>
  <c r="B70" i="52" s="1"/>
  <c r="B84" i="52" s="1"/>
  <c r="B98" i="52" s="1"/>
  <c r="B112" i="52" s="1"/>
  <c r="B35" i="52"/>
  <c r="B58" i="52" s="1"/>
  <c r="B72" i="52" s="1"/>
  <c r="B86" i="52" s="1"/>
  <c r="B100" i="52" s="1"/>
  <c r="B114" i="52" s="1"/>
  <c r="B31" i="52"/>
  <c r="B54" i="52" s="1"/>
  <c r="B68" i="52" s="1"/>
  <c r="B82" i="52" s="1"/>
  <c r="B96" i="52" s="1"/>
  <c r="B110" i="52" s="1"/>
  <c r="B30" i="52"/>
  <c r="B53" i="52" s="1"/>
  <c r="B67" i="52" s="1"/>
  <c r="B81" i="52" s="1"/>
  <c r="B95" i="52" s="1"/>
  <c r="B109" i="52" s="1"/>
  <c r="B29" i="52"/>
  <c r="B52" i="52" s="1"/>
  <c r="B66" i="52" s="1"/>
  <c r="B80" i="52" s="1"/>
  <c r="B94" i="52" s="1"/>
  <c r="B108" i="52" s="1"/>
  <c r="B28" i="52"/>
  <c r="B51" i="52" s="1"/>
  <c r="B65" i="52" s="1"/>
  <c r="B79" i="52" s="1"/>
  <c r="B93" i="52" s="1"/>
  <c r="B107" i="52" s="1"/>
  <c r="B27" i="52"/>
  <c r="B50" i="52" s="1"/>
  <c r="B64" i="52" s="1"/>
  <c r="B78" i="52" s="1"/>
  <c r="Z27" i="52"/>
  <c r="Z28" i="52"/>
  <c r="Z29" i="52"/>
  <c r="Z30" i="52"/>
  <c r="Z31" i="52"/>
  <c r="V55" i="4" l="1"/>
  <c r="H65" i="46"/>
  <c r="H61" i="46"/>
  <c r="H63" i="46"/>
  <c r="H59" i="46"/>
  <c r="H67" i="46"/>
  <c r="H66" i="46"/>
  <c r="H64" i="46"/>
  <c r="H62" i="46"/>
  <c r="H60" i="46"/>
  <c r="B92" i="52"/>
  <c r="B106" i="52" s="1"/>
  <c r="D21" i="29"/>
  <c r="F21" i="29" s="1"/>
  <c r="V46" i="4"/>
  <c r="L21" i="29" l="1"/>
  <c r="B42" i="51"/>
  <c r="B46" i="51"/>
  <c r="B50" i="51"/>
  <c r="B44" i="32"/>
  <c r="B48" i="32"/>
  <c r="B52" i="32"/>
  <c r="B40" i="29"/>
  <c r="J40" i="29"/>
  <c r="R40" i="29"/>
  <c r="O20" i="4"/>
  <c r="R20" i="4" s="1"/>
  <c r="P20" i="4"/>
  <c r="O21" i="4"/>
  <c r="R21" i="4" s="1"/>
  <c r="P21" i="4"/>
  <c r="O22" i="4"/>
  <c r="R22" i="4" s="1"/>
  <c r="P22" i="4"/>
  <c r="O23" i="4"/>
  <c r="R23" i="4" s="1"/>
  <c r="P23" i="4"/>
  <c r="O24" i="4"/>
  <c r="R24" i="4" s="1"/>
  <c r="P24" i="4"/>
  <c r="O25" i="4"/>
  <c r="R25" i="4" s="1"/>
  <c r="P25" i="4"/>
  <c r="O26" i="4"/>
  <c r="R26" i="4" s="1"/>
  <c r="P26" i="4"/>
  <c r="O27" i="4"/>
  <c r="R27" i="4" s="1"/>
  <c r="P27" i="4"/>
  <c r="O28" i="4"/>
  <c r="R28" i="4" s="1"/>
  <c r="P28" i="4"/>
  <c r="O29" i="4"/>
  <c r="R29" i="4" s="1"/>
  <c r="P29" i="4"/>
  <c r="O30" i="4"/>
  <c r="R30" i="4" s="1"/>
  <c r="P30" i="4"/>
  <c r="O31" i="4"/>
  <c r="R31" i="4" s="1"/>
  <c r="P31" i="4"/>
  <c r="O32" i="4"/>
  <c r="R32" i="4" s="1"/>
  <c r="P32" i="4"/>
  <c r="O33" i="4"/>
  <c r="R33" i="4" s="1"/>
  <c r="P33" i="4"/>
  <c r="O34" i="4"/>
  <c r="R34" i="4" s="1"/>
  <c r="P34" i="4"/>
  <c r="O35" i="4"/>
  <c r="R35" i="4" s="1"/>
  <c r="P35" i="4"/>
  <c r="O36" i="4"/>
  <c r="R36" i="4" s="1"/>
  <c r="P36" i="4"/>
  <c r="O37" i="4"/>
  <c r="R37" i="4" s="1"/>
  <c r="P37" i="4"/>
  <c r="O38" i="4"/>
  <c r="R38" i="4" s="1"/>
  <c r="P38" i="4"/>
  <c r="O39" i="4"/>
  <c r="R39" i="4" s="1"/>
  <c r="P39" i="4"/>
  <c r="O40" i="4"/>
  <c r="R40" i="4" s="1"/>
  <c r="P40" i="4"/>
  <c r="O41" i="4"/>
  <c r="R41" i="4" s="1"/>
  <c r="P41" i="4"/>
  <c r="O42" i="4"/>
  <c r="R42" i="4" s="1"/>
  <c r="P42" i="4"/>
  <c r="O43" i="4"/>
  <c r="R43" i="4" s="1"/>
  <c r="P43" i="4"/>
  <c r="O44" i="4"/>
  <c r="R44" i="4" s="1"/>
  <c r="P44" i="4"/>
  <c r="O45" i="4"/>
  <c r="R45" i="4" s="1"/>
  <c r="P45" i="4"/>
  <c r="O46" i="4"/>
  <c r="R46" i="4" s="1"/>
  <c r="P46" i="4"/>
  <c r="V59" i="4"/>
  <c r="O47" i="4"/>
  <c r="R47" i="4" s="1"/>
  <c r="P47" i="4"/>
  <c r="V47" i="4"/>
  <c r="O48" i="4"/>
  <c r="R48" i="4" s="1"/>
  <c r="P48" i="4"/>
  <c r="O49" i="4"/>
  <c r="R49" i="4" s="1"/>
  <c r="P49" i="4"/>
  <c r="O50" i="4"/>
  <c r="R50" i="4" s="1"/>
  <c r="P50" i="4"/>
  <c r="O51" i="4"/>
  <c r="R51" i="4" s="1"/>
  <c r="P51" i="4"/>
  <c r="V48" i="4"/>
  <c r="O52" i="4"/>
  <c r="R52" i="4" s="1"/>
  <c r="P52" i="4"/>
  <c r="O53" i="4"/>
  <c r="R53" i="4" s="1"/>
  <c r="P53" i="4"/>
  <c r="O54" i="4"/>
  <c r="R54" i="4" s="1"/>
  <c r="P54" i="4"/>
  <c r="O55" i="4"/>
  <c r="R55" i="4" s="1"/>
  <c r="P55" i="4"/>
  <c r="O56" i="4"/>
  <c r="R56" i="4" s="1"/>
  <c r="P56" i="4"/>
  <c r="O57" i="4"/>
  <c r="R57" i="4" s="1"/>
  <c r="P57" i="4"/>
  <c r="O58" i="4"/>
  <c r="R58" i="4" s="1"/>
  <c r="P58" i="4"/>
  <c r="O59" i="4"/>
  <c r="R59" i="4" s="1"/>
  <c r="P59" i="4"/>
  <c r="O60" i="4"/>
  <c r="R60" i="4" s="1"/>
  <c r="P60" i="4"/>
  <c r="O61" i="4"/>
  <c r="R61" i="4" s="1"/>
  <c r="P61" i="4"/>
  <c r="O62" i="4"/>
  <c r="R62" i="4" s="1"/>
  <c r="P62" i="4"/>
  <c r="O63" i="4"/>
  <c r="R63" i="4" s="1"/>
  <c r="P63" i="4"/>
  <c r="O64" i="4"/>
  <c r="R64" i="4" s="1"/>
  <c r="P64" i="4"/>
  <c r="O65" i="4"/>
  <c r="R65" i="4" s="1"/>
  <c r="P65" i="4"/>
  <c r="O66" i="4"/>
  <c r="R66" i="4" s="1"/>
  <c r="P66" i="4"/>
  <c r="O67" i="4"/>
  <c r="R67" i="4" s="1"/>
  <c r="P67" i="4"/>
  <c r="O68" i="4"/>
  <c r="R68" i="4" s="1"/>
  <c r="P68" i="4"/>
  <c r="O69" i="4"/>
  <c r="R69" i="4" s="1"/>
  <c r="P69" i="4"/>
  <c r="O70" i="4"/>
  <c r="R70" i="4" s="1"/>
  <c r="P70" i="4"/>
  <c r="O71" i="4"/>
  <c r="R71" i="4" s="1"/>
  <c r="P71" i="4"/>
  <c r="O72" i="4"/>
  <c r="R72" i="4" s="1"/>
  <c r="P72" i="4"/>
  <c r="O73" i="4"/>
  <c r="R73" i="4" s="1"/>
  <c r="P73" i="4"/>
  <c r="O74" i="4"/>
  <c r="R74" i="4" s="1"/>
  <c r="P74" i="4"/>
  <c r="O75" i="4"/>
  <c r="R75" i="4" s="1"/>
  <c r="P75" i="4"/>
  <c r="O76" i="4"/>
  <c r="R76" i="4" s="1"/>
  <c r="P76" i="4"/>
  <c r="O77" i="4"/>
  <c r="R77" i="4" s="1"/>
  <c r="P77" i="4"/>
  <c r="O78" i="4"/>
  <c r="R78" i="4" s="1"/>
  <c r="P78" i="4"/>
  <c r="O79" i="4"/>
  <c r="R79" i="4" s="1"/>
  <c r="P79" i="4"/>
  <c r="V51" i="4"/>
  <c r="O80" i="4"/>
  <c r="R80" i="4" s="1"/>
  <c r="P80" i="4"/>
  <c r="O81" i="4"/>
  <c r="R81" i="4" s="1"/>
  <c r="P81" i="4"/>
  <c r="O82" i="4"/>
  <c r="R82" i="4" s="1"/>
  <c r="P82" i="4"/>
  <c r="O83" i="4"/>
  <c r="R83" i="4" s="1"/>
  <c r="P83" i="4"/>
  <c r="O84" i="4"/>
  <c r="R84" i="4" s="1"/>
  <c r="P84" i="4"/>
  <c r="O85" i="4"/>
  <c r="R85" i="4" s="1"/>
  <c r="P85" i="4"/>
  <c r="O86" i="4"/>
  <c r="R86" i="4" s="1"/>
  <c r="P86" i="4"/>
  <c r="O87" i="4"/>
  <c r="R87" i="4" s="1"/>
  <c r="P87" i="4"/>
  <c r="O88" i="4"/>
  <c r="R88" i="4" s="1"/>
  <c r="P88" i="4"/>
  <c r="O89" i="4"/>
  <c r="R89" i="4" s="1"/>
  <c r="P89" i="4"/>
  <c r="O90" i="4"/>
  <c r="R90" i="4" s="1"/>
  <c r="P90" i="4"/>
  <c r="O91" i="4"/>
  <c r="R91" i="4" s="1"/>
  <c r="P91" i="4"/>
  <c r="O92" i="4"/>
  <c r="R92" i="4" s="1"/>
  <c r="P92" i="4"/>
  <c r="O93" i="4"/>
  <c r="R93" i="4" s="1"/>
  <c r="P93" i="4"/>
  <c r="O94" i="4"/>
  <c r="R94" i="4" s="1"/>
  <c r="P94" i="4"/>
  <c r="O95" i="4"/>
  <c r="R95" i="4" s="1"/>
  <c r="P95" i="4"/>
  <c r="O96" i="4"/>
  <c r="R96" i="4" s="1"/>
  <c r="P96" i="4"/>
  <c r="O97" i="4"/>
  <c r="R97" i="4" s="1"/>
  <c r="P97" i="4"/>
  <c r="O98" i="4"/>
  <c r="R98" i="4" s="1"/>
  <c r="P98" i="4"/>
  <c r="O99" i="4"/>
  <c r="R99" i="4" s="1"/>
  <c r="P99" i="4"/>
  <c r="O100" i="4"/>
  <c r="R100" i="4" s="1"/>
  <c r="P100" i="4"/>
  <c r="O101" i="4"/>
  <c r="R101" i="4" s="1"/>
  <c r="P101" i="4"/>
  <c r="O102" i="4"/>
  <c r="R102" i="4" s="1"/>
  <c r="P102" i="4"/>
  <c r="O103" i="4"/>
  <c r="R103" i="4" s="1"/>
  <c r="P103" i="4"/>
  <c r="O104" i="4"/>
  <c r="R104" i="4" s="1"/>
  <c r="P104" i="4"/>
  <c r="O105" i="4"/>
  <c r="R105" i="4" s="1"/>
  <c r="P105" i="4"/>
  <c r="O106" i="4"/>
  <c r="R106" i="4" s="1"/>
  <c r="P106" i="4"/>
  <c r="O107" i="4"/>
  <c r="R107" i="4" s="1"/>
  <c r="P107" i="4"/>
  <c r="O108" i="4"/>
  <c r="R108" i="4" s="1"/>
  <c r="P108" i="4"/>
  <c r="O109" i="4"/>
  <c r="R109" i="4" s="1"/>
  <c r="P109" i="4"/>
  <c r="O110" i="4"/>
  <c r="R110" i="4" s="1"/>
  <c r="P110" i="4"/>
  <c r="O111" i="4"/>
  <c r="R111" i="4" s="1"/>
  <c r="P111" i="4"/>
  <c r="O112" i="4"/>
  <c r="R112" i="4" s="1"/>
  <c r="P112" i="4"/>
  <c r="O113" i="4"/>
  <c r="R113" i="4" s="1"/>
  <c r="P113" i="4"/>
  <c r="O114" i="4"/>
  <c r="R114" i="4" s="1"/>
  <c r="P114" i="4"/>
  <c r="O115" i="4"/>
  <c r="R115" i="4" s="1"/>
  <c r="P115" i="4"/>
  <c r="O116" i="4"/>
  <c r="R116" i="4" s="1"/>
  <c r="P116" i="4"/>
  <c r="O117" i="4"/>
  <c r="R117" i="4" s="1"/>
  <c r="P117" i="4"/>
  <c r="O118" i="4"/>
  <c r="R118" i="4" s="1"/>
  <c r="P118" i="4"/>
  <c r="O119" i="4"/>
  <c r="R119" i="4" s="1"/>
  <c r="P119" i="4"/>
  <c r="O120" i="4"/>
  <c r="R120" i="4" s="1"/>
  <c r="P120" i="4"/>
  <c r="O121" i="4"/>
  <c r="R121" i="4" s="1"/>
  <c r="P121" i="4"/>
  <c r="O122" i="4"/>
  <c r="R122" i="4" s="1"/>
  <c r="P122" i="4"/>
  <c r="O123" i="4"/>
  <c r="R123" i="4" s="1"/>
  <c r="P123" i="4"/>
  <c r="O124" i="4"/>
  <c r="R124" i="4" s="1"/>
  <c r="P124" i="4"/>
  <c r="O125" i="4"/>
  <c r="R125" i="4" s="1"/>
  <c r="P125" i="4"/>
  <c r="O126" i="4"/>
  <c r="R126" i="4" s="1"/>
  <c r="P126" i="4"/>
  <c r="O127" i="4"/>
  <c r="R127" i="4" s="1"/>
  <c r="P127" i="4"/>
  <c r="O128" i="4"/>
  <c r="R128" i="4" s="1"/>
  <c r="P128" i="4"/>
  <c r="O129" i="4"/>
  <c r="R129" i="4" s="1"/>
  <c r="P129" i="4"/>
  <c r="O130" i="4"/>
  <c r="R130" i="4" s="1"/>
  <c r="P130" i="4"/>
  <c r="O131" i="4"/>
  <c r="R131" i="4" s="1"/>
  <c r="P131" i="4"/>
  <c r="O132" i="4"/>
  <c r="R132" i="4" s="1"/>
  <c r="P132" i="4"/>
  <c r="O133" i="4"/>
  <c r="R133" i="4" s="1"/>
  <c r="P133" i="4"/>
  <c r="O134" i="4"/>
  <c r="R134" i="4" s="1"/>
  <c r="P134" i="4"/>
  <c r="O135" i="4"/>
  <c r="R135" i="4" s="1"/>
  <c r="P135" i="4"/>
  <c r="O136" i="4"/>
  <c r="R136" i="4" s="1"/>
  <c r="P136" i="4"/>
  <c r="O137" i="4"/>
  <c r="R137" i="4" s="1"/>
  <c r="P137" i="4"/>
  <c r="O138" i="4"/>
  <c r="R138" i="4" s="1"/>
  <c r="P138" i="4"/>
  <c r="O139" i="4"/>
  <c r="R139" i="4" s="1"/>
  <c r="P139" i="4"/>
  <c r="C15" i="6"/>
  <c r="E15" i="6"/>
  <c r="G15" i="6"/>
  <c r="K15" i="6"/>
  <c r="Q15" i="6"/>
  <c r="S15" i="6"/>
  <c r="B17" i="6"/>
  <c r="B21" i="29" s="1"/>
  <c r="C17" i="6"/>
  <c r="E17" i="6"/>
  <c r="AL21" i="46"/>
  <c r="AM21" i="46" s="1"/>
  <c r="B18" i="6"/>
  <c r="E18" i="6"/>
  <c r="H18" i="6"/>
  <c r="AL22" i="46"/>
  <c r="AM22" i="46" s="1"/>
  <c r="B19" i="6"/>
  <c r="E19" i="6"/>
  <c r="P19" i="6"/>
  <c r="AL23" i="46"/>
  <c r="AM23" i="46" s="1"/>
  <c r="B20" i="6"/>
  <c r="U62" i="4" s="1"/>
  <c r="C20" i="6"/>
  <c r="E20" i="6"/>
  <c r="AL24" i="46"/>
  <c r="AM24" i="46" s="1"/>
  <c r="B21" i="6"/>
  <c r="B25" i="29" s="1"/>
  <c r="C21" i="6"/>
  <c r="E21" i="6"/>
  <c r="L22" i="6"/>
  <c r="AL25" i="46"/>
  <c r="AM25" i="46" s="1"/>
  <c r="B22" i="6"/>
  <c r="B23" i="6"/>
  <c r="C23" i="6"/>
  <c r="E23" i="6"/>
  <c r="AL27" i="46"/>
  <c r="AM27" i="46" s="1"/>
  <c r="B24" i="6"/>
  <c r="C24" i="6"/>
  <c r="E24" i="6"/>
  <c r="AL28" i="46"/>
  <c r="AM28" i="46" s="1"/>
  <c r="B25" i="6"/>
  <c r="B29" i="46" s="1"/>
  <c r="C25" i="6"/>
  <c r="E25" i="6"/>
  <c r="AL29" i="46"/>
  <c r="AM29" i="46" s="1"/>
  <c r="B26" i="6"/>
  <c r="U55" i="4" s="1"/>
  <c r="C26" i="6"/>
  <c r="E26" i="6"/>
  <c r="AL30" i="46"/>
  <c r="AM30" i="46" s="1"/>
  <c r="B30" i="6"/>
  <c r="B31" i="6"/>
  <c r="B36" i="6"/>
  <c r="B37" i="6"/>
  <c r="D20" i="30"/>
  <c r="F20" i="30"/>
  <c r="X20" i="30"/>
  <c r="Z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133" i="30"/>
  <c r="B128" i="4" s="1"/>
  <c r="B134" i="30"/>
  <c r="B129" i="4" s="1"/>
  <c r="B135" i="30"/>
  <c r="B130" i="4" s="1"/>
  <c r="B136" i="30"/>
  <c r="B131" i="4" s="1"/>
  <c r="B137" i="30"/>
  <c r="B132" i="4" s="1"/>
  <c r="B138" i="30"/>
  <c r="B133" i="4" s="1"/>
  <c r="B139" i="30"/>
  <c r="B134" i="4" s="1"/>
  <c r="B140" i="30"/>
  <c r="B135" i="4" s="1"/>
  <c r="B141" i="30"/>
  <c r="B136" i="4" s="1"/>
  <c r="B142" i="30"/>
  <c r="B137" i="4" s="1"/>
  <c r="B143" i="30"/>
  <c r="B138" i="4" s="1"/>
  <c r="B144" i="30"/>
  <c r="B139" i="4" s="1"/>
  <c r="B145" i="30"/>
  <c r="B140" i="4" s="1"/>
  <c r="B146" i="30"/>
  <c r="B141" i="4" s="1"/>
  <c r="B147" i="30"/>
  <c r="B142" i="4" s="1"/>
  <c r="B148" i="30"/>
  <c r="B143" i="4" s="1"/>
  <c r="B149" i="30"/>
  <c r="B144" i="4" s="1"/>
  <c r="B150" i="30"/>
  <c r="B145" i="4" s="1"/>
  <c r="B151" i="30"/>
  <c r="B146" i="4" s="1"/>
  <c r="B152" i="30"/>
  <c r="B147" i="4" s="1"/>
  <c r="B153" i="30"/>
  <c r="B148" i="4" s="1"/>
  <c r="B154" i="30"/>
  <c r="B149" i="4" s="1"/>
  <c r="B155" i="30"/>
  <c r="B150" i="4" s="1"/>
  <c r="B156" i="30"/>
  <c r="B151" i="4" s="1"/>
  <c r="B157" i="30"/>
  <c r="B152" i="4" s="1"/>
  <c r="B158" i="30"/>
  <c r="B153" i="4" s="1"/>
  <c r="B159" i="30"/>
  <c r="B154" i="4" s="1"/>
  <c r="B160" i="30"/>
  <c r="B155" i="4" s="1"/>
  <c r="B161" i="30"/>
  <c r="B156" i="4" s="1"/>
  <c r="B162" i="30"/>
  <c r="B157" i="4" s="1"/>
  <c r="B163" i="30"/>
  <c r="B158" i="4" s="1"/>
  <c r="B164" i="30"/>
  <c r="B159" i="4" s="1"/>
  <c r="B165" i="30"/>
  <c r="B160" i="4" s="1"/>
  <c r="B166" i="30"/>
  <c r="B161" i="4" s="1"/>
  <c r="B167" i="30"/>
  <c r="B162" i="4" s="1"/>
  <c r="B168" i="30"/>
  <c r="B163" i="4" s="1"/>
  <c r="S139" i="4" l="1"/>
  <c r="V25" i="6"/>
  <c r="V23" i="6"/>
  <c r="AN25" i="46"/>
  <c r="V19" i="6"/>
  <c r="M40" i="32"/>
  <c r="L38" i="51" s="1"/>
  <c r="L40" i="32"/>
  <c r="K38" i="51" s="1"/>
  <c r="I40" i="32"/>
  <c r="H38" i="51" s="1"/>
  <c r="H40" i="32"/>
  <c r="G38" i="51" s="1"/>
  <c r="K40" i="32"/>
  <c r="J38" i="51" s="1"/>
  <c r="J40" i="32"/>
  <c r="I38" i="51" s="1"/>
  <c r="F40" i="32"/>
  <c r="E38" i="51" s="1"/>
  <c r="E40" i="32"/>
  <c r="D38" i="51" s="1"/>
  <c r="N40" i="32"/>
  <c r="M38" i="51" s="1"/>
  <c r="G40" i="32"/>
  <c r="F38" i="51" s="1"/>
  <c r="AN30" i="46"/>
  <c r="AN24" i="46"/>
  <c r="AN23" i="46"/>
  <c r="AN29" i="46"/>
  <c r="AN28" i="46"/>
  <c r="AN27" i="46"/>
  <c r="V22" i="6"/>
  <c r="AL26" i="46"/>
  <c r="AM26" i="46" s="1"/>
  <c r="AN22" i="46"/>
  <c r="AN21" i="46"/>
  <c r="V20" i="6"/>
  <c r="V17" i="6"/>
  <c r="V24" i="6"/>
  <c r="V18" i="6"/>
  <c r="V26" i="6"/>
  <c r="V21" i="6"/>
  <c r="C176" i="4"/>
  <c r="D180" i="4"/>
  <c r="C180" i="4"/>
  <c r="H58" i="46"/>
  <c r="C181" i="4"/>
  <c r="D181" i="4"/>
  <c r="D176" i="4"/>
  <c r="U66" i="4"/>
  <c r="L15" i="32"/>
  <c r="E16" i="32"/>
  <c r="D14" i="51" s="1"/>
  <c r="F16" i="32"/>
  <c r="L16" i="32"/>
  <c r="K14" i="51" s="1"/>
  <c r="M16" i="32"/>
  <c r="L14" i="51" s="1"/>
  <c r="H16" i="32"/>
  <c r="G14" i="51" s="1"/>
  <c r="I16" i="32"/>
  <c r="H14" i="51" s="1"/>
  <c r="G16" i="32"/>
  <c r="F14" i="51" s="1"/>
  <c r="J16" i="32"/>
  <c r="I14" i="51" s="1"/>
  <c r="K16" i="32"/>
  <c r="J14" i="51" s="1"/>
  <c r="N16" i="32"/>
  <c r="M14" i="51" s="1"/>
  <c r="H28" i="32"/>
  <c r="G26" i="51" s="1"/>
  <c r="I32" i="32"/>
  <c r="H30" i="51" s="1"/>
  <c r="H36" i="32"/>
  <c r="G34" i="51" s="1"/>
  <c r="F36" i="32"/>
  <c r="E34" i="51" s="1"/>
  <c r="K20" i="32"/>
  <c r="J18" i="51" s="1"/>
  <c r="L24" i="32"/>
  <c r="K22" i="51" s="1"/>
  <c r="E28" i="32"/>
  <c r="D26" i="51" s="1"/>
  <c r="G36" i="32"/>
  <c r="F34" i="51" s="1"/>
  <c r="M36" i="32"/>
  <c r="L34" i="51" s="1"/>
  <c r="K28" i="32"/>
  <c r="J26" i="51" s="1"/>
  <c r="I21" i="38" s="1"/>
  <c r="F28" i="32"/>
  <c r="E26" i="51" s="1"/>
  <c r="F24" i="32"/>
  <c r="E22" i="51" s="1"/>
  <c r="K32" i="32"/>
  <c r="J30" i="51" s="1"/>
  <c r="J36" i="32"/>
  <c r="I34" i="51" s="1"/>
  <c r="I36" i="32"/>
  <c r="H34" i="51" s="1"/>
  <c r="J20" i="32"/>
  <c r="I18" i="51" s="1"/>
  <c r="I24" i="32"/>
  <c r="H22" i="51" s="1"/>
  <c r="E32" i="32"/>
  <c r="D30" i="51" s="1"/>
  <c r="K24" i="32"/>
  <c r="J22" i="51" s="1"/>
  <c r="E20" i="32"/>
  <c r="J24" i="32"/>
  <c r="I22" i="51" s="1"/>
  <c r="N20" i="32"/>
  <c r="M18" i="51" s="1"/>
  <c r="L20" i="32"/>
  <c r="K18" i="51" s="1"/>
  <c r="G28" i="32"/>
  <c r="F26" i="51" s="1"/>
  <c r="M24" i="32"/>
  <c r="L22" i="51" s="1"/>
  <c r="G32" i="32"/>
  <c r="F30" i="51" s="1"/>
  <c r="N36" i="32"/>
  <c r="M34" i="51" s="1"/>
  <c r="H24" i="32"/>
  <c r="G22" i="51" s="1"/>
  <c r="I20" i="32"/>
  <c r="H18" i="51" s="1"/>
  <c r="N24" i="32"/>
  <c r="M22" i="51" s="1"/>
  <c r="F20" i="32"/>
  <c r="E18" i="51" s="1"/>
  <c r="M28" i="32"/>
  <c r="L26" i="51" s="1"/>
  <c r="M32" i="32"/>
  <c r="L30" i="51" s="1"/>
  <c r="G20" i="32"/>
  <c r="F18" i="51" s="1"/>
  <c r="J32" i="32"/>
  <c r="I30" i="51" s="1"/>
  <c r="L32" i="32"/>
  <c r="K30" i="51" s="1"/>
  <c r="L36" i="32"/>
  <c r="K34" i="51" s="1"/>
  <c r="I28" i="32"/>
  <c r="H26" i="51" s="1"/>
  <c r="J28" i="32"/>
  <c r="I26" i="51" s="1"/>
  <c r="I20" i="38" s="1"/>
  <c r="G24" i="32"/>
  <c r="F22" i="51" s="1"/>
  <c r="N32" i="32"/>
  <c r="M30" i="51" s="1"/>
  <c r="F32" i="32"/>
  <c r="E30" i="51" s="1"/>
  <c r="K36" i="32"/>
  <c r="J34" i="51" s="1"/>
  <c r="M20" i="32"/>
  <c r="L18" i="51" s="1"/>
  <c r="L28" i="32"/>
  <c r="K26" i="51" s="1"/>
  <c r="N28" i="32"/>
  <c r="M26" i="51" s="1"/>
  <c r="E36" i="32"/>
  <c r="D34" i="51" s="1"/>
  <c r="H20" i="32"/>
  <c r="G18" i="51" s="1"/>
  <c r="E24" i="32"/>
  <c r="D22" i="51" s="1"/>
  <c r="H32" i="32"/>
  <c r="G30" i="51" s="1"/>
  <c r="F66" i="46"/>
  <c r="AQ29" i="46"/>
  <c r="AG29" i="46"/>
  <c r="D22" i="6"/>
  <c r="L26" i="6"/>
  <c r="P24" i="6"/>
  <c r="D25" i="6"/>
  <c r="P18" i="6"/>
  <c r="F20" i="6"/>
  <c r="D36" i="6"/>
  <c r="D20" i="6"/>
  <c r="H24" i="6"/>
  <c r="D26" i="6"/>
  <c r="H20" i="6"/>
  <c r="F18" i="6"/>
  <c r="H36" i="6"/>
  <c r="P20" i="6"/>
  <c r="F36" i="6"/>
  <c r="H22" i="6"/>
  <c r="H26" i="6"/>
  <c r="F23" i="6"/>
  <c r="P22" i="6"/>
  <c r="R36" i="6"/>
  <c r="R42" i="6" s="1"/>
  <c r="D24" i="6"/>
  <c r="I42" i="6"/>
  <c r="D21" i="6"/>
  <c r="L20" i="6"/>
  <c r="H21" i="6"/>
  <c r="F24" i="6"/>
  <c r="L24" i="6"/>
  <c r="F22" i="6"/>
  <c r="P26" i="6"/>
  <c r="F26" i="6"/>
  <c r="W47" i="4"/>
  <c r="V60" i="4"/>
  <c r="L25" i="6"/>
  <c r="M29" i="46"/>
  <c r="W29" i="46"/>
  <c r="P23" i="6"/>
  <c r="D23" i="6"/>
  <c r="B20" i="38"/>
  <c r="I13" i="51"/>
  <c r="J15" i="32"/>
  <c r="B26" i="46"/>
  <c r="B26" i="29"/>
  <c r="U51" i="4"/>
  <c r="U64" i="4"/>
  <c r="F21" i="6"/>
  <c r="H19" i="6"/>
  <c r="F13" i="51"/>
  <c r="B17" i="38"/>
  <c r="B23" i="46"/>
  <c r="G15" i="32"/>
  <c r="U48" i="4"/>
  <c r="U61" i="4"/>
  <c r="B23" i="29"/>
  <c r="B16" i="38"/>
  <c r="E13" i="51"/>
  <c r="F15" i="32"/>
  <c r="B22" i="46"/>
  <c r="B22" i="29"/>
  <c r="U47" i="4"/>
  <c r="U60" i="4"/>
  <c r="B24" i="38"/>
  <c r="M13" i="51"/>
  <c r="N15" i="32"/>
  <c r="B30" i="29"/>
  <c r="B30" i="46"/>
  <c r="U68" i="4"/>
  <c r="F25" i="6"/>
  <c r="H23" i="6"/>
  <c r="J13" i="51"/>
  <c r="B21" i="38"/>
  <c r="B27" i="46"/>
  <c r="K15" i="32"/>
  <c r="U52" i="4"/>
  <c r="U65" i="4"/>
  <c r="B27" i="29"/>
  <c r="L19" i="6"/>
  <c r="F19" i="6"/>
  <c r="L18" i="6"/>
  <c r="D18" i="6"/>
  <c r="V61" i="4"/>
  <c r="W48" i="4"/>
  <c r="B26" i="38"/>
  <c r="O13" i="51"/>
  <c r="P15" i="32"/>
  <c r="B32" i="46"/>
  <c r="B32" i="29"/>
  <c r="L23" i="6"/>
  <c r="P21" i="6"/>
  <c r="J21" i="29"/>
  <c r="Z21" i="29" s="1"/>
  <c r="R21" i="29"/>
  <c r="AH21" i="29" s="1"/>
  <c r="P36" i="6"/>
  <c r="N13" i="51"/>
  <c r="B25" i="38"/>
  <c r="B31" i="46"/>
  <c r="O15" i="32"/>
  <c r="B31" i="29"/>
  <c r="P25" i="6"/>
  <c r="H25" i="6"/>
  <c r="L21" i="6"/>
  <c r="J25" i="29"/>
  <c r="Z25" i="29" s="1"/>
  <c r="R25" i="29"/>
  <c r="AH25" i="29" s="1"/>
  <c r="D19" i="6"/>
  <c r="V68" i="4"/>
  <c r="V64" i="4"/>
  <c r="U54" i="4"/>
  <c r="U50" i="4"/>
  <c r="B29" i="29"/>
  <c r="B22" i="38"/>
  <c r="K13" i="51"/>
  <c r="B28" i="46"/>
  <c r="B18" i="38"/>
  <c r="G13" i="51"/>
  <c r="H15" i="32"/>
  <c r="B24" i="46"/>
  <c r="B15" i="38"/>
  <c r="D13" i="51"/>
  <c r="B21" i="46"/>
  <c r="E15" i="32"/>
  <c r="D30" i="29"/>
  <c r="F30" i="29" s="1"/>
  <c r="D29" i="29"/>
  <c r="L29" i="29" s="1"/>
  <c r="D28" i="29"/>
  <c r="D27" i="29"/>
  <c r="L27" i="29" s="1"/>
  <c r="T27" i="29" s="1"/>
  <c r="D26" i="29"/>
  <c r="L26" i="29" s="1"/>
  <c r="T26" i="29" s="1"/>
  <c r="D25" i="29"/>
  <c r="D24" i="29"/>
  <c r="L24" i="29" s="1"/>
  <c r="T24" i="29" s="1"/>
  <c r="V52" i="4"/>
  <c r="B28" i="29"/>
  <c r="B23" i="38"/>
  <c r="L13" i="51"/>
  <c r="M15" i="32"/>
  <c r="B19" i="38"/>
  <c r="H13" i="51"/>
  <c r="I15" i="32"/>
  <c r="U67" i="4"/>
  <c r="U63" i="4"/>
  <c r="U59" i="4"/>
  <c r="V53" i="4"/>
  <c r="V49" i="4"/>
  <c r="D23" i="29"/>
  <c r="L23" i="29" s="1"/>
  <c r="T23" i="29" s="1"/>
  <c r="D22" i="29"/>
  <c r="L22" i="29" s="1"/>
  <c r="T22" i="29" s="1"/>
  <c r="T21" i="29"/>
  <c r="V21" i="29" s="1"/>
  <c r="B24" i="29"/>
  <c r="B25" i="46"/>
  <c r="V54" i="4"/>
  <c r="U53" i="4"/>
  <c r="V50" i="4"/>
  <c r="U49" i="4"/>
  <c r="U46" i="4"/>
  <c r="G64" i="47"/>
  <c r="AA42" i="29" l="1"/>
  <c r="AI42" i="29"/>
  <c r="W23" i="6"/>
  <c r="AN26" i="46"/>
  <c r="AN34" i="46" s="1"/>
  <c r="E14" i="51"/>
  <c r="C16" i="47" s="1"/>
  <c r="F56" i="32"/>
  <c r="K150" i="4"/>
  <c r="P141" i="4"/>
  <c r="P153" i="4" s="1"/>
  <c r="P149" i="4"/>
  <c r="P161" i="4" s="1"/>
  <c r="P145" i="4"/>
  <c r="P157" i="4" s="1"/>
  <c r="P142" i="4"/>
  <c r="P154" i="4" s="1"/>
  <c r="P150" i="4"/>
  <c r="P162" i="4" s="1"/>
  <c r="P147" i="4"/>
  <c r="P159" i="4" s="1"/>
  <c r="P144" i="4"/>
  <c r="P156" i="4" s="1"/>
  <c r="P146" i="4"/>
  <c r="P158" i="4" s="1"/>
  <c r="P143" i="4"/>
  <c r="P155" i="4" s="1"/>
  <c r="P151" i="4"/>
  <c r="P163" i="4" s="1"/>
  <c r="P148" i="4"/>
  <c r="P160" i="4" s="1"/>
  <c r="P140" i="4"/>
  <c r="P152" i="4" s="1"/>
  <c r="K147" i="4"/>
  <c r="I63" i="46"/>
  <c r="I66" i="46"/>
  <c r="K149" i="4"/>
  <c r="K148" i="4"/>
  <c r="K145" i="4"/>
  <c r="K141" i="4"/>
  <c r="K143" i="4"/>
  <c r="K144" i="4"/>
  <c r="K142" i="4"/>
  <c r="K146" i="4"/>
  <c r="D28" i="6"/>
  <c r="I67" i="46"/>
  <c r="I61" i="46"/>
  <c r="I58" i="46"/>
  <c r="E21" i="29"/>
  <c r="I62" i="46"/>
  <c r="I60" i="46"/>
  <c r="I65" i="46"/>
  <c r="I59" i="46"/>
  <c r="I64" i="46"/>
  <c r="C17" i="47"/>
  <c r="D17" i="38"/>
  <c r="C19" i="47"/>
  <c r="D19" i="38"/>
  <c r="C18" i="47"/>
  <c r="D18" i="38"/>
  <c r="C24" i="47"/>
  <c r="D24" i="38"/>
  <c r="C22" i="47"/>
  <c r="D22" i="38"/>
  <c r="C23" i="47"/>
  <c r="D23" i="38"/>
  <c r="D21" i="38"/>
  <c r="C21" i="47"/>
  <c r="C20" i="47"/>
  <c r="D20" i="47" s="1"/>
  <c r="D20" i="38"/>
  <c r="C15" i="47"/>
  <c r="D15" i="38"/>
  <c r="F19" i="38"/>
  <c r="C35" i="47"/>
  <c r="C96" i="47"/>
  <c r="N16" i="38"/>
  <c r="M16" i="38"/>
  <c r="C82" i="47"/>
  <c r="L18" i="38"/>
  <c r="K18" i="38"/>
  <c r="C116" i="47"/>
  <c r="O20" i="38"/>
  <c r="P20" i="38"/>
  <c r="C67" i="47"/>
  <c r="J19" i="38"/>
  <c r="I19" i="38"/>
  <c r="F16" i="38"/>
  <c r="C32" i="47"/>
  <c r="C81" i="47"/>
  <c r="L17" i="38"/>
  <c r="K17" i="38"/>
  <c r="C53" i="47"/>
  <c r="H21" i="38"/>
  <c r="C100" i="47"/>
  <c r="N20" i="38"/>
  <c r="M20" i="38"/>
  <c r="C118" i="47"/>
  <c r="O22" i="38"/>
  <c r="P22" i="38"/>
  <c r="C114" i="47"/>
  <c r="P18" i="38"/>
  <c r="O18" i="38"/>
  <c r="C102" i="47"/>
  <c r="N22" i="38"/>
  <c r="M22" i="38"/>
  <c r="C56" i="47"/>
  <c r="H24" i="38"/>
  <c r="C119" i="47"/>
  <c r="P23" i="38"/>
  <c r="O23" i="38"/>
  <c r="C85" i="47"/>
  <c r="K21" i="38"/>
  <c r="L21" i="38"/>
  <c r="C103" i="47"/>
  <c r="N23" i="38"/>
  <c r="M23" i="38"/>
  <c r="F21" i="38"/>
  <c r="C37" i="47"/>
  <c r="F23" i="38"/>
  <c r="C39" i="47"/>
  <c r="C47" i="47"/>
  <c r="H15" i="38"/>
  <c r="C84" i="47"/>
  <c r="L20" i="38"/>
  <c r="K20" i="38"/>
  <c r="C64" i="47"/>
  <c r="I16" i="38"/>
  <c r="J16" i="38"/>
  <c r="C95" i="47"/>
  <c r="N15" i="38"/>
  <c r="M15" i="38"/>
  <c r="C88" i="47"/>
  <c r="K24" i="38"/>
  <c r="L24" i="38"/>
  <c r="C33" i="47"/>
  <c r="F17" i="38"/>
  <c r="C40" i="47"/>
  <c r="F24" i="38"/>
  <c r="C113" i="47"/>
  <c r="O17" i="38"/>
  <c r="P17" i="38"/>
  <c r="C117" i="47"/>
  <c r="O21" i="38"/>
  <c r="P21" i="38"/>
  <c r="C54" i="47"/>
  <c r="H22" i="38"/>
  <c r="C55" i="47"/>
  <c r="H23" i="38"/>
  <c r="C48" i="47"/>
  <c r="D48" i="47" s="1"/>
  <c r="H16" i="38"/>
  <c r="C101" i="47"/>
  <c r="M21" i="38"/>
  <c r="N21" i="38"/>
  <c r="C50" i="47"/>
  <c r="H18" i="38"/>
  <c r="C112" i="47"/>
  <c r="O16" i="38"/>
  <c r="P16" i="38"/>
  <c r="C98" i="47"/>
  <c r="M18" i="38"/>
  <c r="N18" i="38"/>
  <c r="C80" i="47"/>
  <c r="K16" i="38"/>
  <c r="L16" i="38"/>
  <c r="C120" i="47"/>
  <c r="O24" i="38"/>
  <c r="P24" i="38"/>
  <c r="C51" i="47"/>
  <c r="H19" i="38"/>
  <c r="C63" i="47"/>
  <c r="J15" i="38"/>
  <c r="I15" i="38"/>
  <c r="C72" i="47"/>
  <c r="I24" i="38"/>
  <c r="J24" i="38"/>
  <c r="C49" i="47"/>
  <c r="H17" i="38"/>
  <c r="C87" i="47"/>
  <c r="K23" i="38"/>
  <c r="L23" i="38"/>
  <c r="C104" i="47"/>
  <c r="M24" i="38"/>
  <c r="N24" i="38"/>
  <c r="C52" i="47"/>
  <c r="D52" i="47" s="1"/>
  <c r="H20" i="38"/>
  <c r="F20" i="38"/>
  <c r="C36" i="47"/>
  <c r="C66" i="47"/>
  <c r="I18" i="38"/>
  <c r="J18" i="38"/>
  <c r="C86" i="47"/>
  <c r="D86" i="47" s="1"/>
  <c r="L22" i="38"/>
  <c r="K22" i="38"/>
  <c r="C79" i="47"/>
  <c r="K15" i="38"/>
  <c r="L15" i="38"/>
  <c r="C65" i="47"/>
  <c r="I17" i="38"/>
  <c r="J17" i="38"/>
  <c r="C97" i="47"/>
  <c r="N17" i="38"/>
  <c r="M17" i="38"/>
  <c r="F18" i="38"/>
  <c r="C34" i="47"/>
  <c r="F22" i="38"/>
  <c r="C38" i="47"/>
  <c r="D38" i="47" s="1"/>
  <c r="C83" i="47"/>
  <c r="K19" i="38"/>
  <c r="L19" i="38"/>
  <c r="C70" i="47"/>
  <c r="J22" i="38"/>
  <c r="I22" i="38"/>
  <c r="J20" i="38"/>
  <c r="C68" i="47"/>
  <c r="G68" i="47"/>
  <c r="C71" i="47"/>
  <c r="I23" i="38"/>
  <c r="J23" i="38"/>
  <c r="D18" i="51"/>
  <c r="D54" i="51" s="1"/>
  <c r="E56" i="32"/>
  <c r="C99" i="47"/>
  <c r="N19" i="38"/>
  <c r="M19" i="38"/>
  <c r="C69" i="47"/>
  <c r="J21" i="38"/>
  <c r="C115" i="47"/>
  <c r="P19" i="38"/>
  <c r="O19" i="38"/>
  <c r="F62" i="46"/>
  <c r="AQ25" i="46"/>
  <c r="AG25" i="46"/>
  <c r="F64" i="46"/>
  <c r="AQ27" i="46"/>
  <c r="AG27" i="46"/>
  <c r="F59" i="46"/>
  <c r="AQ22" i="46"/>
  <c r="AG22" i="46"/>
  <c r="F60" i="46"/>
  <c r="AQ23" i="46"/>
  <c r="AG23" i="46"/>
  <c r="F61" i="46"/>
  <c r="AQ24" i="46"/>
  <c r="AG24" i="46"/>
  <c r="F65" i="46"/>
  <c r="AQ28" i="46"/>
  <c r="AG28" i="46"/>
  <c r="B49" i="46"/>
  <c r="AQ31" i="46"/>
  <c r="AQ49" i="46" s="1"/>
  <c r="AG31" i="46"/>
  <c r="AG49" i="46" s="1"/>
  <c r="F63" i="46"/>
  <c r="AQ26" i="46"/>
  <c r="AG26" i="46"/>
  <c r="F67" i="46"/>
  <c r="AQ30" i="46"/>
  <c r="AG30" i="46"/>
  <c r="F58" i="46"/>
  <c r="AQ21" i="46"/>
  <c r="AG21" i="46"/>
  <c r="B50" i="46"/>
  <c r="AQ32" i="46"/>
  <c r="AQ50" i="46" s="1"/>
  <c r="AG32" i="46"/>
  <c r="AG50" i="46" s="1"/>
  <c r="W25" i="6"/>
  <c r="V26" i="29"/>
  <c r="AB26" i="29"/>
  <c r="AB21" i="29"/>
  <c r="V27" i="29"/>
  <c r="AB27" i="29"/>
  <c r="V23" i="29"/>
  <c r="AB23" i="29"/>
  <c r="V24" i="29"/>
  <c r="AB24" i="29"/>
  <c r="V22" i="29"/>
  <c r="AB22" i="29"/>
  <c r="W18" i="6"/>
  <c r="W20" i="6"/>
  <c r="W19" i="6"/>
  <c r="W36" i="6"/>
  <c r="W26" i="6"/>
  <c r="W24" i="6"/>
  <c r="W21" i="6"/>
  <c r="W22" i="6"/>
  <c r="I71" i="47"/>
  <c r="S31" i="4"/>
  <c r="X46" i="4" s="1"/>
  <c r="N24" i="29"/>
  <c r="L25" i="29"/>
  <c r="T25" i="29" s="1"/>
  <c r="F25" i="29"/>
  <c r="F24" i="29"/>
  <c r="I55" i="47"/>
  <c r="H28" i="6"/>
  <c r="H42" i="6" s="1"/>
  <c r="P28" i="6"/>
  <c r="F28" i="6"/>
  <c r="N56" i="32"/>
  <c r="L28" i="6"/>
  <c r="I54" i="51"/>
  <c r="I70" i="47"/>
  <c r="G65" i="47"/>
  <c r="H54" i="51"/>
  <c r="G67" i="47"/>
  <c r="I67" i="47"/>
  <c r="G70" i="47"/>
  <c r="G72" i="47"/>
  <c r="I56" i="32"/>
  <c r="F26" i="29"/>
  <c r="I50" i="47"/>
  <c r="I66" i="47"/>
  <c r="L56" i="51"/>
  <c r="E56" i="51"/>
  <c r="G56" i="51"/>
  <c r="I51" i="47"/>
  <c r="I49" i="47"/>
  <c r="N27" i="29"/>
  <c r="F27" i="29"/>
  <c r="N26" i="29"/>
  <c r="F23" i="29"/>
  <c r="G66" i="47"/>
  <c r="H56" i="51"/>
  <c r="D56" i="51"/>
  <c r="I48" i="47"/>
  <c r="M56" i="51"/>
  <c r="N22" i="29"/>
  <c r="W50" i="4"/>
  <c r="V63" i="4"/>
  <c r="J56" i="51"/>
  <c r="N23" i="29"/>
  <c r="R28" i="29"/>
  <c r="AH28" i="29" s="1"/>
  <c r="J28" i="29"/>
  <c r="Z28" i="29" s="1"/>
  <c r="T29" i="29"/>
  <c r="N29" i="29"/>
  <c r="M28" i="46"/>
  <c r="W28" i="46"/>
  <c r="M56" i="32"/>
  <c r="W31" i="46"/>
  <c r="W49" i="46" s="1"/>
  <c r="M31" i="46"/>
  <c r="M49" i="46" s="1"/>
  <c r="G54" i="51"/>
  <c r="I43" i="6"/>
  <c r="M22" i="46"/>
  <c r="W22" i="46"/>
  <c r="J23" i="29"/>
  <c r="Z23" i="29" s="1"/>
  <c r="R23" i="29"/>
  <c r="AH23" i="29" s="1"/>
  <c r="M23" i="46"/>
  <c r="W23" i="46"/>
  <c r="K56" i="32"/>
  <c r="I64" i="47"/>
  <c r="I52" i="47"/>
  <c r="V62" i="4"/>
  <c r="W49" i="4"/>
  <c r="N21" i="29"/>
  <c r="L30" i="29"/>
  <c r="N30" i="29" s="1"/>
  <c r="M24" i="46"/>
  <c r="W24" i="46"/>
  <c r="L54" i="51"/>
  <c r="W51" i="4"/>
  <c r="G56" i="32"/>
  <c r="L56" i="32"/>
  <c r="J32" i="29"/>
  <c r="Z32" i="29" s="1"/>
  <c r="R32" i="29"/>
  <c r="AH32" i="29" s="1"/>
  <c r="B43" i="29"/>
  <c r="J27" i="29"/>
  <c r="Z27" i="29" s="1"/>
  <c r="R27" i="29"/>
  <c r="AH27" i="29" s="1"/>
  <c r="M27" i="46"/>
  <c r="W27" i="46"/>
  <c r="J54" i="51"/>
  <c r="I68" i="47"/>
  <c r="I56" i="47"/>
  <c r="I65" i="47"/>
  <c r="W54" i="4"/>
  <c r="V67" i="4"/>
  <c r="R24" i="29"/>
  <c r="AH24" i="29" s="1"/>
  <c r="J24" i="29"/>
  <c r="Z24" i="29" s="1"/>
  <c r="V66" i="4"/>
  <c r="W53" i="4"/>
  <c r="K56" i="51"/>
  <c r="F22" i="29"/>
  <c r="V65" i="4"/>
  <c r="W52" i="4"/>
  <c r="F54" i="51"/>
  <c r="J31" i="29"/>
  <c r="Z31" i="29" s="1"/>
  <c r="R31" i="29"/>
  <c r="AH31" i="29" s="1"/>
  <c r="B42" i="29"/>
  <c r="F29" i="29"/>
  <c r="K54" i="51"/>
  <c r="W32" i="46"/>
  <c r="W50" i="46" s="1"/>
  <c r="M32" i="46"/>
  <c r="M50" i="46" s="1"/>
  <c r="M30" i="46"/>
  <c r="W30" i="46"/>
  <c r="R26" i="29"/>
  <c r="AH26" i="29" s="1"/>
  <c r="J26" i="29"/>
  <c r="Z26" i="29" s="1"/>
  <c r="I56" i="51"/>
  <c r="G71" i="47"/>
  <c r="I72" i="47"/>
  <c r="F56" i="51"/>
  <c r="M25" i="46"/>
  <c r="W25" i="46"/>
  <c r="J56" i="32"/>
  <c r="M54" i="51"/>
  <c r="I53" i="47"/>
  <c r="I69" i="47"/>
  <c r="I54" i="47"/>
  <c r="L28" i="29"/>
  <c r="F28" i="29"/>
  <c r="W21" i="46"/>
  <c r="M21" i="46"/>
  <c r="R29" i="29"/>
  <c r="AH29" i="29" s="1"/>
  <c r="J29" i="29"/>
  <c r="Z29" i="29" s="1"/>
  <c r="W55" i="4"/>
  <c r="H56" i="32"/>
  <c r="R30" i="29"/>
  <c r="AH30" i="29" s="1"/>
  <c r="J30" i="29"/>
  <c r="Z30" i="29" s="1"/>
  <c r="R22" i="29"/>
  <c r="AH22" i="29" s="1"/>
  <c r="J22" i="29"/>
  <c r="Z22" i="29" s="1"/>
  <c r="M26" i="46"/>
  <c r="W26" i="46"/>
  <c r="S115" i="4"/>
  <c r="X53" i="4" s="1"/>
  <c r="W66" i="4" s="1"/>
  <c r="E28" i="29"/>
  <c r="S67" i="4"/>
  <c r="X49" i="4" s="1"/>
  <c r="Z49" i="4" s="1"/>
  <c r="E23" i="29"/>
  <c r="E24" i="29"/>
  <c r="M24" i="29" s="1"/>
  <c r="E29" i="29"/>
  <c r="S79" i="4"/>
  <c r="X50" i="4" s="1"/>
  <c r="W63" i="4" s="1"/>
  <c r="S103" i="4"/>
  <c r="X52" i="4" s="1"/>
  <c r="W65" i="4" s="1"/>
  <c r="E30" i="29"/>
  <c r="G30" i="29" s="1"/>
  <c r="S55" i="4"/>
  <c r="X48" i="4" s="1"/>
  <c r="S91" i="4"/>
  <c r="X51" i="4" s="1"/>
  <c r="E27" i="29"/>
  <c r="M27" i="29" s="1"/>
  <c r="S43" i="4"/>
  <c r="X47" i="4" s="1"/>
  <c r="Z47" i="4" s="1"/>
  <c r="E25" i="29"/>
  <c r="E26" i="29"/>
  <c r="M26" i="29" s="1"/>
  <c r="J25" i="32" s="1"/>
  <c r="I23" i="51" s="1"/>
  <c r="F52" i="47" s="1"/>
  <c r="S127" i="4"/>
  <c r="X54" i="4" s="1"/>
  <c r="Z54" i="4" s="1"/>
  <c r="X55" i="4"/>
  <c r="W68" i="4" s="1"/>
  <c r="E22" i="29"/>
  <c r="D34" i="47" l="1"/>
  <c r="D97" i="47"/>
  <c r="F31" i="29"/>
  <c r="F32" i="29" s="1"/>
  <c r="D18" i="47"/>
  <c r="K163" i="4"/>
  <c r="D83" i="47"/>
  <c r="D36" i="47"/>
  <c r="D101" i="47"/>
  <c r="D99" i="47"/>
  <c r="D65" i="47"/>
  <c r="D104" i="47"/>
  <c r="D118" i="47"/>
  <c r="D81" i="47"/>
  <c r="D116" i="47"/>
  <c r="AA43" i="29"/>
  <c r="AI43" i="29"/>
  <c r="D69" i="47"/>
  <c r="D71" i="47"/>
  <c r="D51" i="47"/>
  <c r="D66" i="47"/>
  <c r="D49" i="47"/>
  <c r="D88" i="47"/>
  <c r="D39" i="47"/>
  <c r="D119" i="47"/>
  <c r="D114" i="47"/>
  <c r="D67" i="47"/>
  <c r="D21" i="47"/>
  <c r="D17" i="47"/>
  <c r="X68" i="4"/>
  <c r="Y68" i="4"/>
  <c r="E112" i="47"/>
  <c r="D112" i="47"/>
  <c r="D72" i="47"/>
  <c r="D120" i="47"/>
  <c r="D54" i="47"/>
  <c r="D40" i="47"/>
  <c r="D23" i="47"/>
  <c r="D24" i="47"/>
  <c r="D19" i="47"/>
  <c r="D16" i="47"/>
  <c r="D53" i="47"/>
  <c r="D22" i="47"/>
  <c r="D98" i="47"/>
  <c r="D55" i="47"/>
  <c r="D113" i="47"/>
  <c r="D33" i="47"/>
  <c r="D84" i="47"/>
  <c r="D85" i="47"/>
  <c r="D102" i="47"/>
  <c r="D96" i="47"/>
  <c r="D115" i="47"/>
  <c r="D68" i="47"/>
  <c r="D70" i="47"/>
  <c r="D87" i="47"/>
  <c r="D80" i="47"/>
  <c r="D50" i="47"/>
  <c r="D117" i="47"/>
  <c r="D64" i="47"/>
  <c r="D37" i="47"/>
  <c r="D103" i="47"/>
  <c r="D56" i="47"/>
  <c r="D100" i="47"/>
  <c r="D82" i="47"/>
  <c r="D35" i="47"/>
  <c r="G20" i="38"/>
  <c r="D16" i="38"/>
  <c r="R43" i="6"/>
  <c r="G30" i="6"/>
  <c r="H43" i="6"/>
  <c r="O30" i="6"/>
  <c r="O42" i="6" s="1"/>
  <c r="P43" i="6"/>
  <c r="P42" i="6"/>
  <c r="K30" i="6"/>
  <c r="K42" i="6" s="1"/>
  <c r="L43" i="6"/>
  <c r="L42" i="6"/>
  <c r="E30" i="6"/>
  <c r="E42" i="6" s="1"/>
  <c r="F43" i="6"/>
  <c r="F42" i="6"/>
  <c r="C30" i="6"/>
  <c r="C42" i="6" s="1"/>
  <c r="D43" i="6"/>
  <c r="D42" i="6"/>
  <c r="E54" i="51"/>
  <c r="AL49" i="46"/>
  <c r="AL50" i="46"/>
  <c r="H30" i="29"/>
  <c r="E83" i="47"/>
  <c r="E96" i="47"/>
  <c r="E119" i="47"/>
  <c r="G69" i="47"/>
  <c r="E40" i="47"/>
  <c r="E33" i="47"/>
  <c r="E56" i="47"/>
  <c r="E49" i="47"/>
  <c r="E20" i="47"/>
  <c r="E52" i="47"/>
  <c r="E71" i="47"/>
  <c r="E86" i="47"/>
  <c r="E38" i="47"/>
  <c r="E53" i="47"/>
  <c r="E115" i="47"/>
  <c r="E64" i="47"/>
  <c r="E48" i="47"/>
  <c r="E102" i="47"/>
  <c r="E67" i="47"/>
  <c r="E22" i="47"/>
  <c r="E18" i="47"/>
  <c r="E117" i="47"/>
  <c r="E36" i="47"/>
  <c r="E54" i="47"/>
  <c r="E34" i="47"/>
  <c r="E16" i="47"/>
  <c r="E24" i="47"/>
  <c r="E19" i="47"/>
  <c r="E23" i="47"/>
  <c r="E99" i="47"/>
  <c r="E101" i="47"/>
  <c r="E21" i="47"/>
  <c r="E17" i="47"/>
  <c r="E82" i="47"/>
  <c r="E68" i="47"/>
  <c r="E80" i="47"/>
  <c r="E69" i="47"/>
  <c r="E66" i="47"/>
  <c r="E50" i="47"/>
  <c r="E84" i="47"/>
  <c r="E88" i="47"/>
  <c r="E70" i="47"/>
  <c r="E51" i="47"/>
  <c r="E55" i="47"/>
  <c r="E72" i="47"/>
  <c r="E87" i="47"/>
  <c r="E118" i="47"/>
  <c r="E103" i="47"/>
  <c r="E104" i="47"/>
  <c r="E98" i="47"/>
  <c r="E39" i="47"/>
  <c r="E81" i="47"/>
  <c r="E65" i="47"/>
  <c r="E114" i="47"/>
  <c r="E116" i="47"/>
  <c r="E35" i="47"/>
  <c r="F15" i="38"/>
  <c r="C31" i="47"/>
  <c r="E32" i="47" s="1"/>
  <c r="E97" i="47"/>
  <c r="E120" i="47"/>
  <c r="E113" i="47"/>
  <c r="E37" i="47"/>
  <c r="E85" i="47"/>
  <c r="E100" i="47"/>
  <c r="AD22" i="29"/>
  <c r="AJ22" i="29"/>
  <c r="AD21" i="29"/>
  <c r="AJ21" i="29"/>
  <c r="AD24" i="29"/>
  <c r="AJ24" i="29"/>
  <c r="AD26" i="29"/>
  <c r="AJ26" i="29"/>
  <c r="AD23" i="29"/>
  <c r="AJ23" i="29"/>
  <c r="AD27" i="29"/>
  <c r="AJ27" i="29"/>
  <c r="W28" i="6"/>
  <c r="V25" i="29"/>
  <c r="AB25" i="29"/>
  <c r="V29" i="29"/>
  <c r="AB29" i="29"/>
  <c r="N25" i="29"/>
  <c r="G23" i="29"/>
  <c r="G25" i="29"/>
  <c r="X63" i="4"/>
  <c r="X65" i="4"/>
  <c r="X66" i="4"/>
  <c r="K31" i="6"/>
  <c r="K43" i="6" s="1"/>
  <c r="G28" i="29"/>
  <c r="G29" i="29"/>
  <c r="R42" i="29"/>
  <c r="AH42" i="29" s="1"/>
  <c r="J42" i="29"/>
  <c r="Z42" i="29" s="1"/>
  <c r="J43" i="29"/>
  <c r="Z43" i="29" s="1"/>
  <c r="R43" i="29"/>
  <c r="AH43" i="29" s="1"/>
  <c r="T28" i="29"/>
  <c r="N28" i="29"/>
  <c r="T30" i="29"/>
  <c r="V30" i="29" s="1"/>
  <c r="Y49" i="4"/>
  <c r="M29" i="29"/>
  <c r="U29" i="29" s="1"/>
  <c r="Z53" i="4"/>
  <c r="Z52" i="4"/>
  <c r="G27" i="29"/>
  <c r="W62" i="4"/>
  <c r="X62" i="4" s="1"/>
  <c r="Y53" i="4"/>
  <c r="W61" i="4"/>
  <c r="X61" i="4" s="1"/>
  <c r="M23" i="29"/>
  <c r="U23" i="29" s="1"/>
  <c r="Z50" i="4"/>
  <c r="M28" i="29"/>
  <c r="Y51" i="4"/>
  <c r="Z48" i="4"/>
  <c r="Y50" i="4"/>
  <c r="Y48" i="4"/>
  <c r="W64" i="4"/>
  <c r="X64" i="4" s="1"/>
  <c r="Z51" i="4"/>
  <c r="Y54" i="4"/>
  <c r="M25" i="29"/>
  <c r="U25" i="29" s="1"/>
  <c r="G24" i="29"/>
  <c r="M30" i="29"/>
  <c r="W67" i="4"/>
  <c r="X67" i="4" s="1"/>
  <c r="Y52" i="4"/>
  <c r="G26" i="29"/>
  <c r="Z55" i="4"/>
  <c r="W60" i="4"/>
  <c r="X60" i="4" s="1"/>
  <c r="Y55" i="4"/>
  <c r="Z46" i="4"/>
  <c r="W59" i="4"/>
  <c r="X59" i="4" s="1"/>
  <c r="U26" i="29"/>
  <c r="O26" i="29"/>
  <c r="Y47" i="4"/>
  <c r="G22" i="29"/>
  <c r="M22" i="29"/>
  <c r="O27" i="29"/>
  <c r="U27" i="29"/>
  <c r="M21" i="29"/>
  <c r="G21" i="29"/>
  <c r="O24" i="29"/>
  <c r="U24" i="29"/>
  <c r="N31" i="29" l="1"/>
  <c r="X70" i="4"/>
  <c r="D32" i="47"/>
  <c r="G32" i="46"/>
  <c r="E50" i="46" s="1"/>
  <c r="P28" i="32"/>
  <c r="O26" i="51" s="1"/>
  <c r="C74" i="47" s="1"/>
  <c r="G31" i="46"/>
  <c r="E49" i="46" s="1"/>
  <c r="O28" i="32"/>
  <c r="N26" i="51" s="1"/>
  <c r="C73" i="47" s="1"/>
  <c r="O31" i="6"/>
  <c r="O43" i="6" s="1"/>
  <c r="AB32" i="46" s="1"/>
  <c r="Z50" i="46" s="1"/>
  <c r="E31" i="6"/>
  <c r="E43" i="6" s="1"/>
  <c r="G31" i="6"/>
  <c r="G43" i="6" s="1"/>
  <c r="P24" i="32" s="1"/>
  <c r="O22" i="51" s="1"/>
  <c r="C58" i="47" s="1"/>
  <c r="G42" i="6"/>
  <c r="O24" i="32" s="1"/>
  <c r="V30" i="6"/>
  <c r="Q43" i="6"/>
  <c r="Q42" i="6"/>
  <c r="W42" i="6"/>
  <c r="O140" i="4" s="1"/>
  <c r="W43" i="6"/>
  <c r="P32" i="32"/>
  <c r="O30" i="51" s="1"/>
  <c r="C90" i="47" s="1"/>
  <c r="AB31" i="46"/>
  <c r="Z49" i="46" s="1"/>
  <c r="O32" i="32"/>
  <c r="N30" i="51" s="1"/>
  <c r="C89" i="47" s="1"/>
  <c r="D89" i="47" s="1"/>
  <c r="O20" i="32"/>
  <c r="N18" i="51" s="1"/>
  <c r="C31" i="6"/>
  <c r="C43" i="6" s="1"/>
  <c r="O16" i="32"/>
  <c r="N14" i="51" s="1"/>
  <c r="N25" i="47" s="1"/>
  <c r="H22" i="29"/>
  <c r="E15" i="51"/>
  <c r="Q16" i="47" s="1"/>
  <c r="H25" i="29"/>
  <c r="H15" i="51"/>
  <c r="Q19" i="47" s="1"/>
  <c r="P26" i="29"/>
  <c r="I19" i="51"/>
  <c r="H23" i="29"/>
  <c r="F15" i="51"/>
  <c r="Q17" i="47" s="1"/>
  <c r="P24" i="29"/>
  <c r="G19" i="51"/>
  <c r="H28" i="29"/>
  <c r="H21" i="29"/>
  <c r="H27" i="29"/>
  <c r="J15" i="51"/>
  <c r="Q21" i="47" s="1"/>
  <c r="H26" i="29"/>
  <c r="I15" i="51"/>
  <c r="Q20" i="47" s="1"/>
  <c r="M15" i="51"/>
  <c r="Q24" i="47" s="1"/>
  <c r="G20" i="53"/>
  <c r="H29" i="29"/>
  <c r="H24" i="29"/>
  <c r="G15" i="51"/>
  <c r="Q18" i="47" s="1"/>
  <c r="P27" i="29"/>
  <c r="J19" i="51"/>
  <c r="N32" i="29"/>
  <c r="AL23" i="29"/>
  <c r="AL21" i="29"/>
  <c r="AL22" i="29"/>
  <c r="AL27" i="29"/>
  <c r="AD29" i="29"/>
  <c r="AJ29" i="29"/>
  <c r="AL26" i="29"/>
  <c r="AD25" i="29"/>
  <c r="AJ25" i="29"/>
  <c r="AL24" i="29"/>
  <c r="W27" i="29"/>
  <c r="AC27" i="29"/>
  <c r="AB30" i="29"/>
  <c r="W26" i="29"/>
  <c r="X26" i="29" s="1"/>
  <c r="AC26" i="29"/>
  <c r="W25" i="29"/>
  <c r="AC25" i="29"/>
  <c r="V28" i="29"/>
  <c r="V31" i="29" s="1"/>
  <c r="V32" i="29" s="1"/>
  <c r="AB28" i="29"/>
  <c r="W23" i="29"/>
  <c r="AC23" i="29"/>
  <c r="W29" i="29"/>
  <c r="AC29" i="29"/>
  <c r="W24" i="29"/>
  <c r="AC24" i="29"/>
  <c r="X69" i="4"/>
  <c r="O28" i="29"/>
  <c r="O29" i="29"/>
  <c r="U28" i="29"/>
  <c r="O25" i="29"/>
  <c r="O23" i="29"/>
  <c r="O30" i="29"/>
  <c r="U30" i="29"/>
  <c r="U21" i="29"/>
  <c r="W21" i="29" s="1"/>
  <c r="E25" i="32" s="1"/>
  <c r="D23" i="51" s="1"/>
  <c r="O21" i="29"/>
  <c r="O22" i="29"/>
  <c r="U22" i="29"/>
  <c r="O141" i="4" l="1"/>
  <c r="R140" i="4"/>
  <c r="D74" i="47"/>
  <c r="E73" i="47"/>
  <c r="D73" i="47"/>
  <c r="D90" i="47"/>
  <c r="P20" i="32"/>
  <c r="O18" i="51" s="1"/>
  <c r="C42" i="47" s="1"/>
  <c r="V42" i="6"/>
  <c r="N22" i="51"/>
  <c r="C57" i="47" s="1"/>
  <c r="D57" i="47" s="1"/>
  <c r="E74" i="47"/>
  <c r="X25" i="29"/>
  <c r="I25" i="32"/>
  <c r="H23" i="51" s="1"/>
  <c r="X24" i="29"/>
  <c r="H25" i="32"/>
  <c r="G23" i="51" s="1"/>
  <c r="G55" i="51" s="1"/>
  <c r="X23" i="29"/>
  <c r="G25" i="32"/>
  <c r="F23" i="51" s="1"/>
  <c r="F47" i="47"/>
  <c r="G15" i="38"/>
  <c r="X29" i="29"/>
  <c r="M25" i="32"/>
  <c r="X27" i="29"/>
  <c r="K25" i="32"/>
  <c r="J23" i="51" s="1"/>
  <c r="J55" i="51" s="1"/>
  <c r="V31" i="6"/>
  <c r="AV31" i="46"/>
  <c r="AT49" i="46" s="1"/>
  <c r="O36" i="32"/>
  <c r="N34" i="51" s="1"/>
  <c r="C105" i="47" s="1"/>
  <c r="AL32" i="46"/>
  <c r="AJ50" i="46" s="1"/>
  <c r="P40" i="32"/>
  <c r="O38" i="51" s="1"/>
  <c r="C122" i="47" s="1"/>
  <c r="AL31" i="46"/>
  <c r="AJ49" i="46" s="1"/>
  <c r="O40" i="32"/>
  <c r="N38" i="51" s="1"/>
  <c r="C121" i="47" s="1"/>
  <c r="AV32" i="46"/>
  <c r="AT50" i="46" s="1"/>
  <c r="P36" i="32"/>
  <c r="O34" i="51" s="1"/>
  <c r="C106" i="47" s="1"/>
  <c r="E90" i="47"/>
  <c r="E89" i="47"/>
  <c r="C41" i="47"/>
  <c r="F25" i="38"/>
  <c r="P16" i="32"/>
  <c r="O14" i="51" s="1"/>
  <c r="N26" i="47" s="1"/>
  <c r="V43" i="6"/>
  <c r="D25" i="38"/>
  <c r="C25" i="47"/>
  <c r="F17" i="47"/>
  <c r="C17" i="38"/>
  <c r="P23" i="29"/>
  <c r="F19" i="51"/>
  <c r="L15" i="51"/>
  <c r="Q23" i="47" s="1"/>
  <c r="F20" i="53"/>
  <c r="E20" i="53"/>
  <c r="K15" i="51"/>
  <c r="Q22" i="47" s="1"/>
  <c r="F19" i="47"/>
  <c r="C19" i="38"/>
  <c r="D15" i="51"/>
  <c r="Q15" i="47" s="1"/>
  <c r="P25" i="29"/>
  <c r="H19" i="51"/>
  <c r="P22" i="29"/>
  <c r="E19" i="51"/>
  <c r="P29" i="29"/>
  <c r="F24" i="47"/>
  <c r="C24" i="38"/>
  <c r="F21" i="47"/>
  <c r="R21" i="47" s="1"/>
  <c r="C21" i="38"/>
  <c r="F37" i="47"/>
  <c r="E21" i="38"/>
  <c r="F20" i="47"/>
  <c r="R20" i="47" s="1"/>
  <c r="C20" i="38"/>
  <c r="F34" i="47"/>
  <c r="E18" i="38"/>
  <c r="F16" i="47"/>
  <c r="C16" i="38"/>
  <c r="F18" i="47"/>
  <c r="R18" i="47" s="1"/>
  <c r="C18" i="38"/>
  <c r="P30" i="29"/>
  <c r="F36" i="47"/>
  <c r="E20" i="38"/>
  <c r="P21" i="29"/>
  <c r="D19" i="51"/>
  <c r="P28" i="29"/>
  <c r="AE29" i="29"/>
  <c r="AF29" i="29" s="1"/>
  <c r="AK29" i="29"/>
  <c r="AE26" i="29"/>
  <c r="AF26" i="29" s="1"/>
  <c r="AK26" i="29"/>
  <c r="AD28" i="29"/>
  <c r="AJ28" i="29"/>
  <c r="AE27" i="29"/>
  <c r="AF27" i="29" s="1"/>
  <c r="AK27" i="29"/>
  <c r="AL25" i="29"/>
  <c r="AD30" i="29"/>
  <c r="AJ30" i="29"/>
  <c r="AE23" i="29"/>
  <c r="AF23" i="29" s="1"/>
  <c r="AK23" i="29"/>
  <c r="AL29" i="29"/>
  <c r="AE24" i="29"/>
  <c r="AF24" i="29" s="1"/>
  <c r="AK24" i="29"/>
  <c r="AE25" i="29"/>
  <c r="AF25" i="29" s="1"/>
  <c r="AK25" i="29"/>
  <c r="I55" i="51"/>
  <c r="J57" i="32"/>
  <c r="X21" i="29"/>
  <c r="AC21" i="29"/>
  <c r="W30" i="29"/>
  <c r="AC30" i="29"/>
  <c r="W28" i="29"/>
  <c r="AC28" i="29"/>
  <c r="W22" i="29"/>
  <c r="AC22" i="29"/>
  <c r="R19" i="47" l="1"/>
  <c r="R17" i="47"/>
  <c r="O25" i="47"/>
  <c r="P25" i="47"/>
  <c r="O142" i="4"/>
  <c r="R141" i="4"/>
  <c r="E41" i="47"/>
  <c r="D41" i="47"/>
  <c r="E121" i="47"/>
  <c r="D121" i="47"/>
  <c r="E105" i="47"/>
  <c r="D105" i="47"/>
  <c r="D58" i="47"/>
  <c r="E25" i="47"/>
  <c r="D25" i="47"/>
  <c r="D106" i="47"/>
  <c r="D122" i="47"/>
  <c r="D42" i="47"/>
  <c r="D55" i="51"/>
  <c r="E58" i="47"/>
  <c r="E57" i="47"/>
  <c r="H57" i="32"/>
  <c r="K57" i="32"/>
  <c r="X22" i="29"/>
  <c r="F25" i="32"/>
  <c r="E23" i="51" s="1"/>
  <c r="E55" i="51" s="1"/>
  <c r="F53" i="47"/>
  <c r="G53" i="47" s="1"/>
  <c r="G21" i="38"/>
  <c r="F50" i="47"/>
  <c r="G18" i="38"/>
  <c r="X30" i="29"/>
  <c r="N25" i="32"/>
  <c r="L23" i="51"/>
  <c r="F24" i="53"/>
  <c r="F49" i="47"/>
  <c r="G17" i="38"/>
  <c r="F51" i="47"/>
  <c r="G51" i="47" s="1"/>
  <c r="G19" i="38"/>
  <c r="X28" i="29"/>
  <c r="L25" i="32"/>
  <c r="N54" i="51"/>
  <c r="O56" i="32"/>
  <c r="E106" i="47"/>
  <c r="E122" i="47"/>
  <c r="E42" i="47"/>
  <c r="P56" i="32"/>
  <c r="D26" i="38"/>
  <c r="C26" i="47"/>
  <c r="O54" i="51"/>
  <c r="G20" i="47"/>
  <c r="G18" i="47"/>
  <c r="G37" i="47"/>
  <c r="G21" i="47"/>
  <c r="E22" i="53"/>
  <c r="K19" i="51"/>
  <c r="F31" i="47"/>
  <c r="E15" i="38"/>
  <c r="F35" i="47"/>
  <c r="G35" i="47" s="1"/>
  <c r="E19" i="38"/>
  <c r="F15" i="47"/>
  <c r="G16" i="47" s="1"/>
  <c r="C15" i="38"/>
  <c r="F32" i="47"/>
  <c r="E16" i="38"/>
  <c r="F23" i="47"/>
  <c r="R23" i="47" s="1"/>
  <c r="C23" i="38"/>
  <c r="E57" i="32"/>
  <c r="F33" i="47"/>
  <c r="E17" i="38"/>
  <c r="G22" i="53"/>
  <c r="M19" i="51"/>
  <c r="L19" i="51"/>
  <c r="F22" i="53"/>
  <c r="F22" i="47"/>
  <c r="C22" i="38"/>
  <c r="G19" i="47"/>
  <c r="G17" i="47"/>
  <c r="AM25" i="29"/>
  <c r="AN25" i="29" s="1"/>
  <c r="AD31" i="29"/>
  <c r="AD32" i="29" s="1"/>
  <c r="H55" i="51"/>
  <c r="AE22" i="29"/>
  <c r="AF22" i="29" s="1"/>
  <c r="AK22" i="29"/>
  <c r="AL28" i="29"/>
  <c r="AE21" i="29"/>
  <c r="AF21" i="29" s="1"/>
  <c r="AK21" i="29"/>
  <c r="AE28" i="29"/>
  <c r="AF28" i="29" s="1"/>
  <c r="AK28" i="29"/>
  <c r="AM23" i="29"/>
  <c r="AN23" i="29" s="1"/>
  <c r="AM26" i="29"/>
  <c r="AN26" i="29" s="1"/>
  <c r="AM29" i="29"/>
  <c r="AN29" i="29" s="1"/>
  <c r="AE30" i="29"/>
  <c r="AF30" i="29" s="1"/>
  <c r="AK30" i="29"/>
  <c r="AL30" i="29"/>
  <c r="AM27" i="29"/>
  <c r="AN27" i="29" s="1"/>
  <c r="AM24" i="29"/>
  <c r="AN24" i="29" s="1"/>
  <c r="F55" i="51"/>
  <c r="M57" i="32"/>
  <c r="I57" i="32"/>
  <c r="G57" i="32"/>
  <c r="R16" i="47" l="1"/>
  <c r="G22" i="47"/>
  <c r="R22" i="47"/>
  <c r="R24" i="47"/>
  <c r="O26" i="47"/>
  <c r="P26" i="47"/>
  <c r="O143" i="4"/>
  <c r="R142" i="4"/>
  <c r="E26" i="47"/>
  <c r="D26" i="47"/>
  <c r="G52" i="47"/>
  <c r="G50" i="47"/>
  <c r="F57" i="32"/>
  <c r="F34" i="53"/>
  <c r="E24" i="53"/>
  <c r="E34" i="53" s="1"/>
  <c r="K23" i="51"/>
  <c r="G24" i="53"/>
  <c r="G34" i="53" s="1"/>
  <c r="M23" i="51"/>
  <c r="M55" i="51" s="1"/>
  <c r="F48" i="47"/>
  <c r="G49" i="47" s="1"/>
  <c r="G16" i="38"/>
  <c r="F55" i="47"/>
  <c r="G23" i="38"/>
  <c r="G36" i="47"/>
  <c r="G23" i="47"/>
  <c r="G32" i="47"/>
  <c r="F39" i="47"/>
  <c r="E23" i="38"/>
  <c r="F40" i="47"/>
  <c r="E24" i="38"/>
  <c r="L55" i="51"/>
  <c r="G33" i="47"/>
  <c r="G24" i="47"/>
  <c r="F38" i="47"/>
  <c r="G38" i="47" s="1"/>
  <c r="E22" i="38"/>
  <c r="G34" i="47"/>
  <c r="L57" i="32"/>
  <c r="AL31" i="29"/>
  <c r="AL32" i="29" s="1"/>
  <c r="AM28" i="29"/>
  <c r="AN28" i="29" s="1"/>
  <c r="AM30" i="29"/>
  <c r="AN30" i="29" s="1"/>
  <c r="AM22" i="29"/>
  <c r="AN22" i="29" s="1"/>
  <c r="AM21" i="29"/>
  <c r="AN21" i="29" s="1"/>
  <c r="N57" i="32"/>
  <c r="O144" i="4" l="1"/>
  <c r="R143" i="4"/>
  <c r="F56" i="47"/>
  <c r="G56" i="47" s="1"/>
  <c r="G24" i="38"/>
  <c r="F54" i="47"/>
  <c r="G22" i="38"/>
  <c r="G48" i="47"/>
  <c r="K55" i="51"/>
  <c r="G40" i="47"/>
  <c r="G39" i="47"/>
  <c r="O145" i="4" l="1"/>
  <c r="R144" i="4"/>
  <c r="G54" i="47"/>
  <c r="G55" i="47"/>
  <c r="O146" i="4" l="1"/>
  <c r="R145" i="4"/>
  <c r="O147" i="4" l="1"/>
  <c r="R146" i="4"/>
  <c r="O148" i="4" l="1"/>
  <c r="R147" i="4"/>
  <c r="O149" i="4" l="1"/>
  <c r="R148" i="4"/>
  <c r="AB42" i="29"/>
  <c r="O150" i="4" l="1"/>
  <c r="R149" i="4"/>
  <c r="AD42" i="29"/>
  <c r="AJ42" i="29"/>
  <c r="O151" i="4" l="1"/>
  <c r="R150" i="4"/>
  <c r="AL42" i="29"/>
  <c r="O152" i="4" l="1"/>
  <c r="R152" i="4" s="1"/>
  <c r="R151" i="4"/>
  <c r="S151" i="4" s="1"/>
  <c r="C31" i="46" l="1"/>
  <c r="AH31" i="46"/>
  <c r="X31" i="46"/>
  <c r="N31" i="46"/>
  <c r="O153" i="4"/>
  <c r="E31" i="29"/>
  <c r="O154" i="4" l="1"/>
  <c r="R153" i="4"/>
  <c r="G31" i="29"/>
  <c r="H31" i="29" s="1"/>
  <c r="D42" i="29" s="1"/>
  <c r="F42" i="29" s="1"/>
  <c r="H42" i="29" s="1"/>
  <c r="M31" i="29"/>
  <c r="V76" i="4"/>
  <c r="W76" i="4" s="1"/>
  <c r="AJ31" i="46"/>
  <c r="E31" i="46"/>
  <c r="AR31" i="46"/>
  <c r="AT31" i="46" s="1"/>
  <c r="P31" i="46"/>
  <c r="Z31" i="46"/>
  <c r="F31" i="46" l="1"/>
  <c r="I49" i="46"/>
  <c r="O29" i="32" s="1"/>
  <c r="Q31" i="46"/>
  <c r="T49" i="46"/>
  <c r="O33" i="32" s="1"/>
  <c r="O155" i="4"/>
  <c r="R154" i="4"/>
  <c r="AW31" i="46"/>
  <c r="AX49" i="46"/>
  <c r="O41" i="32" s="1"/>
  <c r="AU31" i="46"/>
  <c r="U31" i="29"/>
  <c r="W31" i="29" s="1"/>
  <c r="O31" i="29"/>
  <c r="AA31" i="46"/>
  <c r="AD49" i="46"/>
  <c r="AK31" i="46"/>
  <c r="AN49" i="46"/>
  <c r="O37" i="32" l="1"/>
  <c r="AC31" i="46"/>
  <c r="AE49" i="46"/>
  <c r="AD31" i="46"/>
  <c r="H32" i="53"/>
  <c r="N39" i="51"/>
  <c r="H28" i="53"/>
  <c r="N31" i="51"/>
  <c r="I53" i="58" s="1"/>
  <c r="I57" i="58" s="1"/>
  <c r="AM31" i="46"/>
  <c r="AO49" i="46"/>
  <c r="O26" i="32" s="1"/>
  <c r="AN31" i="46"/>
  <c r="AC31" i="29"/>
  <c r="X31" i="29"/>
  <c r="T42" i="29" s="1"/>
  <c r="V42" i="29" s="1"/>
  <c r="X42" i="29" s="1"/>
  <c r="O25" i="32" s="1"/>
  <c r="H26" i="53"/>
  <c r="N27" i="51"/>
  <c r="I44" i="58" s="1"/>
  <c r="I48" i="58" s="1"/>
  <c r="P31" i="29"/>
  <c r="L42" i="29" s="1"/>
  <c r="N42" i="29" s="1"/>
  <c r="P42" i="29" s="1"/>
  <c r="O21" i="32" s="1"/>
  <c r="T31" i="46"/>
  <c r="U49" i="46"/>
  <c r="O34" i="32" s="1"/>
  <c r="S31" i="46"/>
  <c r="H30" i="53"/>
  <c r="N35" i="51"/>
  <c r="AY49" i="46"/>
  <c r="O42" i="32" s="1"/>
  <c r="AX31" i="46"/>
  <c r="O156" i="4"/>
  <c r="R155" i="4"/>
  <c r="J49" i="46"/>
  <c r="O30" i="32" s="1"/>
  <c r="I31" i="46"/>
  <c r="H31" i="46"/>
  <c r="H34" i="46" s="1"/>
  <c r="O38" i="32" l="1"/>
  <c r="N36" i="51" s="1"/>
  <c r="F50" i="46"/>
  <c r="F49" i="46"/>
  <c r="H22" i="53"/>
  <c r="N19" i="51"/>
  <c r="I26" i="58" s="1"/>
  <c r="I30" i="58" s="1"/>
  <c r="N40" i="51"/>
  <c r="H50" i="53"/>
  <c r="N32" i="51"/>
  <c r="I54" i="58" s="1"/>
  <c r="I58" i="58" s="1"/>
  <c r="H46" i="53"/>
  <c r="F73" i="47"/>
  <c r="G73" i="47" s="1"/>
  <c r="I25" i="38"/>
  <c r="N23" i="51"/>
  <c r="I35" i="58" s="1"/>
  <c r="I39" i="58" s="1"/>
  <c r="H24" i="53"/>
  <c r="H44" i="53"/>
  <c r="N28" i="51"/>
  <c r="I45" i="58" s="1"/>
  <c r="F105" i="47"/>
  <c r="G105" i="47" s="1"/>
  <c r="M25" i="38"/>
  <c r="F89" i="47"/>
  <c r="G89" i="47" s="1"/>
  <c r="K25" i="38"/>
  <c r="O157" i="4"/>
  <c r="R156" i="4"/>
  <c r="AE31" i="29"/>
  <c r="AK31" i="29"/>
  <c r="AM31" i="29" s="1"/>
  <c r="N24" i="51"/>
  <c r="H42" i="53"/>
  <c r="O25" i="38"/>
  <c r="F121" i="47"/>
  <c r="G121" i="47" s="1"/>
  <c r="I49" i="58" l="1"/>
  <c r="I109" i="58"/>
  <c r="I114" i="58" s="1"/>
  <c r="O58" i="32"/>
  <c r="H48" i="53"/>
  <c r="H52" i="53" s="1"/>
  <c r="AF31" i="29"/>
  <c r="AF42" i="29"/>
  <c r="AN31" i="29"/>
  <c r="AN42" i="29"/>
  <c r="O17" i="32" s="1"/>
  <c r="H121" i="47"/>
  <c r="I121" i="47" s="1"/>
  <c r="P25" i="38"/>
  <c r="O158" i="4"/>
  <c r="R157" i="4"/>
  <c r="F57" i="47"/>
  <c r="G57" i="47" s="1"/>
  <c r="G25" i="38"/>
  <c r="H89" i="47"/>
  <c r="I89" i="47" s="1"/>
  <c r="L25" i="38"/>
  <c r="F41" i="47"/>
  <c r="G41" i="47" s="1"/>
  <c r="E25" i="38"/>
  <c r="H57" i="47"/>
  <c r="I57" i="47" s="1"/>
  <c r="N56" i="51"/>
  <c r="H25" i="38"/>
  <c r="H105" i="47"/>
  <c r="I105" i="47" s="1"/>
  <c r="N25" i="38"/>
  <c r="J25" i="38"/>
  <c r="H73" i="47"/>
  <c r="I73" i="47" s="1"/>
  <c r="O159" i="4" l="1"/>
  <c r="R158" i="4"/>
  <c r="H20" i="53"/>
  <c r="H34" i="53" s="1"/>
  <c r="N15" i="51"/>
  <c r="O57" i="32"/>
  <c r="AB43" i="29"/>
  <c r="Q25" i="47" l="1"/>
  <c r="I17" i="58"/>
  <c r="O160" i="4"/>
  <c r="R159" i="4"/>
  <c r="C25" i="38"/>
  <c r="N55" i="51"/>
  <c r="F25" i="47"/>
  <c r="AD43" i="29"/>
  <c r="AJ43" i="29"/>
  <c r="I21" i="58" l="1"/>
  <c r="I108" i="58"/>
  <c r="I113" i="58" s="1"/>
  <c r="G25" i="47"/>
  <c r="R25" i="47"/>
  <c r="O161" i="4"/>
  <c r="R160" i="4"/>
  <c r="AL43" i="29"/>
  <c r="O162" i="4" l="1"/>
  <c r="R161" i="4"/>
  <c r="O163" i="4" l="1"/>
  <c r="R163" i="4" s="1"/>
  <c r="R162" i="4"/>
  <c r="S163" i="4" l="1"/>
  <c r="AH32" i="46" s="1"/>
  <c r="E32" i="29"/>
  <c r="X32" i="46" l="1"/>
  <c r="Z32" i="46" s="1"/>
  <c r="C32" i="46"/>
  <c r="E32" i="46" s="1"/>
  <c r="N32" i="46"/>
  <c r="P32" i="46" s="1"/>
  <c r="V77" i="4"/>
  <c r="W77" i="4" s="1"/>
  <c r="AJ32" i="46"/>
  <c r="AR32" i="46"/>
  <c r="AT32" i="46" s="1"/>
  <c r="M32" i="29"/>
  <c r="G32" i="29"/>
  <c r="M40" i="53"/>
  <c r="H32" i="29" l="1"/>
  <c r="D43" i="29" s="1"/>
  <c r="F43" i="29" s="1"/>
  <c r="H43" i="29" s="1"/>
  <c r="Q32" i="46"/>
  <c r="T50" i="46"/>
  <c r="O32" i="29"/>
  <c r="U32" i="29"/>
  <c r="I50" i="46"/>
  <c r="F32" i="46"/>
  <c r="AD50" i="46"/>
  <c r="P37" i="32" s="1"/>
  <c r="I30" i="53" s="1"/>
  <c r="AA32" i="46"/>
  <c r="AK32" i="46"/>
  <c r="AN50" i="46"/>
  <c r="AW32" i="46"/>
  <c r="AU32" i="46"/>
  <c r="AX50" i="46"/>
  <c r="P41" i="32" s="1"/>
  <c r="I32" i="53" s="1"/>
  <c r="AM32" i="46" l="1"/>
  <c r="AM34" i="46" s="1"/>
  <c r="AO50" i="46"/>
  <c r="P26" i="32" s="1"/>
  <c r="AN32" i="46"/>
  <c r="S32" i="46"/>
  <c r="S34" i="46" s="1"/>
  <c r="T32" i="46"/>
  <c r="T34" i="46" s="1"/>
  <c r="U50" i="46"/>
  <c r="P34" i="32" s="1"/>
  <c r="I46" i="53" s="1"/>
  <c r="P32" i="29"/>
  <c r="L43" i="29" s="1"/>
  <c r="N43" i="29" s="1"/>
  <c r="P43" i="29" s="1"/>
  <c r="P21" i="32" s="1"/>
  <c r="I22" i="53" s="1"/>
  <c r="AY50" i="46"/>
  <c r="P42" i="32" s="1"/>
  <c r="I50" i="53" s="1"/>
  <c r="AX32" i="46"/>
  <c r="AC32" i="46"/>
  <c r="AC34" i="46" s="1"/>
  <c r="AD32" i="46"/>
  <c r="AD34" i="46" s="1"/>
  <c r="AE50" i="46"/>
  <c r="P38" i="32" s="1"/>
  <c r="I48" i="53" s="1"/>
  <c r="W32" i="29"/>
  <c r="AC32" i="29"/>
  <c r="J50" i="46"/>
  <c r="P30" i="32" s="1"/>
  <c r="I44" i="53" s="1"/>
  <c r="I32" i="46"/>
  <c r="H32" i="46"/>
  <c r="P29" i="32"/>
  <c r="I26" i="53" s="1"/>
  <c r="P33" i="32"/>
  <c r="I28" i="53" s="1"/>
  <c r="AK49" i="46" l="1"/>
  <c r="AK50" i="46"/>
  <c r="AB49" i="46"/>
  <c r="AB50" i="46"/>
  <c r="AA49" i="46"/>
  <c r="AA50" i="46"/>
  <c r="Q50" i="46"/>
  <c r="Q49" i="46"/>
  <c r="R50" i="46"/>
  <c r="R49" i="46"/>
  <c r="N40" i="53"/>
  <c r="N50" i="53"/>
  <c r="M50" i="53"/>
  <c r="AE32" i="29"/>
  <c r="AK32" i="29"/>
  <c r="AM32" i="29" s="1"/>
  <c r="X32" i="29"/>
  <c r="T43" i="29" s="1"/>
  <c r="V43" i="29" s="1"/>
  <c r="X43" i="29" s="1"/>
  <c r="P25" i="32" s="1"/>
  <c r="I24" i="53" s="1"/>
  <c r="N48" i="53"/>
  <c r="N46" i="53"/>
  <c r="I42" i="53"/>
  <c r="P58" i="32"/>
  <c r="N44" i="53"/>
  <c r="N42" i="53" l="1"/>
  <c r="N52" i="53" s="1"/>
  <c r="O50" i="53"/>
  <c r="O40" i="51" s="1"/>
  <c r="AN32" i="29"/>
  <c r="AN43" i="29"/>
  <c r="P17" i="32" s="1"/>
  <c r="I52" i="53"/>
  <c r="M42" i="53"/>
  <c r="AF32" i="29"/>
  <c r="AF43" i="29"/>
  <c r="O40" i="53"/>
  <c r="O20" i="51" l="1"/>
  <c r="O42" i="53"/>
  <c r="O24" i="51" s="1"/>
  <c r="P26" i="38"/>
  <c r="H122" i="47"/>
  <c r="I122" i="47" s="1"/>
  <c r="I20" i="53"/>
  <c r="P57" i="32"/>
  <c r="I34" i="53" l="1"/>
  <c r="I35" i="53"/>
  <c r="H42" i="47"/>
  <c r="I42" i="47" s="1"/>
  <c r="F26" i="38"/>
  <c r="H58" i="47"/>
  <c r="I58" i="47" s="1"/>
  <c r="H26" i="38"/>
  <c r="M34" i="53" l="1"/>
  <c r="K28" i="53"/>
  <c r="L28" i="53" s="1"/>
  <c r="M28" i="53" s="1"/>
  <c r="O28" i="53" s="1"/>
  <c r="O31" i="51" s="1"/>
  <c r="K22" i="53"/>
  <c r="L22" i="53" s="1"/>
  <c r="M22" i="53" s="1"/>
  <c r="O22" i="53" s="1"/>
  <c r="O19" i="51" s="1"/>
  <c r="K26" i="53"/>
  <c r="L26" i="53" s="1"/>
  <c r="M26" i="53" s="1"/>
  <c r="O26" i="53" s="1"/>
  <c r="O27" i="51" s="1"/>
  <c r="K24" i="53"/>
  <c r="L24" i="53" s="1"/>
  <c r="M24" i="53" s="1"/>
  <c r="O24" i="53" s="1"/>
  <c r="O23" i="51" s="1"/>
  <c r="K20" i="53"/>
  <c r="L20" i="53" s="1"/>
  <c r="M20" i="53" s="1"/>
  <c r="O20" i="53" s="1"/>
  <c r="O15" i="51" s="1"/>
  <c r="K32" i="53"/>
  <c r="L32" i="53" s="1"/>
  <c r="M32" i="53" s="1"/>
  <c r="O32" i="53" s="1"/>
  <c r="O39" i="51" s="1"/>
  <c r="O26" i="38" s="1"/>
  <c r="K34" i="53"/>
  <c r="K30" i="53"/>
  <c r="L30" i="53" s="1"/>
  <c r="M30" i="53" s="1"/>
  <c r="O30" i="53" s="1"/>
  <c r="O35" i="51" s="1"/>
  <c r="J44" i="58" l="1"/>
  <c r="J48" i="58" s="1"/>
  <c r="J26" i="58"/>
  <c r="J30" i="58" s="1"/>
  <c r="J17" i="58"/>
  <c r="J21" i="58" s="1"/>
  <c r="J53" i="58"/>
  <c r="J57" i="58" s="1"/>
  <c r="J35" i="58"/>
  <c r="J39" i="58" s="1"/>
  <c r="E26" i="38"/>
  <c r="Q26" i="47"/>
  <c r="G26" i="38"/>
  <c r="M46" i="53"/>
  <c r="O46" i="53" s="1"/>
  <c r="O32" i="51" s="1"/>
  <c r="F122" i="47"/>
  <c r="G122" i="47" s="1"/>
  <c r="M48" i="53"/>
  <c r="O48" i="53" s="1"/>
  <c r="O36" i="51" s="1"/>
  <c r="N26" i="38" s="1"/>
  <c r="F42" i="47"/>
  <c r="G42" i="47" s="1"/>
  <c r="M44" i="53"/>
  <c r="O44" i="53" s="1"/>
  <c r="F58" i="47"/>
  <c r="G58" i="47" s="1"/>
  <c r="K26" i="38"/>
  <c r="F90" i="47"/>
  <c r="G90" i="47" s="1"/>
  <c r="F106" i="47"/>
  <c r="G106" i="47" s="1"/>
  <c r="M26" i="38"/>
  <c r="C26" i="38"/>
  <c r="F26" i="47"/>
  <c r="O55" i="51"/>
  <c r="F74" i="47"/>
  <c r="G74" i="47" s="1"/>
  <c r="I26" i="38"/>
  <c r="O34" i="53"/>
  <c r="Q34" i="53" s="1"/>
  <c r="J108" i="58" l="1"/>
  <c r="J113" i="58" s="1"/>
  <c r="J54" i="58"/>
  <c r="J58" i="58" s="1"/>
  <c r="H90" i="47"/>
  <c r="I90" i="47" s="1"/>
  <c r="L26" i="38"/>
  <c r="G26" i="47"/>
  <c r="R26" i="47"/>
  <c r="H106" i="47"/>
  <c r="I106" i="47" s="1"/>
  <c r="M52" i="53"/>
  <c r="O28" i="51"/>
  <c r="O52" i="53"/>
  <c r="J45" i="58" l="1"/>
  <c r="J49" i="58" s="1"/>
  <c r="J109" i="58"/>
  <c r="J114" i="58" s="1"/>
  <c r="H74" i="47"/>
  <c r="I74" i="47" s="1"/>
  <c r="J26" i="38"/>
  <c r="O56" i="51"/>
</calcChain>
</file>

<file path=xl/comments1.xml><?xml version="1.0" encoding="utf-8"?>
<comments xmlns="http://schemas.openxmlformats.org/spreadsheetml/2006/main">
  <authors>
    <author>Author</author>
  </authors>
  <commentList>
    <comment ref="E115" authorId="0" shapeId="0">
      <text>
        <r>
          <rPr>
            <b/>
            <sz val="9"/>
            <color indexed="81"/>
            <rFont val="Tahoma"/>
            <family val="2"/>
          </rPr>
          <t>Author:</t>
        </r>
        <r>
          <rPr>
            <sz val="9"/>
            <color indexed="81"/>
            <rFont val="Tahoma"/>
            <family val="2"/>
          </rPr>
          <t xml:space="preserve">
use total from LRAMVA model 2014</t>
        </r>
      </text>
    </comment>
    <comment ref="B117" authorId="0" shapeId="0">
      <text>
        <r>
          <rPr>
            <b/>
            <sz val="9"/>
            <color indexed="81"/>
            <rFont val="Tahoma"/>
            <family val="2"/>
          </rPr>
          <t>Author:</t>
        </r>
        <r>
          <rPr>
            <sz val="9"/>
            <color indexed="81"/>
            <rFont val="Tahoma"/>
            <family val="2"/>
          </rPr>
          <t xml:space="preserve">
Value will be entered in one of B118 or C118, depending on the test year for the distributor's last rebasing.</t>
        </r>
      </text>
    </comment>
  </commentList>
</comments>
</file>

<file path=xl/connections.xml><?xml version="1.0" encoding="utf-8"?>
<connections xmlns="http://schemas.openxmlformats.org/spreadsheetml/2006/main">
  <connection id="1"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<sst xmlns="http://schemas.openxmlformats.org/spreadsheetml/2006/main" count="1335" uniqueCount="477">
  <si>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</si>
  <si>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</si>
  <si>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</si>
  <si>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</si>
  <si>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</si>
  <si>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</si>
  <si>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</si>
  <si>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</si>
  <si>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</si>
  <si>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</si>
  <si>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</si>
  <si>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</si>
  <si>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</si>
  <si>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</si>
  <si>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</si>
  <si>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</si>
  <si>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</si>
  <si>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</si>
  <si>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</si>
  <si>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</si>
  <si>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</si>
  <si>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</si>
  <si>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</si>
  <si>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</si>
  <si>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</si>
  <si>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</si>
  <si>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</si>
  <si>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</si>
  <si>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</si>
  <si>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</si>
  <si>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</si>
  <si>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</si>
  <si>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</si>
  <si>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</si>
  <si>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</si>
  <si>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</si>
  <si>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</si>
  <si>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</si>
  <si>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</si>
  <si>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</si>
  <si>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</si>
  <si>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</si>
  <si>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</si>
  <si>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</si>
  <si>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</si>
  <si>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</si>
  <si>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Purch. VS Adj.</t>
  </si>
  <si>
    <t>Mean Average Percentage Error (Mape) :</t>
  </si>
  <si>
    <t>per cust kWh</t>
  </si>
  <si>
    <t>Cust</t>
  </si>
  <si>
    <t>4 Year (2011-2014) kWh Target:</t>
  </si>
  <si>
    <t>2011 CDM Programs</t>
  </si>
  <si>
    <t>2012 CDM Programs</t>
  </si>
  <si>
    <t>2013 CDM Programs</t>
  </si>
  <si>
    <t>2014 CDM Programs</t>
  </si>
  <si>
    <t>Total in Year</t>
  </si>
  <si>
    <t>"Gross"</t>
  </si>
  <si>
    <t>"Net"</t>
  </si>
  <si>
    <t>Difference</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</si>
  <si>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</si>
  <si>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</si>
  <si>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</si>
  <si>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</si>
  <si>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</si>
  <si>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</si>
  <si>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</si>
  <si>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</si>
  <si>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</si>
  <si>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</si>
  <si>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</si>
  <si>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</si>
  <si>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</si>
  <si>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</si>
  <si>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</si>
  <si>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</si>
  <si>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</si>
  <si>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</si>
  <si>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</si>
  <si>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</si>
  <si>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</si>
  <si>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</si>
  <si>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</si>
  <si>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</si>
  <si>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 xml:space="preserve">Default Value selection rationale.  </t>
  </si>
  <si>
    <t>Amount used for CDM threshold for LRAMVA (2014)</t>
  </si>
  <si>
    <t>Customer Growth Chart</t>
  </si>
  <si>
    <t>Sentinel Lighting</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</si>
  <si>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</si>
  <si>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</si>
  <si>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</si>
  <si>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</si>
  <si>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</si>
  <si>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</si>
  <si>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</si>
  <si>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</si>
  <si>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</si>
  <si>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</si>
  <si>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</si>
  <si>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</si>
  <si>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</si>
  <si>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</si>
  <si>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</si>
  <si>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</si>
  <si>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</si>
  <si>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</si>
  <si>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</si>
  <si>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</si>
  <si>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</si>
  <si>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</si>
  <si>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</si>
  <si>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</si>
  <si>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</si>
  <si>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</si>
  <si>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</si>
  <si>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</si>
  <si>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</si>
  <si>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</si>
  <si>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</si>
  <si>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</si>
  <si>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</si>
  <si>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</si>
  <si>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</si>
  <si>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</si>
  <si>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</si>
  <si>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</si>
  <si>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</si>
  <si>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</si>
  <si>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</si>
  <si>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</si>
  <si>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</si>
  <si>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</si>
  <si>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</si>
  <si>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</si>
  <si>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</si>
  <si>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</si>
  <si>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</si>
  <si>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</si>
  <si>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</si>
  <si>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</si>
  <si>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</si>
  <si>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</si>
  <si>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</si>
  <si>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</si>
  <si>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</si>
  <si>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</si>
  <si>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</si>
  <si>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</si>
  <si>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</si>
  <si>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</si>
  <si>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</si>
  <si>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</si>
  <si>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</si>
  <si>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</si>
  <si>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</si>
  <si>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GS&gt;50 Metered kWh</t>
  </si>
  <si>
    <t>* the model uses metered per class to determine the wholesale per class</t>
  </si>
  <si>
    <t>Days in Month</t>
  </si>
  <si>
    <t>SUMMARY OUTPUT</t>
  </si>
  <si>
    <t>FINAL ADJUSTED NUMBERS</t>
  </si>
  <si>
    <t>Per Customer Weather Normalized (based on 2014 cust count)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</si>
  <si>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</si>
  <si>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</si>
  <si>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</si>
  <si>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</si>
  <si>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</si>
  <si>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</si>
  <si>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</si>
  <si>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</si>
  <si>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</si>
  <si>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</si>
  <si>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</si>
  <si>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</si>
  <si>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</si>
  <si>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</si>
  <si>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</si>
  <si>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</si>
  <si>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</si>
  <si>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</si>
  <si>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</si>
  <si>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</si>
  <si>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</si>
  <si>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</si>
  <si>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</si>
  <si>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</si>
  <si>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</si>
  <si>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</si>
  <si>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</si>
  <si>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</si>
  <si>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</si>
  <si>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</si>
  <si>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</si>
  <si>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</si>
  <si>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</si>
  <si>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</si>
  <si>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</si>
  <si>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</si>
  <si>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</si>
  <si>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</si>
  <si>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</si>
  <si>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</si>
  <si>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</si>
  <si>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</si>
  <si>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</si>
  <si>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</si>
  <si>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</si>
  <si>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</si>
  <si>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</si>
  <si>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</si>
  <si>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</si>
  <si>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</si>
  <si>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Load Forecast CDM Adjustment Work Form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</si>
  <si>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</si>
  <si>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</si>
  <si>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</si>
  <si>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</si>
  <si>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</si>
  <si>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</si>
  <si>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</si>
  <si>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</si>
  <si>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</si>
  <si>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Total for 2014</t>
  </si>
  <si>
    <t>2011 CDM adjustment (per Board Decision in 2011 Cost of Service Application)</t>
  </si>
  <si>
    <t>Amount used for CDM threshold for LRAMVA (2015)</t>
  </si>
  <si>
    <t>Manual Adjustment for 2015 Load Forecast (billed basis)</t>
  </si>
  <si>
    <t>CDM Allocation Worksheet</t>
  </si>
  <si>
    <t xml:space="preserve"> Adjusted load from 2015 Forecast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</si>
  <si>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</si>
  <si>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</si>
  <si>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</si>
  <si>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</si>
  <si>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</si>
  <si>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</si>
  <si>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 xml:space="preserve"> S/b Zero</t>
  </si>
  <si>
    <t>Final Load Forecast Results - CDM Adjusted</t>
  </si>
  <si>
    <t>Adjusted kWh</t>
  </si>
  <si>
    <t>Linear Trending</t>
  </si>
  <si>
    <t>Linear Trending Calculation ( y=mx+b)</t>
  </si>
  <si>
    <t>Slope (m)</t>
  </si>
  <si>
    <t>Intercept (b)</t>
  </si>
  <si>
    <t>Non-WN/kW</t>
  </si>
  <si>
    <t>Streetlighting-Non-WN/kW</t>
  </si>
  <si>
    <t>Number of Days in Month</t>
  </si>
  <si>
    <t>1995</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</si>
  <si>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</si>
  <si>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</si>
  <si>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</si>
  <si>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</si>
  <si>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</si>
  <si>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</si>
  <si>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</si>
  <si>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</si>
  <si>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Examples of Correlation and Regression Results can be copied over from worksheet 6. WS Regression Analysis
Update Wholesale Purchases. </t>
  </si>
  <si>
    <t xml:space="preserve">2) This page will be overwrite by utilities specific studies
</t>
  </si>
  <si>
    <t>Scenarios</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</si>
  <si>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</si>
  <si>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</si>
  <si>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</si>
  <si>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</si>
  <si>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</si>
  <si>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</si>
  <si>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the drop down selections to select the appropriate customer classes.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</si>
  <si>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</si>
  <si>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</si>
  <si>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</si>
  <si>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2010</t>
  </si>
  <si>
    <t>General Service &gt; 50 kW - 4999 kW</t>
  </si>
  <si>
    <t>Employment Stats</t>
  </si>
  <si>
    <t>General Service &gt; 50 kW - 4999 kW-Non-WN/kW</t>
  </si>
  <si>
    <t>0-Non-WN/kW</t>
  </si>
  <si>
    <t xml:space="preserve">Load Forecast Model version 1.0 © CHEC </t>
  </si>
  <si>
    <t>Input cells</t>
  </si>
  <si>
    <t>Drop down cells</t>
  </si>
  <si>
    <t>Model Notes</t>
  </si>
  <si>
    <t>Unmetered Scattered Load-Non-WN/kW</t>
  </si>
  <si>
    <t>Adjustment for loss of comemrcial customer #1</t>
  </si>
  <si>
    <t>Adjustment for loss of commercial customer #2</t>
  </si>
  <si>
    <t>#chg</t>
  </si>
  <si>
    <t>Months/Season</t>
  </si>
  <si>
    <t>Consumption</t>
  </si>
  <si>
    <t>2013-September</t>
  </si>
  <si>
    <t>2005-October</t>
  </si>
  <si>
    <t>2009-November</t>
  </si>
  <si>
    <t>2008-January</t>
  </si>
  <si>
    <t>2012-September</t>
  </si>
  <si>
    <t>2009-June</t>
  </si>
  <si>
    <t>2006-October</t>
  </si>
  <si>
    <t>2007-March</t>
  </si>
  <si>
    <t>2008-May</t>
  </si>
  <si>
    <t>2013-October</t>
  </si>
  <si>
    <t>2009-August</t>
  </si>
  <si>
    <t>2011-February</t>
  </si>
  <si>
    <t>2010-September</t>
  </si>
  <si>
    <t>2006-May</t>
  </si>
  <si>
    <t>2007-April</t>
  </si>
  <si>
    <t>2008-March</t>
  </si>
  <si>
    <t>2012-October</t>
  </si>
  <si>
    <t>2010-August</t>
  </si>
  <si>
    <t>2011-April</t>
  </si>
  <si>
    <t>2006-March</t>
  </si>
  <si>
    <t>2008-April</t>
  </si>
  <si>
    <t>2004-September</t>
  </si>
  <si>
    <t>2011-July</t>
  </si>
  <si>
    <t>2012-February</t>
  </si>
  <si>
    <t>2013-May</t>
  </si>
  <si>
    <t>2005-September</t>
  </si>
  <si>
    <t>2005-July</t>
  </si>
  <si>
    <t>2005-March</t>
  </si>
  <si>
    <t>2010-June</t>
  </si>
  <si>
    <t>2004-July</t>
  </si>
  <si>
    <t>2005-April</t>
  </si>
  <si>
    <t>2012-January</t>
  </si>
  <si>
    <t>2008-June</t>
  </si>
  <si>
    <t>2006-June</t>
  </si>
  <si>
    <t>2010-November</t>
  </si>
  <si>
    <t>2005-February</t>
  </si>
  <si>
    <t>2009-September</t>
  </si>
  <si>
    <t>2008-October</t>
  </si>
  <si>
    <t>2004-April</t>
  </si>
  <si>
    <t>2004-February</t>
  </si>
  <si>
    <t>2013-June</t>
  </si>
  <si>
    <t>2004-May</t>
  </si>
  <si>
    <t>2013-November</t>
  </si>
  <si>
    <t>2006-December</t>
  </si>
  <si>
    <t>2006-September</t>
  </si>
  <si>
    <t>2005-May</t>
  </si>
  <si>
    <t>2005-November</t>
  </si>
  <si>
    <t>2009-December</t>
  </si>
  <si>
    <t>2008-September</t>
  </si>
  <si>
    <t>2007-August</t>
  </si>
  <si>
    <t>2012-November</t>
  </si>
  <si>
    <t>2007-January</t>
  </si>
  <si>
    <t>2004-June</t>
  </si>
  <si>
    <t>2004-August</t>
  </si>
  <si>
    <t>2012-August</t>
  </si>
  <si>
    <t>2007-February</t>
  </si>
  <si>
    <t>2011-October</t>
  </si>
  <si>
    <t>2007-June</t>
  </si>
  <si>
    <t>2006-November</t>
  </si>
  <si>
    <t>2006-January</t>
  </si>
  <si>
    <t>2009-July</t>
  </si>
  <si>
    <t>2010-October</t>
  </si>
  <si>
    <t>2006-July</t>
  </si>
  <si>
    <t>2006-February</t>
  </si>
  <si>
    <t>2007-October</t>
  </si>
  <si>
    <t>2007-September</t>
  </si>
  <si>
    <t>2009-March</t>
  </si>
  <si>
    <t>2011-December</t>
  </si>
  <si>
    <t>2008-July</t>
  </si>
  <si>
    <t>2011-June</t>
  </si>
  <si>
    <t>2005-June</t>
  </si>
  <si>
    <t>2009-February</t>
  </si>
  <si>
    <t>2010-April</t>
  </si>
  <si>
    <t>2011-November</t>
  </si>
  <si>
    <t>2011-March</t>
  </si>
  <si>
    <t>2010-December</t>
  </si>
  <si>
    <t>2012-May</t>
  </si>
  <si>
    <t>2005-August</t>
  </si>
  <si>
    <t>2008-November</t>
  </si>
  <si>
    <t>2005-December</t>
  </si>
  <si>
    <t>2007-May</t>
  </si>
  <si>
    <t>2007-July</t>
  </si>
  <si>
    <t>2010-July</t>
  </si>
  <si>
    <t>2008-December</t>
  </si>
  <si>
    <t>2004-October</t>
  </si>
  <si>
    <t>2013-August</t>
  </si>
  <si>
    <t>2013-March</t>
  </si>
  <si>
    <t>2013-January</t>
  </si>
  <si>
    <t>2013-April</t>
  </si>
  <si>
    <t>2012-July</t>
  </si>
  <si>
    <t>2012-March</t>
  </si>
  <si>
    <t>2011-January</t>
  </si>
  <si>
    <t>2006-August</t>
  </si>
  <si>
    <t>2006-April</t>
  </si>
  <si>
    <t>2010-February</t>
  </si>
  <si>
    <t>2010-January</t>
  </si>
  <si>
    <t>2009-May</t>
  </si>
  <si>
    <t>2012-June</t>
  </si>
  <si>
    <t>2004-March</t>
  </si>
  <si>
    <t>2007-December</t>
  </si>
  <si>
    <t>2011-May</t>
  </si>
  <si>
    <t>2009-October</t>
  </si>
  <si>
    <t>2012-December</t>
  </si>
  <si>
    <t>2009-January</t>
  </si>
  <si>
    <t>2011-September</t>
  </si>
  <si>
    <t>2013-July</t>
  </si>
  <si>
    <t>2004-November</t>
  </si>
  <si>
    <t>2004-December</t>
  </si>
  <si>
    <t>2010-May</t>
  </si>
  <si>
    <t>2009-April</t>
  </si>
  <si>
    <t>2007-November</t>
  </si>
  <si>
    <t>2013-December</t>
  </si>
  <si>
    <t>2011-August</t>
  </si>
  <si>
    <t>2010-March</t>
  </si>
  <si>
    <t>2008-February</t>
  </si>
  <si>
    <t>2004-January</t>
  </si>
  <si>
    <t>2012-April</t>
  </si>
  <si>
    <t>2008-August</t>
  </si>
  <si>
    <t>2013-February</t>
  </si>
  <si>
    <t>2005-January</t>
  </si>
  <si>
    <t>Winter months</t>
  </si>
  <si>
    <t>Summer Months</t>
  </si>
  <si>
    <t>Spring Months</t>
  </si>
  <si>
    <t>Fall Months</t>
  </si>
  <si>
    <t>Holiday Months</t>
  </si>
  <si>
    <t>2016</t>
  </si>
  <si>
    <t>X Variable 1</t>
  </si>
  <si>
    <t>X Variable 2</t>
  </si>
  <si>
    <t>X Variable 3</t>
  </si>
  <si>
    <t>X Variable 4</t>
  </si>
  <si>
    <t>X Variable 5</t>
  </si>
  <si>
    <t>Load Forecast CDM Adjustment Work Form (2016)</t>
  </si>
  <si>
    <r>
      <t>2014 is the last year of the current four year (2011-2014) CDM program, and 2015 is the first year of a new six year (2015-2020) CDM program, per the Ministerial directives of March 31</t>
    </r>
    <r>
      <rPr>
        <sz val="10"/>
        <rFont val="Arial"/>
        <family val="2"/>
      </rPr>
      <t xml:space="preserve">, 2014.  With 2016, there is a need to recognize the full year impact of the current 2011-2014 CDM program, as well as to estimate reasonable impacts for each year for the new 2015-2020 CDM program.  These are combined to estimate the adjustment for CDM program impacts on the 2016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</si>
  <si>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</si>
  <si>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</si>
  <si>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</si>
  <si>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</si>
  <si>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</si>
  <si>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</si>
  <si>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</si>
  <si>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Measured results for 2014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 The distributor also needs to input the persistence of 2014 CDM programs into 2015 and 2016 in cells G45 and G46.</t>
  </si>
  <si>
    <t>Persistence of 2014 CDM Program into 2015 and 2016</t>
  </si>
  <si>
    <t>2015-2020 CDM Program - 2016, second year of the current CDM plan</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</si>
  <si>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</si>
  <si>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Determination of 2016 Load Forecast Adjustment</t>
  </si>
  <si>
    <t>From each of the 2006-2010 CDM Final Report,  and the 2011, 2012, 2013 and 2014 CDM Final Reports, issued by the OPA (now IESO) for the distributor, the distributor should input the "gross" and "net" results of the cumulative CDM savings for 2014 into cells D84 to E88.  The model will calculate the cumulative savings for all programs from 2006 to 2012 and determine the "net" to "gross" factor "g".</t>
  </si>
  <si>
    <t>2014 CDM program</t>
  </si>
  <si>
    <t>2006 to 2014 OPA CDM programs:  Persistence to 2016</t>
  </si>
  <si>
    <t>These factors do not mean that CDM programs are excluded, but the assumption that impacts of previous year CDM programs are already implicitly reflected in the actual data for the historical years that are the basis for the load forecast prior to any manual CDM adjustment for the 2016 test year.</t>
  </si>
  <si>
    <t>Default is 0, but one option is for full year impact of persistence of 2013 CDM programs on 2015 load forecast, but 50% impact in base forecast (first year impact of 2013 CDM programs on 2013 load forecast, which is part of the data for the load forecast.</t>
  </si>
  <si>
    <t>Default is 0, but one option is for full year impact of persistence of 2014 CDM programs on 2014 load forecast, but 50% impact in base forecast (first year impact of 2014 CDM programs on 2014 actuals, which is part of the data for the load forecast.</t>
  </si>
  <si>
    <t>Full year impact of persistence of 2015 programs on 2015 load forecast.  2015 CDM program impacts are not in the base forecast.</t>
  </si>
  <si>
    <t>Only 50% of 2016 CDM programs are assumed to impact the 2016 load forecast based on the "half-year" rule.</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</si>
  <si>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</si>
  <si>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</si>
  <si>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</si>
  <si>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2016 Load Forecast is the amount manually subtracted from the load forecast derived from the base forecast from historical data.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</si>
  <si>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</si>
  <si>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Total for 2016</t>
  </si>
  <si>
    <t>CDM adjustment for test year forecast (per Board Decision in distributor's most recent Cost of Service Application) (enter as negative)</t>
  </si>
  <si>
    <t>Amount used for CDM threshold for LRAMVA (2016)</t>
  </si>
  <si>
    <t>Manual Adjustment for 2016 Load Forecast (billed basis)</t>
  </si>
  <si>
    <t>Proposed Loss Factor (TLF)</t>
  </si>
  <si>
    <t xml:space="preserve"> Format: X.XX%</t>
  </si>
  <si>
    <t>Manual Adjustment for 2016 Load Forecast (system purchased basis)</t>
  </si>
  <si>
    <t>Manual adjustment uses "gross" versus "net" (i.e. numbers multiplied by (1 + g).  The Weight factor is also used calculate the impact of each year's program on the CDM adjustment to the 2016 load forecast.</t>
  </si>
  <si>
    <t>Persistence Factor</t>
  </si>
  <si>
    <t>Appendix 2-I (Revised for IRs)</t>
  </si>
  <si>
    <t>Renfrew Hydro</t>
  </si>
  <si>
    <t>Bill Nippard</t>
  </si>
  <si>
    <t>2017</t>
  </si>
  <si>
    <t>Daylight hours</t>
  </si>
  <si>
    <t>File Number:</t>
  </si>
  <si>
    <t>Exhibit:</t>
  </si>
  <si>
    <t>Tab:</t>
  </si>
  <si>
    <t>Schedule:</t>
  </si>
  <si>
    <t>Page:</t>
  </si>
  <si>
    <t>Date:</t>
  </si>
  <si>
    <t>Appendix 2-IA</t>
  </si>
  <si>
    <t>Summary and Variances of Actual and Forecast Data</t>
  </si>
  <si>
    <t>Replace "Rate Class #" with the appropriate rate classification.</t>
  </si>
  <si>
    <t># of Customers</t>
  </si>
  <si>
    <t>Variance Analysis</t>
  </si>
  <si>
    <t>Rate Class 6</t>
  </si>
  <si>
    <t>Rate Class 7</t>
  </si>
  <si>
    <t>Rate Class 8</t>
  </si>
  <si>
    <t>Rate Class 9</t>
  </si>
  <si>
    <t>Rate Class 10</t>
  </si>
  <si>
    <t>Totals</t>
  </si>
  <si>
    <t>Customers / Connections</t>
  </si>
  <si>
    <t>kW from applicable classes</t>
  </si>
  <si>
    <t>Totals - Variance</t>
  </si>
  <si>
    <t>LRAMVA Allocation</t>
  </si>
  <si>
    <t>LRAMVA Allocation Worksheet</t>
  </si>
  <si>
    <t>EB-2016-0166</t>
  </si>
  <si>
    <t xml:space="preserve"> Board Approved</t>
  </si>
  <si>
    <t>613.432.4884 ext 224</t>
  </si>
  <si>
    <t>bnippard@renfrewhydro.com</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</si>
</sst>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0.0000"/>
    <numFmt numFmtId="168" formatCode="0.0%"/>
    <numFmt numFmtId="169" formatCode="#,##0.00000"/>
    <numFmt numFmtId="170" formatCode="_-* #,##0_-;\-* #,##0_-;_-* &quot;-&quot;??_-;_-@_-"/>
    <numFmt numFmtId="171" formatCode="#,##0_ ;\-#,##0\ "/>
    <numFmt numFmtId="172" formatCode="_-&quot;$&quot;* #,##0_-;\-&quot;$&quot;* #,##0_-;_-&quot;$&quot;* &quot;-&quot;??_-;_-@_-"/>
    <numFmt numFmtId="173" formatCode="_-* #,##0.00000_-;\-* #,##0.00000_-;_-* &quot;-&quot;??_-;_-@_-"/>
    <numFmt numFmtId="174" formatCode="#,##0.000000"/>
    <numFmt numFmtId="175" formatCode="#,##0.0000000"/>
    <numFmt numFmtId="176" formatCode="_-* #,##0.000_-;\-* #,##0.000_-;_-* &quot;-&quot;??_-;_-@_-"/>
    <numFmt numFmtId="177" formatCode="#,##0.0000"/>
    <numFmt numFmtId="178" formatCode="_(* #,##0.0_);_(* \(#,##0.0\);_(* &quot;-&quot;??_);_(@_)"/>
    <numFmt numFmtId="179" formatCode="#,##0.0"/>
    <numFmt numFmtId="180" formatCode="mm/dd/yyyy"/>
    <numFmt numFmtId="181" formatCode="0\-0"/>
    <numFmt numFmtId="182" formatCode="##\-#"/>
    <numFmt numFmtId="183" formatCode="_(* #,##0_);_(* \(#,##0\);_(* &quot;-&quot;??_);_(@_)"/>
    <numFmt numFmtId="184" formatCode="&quot;£ &quot;#,##0.00;[Red]\-&quot;£ &quot;#,##0.00"/>
    <numFmt numFmtId="185" formatCode="_-* #,##0.0000000_-;\-* #,##0.0000000_-;_-* &quot;-&quot;??_-;_-@_-"/>
  </numFmts>
  <fonts count="133"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6"/>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0"/>
      <color theme="0"/>
      <name val="Times New Roman"/>
      <family val="1"/>
    </font>
    <font>
      <sz val="11"/>
      <color theme="0" tint="-0.499984740745262"/>
      <name val="Arial"/>
      <family val="2"/>
    </font>
    <font>
      <u/>
      <sz val="10"/>
      <color theme="10"/>
      <name val="Arial"/>
      <family val="2"/>
    </font>
    <font>
      <b/>
      <sz val="11"/>
      <color rgb="FF0033CC"/>
      <name val="Arial"/>
      <family val="2"/>
    </font>
    <font>
      <sz val="12"/>
      <name val="Arial"/>
      <family val="2"/>
    </font>
    <font>
      <b/>
      <sz val="10"/>
      <name val="Times New Roman"/>
      <family val="1"/>
    </font>
    <font>
      <b/>
      <i/>
      <sz val="14"/>
      <color theme="1"/>
      <name val="Arial"/>
      <family val="2"/>
    </font>
    <font>
      <b/>
      <sz val="18"/>
      <color theme="1"/>
      <name val="Arial"/>
      <family val="2"/>
    </font>
    <font>
      <b/>
      <i/>
      <sz val="11"/>
      <color theme="1"/>
      <name val="Arial"/>
      <family val="2"/>
    </font>
    <font>
      <i/>
      <sz val="11"/>
      <color theme="1"/>
      <name val="Arial"/>
      <family val="2"/>
    </font>
    <font>
      <b/>
      <sz val="11"/>
      <color theme="0"/>
      <name val="Arial"/>
      <family val="2"/>
    </font>
    <font>
      <b/>
      <sz val="8"/>
      <name val="Arial"/>
      <family val="2"/>
    </font>
    <font>
      <b/>
      <i/>
      <sz val="8"/>
      <color theme="0" tint="-0.14999847407452621"/>
      <name val="Arial"/>
      <family val="2"/>
      <charset val="1"/>
    </font>
    <font>
      <b/>
      <sz val="14"/>
      <color theme="1"/>
      <name val="Calibri"/>
      <family val="2"/>
      <scheme val="minor"/>
    </font>
    <font>
      <sz val="11"/>
      <name val="Calibri"/>
      <family val="2"/>
      <scheme val="minor"/>
    </font>
    <font>
      <sz val="10"/>
      <name val="Calibri"/>
      <family val="2"/>
      <scheme val="minor"/>
    </font>
    <font>
      <b/>
      <i/>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
      <b/>
      <sz val="10"/>
      <color rgb="FF0033CC"/>
      <name val="Arial"/>
      <family val="2"/>
    </font>
    <font>
      <sz val="10"/>
      <color theme="1"/>
      <name val="Calibri"/>
      <family val="2"/>
      <scheme val="minor"/>
    </font>
    <font>
      <b/>
      <sz val="10"/>
      <color theme="0" tint="-0.249977111117893"/>
      <name val="Arial"/>
      <family val="2"/>
    </font>
    <font>
      <sz val="10"/>
      <color theme="0" tint="-0.249977111117893"/>
      <name val="Arial"/>
      <family val="2"/>
    </font>
  </fonts>
  <fills count="7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mediumGray">
        <bgColor theme="0"/>
      </patternFill>
    </fill>
  </fills>
  <borders count="1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thin">
        <color theme="0"/>
      </top>
      <bottom style="thin">
        <color theme="0"/>
      </bottom>
      <diagonal/>
    </border>
    <border>
      <left/>
      <right style="thin">
        <color indexed="64"/>
      </right>
      <top style="double">
        <color indexed="64"/>
      </top>
      <bottom style="thin">
        <color indexed="64"/>
      </bottom>
      <diagonal/>
    </border>
  </borders>
  <cellStyleXfs count="1447">
    <xf numFmtId="0" fontId="0" fillId="0" borderId="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43" fontId="15" fillId="0" borderId="0" applyFont="0" applyFill="0" applyBorder="0" applyAlignment="0" applyProtection="0"/>
    <xf numFmtId="166" fontId="24"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44" fontId="11"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11" fillId="0" borderId="0"/>
    <xf numFmtId="0" fontId="14" fillId="0" borderId="0"/>
    <xf numFmtId="0" fontId="27" fillId="0" borderId="0"/>
    <xf numFmtId="0" fontId="1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9" fontId="16" fillId="0" borderId="0" applyFont="0" applyFill="0" applyBorder="0" applyAlignment="0" applyProtection="0"/>
    <xf numFmtId="9" fontId="15" fillId="0" borderId="0" applyFont="0" applyFill="0" applyBorder="0" applyAlignment="0" applyProtection="0"/>
    <xf numFmtId="9" fontId="24" fillId="0" borderId="0" applyFont="0" applyFill="0" applyBorder="0" applyAlignment="0" applyProtection="0"/>
    <xf numFmtId="0" fontId="42" fillId="0" borderId="0" applyNumberFormat="0" applyFill="0" applyBorder="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0" fontId="10" fillId="0" borderId="0"/>
    <xf numFmtId="0" fontId="10" fillId="0" borderId="0"/>
    <xf numFmtId="0" fontId="11" fillId="0" borderId="0"/>
    <xf numFmtId="166" fontId="11" fillId="0" borderId="0" applyFont="0" applyFill="0" applyBorder="0" applyAlignment="0" applyProtection="0"/>
    <xf numFmtId="166" fontId="11" fillId="0" borderId="0" applyFont="0" applyFill="0" applyBorder="0" applyAlignment="0" applyProtection="0"/>
    <xf numFmtId="166" fontId="59" fillId="0" borderId="0" applyFont="0" applyFill="0" applyBorder="0" applyAlignment="0" applyProtection="0"/>
    <xf numFmtId="166" fontId="11" fillId="0" borderId="0" applyFont="0" applyFill="0" applyBorder="0" applyAlignment="0" applyProtection="0"/>
    <xf numFmtId="43" fontId="10"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0" fontId="11" fillId="0" borderId="0"/>
    <xf numFmtId="0" fontId="10" fillId="0" borderId="0"/>
    <xf numFmtId="0" fontId="10" fillId="0" borderId="0"/>
    <xf numFmtId="0" fontId="11" fillId="0" borderId="0"/>
    <xf numFmtId="0" fontId="10" fillId="0" borderId="0"/>
    <xf numFmtId="0" fontId="11" fillId="0" borderId="0"/>
    <xf numFmtId="0" fontId="11" fillId="0" borderId="0"/>
    <xf numFmtId="0" fontId="59" fillId="0" borderId="0"/>
    <xf numFmtId="0" fontId="11" fillId="0" borderId="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59" fillId="37" borderId="1" applyNumberFormat="0" applyProtection="0">
      <alignment horizontal="left" vertical="center"/>
    </xf>
    <xf numFmtId="0" fontId="11" fillId="37" borderId="1" applyNumberFormat="0" applyProtection="0">
      <alignment horizontal="left" vertical="center"/>
    </xf>
    <xf numFmtId="9" fontId="10"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61" fillId="0" borderId="0"/>
    <xf numFmtId="166" fontId="15" fillId="0" borderId="0" applyFont="0" applyFill="0" applyBorder="0" applyAlignment="0" applyProtection="0"/>
    <xf numFmtId="9" fontId="15" fillId="0" borderId="0" applyFont="0" applyFill="0" applyBorder="0" applyAlignment="0" applyProtection="0"/>
    <xf numFmtId="0" fontId="15"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15" fillId="0" borderId="0"/>
    <xf numFmtId="43" fontId="15" fillId="0" borderId="0" applyFont="0" applyFill="0" applyBorder="0" applyAlignment="0" applyProtection="0"/>
    <xf numFmtId="0" fontId="6" fillId="0" borderId="0"/>
    <xf numFmtId="0" fontId="6" fillId="0" borderId="0"/>
    <xf numFmtId="9" fontId="15"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4" fillId="41" borderId="0" applyNumberFormat="0" applyBorder="0" applyAlignment="0" applyProtection="0"/>
    <xf numFmtId="0" fontId="24" fillId="44" borderId="0" applyNumberFormat="0" applyBorder="0" applyAlignment="0" applyProtection="0"/>
    <xf numFmtId="0" fontId="24" fillId="47" borderId="0" applyNumberFormat="0" applyBorder="0" applyAlignment="0" applyProtection="0"/>
    <xf numFmtId="0" fontId="90" fillId="48" borderId="0" applyNumberFormat="0" applyBorder="0" applyAlignment="0" applyProtection="0"/>
    <xf numFmtId="0" fontId="90" fillId="45" borderId="0" applyNumberFormat="0" applyBorder="0" applyAlignment="0" applyProtection="0"/>
    <xf numFmtId="0" fontId="90" fillId="46"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92" fillId="56" borderId="83" applyNumberFormat="0" applyAlignment="0" applyProtection="0"/>
    <xf numFmtId="0" fontId="88" fillId="0" borderId="0" applyNumberFormat="0" applyFill="0" applyBorder="0" applyAlignment="0" applyProtection="0">
      <alignment vertical="top"/>
      <protection locked="0"/>
    </xf>
    <xf numFmtId="0" fontId="101" fillId="58" borderId="0" applyNumberFormat="0" applyBorder="0" applyAlignment="0" applyProtection="0"/>
    <xf numFmtId="0" fontId="103" fillId="0" borderId="0" applyNumberFormat="0" applyFill="0" applyBorder="0" applyAlignment="0" applyProtection="0"/>
    <xf numFmtId="0" fontId="104" fillId="0" borderId="91" applyNumberFormat="0" applyFill="0" applyAlignment="0" applyProtection="0"/>
    <xf numFmtId="0" fontId="105" fillId="0" borderId="0" applyNumberFormat="0" applyFill="0" applyBorder="0" applyAlignment="0" applyProtection="0"/>
    <xf numFmtId="0" fontId="11" fillId="0" borderId="0"/>
    <xf numFmtId="0" fontId="42" fillId="0" borderId="0" applyNumberFormat="0" applyFill="0" applyBorder="0" applyAlignment="0" applyProtection="0"/>
    <xf numFmtId="0" fontId="69" fillId="0" borderId="60" applyNumberFormat="0" applyFill="0" applyAlignment="0" applyProtection="0"/>
    <xf numFmtId="0" fontId="68" fillId="0" borderId="59" applyNumberFormat="0" applyFill="0" applyAlignment="0" applyProtection="0"/>
    <xf numFmtId="0" fontId="5" fillId="0" borderId="0"/>
    <xf numFmtId="0" fontId="70" fillId="0" borderId="61" applyNumberFormat="0" applyFill="0" applyAlignment="0" applyProtection="0"/>
    <xf numFmtId="0" fontId="70" fillId="0" borderId="0" applyNumberFormat="0" applyFill="0" applyBorder="0" applyAlignment="0" applyProtection="0"/>
    <xf numFmtId="0" fontId="71" fillId="29" borderId="0" applyNumberFormat="0" applyBorder="0" applyAlignment="0" applyProtection="0"/>
    <xf numFmtId="0" fontId="72" fillId="26" borderId="0" applyNumberFormat="0" applyBorder="0" applyAlignment="0" applyProtection="0"/>
    <xf numFmtId="0" fontId="73" fillId="31" borderId="0" applyNumberFormat="0" applyBorder="0" applyAlignment="0" applyProtection="0"/>
    <xf numFmtId="0" fontId="74" fillId="30" borderId="57" applyNumberFormat="0" applyAlignment="0" applyProtection="0"/>
    <xf numFmtId="0" fontId="75" fillId="27" borderId="64" applyNumberFormat="0" applyAlignment="0" applyProtection="0"/>
    <xf numFmtId="0" fontId="76" fillId="27" borderId="57" applyNumberFormat="0" applyAlignment="0" applyProtection="0"/>
    <xf numFmtId="0" fontId="77" fillId="0" borderId="62" applyNumberFormat="0" applyFill="0" applyAlignment="0" applyProtection="0"/>
    <xf numFmtId="0" fontId="78" fillId="28" borderId="58" applyNumberFormat="0" applyAlignment="0" applyProtection="0"/>
    <xf numFmtId="0" fontId="79" fillId="0" borderId="0" applyNumberFormat="0" applyFill="0" applyBorder="0" applyAlignment="0" applyProtection="0"/>
    <xf numFmtId="0" fontId="5" fillId="32" borderId="63" applyNumberFormat="0" applyFont="0" applyAlignment="0" applyProtection="0"/>
    <xf numFmtId="0" fontId="80" fillId="0" borderId="0" applyNumberFormat="0" applyFill="0" applyBorder="0" applyAlignment="0" applyProtection="0"/>
    <xf numFmtId="0" fontId="81" fillId="0" borderId="65" applyNumberFormat="0" applyFill="0" applyAlignment="0" applyProtection="0"/>
    <xf numFmtId="0" fontId="82" fillId="20"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82" fillId="14" borderId="0" applyNumberFormat="0" applyBorder="0" applyAlignment="0" applyProtection="0"/>
    <xf numFmtId="0" fontId="82" fillId="2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82" fillId="15" borderId="0" applyNumberFormat="0" applyBorder="0" applyAlignment="0" applyProtection="0"/>
    <xf numFmtId="0" fontId="82" fillId="2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82" fillId="16" borderId="0" applyNumberFormat="0" applyBorder="0" applyAlignment="0" applyProtection="0"/>
    <xf numFmtId="0" fontId="82" fillId="23"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82" fillId="17" borderId="0" applyNumberFormat="0" applyBorder="0" applyAlignment="0" applyProtection="0"/>
    <xf numFmtId="0" fontId="82" fillId="2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82" fillId="18" borderId="0" applyNumberFormat="0" applyBorder="0" applyAlignment="0" applyProtection="0"/>
    <xf numFmtId="0" fontId="82" fillId="25"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82" fillId="19" borderId="0" applyNumberFormat="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178" fontId="11" fillId="0" borderId="0"/>
    <xf numFmtId="179" fontId="11" fillId="0" borderId="0"/>
    <xf numFmtId="178" fontId="11" fillId="0" borderId="0"/>
    <xf numFmtId="178" fontId="11" fillId="0" borderId="0"/>
    <xf numFmtId="178" fontId="11" fillId="0" borderId="0"/>
    <xf numFmtId="178" fontId="11" fillId="0" borderId="0"/>
    <xf numFmtId="180" fontId="11" fillId="0" borderId="0"/>
    <xf numFmtId="181" fontId="11" fillId="0" borderId="0"/>
    <xf numFmtId="180" fontId="11" fillId="0" borderId="0"/>
    <xf numFmtId="3" fontId="11" fillId="0" borderId="0" applyFont="0" applyFill="0" applyBorder="0" applyAlignment="0" applyProtection="0"/>
    <xf numFmtId="164"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38" fontId="89" fillId="60" borderId="0" applyNumberFormat="0" applyBorder="0" applyAlignment="0" applyProtection="0"/>
    <xf numFmtId="10" fontId="89" fillId="63" borderId="1" applyNumberFormat="0" applyBorder="0" applyAlignment="0" applyProtection="0"/>
    <xf numFmtId="182" fontId="11" fillId="0" borderId="0"/>
    <xf numFmtId="182" fontId="11" fillId="0" borderId="0"/>
    <xf numFmtId="182" fontId="11" fillId="0" borderId="0"/>
    <xf numFmtId="182" fontId="11" fillId="0" borderId="0"/>
    <xf numFmtId="182" fontId="11" fillId="0" borderId="0"/>
    <xf numFmtId="184" fontId="11" fillId="0" borderId="0"/>
    <xf numFmtId="10" fontId="1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11" fillId="0" borderId="0" applyFont="0" applyFill="0" applyBorder="0" applyAlignment="0" applyProtection="0"/>
    <xf numFmtId="0" fontId="5" fillId="0" borderId="0"/>
    <xf numFmtId="0" fontId="5" fillId="0" borderId="0"/>
    <xf numFmtId="183" fontId="11" fillId="0" borderId="0"/>
    <xf numFmtId="0" fontId="102" fillId="56" borderId="90" applyNumberFormat="0" applyAlignment="0" applyProtection="0"/>
    <xf numFmtId="0" fontId="93" fillId="57" borderId="84" applyNumberFormat="0" applyAlignment="0" applyProtection="0"/>
    <xf numFmtId="0" fontId="99" fillId="43" borderId="83" applyNumberFormat="0" applyAlignment="0" applyProtection="0"/>
    <xf numFmtId="0" fontId="11" fillId="59" borderId="89" applyNumberFormat="0" applyFont="0" applyAlignment="0" applyProtection="0"/>
    <xf numFmtId="0" fontId="95" fillId="40" borderId="0" applyNumberFormat="0" applyBorder="0" applyAlignment="0" applyProtection="0"/>
    <xf numFmtId="0" fontId="91" fillId="39" borderId="0" applyNumberFormat="0" applyBorder="0" applyAlignment="0" applyProtection="0"/>
    <xf numFmtId="0" fontId="98" fillId="0" borderId="87" applyNumberFormat="0" applyFill="0" applyAlignment="0" applyProtection="0"/>
    <xf numFmtId="0" fontId="97" fillId="0" borderId="86" applyNumberFormat="0" applyFill="0" applyAlignment="0" applyProtection="0"/>
    <xf numFmtId="0" fontId="94" fillId="0" borderId="0" applyNumberFormat="0" applyFill="0" applyBorder="0" applyAlignment="0" applyProtection="0"/>
    <xf numFmtId="0" fontId="96" fillId="0" borderId="85" applyNumberFormat="0" applyFill="0" applyAlignment="0" applyProtection="0"/>
    <xf numFmtId="0" fontId="84" fillId="0" borderId="0" applyNumberFormat="0" applyFill="0" applyBorder="0" applyAlignment="0" applyProtection="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90" fillId="50" borderId="0" applyNumberFormat="0" applyBorder="0" applyAlignment="0" applyProtection="0"/>
    <xf numFmtId="0" fontId="5" fillId="0" borderId="0"/>
    <xf numFmtId="0" fontId="5" fillId="0" borderId="0"/>
    <xf numFmtId="0" fontId="5" fillId="0" borderId="0"/>
    <xf numFmtId="0" fontId="90" fillId="55" borderId="0" applyNumberFormat="0" applyBorder="0" applyAlignment="0" applyProtection="0"/>
    <xf numFmtId="0" fontId="90" fillId="49" borderId="0" applyNumberFormat="0" applyBorder="0" applyAlignment="0" applyProtection="0"/>
    <xf numFmtId="43"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15" fillId="0" borderId="0"/>
    <xf numFmtId="0" fontId="100" fillId="0" borderId="88" applyNumberFormat="0" applyFill="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98" fillId="0" borderId="0" applyNumberForma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1" fillId="0" borderId="0"/>
    <xf numFmtId="0" fontId="11" fillId="0" borderId="0"/>
    <xf numFmtId="0" fontId="99" fillId="43" borderId="83" applyNumberFormat="0" applyAlignment="0" applyProtection="0"/>
    <xf numFmtId="0" fontId="99" fillId="43" borderId="83" applyNumberFormat="0" applyAlignment="0" applyProtection="0"/>
    <xf numFmtId="0" fontId="99" fillId="43" borderId="8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9" fontId="11" fillId="0" borderId="0" applyFont="0" applyFill="0" applyBorder="0" applyAlignment="0" applyProtection="0"/>
    <xf numFmtId="0" fontId="99" fillId="43" borderId="83" applyNumberFormat="0" applyAlignment="0" applyProtection="0"/>
    <xf numFmtId="0" fontId="11" fillId="0" borderId="0"/>
    <xf numFmtId="0" fontId="15" fillId="0" borderId="0"/>
    <xf numFmtId="0" fontId="4" fillId="0" borderId="0"/>
    <xf numFmtId="0" fontId="4" fillId="0" borderId="0"/>
    <xf numFmtId="9" fontId="15"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3" fillId="0" borderId="0"/>
    <xf numFmtId="0" fontId="11" fillId="0" borderId="0"/>
    <xf numFmtId="9" fontId="15" fillId="0" borderId="0" applyFont="0" applyFill="0" applyBorder="0" applyAlignment="0" applyProtection="0"/>
    <xf numFmtId="0" fontId="15" fillId="0" borderId="0"/>
    <xf numFmtId="9" fontId="11" fillId="0" borderId="0" applyFont="0" applyFill="0" applyBorder="0" applyAlignment="0" applyProtection="0"/>
    <xf numFmtId="0" fontId="11"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65" fontId="11" fillId="0" borderId="0" applyFont="0" applyFill="0" applyBorder="0" applyAlignment="0" applyProtection="0"/>
    <xf numFmtId="166" fontId="3" fillId="0" borderId="0" applyFont="0" applyFill="0" applyBorder="0" applyAlignment="0" applyProtection="0"/>
    <xf numFmtId="0" fontId="11" fillId="0" borderId="0"/>
    <xf numFmtId="0" fontId="3" fillId="0" borderId="0"/>
    <xf numFmtId="0" fontId="3"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03" fillId="0" borderId="0" applyNumberFormat="0" applyFill="0" applyBorder="0" applyAlignment="0" applyProtection="0"/>
    <xf numFmtId="0" fontId="3" fillId="0" borderId="0"/>
    <xf numFmtId="44"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109" fillId="0" borderId="0" applyNumberForma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15" fillId="0" borderId="0"/>
    <xf numFmtId="43" fontId="15" fillId="0" borderId="0" applyFont="0" applyFill="0" applyBorder="0" applyAlignment="0" applyProtection="0"/>
    <xf numFmtId="0" fontId="3" fillId="0" borderId="0"/>
    <xf numFmtId="0" fontId="3" fillId="0" borderId="0"/>
    <xf numFmtId="9" fontId="15"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15" fillId="0" borderId="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84" fillId="0" borderId="0" applyNumberFormat="0" applyFill="0" applyBorder="0" applyAlignment="0" applyProtection="0"/>
  </cellStyleXfs>
  <cellXfs count="1162">
    <xf numFmtId="0" fontId="0" fillId="0" borderId="0" xfId="0"/>
    <xf numFmtId="0" fontId="11" fillId="0" borderId="0" xfId="0" applyFont="1"/>
    <xf numFmtId="1" fontId="11" fillId="33" borderId="2" xfId="379" applyNumberFormat="1" applyFont="1" applyFill="1" applyBorder="1" applyAlignment="1">
      <alignment horizontal="center"/>
    </xf>
    <xf numFmtId="0" fontId="45" fillId="0" borderId="0" xfId="0" applyFont="1" applyBorder="1" applyAlignment="1">
      <alignment horizontal="left" vertic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11" fillId="0" borderId="6" xfId="0" applyFont="1" applyBorder="1" applyAlignment="1">
      <alignment horizontal="center"/>
    </xf>
    <xf numFmtId="49" fontId="11" fillId="0" borderId="7" xfId="0" applyNumberFormat="1" applyFont="1" applyBorder="1" applyAlignment="1">
      <alignment horizontal="center"/>
    </xf>
    <xf numFmtId="49" fontId="11" fillId="0" borderId="2" xfId="0" applyNumberFormat="1" applyFont="1" applyBorder="1" applyAlignment="1">
      <alignment horizontal="center"/>
    </xf>
    <xf numFmtId="167" fontId="11" fillId="0" borderId="1" xfId="0" applyNumberFormat="1" applyFont="1" applyBorder="1" applyAlignment="1">
      <alignment horizontal="center"/>
    </xf>
    <xf numFmtId="167" fontId="11" fillId="0" borderId="8" xfId="0" applyNumberFormat="1" applyFont="1" applyBorder="1" applyAlignment="1">
      <alignment horizontal="center"/>
    </xf>
    <xf numFmtId="14" fontId="11" fillId="0" borderId="2" xfId="0" applyNumberFormat="1" applyFont="1" applyBorder="1" applyAlignment="1">
      <alignment horizontal="center"/>
    </xf>
    <xf numFmtId="0" fontId="11" fillId="0" borderId="1" xfId="0" applyFont="1" applyBorder="1" applyAlignment="1">
      <alignment horizontal="center"/>
    </xf>
    <xf numFmtId="14" fontId="17" fillId="0" borderId="2" xfId="0" applyNumberFormat="1" applyFont="1" applyBorder="1" applyAlignment="1">
      <alignment horizontal="center"/>
    </xf>
    <xf numFmtId="167" fontId="17" fillId="0" borderId="1" xfId="0" applyNumberFormat="1" applyFont="1" applyBorder="1" applyAlignment="1">
      <alignment horizontal="center"/>
    </xf>
    <xf numFmtId="0" fontId="17" fillId="0" borderId="1" xfId="0" applyFont="1" applyBorder="1" applyAlignment="1">
      <alignment horizontal="center"/>
    </xf>
    <xf numFmtId="167" fontId="17" fillId="0" borderId="8" xfId="0" applyNumberFormat="1" applyFont="1" applyBorder="1" applyAlignment="1">
      <alignment horizontal="center"/>
    </xf>
    <xf numFmtId="1" fontId="11" fillId="0" borderId="1" xfId="0" applyNumberFormat="1" applyFont="1" applyFill="1" applyBorder="1" applyAlignment="1">
      <alignment horizontal="center"/>
    </xf>
    <xf numFmtId="0" fontId="11" fillId="0" borderId="1" xfId="0" applyFont="1" applyFill="1" applyBorder="1" applyAlignment="1">
      <alignment horizontal="center"/>
    </xf>
    <xf numFmtId="0" fontId="11" fillId="0" borderId="8" xfId="0" applyFont="1" applyFill="1" applyBorder="1" applyAlignment="1">
      <alignment horizontal="center"/>
    </xf>
    <xf numFmtId="49" fontId="11" fillId="0" borderId="9" xfId="0" applyNumberFormat="1" applyFont="1" applyBorder="1" applyAlignment="1">
      <alignment horizontal="center"/>
    </xf>
    <xf numFmtId="167" fontId="11" fillId="0" borderId="10" xfId="0" applyNumberFormat="1" applyFont="1" applyBorder="1" applyAlignment="1">
      <alignment horizontal="center"/>
    </xf>
    <xf numFmtId="0" fontId="11" fillId="0" borderId="10" xfId="0" applyFont="1" applyFill="1" applyBorder="1" applyAlignment="1">
      <alignment horizontal="center"/>
    </xf>
    <xf numFmtId="0" fontId="11" fillId="0" borderId="11" xfId="0" applyFont="1" applyFill="1" applyBorder="1" applyAlignment="1">
      <alignment horizontal="center"/>
    </xf>
    <xf numFmtId="0" fontId="11" fillId="0" borderId="12" xfId="0" applyFont="1" applyFill="1" applyBorder="1"/>
    <xf numFmtId="0" fontId="11" fillId="0" borderId="13" xfId="0" applyFont="1" applyFill="1" applyBorder="1"/>
    <xf numFmtId="1" fontId="11" fillId="33" borderId="1" xfId="0" applyNumberFormat="1" applyFont="1" applyFill="1" applyBorder="1" applyAlignment="1">
      <alignment horizontal="center"/>
    </xf>
    <xf numFmtId="1" fontId="11" fillId="33" borderId="10" xfId="0" applyNumberFormat="1" applyFont="1" applyFill="1" applyBorder="1" applyAlignment="1">
      <alignment horizontal="center"/>
    </xf>
    <xf numFmtId="167" fontId="11" fillId="0" borderId="11" xfId="0" applyNumberFormat="1" applyFont="1" applyBorder="1" applyAlignment="1">
      <alignment horizontal="center"/>
    </xf>
    <xf numFmtId="0" fontId="11" fillId="0" borderId="0" xfId="0" applyFont="1" applyFill="1" applyBorder="1"/>
    <xf numFmtId="2" fontId="44" fillId="0" borderId="0" xfId="0" applyNumberFormat="1" applyFont="1" applyFill="1" applyBorder="1" applyAlignment="1">
      <alignment horizontal="center"/>
    </xf>
    <xf numFmtId="0" fontId="11" fillId="0" borderId="0" xfId="0" applyFont="1" applyFill="1" applyBorder="1" applyAlignment="1">
      <alignment horizontal="center"/>
    </xf>
    <xf numFmtId="0" fontId="11" fillId="0" borderId="14" xfId="0" applyFont="1" applyFill="1" applyBorder="1" applyAlignment="1">
      <alignment horizontal="center"/>
    </xf>
    <xf numFmtId="0" fontId="11" fillId="0" borderId="15" xfId="0" applyFont="1" applyFill="1" applyBorder="1" applyAlignment="1">
      <alignment horizontal="center"/>
    </xf>
    <xf numFmtId="0" fontId="11" fillId="0" borderId="2" xfId="0" applyFont="1" applyFill="1" applyBorder="1" applyAlignment="1">
      <alignment horizontal="center"/>
    </xf>
    <xf numFmtId="2" fontId="44" fillId="0" borderId="8" xfId="0" applyNumberFormat="1" applyFont="1" applyFill="1" applyBorder="1" applyAlignment="1">
      <alignment horizontal="center"/>
    </xf>
    <xf numFmtId="0" fontId="11" fillId="0" borderId="16" xfId="0" applyFont="1" applyFill="1" applyBorder="1" applyAlignment="1">
      <alignment horizontal="center"/>
    </xf>
    <xf numFmtId="0" fontId="11" fillId="0" borderId="9" xfId="0" applyFont="1" applyFill="1" applyBorder="1" applyAlignment="1">
      <alignment horizontal="center"/>
    </xf>
    <xf numFmtId="2" fontId="44" fillId="0" borderId="11" xfId="0" applyNumberFormat="1" applyFont="1" applyFill="1" applyBorder="1" applyAlignment="1">
      <alignment horizontal="center"/>
    </xf>
    <xf numFmtId="0" fontId="11" fillId="0" borderId="17" xfId="0" applyFont="1" applyFill="1" applyBorder="1" applyAlignment="1">
      <alignment horizontal="center"/>
    </xf>
    <xf numFmtId="2" fontId="44" fillId="0" borderId="18" xfId="0" applyNumberFormat="1" applyFont="1" applyFill="1" applyBorder="1" applyAlignment="1">
      <alignment horizontal="center"/>
    </xf>
    <xf numFmtId="2" fontId="44" fillId="0" borderId="13" xfId="0" applyNumberFormat="1" applyFont="1" applyFill="1" applyBorder="1" applyAlignment="1">
      <alignment horizontal="center"/>
    </xf>
    <xf numFmtId="0" fontId="11" fillId="0" borderId="20" xfId="0" applyFont="1" applyFill="1" applyBorder="1" applyAlignment="1">
      <alignment horizontal="left"/>
    </xf>
    <xf numFmtId="17" fontId="11" fillId="0" borderId="15" xfId="0" applyNumberFormat="1" applyFont="1" applyFill="1" applyBorder="1" applyAlignment="1">
      <alignment horizontal="center"/>
    </xf>
    <xf numFmtId="1" fontId="11" fillId="33" borderId="2" xfId="0" applyNumberFormat="1" applyFont="1" applyFill="1" applyBorder="1" applyAlignment="1">
      <alignment horizontal="center"/>
    </xf>
    <xf numFmtId="1" fontId="44" fillId="33" borderId="8" xfId="0" applyNumberFormat="1" applyFont="1" applyFill="1" applyBorder="1" applyAlignment="1">
      <alignment horizontal="center"/>
    </xf>
    <xf numFmtId="1" fontId="11" fillId="33" borderId="21" xfId="0" applyNumberFormat="1" applyFont="1" applyFill="1" applyBorder="1" applyAlignment="1">
      <alignment horizontal="center"/>
    </xf>
    <xf numFmtId="1" fontId="11" fillId="33" borderId="1" xfId="379" applyNumberFormat="1" applyFont="1" applyFill="1" applyBorder="1" applyAlignment="1">
      <alignment horizontal="center"/>
    </xf>
    <xf numFmtId="1" fontId="11" fillId="33" borderId="21" xfId="379" applyNumberFormat="1" applyFont="1" applyFill="1" applyBorder="1" applyAlignment="1">
      <alignment horizontal="center"/>
    </xf>
    <xf numFmtId="1" fontId="11" fillId="33" borderId="2" xfId="379" applyNumberFormat="1" applyFont="1" applyFill="1" applyBorder="1" applyAlignment="1">
      <alignment horizontal="center" vertical="center"/>
    </xf>
    <xf numFmtId="1" fontId="46" fillId="33" borderId="2" xfId="0" applyNumberFormat="1" applyFont="1" applyFill="1" applyBorder="1" applyAlignment="1">
      <alignment horizontal="center"/>
    </xf>
    <xf numFmtId="1" fontId="27" fillId="33" borderId="2" xfId="0" applyNumberFormat="1" applyFont="1" applyFill="1" applyBorder="1" applyAlignment="1">
      <alignment horizontal="center"/>
    </xf>
    <xf numFmtId="1" fontId="11" fillId="33" borderId="9" xfId="0" applyNumberFormat="1" applyFont="1" applyFill="1" applyBorder="1" applyAlignment="1">
      <alignment horizontal="center"/>
    </xf>
    <xf numFmtId="1" fontId="44" fillId="33" borderId="11" xfId="0" applyNumberFormat="1" applyFont="1" applyFill="1" applyBorder="1" applyAlignment="1">
      <alignment horizontal="center"/>
    </xf>
    <xf numFmtId="1" fontId="11" fillId="33" borderId="10" xfId="379" applyNumberFormat="1" applyFont="1" applyFill="1" applyBorder="1" applyAlignment="1">
      <alignment horizontal="center"/>
    </xf>
    <xf numFmtId="1" fontId="11" fillId="33" borderId="22" xfId="0" applyNumberFormat="1" applyFont="1" applyFill="1" applyBorder="1" applyAlignment="1">
      <alignment horizontal="center"/>
    </xf>
    <xf numFmtId="3" fontId="11" fillId="0" borderId="0" xfId="0" applyNumberFormat="1" applyFont="1" applyFill="1" applyBorder="1" applyAlignment="1">
      <alignment horizontal="center"/>
    </xf>
    <xf numFmtId="0" fontId="11" fillId="0" borderId="0" xfId="0" applyFont="1" applyAlignment="1">
      <alignment horizontal="center"/>
    </xf>
    <xf numFmtId="0" fontId="11" fillId="0" borderId="1" xfId="0" applyFont="1" applyBorder="1"/>
    <xf numFmtId="17" fontId="11" fillId="0" borderId="0" xfId="0" applyNumberFormat="1" applyFont="1" applyBorder="1"/>
    <xf numFmtId="0" fontId="11" fillId="0" borderId="0" xfId="0" applyFont="1" applyAlignment="1">
      <alignment horizontal="left"/>
    </xf>
    <xf numFmtId="0" fontId="11" fillId="0" borderId="0" xfId="0" applyFont="1" applyFill="1"/>
    <xf numFmtId="0" fontId="47" fillId="0" borderId="0" xfId="0" applyFont="1" applyBorder="1" applyAlignment="1">
      <alignment horizontal="left" vertical="center"/>
    </xf>
    <xf numFmtId="0" fontId="11" fillId="0" borderId="0" xfId="0" applyFont="1" applyBorder="1"/>
    <xf numFmtId="0" fontId="46" fillId="0" borderId="27" xfId="0" applyFont="1" applyBorder="1" applyAlignment="1">
      <alignment horizontal="center" vertical="center" wrapText="1"/>
    </xf>
    <xf numFmtId="0" fontId="46" fillId="0" borderId="28" xfId="0" applyFont="1" applyBorder="1" applyAlignment="1">
      <alignment horizontal="center" vertical="center" wrapText="1"/>
    </xf>
    <xf numFmtId="0" fontId="48" fillId="0" borderId="28" xfId="0" applyFont="1" applyBorder="1" applyAlignment="1">
      <alignment horizontal="center" vertical="center" wrapText="1"/>
    </xf>
    <xf numFmtId="0" fontId="46" fillId="0" borderId="29" xfId="0" applyFont="1" applyFill="1" applyBorder="1" applyAlignment="1">
      <alignment horizontal="center" vertical="center" wrapText="1"/>
    </xf>
    <xf numFmtId="0" fontId="46" fillId="0" borderId="7" xfId="0" applyFont="1" applyBorder="1" applyAlignment="1">
      <alignment horizontal="center" vertical="center" wrapText="1"/>
    </xf>
    <xf numFmtId="3" fontId="46" fillId="0" borderId="23" xfId="0" applyNumberFormat="1" applyFont="1" applyBorder="1" applyAlignment="1">
      <alignment horizontal="center" vertical="center" wrapText="1"/>
    </xf>
    <xf numFmtId="10" fontId="46" fillId="0" borderId="23" xfId="0" applyNumberFormat="1" applyFont="1" applyBorder="1" applyAlignment="1">
      <alignment horizontal="center" vertical="center" wrapText="1"/>
    </xf>
    <xf numFmtId="3" fontId="46" fillId="0" borderId="1" xfId="0" applyNumberFormat="1" applyFont="1" applyBorder="1" applyAlignment="1">
      <alignment horizontal="center" vertical="center" wrapText="1"/>
    </xf>
    <xf numFmtId="10" fontId="46" fillId="0" borderId="1" xfId="0" applyNumberFormat="1" applyFont="1" applyBorder="1" applyAlignment="1">
      <alignment horizontal="center" vertical="center" wrapText="1"/>
    </xf>
    <xf numFmtId="0" fontId="44" fillId="0" borderId="2" xfId="0" applyFont="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0" fontId="44" fillId="0" borderId="10" xfId="0" applyFont="1" applyBorder="1" applyAlignment="1">
      <alignment horizontal="center" vertical="center" wrapText="1"/>
    </xf>
    <xf numFmtId="10" fontId="44" fillId="0" borderId="10" xfId="0" applyNumberFormat="1" applyFont="1" applyBorder="1" applyAlignment="1">
      <alignment horizontal="center" vertical="center" wrapText="1"/>
    </xf>
    <xf numFmtId="0" fontId="44" fillId="0" borderId="0" xfId="0" applyFont="1" applyBorder="1" applyAlignment="1">
      <alignment horizontal="center" vertical="center" wrapText="1"/>
    </xf>
    <xf numFmtId="3" fontId="44" fillId="0" borderId="0" xfId="0" applyNumberFormat="1" applyFont="1" applyBorder="1" applyAlignment="1">
      <alignment horizontal="center" vertical="center" wrapText="1"/>
    </xf>
    <xf numFmtId="0" fontId="46" fillId="0" borderId="30" xfId="0" applyFont="1" applyFill="1" applyBorder="1" applyAlignment="1">
      <alignment horizontal="center" vertical="center" wrapText="1"/>
    </xf>
    <xf numFmtId="3" fontId="46" fillId="0" borderId="0" xfId="0" applyNumberFormat="1" applyFont="1" applyBorder="1" applyAlignment="1">
      <alignment horizontal="center" vertical="center" wrapText="1"/>
    </xf>
    <xf numFmtId="3" fontId="49" fillId="0" borderId="8" xfId="0" applyNumberFormat="1" applyFont="1" applyBorder="1" applyAlignment="1">
      <alignment horizontal="center" vertical="center" wrapText="1"/>
    </xf>
    <xf numFmtId="3" fontId="49" fillId="0" borderId="11" xfId="0" applyNumberFormat="1" applyFont="1" applyBorder="1" applyAlignment="1">
      <alignment horizontal="center" vertical="center" wrapText="1"/>
    </xf>
    <xf numFmtId="169" fontId="46" fillId="0" borderId="8" xfId="0" applyNumberFormat="1" applyFont="1" applyBorder="1" applyAlignment="1">
      <alignment horizontal="center" vertical="center" wrapText="1"/>
    </xf>
    <xf numFmtId="3" fontId="44" fillId="0" borderId="8" xfId="0" applyNumberFormat="1" applyFont="1" applyBorder="1" applyAlignment="1">
      <alignment horizontal="center" vertical="center" wrapText="1"/>
    </xf>
    <xf numFmtId="0" fontId="11" fillId="0" borderId="39" xfId="0" applyFont="1" applyBorder="1"/>
    <xf numFmtId="0" fontId="11" fillId="0" borderId="23" xfId="0" applyFont="1" applyBorder="1"/>
    <xf numFmtId="0" fontId="11" fillId="0" borderId="2" xfId="0" applyFont="1" applyBorder="1"/>
    <xf numFmtId="0" fontId="11" fillId="0" borderId="9" xfId="0" applyFont="1" applyBorder="1"/>
    <xf numFmtId="0" fontId="11" fillId="0" borderId="10" xfId="0" applyFont="1" applyBorder="1"/>
    <xf numFmtId="0" fontId="46" fillId="0" borderId="2"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6" fillId="0" borderId="8" xfId="0" applyFont="1" applyFill="1" applyBorder="1" applyAlignment="1">
      <alignment horizontal="center" vertical="center" wrapText="1"/>
    </xf>
    <xf numFmtId="3" fontId="46" fillId="0" borderId="1" xfId="0" applyNumberFormat="1" applyFont="1" applyFill="1" applyBorder="1" applyAlignment="1">
      <alignment horizontal="center" vertical="center" wrapText="1"/>
    </xf>
    <xf numFmtId="3" fontId="46" fillId="0" borderId="8" xfId="0" applyNumberFormat="1" applyFont="1" applyFill="1" applyBorder="1" applyAlignment="1">
      <alignment horizontal="center" vertical="center" wrapText="1"/>
    </xf>
    <xf numFmtId="3" fontId="46" fillId="0" borderId="10" xfId="0" applyNumberFormat="1"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0" xfId="0" applyFont="1" applyFill="1" applyAlignment="1">
      <alignment horizontal="center"/>
    </xf>
    <xf numFmtId="0" fontId="21" fillId="0" borderId="0" xfId="0" applyFont="1" applyFill="1" applyAlignment="1">
      <alignment horizontal="left"/>
    </xf>
    <xf numFmtId="0" fontId="22" fillId="0" borderId="0" xfId="0" applyFont="1" applyFill="1" applyAlignment="1">
      <alignment horizontal="left"/>
    </xf>
    <xf numFmtId="0" fontId="11" fillId="0" borderId="0" xfId="521" applyFont="1"/>
    <xf numFmtId="0" fontId="27" fillId="0" borderId="0" xfId="524" applyFont="1" applyFill="1"/>
    <xf numFmtId="0" fontId="11" fillId="0" borderId="0" xfId="521" applyFont="1" applyAlignment="1">
      <alignment horizontal="left"/>
    </xf>
    <xf numFmtId="0" fontId="27" fillId="0" borderId="0" xfId="524" applyFont="1"/>
    <xf numFmtId="9" fontId="11" fillId="0" borderId="0" xfId="559" applyFont="1" applyFill="1"/>
    <xf numFmtId="9" fontId="27" fillId="0" borderId="0" xfId="524" applyNumberFormat="1" applyFont="1" applyFill="1"/>
    <xf numFmtId="9" fontId="27" fillId="0" borderId="0" xfId="524" applyNumberFormat="1" applyFont="1"/>
    <xf numFmtId="0" fontId="50" fillId="0" borderId="0" xfId="524" applyFont="1"/>
    <xf numFmtId="0" fontId="51" fillId="0" borderId="0" xfId="524" applyFont="1"/>
    <xf numFmtId="0" fontId="11" fillId="0" borderId="39" xfId="521" applyFont="1" applyBorder="1"/>
    <xf numFmtId="0" fontId="11" fillId="0" borderId="26" xfId="521" applyFont="1" applyBorder="1" applyAlignment="1">
      <alignment horizontal="center"/>
    </xf>
    <xf numFmtId="0" fontId="11" fillId="0" borderId="7" xfId="521" applyFont="1" applyBorder="1"/>
    <xf numFmtId="0" fontId="11" fillId="0" borderId="2" xfId="521" applyFont="1" applyBorder="1"/>
    <xf numFmtId="3" fontId="11" fillId="0" borderId="1" xfId="521" applyNumberFormat="1" applyFont="1" applyFill="1" applyBorder="1" applyAlignment="1">
      <alignment horizontal="center"/>
    </xf>
    <xf numFmtId="168" fontId="11" fillId="0" borderId="2" xfId="558" applyNumberFormat="1" applyFont="1" applyFill="1" applyBorder="1" applyAlignment="1">
      <alignment horizontal="center"/>
    </xf>
    <xf numFmtId="10" fontId="11" fillId="0" borderId="2" xfId="558" applyNumberFormat="1" applyFont="1" applyFill="1" applyBorder="1" applyAlignment="1">
      <alignment horizontal="center"/>
    </xf>
    <xf numFmtId="0" fontId="11" fillId="0" borderId="43" xfId="521" applyFont="1" applyBorder="1"/>
    <xf numFmtId="0" fontId="11" fillId="0" borderId="9" xfId="521" applyFont="1" applyBorder="1"/>
    <xf numFmtId="10" fontId="11" fillId="0" borderId="9" xfId="558" applyNumberFormat="1" applyFont="1" applyFill="1" applyBorder="1" applyAlignment="1">
      <alignment horizontal="center"/>
    </xf>
    <xf numFmtId="0" fontId="11" fillId="0" borderId="0" xfId="521" applyFont="1" applyFill="1" applyBorder="1"/>
    <xf numFmtId="1" fontId="11" fillId="0" borderId="0" xfId="521" applyNumberFormat="1" applyFont="1" applyFill="1" applyBorder="1" applyAlignment="1">
      <alignment horizontal="center"/>
    </xf>
    <xf numFmtId="1" fontId="44" fillId="0" borderId="0" xfId="521" applyNumberFormat="1" applyFont="1" applyFill="1" applyBorder="1" applyAlignment="1">
      <alignment horizontal="center"/>
    </xf>
    <xf numFmtId="0" fontId="11" fillId="0" borderId="0" xfId="521" applyFont="1" applyFill="1"/>
    <xf numFmtId="0" fontId="11" fillId="0" borderId="0" xfId="521" applyFont="1" applyFill="1" applyBorder="1" applyAlignment="1">
      <alignment horizontal="center"/>
    </xf>
    <xf numFmtId="3" fontId="11" fillId="0" borderId="0" xfId="521" applyNumberFormat="1" applyFont="1" applyFill="1" applyBorder="1" applyAlignment="1">
      <alignment horizontal="center"/>
    </xf>
    <xf numFmtId="3" fontId="44" fillId="0" borderId="0" xfId="521" applyNumberFormat="1" applyFont="1" applyFill="1" applyBorder="1" applyAlignment="1">
      <alignment horizontal="center"/>
    </xf>
    <xf numFmtId="0" fontId="53" fillId="0" borderId="0" xfId="521" applyFont="1" applyFill="1" applyBorder="1" applyAlignment="1">
      <alignment horizontal="left" vertical="center"/>
    </xf>
    <xf numFmtId="0" fontId="11" fillId="0" borderId="1" xfId="521" applyFont="1" applyBorder="1" applyAlignment="1">
      <alignment horizontal="center"/>
    </xf>
    <xf numFmtId="0" fontId="11" fillId="0" borderId="23" xfId="521" applyFont="1" applyBorder="1" applyAlignment="1">
      <alignment horizontal="center"/>
    </xf>
    <xf numFmtId="3" fontId="44" fillId="0" borderId="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0" fontId="54" fillId="0" borderId="0" xfId="0" applyFont="1" applyBorder="1" applyAlignment="1">
      <alignment horizontal="left" vertical="center"/>
    </xf>
    <xf numFmtId="0" fontId="46" fillId="0" borderId="0" xfId="0" applyFont="1" applyFill="1" applyBorder="1" applyAlignment="1">
      <alignment vertical="top"/>
    </xf>
    <xf numFmtId="0" fontId="11" fillId="0" borderId="0" xfId="0" applyFont="1" applyProtection="1"/>
    <xf numFmtId="0" fontId="0" fillId="0" borderId="0" xfId="0" applyAlignment="1">
      <alignment horizontal="center"/>
    </xf>
    <xf numFmtId="0" fontId="25" fillId="0" borderId="0" xfId="0" applyFont="1" applyAlignment="1">
      <alignment horizontal="center" vertical="top"/>
    </xf>
    <xf numFmtId="0" fontId="11" fillId="0" borderId="0" xfId="0" applyFont="1" applyBorder="1" applyAlignment="1" applyProtection="1">
      <alignment vertical="center"/>
    </xf>
    <xf numFmtId="0" fontId="11" fillId="0" borderId="0" xfId="0" applyFont="1" applyFill="1" applyBorder="1" applyAlignment="1" applyProtection="1">
      <alignment vertical="center"/>
    </xf>
    <xf numFmtId="172" fontId="11" fillId="0" borderId="0" xfId="383" applyNumberFormat="1" applyFont="1" applyFill="1" applyBorder="1" applyAlignment="1">
      <alignment horizontal="left"/>
    </xf>
    <xf numFmtId="0" fontId="11" fillId="0" borderId="0" xfId="0" applyFont="1" applyBorder="1" applyProtection="1"/>
    <xf numFmtId="0" fontId="11" fillId="0" borderId="0" xfId="0" applyFont="1" applyAlignment="1" applyProtection="1">
      <alignment vertical="center"/>
    </xf>
    <xf numFmtId="0" fontId="11" fillId="0" borderId="0" xfId="0" applyFont="1" applyFill="1" applyAlignment="1" applyProtection="1">
      <alignment vertical="center"/>
    </xf>
    <xf numFmtId="1" fontId="11" fillId="33" borderId="9" xfId="379" applyNumberFormat="1" applyFont="1" applyFill="1" applyBorder="1" applyAlignment="1">
      <alignment horizontal="center"/>
    </xf>
    <xf numFmtId="0" fontId="11" fillId="0" borderId="0" xfId="0" applyFont="1" applyBorder="1" applyAlignment="1">
      <alignment horizontal="center"/>
    </xf>
    <xf numFmtId="0" fontId="46" fillId="0" borderId="0" xfId="0" applyFont="1" applyFill="1" applyBorder="1" applyAlignment="1">
      <alignment horizontal="center" vertical="center" wrapText="1"/>
    </xf>
    <xf numFmtId="3" fontId="49" fillId="0" borderId="0" xfId="0" applyNumberFormat="1" applyFont="1" applyBorder="1" applyAlignment="1">
      <alignment horizontal="center" vertical="center" wrapText="1"/>
    </xf>
    <xf numFmtId="0" fontId="44" fillId="34" borderId="0" xfId="0" applyFont="1" applyFill="1" applyBorder="1" applyAlignment="1">
      <alignment horizontal="center" vertical="center" wrapText="1"/>
    </xf>
    <xf numFmtId="3" fontId="44" fillId="34" borderId="0" xfId="0" applyNumberFormat="1" applyFont="1" applyFill="1" applyBorder="1" applyAlignment="1">
      <alignment horizontal="center" vertical="center" wrapText="1"/>
    </xf>
    <xf numFmtId="10" fontId="44" fillId="34" borderId="0" xfId="0" applyNumberFormat="1" applyFont="1" applyFill="1" applyBorder="1" applyAlignment="1">
      <alignment horizontal="center" vertical="center" wrapText="1"/>
    </xf>
    <xf numFmtId="3" fontId="44" fillId="34" borderId="0" xfId="0" applyNumberFormat="1" applyFont="1" applyFill="1" applyBorder="1" applyAlignment="1">
      <alignment horizontal="left" vertical="center"/>
    </xf>
    <xf numFmtId="0" fontId="11" fillId="34" borderId="0" xfId="0" applyFont="1" applyFill="1"/>
    <xf numFmtId="0" fontId="11" fillId="34" borderId="0" xfId="0" applyFont="1" applyFill="1" applyBorder="1"/>
    <xf numFmtId="0" fontId="54" fillId="0" borderId="0" xfId="0" applyFont="1" applyFill="1" applyBorder="1" applyAlignment="1">
      <alignment horizontal="left" vertical="center"/>
    </xf>
    <xf numFmtId="0" fontId="51" fillId="0" borderId="0" xfId="0" applyFont="1" applyAlignment="1" applyProtection="1">
      <alignment horizontal="left" vertical="center"/>
    </xf>
    <xf numFmtId="0" fontId="11" fillId="0" borderId="0" xfId="0" applyFont="1" applyAlignment="1" applyProtection="1">
      <alignment horizontal="left" vertical="center"/>
    </xf>
    <xf numFmtId="0" fontId="11" fillId="0" borderId="0" xfId="0" applyFont="1" applyAlignment="1" applyProtection="1">
      <alignment horizontal="left"/>
    </xf>
    <xf numFmtId="0" fontId="11" fillId="0" borderId="0" xfId="0" applyFont="1" applyAlignment="1">
      <alignment horizontal="left" indent="1"/>
    </xf>
    <xf numFmtId="49" fontId="11" fillId="33" borderId="0" xfId="383" applyNumberFormat="1" applyFont="1" applyFill="1" applyBorder="1" applyAlignment="1">
      <alignment horizontal="center"/>
    </xf>
    <xf numFmtId="49" fontId="11" fillId="0" borderId="0" xfId="383" applyNumberFormat="1" applyFont="1" applyFill="1" applyBorder="1" applyAlignment="1">
      <alignment horizontal="center"/>
    </xf>
    <xf numFmtId="0" fontId="11" fillId="0" borderId="0" xfId="0" applyFont="1" applyFill="1" applyAlignment="1">
      <alignment horizontal="center"/>
    </xf>
    <xf numFmtId="0" fontId="26" fillId="0" borderId="0" xfId="0" applyFont="1" applyAlignment="1">
      <alignment horizontal="left" vertical="top"/>
    </xf>
    <xf numFmtId="3" fontId="44" fillId="0" borderId="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0" fontId="11" fillId="0" borderId="38" xfId="0" applyFont="1" applyFill="1" applyBorder="1" applyAlignment="1">
      <alignment horizontal="center"/>
    </xf>
    <xf numFmtId="49" fontId="11" fillId="0" borderId="15" xfId="0" applyNumberFormat="1" applyFont="1" applyFill="1" applyBorder="1" applyAlignment="1">
      <alignment horizontal="center"/>
    </xf>
    <xf numFmtId="49" fontId="18" fillId="0" borderId="9" xfId="516" applyNumberFormat="1" applyFont="1" applyFill="1" applyBorder="1" applyAlignment="1">
      <alignment horizontal="center"/>
    </xf>
    <xf numFmtId="49" fontId="18" fillId="0" borderId="2" xfId="516" applyNumberFormat="1" applyFont="1" applyFill="1" applyBorder="1" applyAlignment="1">
      <alignment horizontal="center"/>
    </xf>
    <xf numFmtId="0" fontId="11" fillId="0" borderId="23" xfId="0" applyFont="1" applyFill="1" applyBorder="1" applyAlignment="1">
      <alignment horizontal="center"/>
    </xf>
    <xf numFmtId="0" fontId="11" fillId="0" borderId="4" xfId="0" applyFont="1" applyBorder="1" applyAlignment="1">
      <alignment horizontal="center" wrapText="1"/>
    </xf>
    <xf numFmtId="1" fontId="11" fillId="0" borderId="23" xfId="0" applyNumberFormat="1" applyFont="1" applyFill="1" applyBorder="1" applyAlignment="1">
      <alignment horizontal="center"/>
    </xf>
    <xf numFmtId="0" fontId="11" fillId="0" borderId="30" xfId="0" applyFont="1" applyFill="1" applyBorder="1" applyAlignment="1">
      <alignment horizontal="center"/>
    </xf>
    <xf numFmtId="167" fontId="11" fillId="0" borderId="1" xfId="0" applyNumberFormat="1" applyFont="1" applyFill="1" applyBorder="1" applyAlignment="1">
      <alignment horizontal="center"/>
    </xf>
    <xf numFmtId="167" fontId="11" fillId="0" borderId="8" xfId="0" applyNumberFormat="1" applyFont="1" applyFill="1" applyBorder="1" applyAlignment="1">
      <alignment horizontal="center"/>
    </xf>
    <xf numFmtId="17" fontId="11" fillId="0" borderId="23" xfId="0" applyNumberFormat="1" applyFont="1" applyBorder="1" applyAlignment="1">
      <alignment horizontal="center"/>
    </xf>
    <xf numFmtId="17" fontId="11" fillId="0" borderId="0" xfId="0" applyNumberFormat="1" applyFont="1" applyBorder="1" applyAlignment="1">
      <alignment horizontal="center"/>
    </xf>
    <xf numFmtId="0" fontId="18" fillId="0" borderId="0" xfId="0" applyFont="1"/>
    <xf numFmtId="49" fontId="46" fillId="0" borderId="7" xfId="0" applyNumberFormat="1" applyFont="1" applyBorder="1" applyAlignment="1">
      <alignment horizontal="center" vertical="center" wrapText="1"/>
    </xf>
    <xf numFmtId="49" fontId="44" fillId="0" borderId="7" xfId="0" applyNumberFormat="1" applyFont="1" applyBorder="1" applyAlignment="1">
      <alignment horizontal="center" vertical="center" wrapText="1"/>
    </xf>
    <xf numFmtId="49" fontId="44" fillId="0" borderId="27"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1" fontId="11" fillId="0" borderId="0" xfId="0" applyNumberFormat="1" applyFont="1"/>
    <xf numFmtId="169" fontId="46" fillId="0" borderId="0" xfId="0" applyNumberFormat="1" applyFont="1" applyBorder="1" applyAlignment="1">
      <alignment horizontal="center" vertical="center" wrapText="1"/>
    </xf>
    <xf numFmtId="169" fontId="17" fillId="0" borderId="0" xfId="0" applyNumberFormat="1" applyFont="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9" fontId="46" fillId="0" borderId="1" xfId="557" applyFont="1" applyFill="1" applyBorder="1" applyAlignment="1">
      <alignment horizontal="center" vertical="center" wrapText="1"/>
    </xf>
    <xf numFmtId="9" fontId="44" fillId="0" borderId="1" xfId="557" applyFont="1" applyFill="1" applyBorder="1" applyAlignment="1">
      <alignment horizontal="center" vertical="center" wrapText="1"/>
    </xf>
    <xf numFmtId="3" fontId="17" fillId="0" borderId="1" xfId="0" applyNumberFormat="1" applyFont="1" applyBorder="1" applyAlignment="1">
      <alignment horizontal="center" vertical="center" wrapText="1"/>
    </xf>
    <xf numFmtId="49" fontId="46" fillId="0" borderId="2" xfId="0" applyNumberFormat="1" applyFont="1" applyBorder="1" applyAlignment="1">
      <alignment horizontal="center" vertical="center" wrapText="1"/>
    </xf>
    <xf numFmtId="169" fontId="17" fillId="0" borderId="8" xfId="0" applyNumberFormat="1" applyFont="1" applyBorder="1" applyAlignment="1">
      <alignment horizontal="center" vertical="center" wrapText="1"/>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xf numFmtId="49" fontId="11" fillId="0" borderId="42" xfId="0" applyNumberFormat="1" applyFont="1" applyBorder="1" applyAlignment="1">
      <alignment horizontal="center"/>
    </xf>
    <xf numFmtId="49" fontId="11" fillId="0" borderId="26" xfId="0" applyNumberFormat="1" applyFont="1" applyBorder="1" applyAlignment="1">
      <alignment horizontal="center"/>
    </xf>
    <xf numFmtId="0" fontId="11" fillId="0" borderId="43" xfId="0" applyFont="1" applyBorder="1"/>
    <xf numFmtId="0" fontId="11" fillId="0" borderId="44" xfId="0" applyFont="1" applyBorder="1"/>
    <xf numFmtId="49" fontId="11" fillId="0" borderId="43" xfId="0" applyNumberFormat="1" applyFont="1" applyBorder="1"/>
    <xf numFmtId="170" fontId="11" fillId="0" borderId="23" xfId="379" applyNumberFormat="1" applyFont="1" applyFill="1" applyBorder="1" applyAlignment="1">
      <alignment horizontal="center"/>
    </xf>
    <xf numFmtId="170" fontId="11" fillId="0" borderId="1" xfId="379" applyNumberFormat="1" applyFont="1" applyFill="1" applyBorder="1" applyAlignment="1">
      <alignment horizontal="center"/>
    </xf>
    <xf numFmtId="0" fontId="11" fillId="0" borderId="19" xfId="0" applyFont="1" applyFill="1" applyBorder="1"/>
    <xf numFmtId="49" fontId="11" fillId="0" borderId="2" xfId="0" applyNumberFormat="1" applyFont="1" applyFill="1" applyBorder="1" applyAlignment="1">
      <alignment horizontal="center" vertical="center" wrapText="1"/>
    </xf>
    <xf numFmtId="49" fontId="44" fillId="0" borderId="2" xfId="0" applyNumberFormat="1" applyFont="1" applyFill="1" applyBorder="1" applyAlignment="1">
      <alignment horizontal="center" vertical="center" wrapText="1"/>
    </xf>
    <xf numFmtId="49" fontId="44" fillId="0" borderId="9" xfId="0" applyNumberFormat="1" applyFont="1" applyFill="1" applyBorder="1" applyAlignment="1">
      <alignment horizontal="center" vertical="center" wrapText="1"/>
    </xf>
    <xf numFmtId="0" fontId="44" fillId="0" borderId="0" xfId="0" applyFont="1"/>
    <xf numFmtId="0" fontId="11" fillId="0" borderId="44" xfId="521" applyFont="1" applyBorder="1" applyAlignment="1">
      <alignment horizontal="center"/>
    </xf>
    <xf numFmtId="0" fontId="11" fillId="0" borderId="10" xfId="521" applyFont="1" applyBorder="1" applyAlignment="1">
      <alignment horizontal="center"/>
    </xf>
    <xf numFmtId="0" fontId="11" fillId="0" borderId="0" xfId="521" applyFont="1" applyAlignment="1">
      <alignment horizontal="center"/>
    </xf>
    <xf numFmtId="49" fontId="11" fillId="0" borderId="26" xfId="521" applyNumberFormat="1" applyFont="1" applyBorder="1" applyAlignment="1">
      <alignment horizontal="center"/>
    </xf>
    <xf numFmtId="2" fontId="11" fillId="0" borderId="26" xfId="521" applyNumberFormat="1" applyFont="1" applyBorder="1" applyAlignment="1">
      <alignment horizontal="center"/>
    </xf>
    <xf numFmtId="2" fontId="11" fillId="0" borderId="42" xfId="521" applyNumberFormat="1" applyFont="1" applyBorder="1" applyAlignment="1">
      <alignment horizontal="center"/>
    </xf>
    <xf numFmtId="0" fontId="11" fillId="0" borderId="26" xfId="521" applyNumberFormat="1" applyFont="1" applyBorder="1" applyAlignment="1">
      <alignment horizontal="center"/>
    </xf>
    <xf numFmtId="0" fontId="18" fillId="0" borderId="43" xfId="0" applyFont="1" applyBorder="1"/>
    <xf numFmtId="0" fontId="18" fillId="0" borderId="44" xfId="0" applyFont="1" applyBorder="1"/>
    <xf numFmtId="0" fontId="18" fillId="0" borderId="9" xfId="0" applyFont="1" applyBorder="1"/>
    <xf numFmtId="0" fontId="18" fillId="0" borderId="10" xfId="0" applyFont="1" applyBorder="1"/>
    <xf numFmtId="0" fontId="28" fillId="0" borderId="0" xfId="0" applyFont="1" applyFill="1" applyBorder="1"/>
    <xf numFmtId="0" fontId="46" fillId="0" borderId="28" xfId="0" applyFont="1" applyBorder="1" applyAlignment="1">
      <alignment horizontal="center" wrapText="1"/>
    </xf>
    <xf numFmtId="0" fontId="18" fillId="0" borderId="39" xfId="0" applyFont="1" applyBorder="1" applyAlignment="1">
      <alignment horizontal="center"/>
    </xf>
    <xf numFmtId="43" fontId="11" fillId="0" borderId="1" xfId="379" applyFont="1" applyFill="1" applyBorder="1"/>
    <xf numFmtId="1" fontId="44" fillId="33" borderId="8" xfId="0" applyNumberFormat="1" applyFont="1" applyFill="1" applyBorder="1" applyAlignment="1">
      <alignment horizontal="center"/>
    </xf>
    <xf numFmtId="167" fontId="11" fillId="0" borderId="26" xfId="0" applyNumberFormat="1" applyFont="1" applyBorder="1"/>
    <xf numFmtId="1" fontId="11" fillId="33" borderId="21" xfId="0" applyNumberFormat="1" applyFont="1" applyFill="1" applyBorder="1" applyAlignment="1">
      <alignment horizontal="center"/>
    </xf>
    <xf numFmtId="3" fontId="46" fillId="0" borderId="1" xfId="0" applyNumberFormat="1" applyFont="1" applyBorder="1" applyAlignment="1">
      <alignment horizontal="center" vertical="center" wrapText="1"/>
    </xf>
    <xf numFmtId="174" fontId="27" fillId="0" borderId="0" xfId="524" applyNumberFormat="1" applyFont="1"/>
    <xf numFmtId="175" fontId="27" fillId="0" borderId="0" xfId="524" applyNumberFormat="1" applyFont="1"/>
    <xf numFmtId="0" fontId="11" fillId="0" borderId="66" xfId="521" applyFont="1" applyBorder="1"/>
    <xf numFmtId="0" fontId="11" fillId="0" borderId="55" xfId="521" applyFont="1" applyBorder="1"/>
    <xf numFmtId="0" fontId="11" fillId="0" borderId="21" xfId="521" applyFont="1" applyBorder="1"/>
    <xf numFmtId="49" fontId="11" fillId="0" borderId="21" xfId="521" applyNumberFormat="1" applyFont="1" applyBorder="1"/>
    <xf numFmtId="0" fontId="11" fillId="0" borderId="17" xfId="521" applyFont="1" applyBorder="1"/>
    <xf numFmtId="0" fontId="11" fillId="0" borderId="22" xfId="521" applyFont="1" applyBorder="1"/>
    <xf numFmtId="176" fontId="27" fillId="0" borderId="0" xfId="379" applyNumberFormat="1" applyFont="1"/>
    <xf numFmtId="0" fontId="17" fillId="0" borderId="2" xfId="0" quotePrefix="1" applyFont="1" applyBorder="1" applyAlignment="1">
      <alignment horizontal="center" vertical="center" wrapText="1"/>
    </xf>
    <xf numFmtId="171" fontId="11" fillId="0" borderId="0" xfId="379" applyNumberFormat="1" applyFont="1" applyFill="1" applyBorder="1" applyAlignment="1">
      <alignment horizontal="center"/>
    </xf>
    <xf numFmtId="171" fontId="44" fillId="0" borderId="0" xfId="379" applyNumberFormat="1" applyFont="1" applyFill="1" applyBorder="1" applyAlignment="1">
      <alignment horizontal="center"/>
    </xf>
    <xf numFmtId="170" fontId="11" fillId="0" borderId="0" xfId="379" applyNumberFormat="1" applyFont="1" applyAlignment="1">
      <alignment horizontal="center"/>
    </xf>
    <xf numFmtId="170" fontId="11" fillId="0" borderId="0" xfId="379" applyNumberFormat="1" applyFont="1"/>
    <xf numFmtId="167" fontId="11" fillId="0" borderId="52" xfId="0" applyNumberFormat="1" applyFont="1" applyFill="1" applyBorder="1" applyAlignment="1">
      <alignment horizontal="center"/>
    </xf>
    <xf numFmtId="170" fontId="11" fillId="0" borderId="2" xfId="379" applyNumberFormat="1" applyFont="1" applyBorder="1"/>
    <xf numFmtId="0" fontId="11" fillId="0" borderId="8" xfId="0" applyFont="1" applyBorder="1"/>
    <xf numFmtId="167" fontId="11" fillId="0" borderId="11" xfId="0" applyNumberFormat="1" applyFont="1" applyFill="1" applyBorder="1" applyAlignment="1">
      <alignment horizontal="center"/>
    </xf>
    <xf numFmtId="0" fontId="18" fillId="0" borderId="1" xfId="0" applyFont="1" applyFill="1" applyBorder="1" applyAlignment="1" applyProtection="1">
      <alignment horizontal="center" wrapText="1"/>
      <protection locked="0"/>
    </xf>
    <xf numFmtId="0" fontId="11" fillId="0" borderId="0" xfId="0" applyFont="1" applyProtection="1">
      <protection locked="0"/>
    </xf>
    <xf numFmtId="0" fontId="11" fillId="0" borderId="0" xfId="0" applyFont="1" applyAlignment="1" applyProtection="1">
      <alignment horizontal="center"/>
      <protection locked="0"/>
    </xf>
    <xf numFmtId="0" fontId="26" fillId="0" borderId="0" xfId="0" applyFont="1" applyAlignment="1" applyProtection="1">
      <alignment horizontal="left"/>
      <protection locked="0"/>
    </xf>
    <xf numFmtId="0" fontId="11" fillId="0" borderId="0" xfId="0" applyFont="1" applyBorder="1" applyProtection="1">
      <protection locked="0"/>
    </xf>
    <xf numFmtId="0" fontId="11" fillId="0" borderId="1" xfId="0" applyFont="1" applyBorder="1" applyAlignment="1" applyProtection="1">
      <alignment horizontal="center"/>
      <protection locked="0"/>
    </xf>
    <xf numFmtId="49" fontId="11" fillId="0" borderId="1" xfId="0" applyNumberFormat="1" applyFont="1" applyBorder="1" applyAlignment="1" applyProtection="1">
      <alignment horizontal="center"/>
      <protection locked="0"/>
    </xf>
    <xf numFmtId="17" fontId="11" fillId="0" borderId="0" xfId="0" applyNumberFormat="1" applyFont="1" applyBorder="1" applyAlignment="1" applyProtection="1">
      <alignment horizontal="center"/>
      <protection locked="0"/>
    </xf>
    <xf numFmtId="49" fontId="11" fillId="0" borderId="1" xfId="0" applyNumberFormat="1" applyFont="1" applyBorder="1" applyAlignment="1" applyProtection="1">
      <alignment horizontal="center" wrapText="1"/>
      <protection locked="0"/>
    </xf>
    <xf numFmtId="0" fontId="18" fillId="33" borderId="1" xfId="0" applyFont="1" applyFill="1" applyBorder="1" applyAlignment="1" applyProtection="1">
      <alignment horizontal="center" wrapText="1"/>
      <protection locked="0"/>
    </xf>
    <xf numFmtId="0" fontId="58" fillId="0" borderId="0" xfId="0" applyFont="1" applyAlignment="1" applyProtection="1">
      <alignment horizontal="center"/>
      <protection locked="0"/>
    </xf>
    <xf numFmtId="0" fontId="57" fillId="0" borderId="0" xfId="0" applyFont="1" applyAlignment="1" applyProtection="1">
      <alignment horizontal="center"/>
      <protection locked="0"/>
    </xf>
    <xf numFmtId="0" fontId="57" fillId="0" borderId="1" xfId="0" applyFont="1" applyBorder="1" applyAlignment="1" applyProtection="1">
      <alignment horizontal="center"/>
      <protection locked="0"/>
    </xf>
    <xf numFmtId="167" fontId="11" fillId="0" borderId="30" xfId="0" applyNumberFormat="1" applyFont="1" applyBorder="1" applyAlignment="1">
      <alignment horizontal="center"/>
    </xf>
    <xf numFmtId="167" fontId="11" fillId="0" borderId="29" xfId="0" applyNumberFormat="1" applyFont="1" applyBorder="1" applyAlignment="1">
      <alignment horizontal="center"/>
    </xf>
    <xf numFmtId="0" fontId="0" fillId="0" borderId="0" xfId="0" applyProtection="1">
      <protection locked="0"/>
    </xf>
    <xf numFmtId="0" fontId="54" fillId="0" borderId="0" xfId="0" applyFont="1" applyBorder="1" applyAlignment="1" applyProtection="1">
      <alignment horizontal="left" vertical="center"/>
      <protection locked="0"/>
    </xf>
    <xf numFmtId="0" fontId="11" fillId="0" borderId="0" xfId="0" applyFont="1" applyFill="1" applyProtection="1">
      <protection locked="0"/>
    </xf>
    <xf numFmtId="17" fontId="11" fillId="0" borderId="23" xfId="0" applyNumberFormat="1" applyFont="1" applyBorder="1" applyAlignment="1" applyProtection="1">
      <alignment horizontal="center"/>
      <protection locked="0"/>
    </xf>
    <xf numFmtId="170" fontId="11" fillId="0" borderId="23" xfId="379" applyNumberFormat="1" applyFont="1" applyFill="1" applyBorder="1" applyAlignment="1" applyProtection="1">
      <alignment horizontal="center"/>
      <protection locked="0"/>
    </xf>
    <xf numFmtId="0" fontId="11" fillId="0" borderId="1" xfId="0" applyFont="1" applyFill="1" applyBorder="1" applyProtection="1">
      <protection locked="0"/>
    </xf>
    <xf numFmtId="43" fontId="11" fillId="0" borderId="1" xfId="379" applyFont="1" applyFill="1" applyBorder="1" applyProtection="1">
      <protection locked="0"/>
    </xf>
    <xf numFmtId="0" fontId="15" fillId="0" borderId="0" xfId="0" applyFont="1" applyProtection="1">
      <protection locked="0"/>
    </xf>
    <xf numFmtId="43" fontId="11" fillId="0" borderId="1" xfId="379" applyFont="1" applyBorder="1" applyAlignment="1" applyProtection="1">
      <alignment horizontal="center"/>
      <protection locked="0"/>
    </xf>
    <xf numFmtId="10" fontId="11" fillId="0" borderId="1" xfId="557" applyNumberFormat="1"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0" xfId="0" quotePrefix="1" applyFont="1" applyAlignment="1" applyProtection="1">
      <alignment horizontal="center"/>
      <protection locked="0"/>
    </xf>
    <xf numFmtId="9" fontId="11" fillId="0" borderId="0" xfId="557" applyFont="1" applyProtection="1">
      <protection locked="0"/>
    </xf>
    <xf numFmtId="0" fontId="18" fillId="0" borderId="0" xfId="0" applyFont="1" applyProtection="1">
      <protection locked="0"/>
    </xf>
    <xf numFmtId="10" fontId="18" fillId="0" borderId="0" xfId="0" applyNumberFormat="1" applyFont="1" applyAlignment="1" applyProtection="1">
      <alignment horizontal="center"/>
      <protection locked="0"/>
    </xf>
    <xf numFmtId="0" fontId="20" fillId="0" borderId="0" xfId="0" applyFont="1" applyAlignment="1" applyProtection="1">
      <alignment horizontal="left" indent="1"/>
      <protection locked="0"/>
    </xf>
    <xf numFmtId="17" fontId="11" fillId="0" borderId="0" xfId="0" applyNumberFormat="1" applyFont="1" applyBorder="1" applyProtection="1">
      <protection locked="0"/>
    </xf>
    <xf numFmtId="9" fontId="11" fillId="0" borderId="0" xfId="0" applyNumberFormat="1" applyFont="1" applyProtection="1">
      <protection locked="0"/>
    </xf>
    <xf numFmtId="3" fontId="11" fillId="0" borderId="0" xfId="0" applyNumberFormat="1" applyFont="1"/>
    <xf numFmtId="0" fontId="18" fillId="0" borderId="19" xfId="0" applyFont="1" applyFill="1" applyBorder="1" applyAlignment="1">
      <alignment horizontal="center"/>
    </xf>
    <xf numFmtId="3" fontId="44" fillId="0" borderId="10" xfId="0"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3" fontId="44" fillId="0" borderId="50" xfId="0" applyNumberFormat="1" applyFont="1" applyBorder="1" applyAlignment="1">
      <alignment horizontal="center" vertical="center" wrapText="1"/>
    </xf>
    <xf numFmtId="0" fontId="46" fillId="0" borderId="23" xfId="0" applyFont="1" applyBorder="1" applyAlignment="1">
      <alignment horizontal="center" vertical="center" wrapText="1"/>
    </xf>
    <xf numFmtId="3" fontId="44" fillId="0" borderId="1" xfId="0" applyNumberFormat="1" applyFont="1" applyBorder="1" applyAlignment="1">
      <alignment horizontal="center" vertical="center" wrapText="1"/>
    </xf>
    <xf numFmtId="0" fontId="11" fillId="0" borderId="39" xfId="0" applyFont="1" applyFill="1" applyBorder="1" applyAlignment="1">
      <alignment horizontal="left"/>
    </xf>
    <xf numFmtId="2" fontId="44" fillId="0" borderId="42" xfId="0" applyNumberFormat="1" applyFont="1" applyFill="1" applyBorder="1" applyAlignment="1">
      <alignment horizontal="center"/>
    </xf>
    <xf numFmtId="0" fontId="11" fillId="0" borderId="66" xfId="0" applyFont="1" applyFill="1" applyBorder="1" applyAlignment="1">
      <alignment horizontal="left"/>
    </xf>
    <xf numFmtId="0" fontId="11" fillId="0" borderId="26" xfId="0" applyFont="1" applyFill="1" applyBorder="1" applyAlignment="1">
      <alignment horizontal="center"/>
    </xf>
    <xf numFmtId="0" fontId="18" fillId="36" borderId="72" xfId="0" applyFont="1" applyFill="1" applyBorder="1" applyAlignment="1">
      <alignment horizontal="center"/>
    </xf>
    <xf numFmtId="0" fontId="18" fillId="36" borderId="73" xfId="0" applyFont="1" applyFill="1" applyBorder="1" applyAlignment="1">
      <alignment horizontal="center"/>
    </xf>
    <xf numFmtId="49" fontId="11" fillId="36" borderId="71" xfId="0" applyNumberFormat="1" applyFont="1" applyFill="1" applyBorder="1" applyAlignment="1">
      <alignment wrapText="1"/>
    </xf>
    <xf numFmtId="167" fontId="11" fillId="0" borderId="10" xfId="0" applyNumberFormat="1" applyFont="1" applyFill="1" applyBorder="1" applyAlignment="1">
      <alignment horizontal="center"/>
    </xf>
    <xf numFmtId="170" fontId="11" fillId="0" borderId="26" xfId="379" applyNumberFormat="1" applyFont="1" applyBorder="1"/>
    <xf numFmtId="170" fontId="11" fillId="0" borderId="1" xfId="379" applyNumberFormat="1" applyFont="1" applyBorder="1" applyAlignment="1">
      <alignment horizontal="center"/>
    </xf>
    <xf numFmtId="170" fontId="11" fillId="0" borderId="10" xfId="379" applyNumberFormat="1" applyFont="1" applyFill="1" applyBorder="1" applyAlignment="1">
      <alignment horizontal="center"/>
    </xf>
    <xf numFmtId="170" fontId="17" fillId="0" borderId="1" xfId="379" applyNumberFormat="1" applyFont="1" applyBorder="1" applyAlignment="1">
      <alignment horizontal="center"/>
    </xf>
    <xf numFmtId="170" fontId="11" fillId="33" borderId="1" xfId="379" applyNumberFormat="1" applyFont="1" applyFill="1" applyBorder="1" applyAlignment="1">
      <alignment horizontal="center"/>
    </xf>
    <xf numFmtId="170" fontId="11" fillId="33" borderId="10" xfId="379" applyNumberFormat="1" applyFont="1" applyFill="1" applyBorder="1" applyAlignment="1">
      <alignment horizontal="center"/>
    </xf>
    <xf numFmtId="170" fontId="11" fillId="0" borderId="0" xfId="0" applyNumberFormat="1" applyFont="1"/>
    <xf numFmtId="0" fontId="11" fillId="0" borderId="70" xfId="0" applyFont="1" applyBorder="1" applyAlignment="1">
      <alignment horizontal="center"/>
    </xf>
    <xf numFmtId="0" fontId="0" fillId="0" borderId="68" xfId="0" applyBorder="1"/>
    <xf numFmtId="0" fontId="66" fillId="0" borderId="0" xfId="0" applyFont="1" applyBorder="1"/>
    <xf numFmtId="0" fontId="67" fillId="0" borderId="50" xfId="0" applyFont="1" applyBorder="1"/>
    <xf numFmtId="0" fontId="67" fillId="0" borderId="54" xfId="0" applyFont="1" applyFill="1" applyBorder="1"/>
    <xf numFmtId="3" fontId="44" fillId="0" borderId="1" xfId="0" applyNumberFormat="1" applyFont="1" applyBorder="1" applyAlignment="1">
      <alignment horizontal="center" vertical="center" wrapText="1"/>
    </xf>
    <xf numFmtId="0" fontId="11" fillId="0" borderId="26" xfId="0" applyFont="1" applyBorder="1" applyAlignment="1">
      <alignment horizontal="center"/>
    </xf>
    <xf numFmtId="49" fontId="44" fillId="0" borderId="9" xfId="0" applyNumberFormat="1" applyFont="1" applyBorder="1" applyAlignment="1">
      <alignment horizontal="center" vertical="center" wrapText="1"/>
    </xf>
    <xf numFmtId="3" fontId="46" fillId="0" borderId="28" xfId="0" applyNumberFormat="1" applyFont="1" applyBorder="1" applyAlignment="1">
      <alignment horizontal="center" vertical="center" wrapText="1"/>
    </xf>
    <xf numFmtId="0" fontId="11" fillId="0" borderId="74" xfId="0" applyFont="1" applyBorder="1"/>
    <xf numFmtId="2" fontId="11" fillId="0" borderId="0" xfId="379" applyNumberFormat="1" applyFont="1" applyFill="1" applyBorder="1" applyAlignment="1" applyProtection="1">
      <alignment horizontal="center"/>
      <protection locked="0"/>
    </xf>
    <xf numFmtId="0" fontId="18" fillId="0" borderId="0" xfId="0" applyFont="1" applyFill="1" applyAlignment="1" applyProtection="1">
      <alignment horizontal="center" vertical="center"/>
      <protection locked="0"/>
    </xf>
    <xf numFmtId="0" fontId="57" fillId="0" borderId="1" xfId="0" applyFont="1" applyBorder="1" applyAlignment="1">
      <alignment horizontal="center"/>
    </xf>
    <xf numFmtId="169" fontId="17" fillId="0" borderId="52" xfId="0" applyNumberFormat="1" applyFont="1" applyBorder="1" applyAlignment="1">
      <alignment horizontal="center" vertical="center" wrapText="1"/>
    </xf>
    <xf numFmtId="0" fontId="57" fillId="0" borderId="15" xfId="0" applyFont="1" applyBorder="1" applyAlignment="1"/>
    <xf numFmtId="0" fontId="57" fillId="0" borderId="16" xfId="0" applyFont="1" applyBorder="1" applyAlignment="1"/>
    <xf numFmtId="0" fontId="11" fillId="0" borderId="0" xfId="0" applyFont="1" applyAlignment="1">
      <alignment horizontal="center" wrapText="1"/>
    </xf>
    <xf numFmtId="0" fontId="83" fillId="0" borderId="0" xfId="0" applyFont="1" applyAlignment="1">
      <alignment horizontal="left"/>
    </xf>
    <xf numFmtId="172" fontId="11" fillId="0" borderId="0" xfId="383" applyNumberFormat="1" applyFont="1" applyFill="1" applyBorder="1" applyAlignment="1"/>
    <xf numFmtId="0" fontId="57" fillId="0" borderId="39" xfId="0" applyFont="1" applyBorder="1" applyAlignment="1">
      <alignment horizontal="center" wrapText="1"/>
    </xf>
    <xf numFmtId="0" fontId="57" fillId="0" borderId="42" xfId="0" applyFont="1" applyBorder="1" applyAlignment="1">
      <alignment horizontal="center" wrapText="1"/>
    </xf>
    <xf numFmtId="3" fontId="57" fillId="0" borderId="30" xfId="0" applyNumberFormat="1" applyFont="1" applyBorder="1" applyAlignment="1">
      <alignment horizontal="center" vertical="center" wrapText="1"/>
    </xf>
    <xf numFmtId="3" fontId="57" fillId="0" borderId="8" xfId="0" applyNumberFormat="1" applyFont="1" applyBorder="1" applyAlignment="1">
      <alignment horizontal="center" vertical="center" wrapText="1"/>
    </xf>
    <xf numFmtId="0" fontId="57" fillId="0" borderId="51" xfId="0" applyFont="1" applyBorder="1" applyAlignment="1"/>
    <xf numFmtId="0" fontId="57" fillId="0" borderId="67" xfId="0" applyFont="1" applyBorder="1" applyAlignment="1"/>
    <xf numFmtId="3" fontId="57" fillId="0" borderId="55" xfId="0" applyNumberFormat="1" applyFont="1" applyBorder="1" applyAlignment="1">
      <alignment horizontal="center" vertical="center" wrapText="1"/>
    </xf>
    <xf numFmtId="3" fontId="57" fillId="0" borderId="21" xfId="0" applyNumberFormat="1" applyFont="1" applyBorder="1" applyAlignment="1">
      <alignment horizontal="center" vertical="center" wrapText="1"/>
    </xf>
    <xf numFmtId="3" fontId="57" fillId="0" borderId="22" xfId="0" applyNumberFormat="1" applyFont="1" applyBorder="1" applyAlignment="1">
      <alignment horizontal="center" vertical="center" wrapText="1"/>
    </xf>
    <xf numFmtId="49" fontId="57" fillId="0" borderId="1" xfId="0" applyNumberFormat="1" applyFont="1" applyBorder="1" applyAlignment="1">
      <alignment horizontal="center"/>
    </xf>
    <xf numFmtId="0" fontId="46" fillId="0" borderId="50" xfId="0" applyFont="1" applyFill="1" applyBorder="1" applyAlignment="1">
      <alignment horizontal="center" vertical="center" wrapText="1"/>
    </xf>
    <xf numFmtId="3" fontId="17" fillId="0" borderId="50" xfId="0" applyNumberFormat="1" applyFont="1" applyBorder="1" applyAlignment="1">
      <alignment horizontal="center" vertical="center" wrapText="1"/>
    </xf>
    <xf numFmtId="0" fontId="11" fillId="0" borderId="56" xfId="0" applyFont="1" applyBorder="1" applyAlignment="1">
      <alignment horizontal="center"/>
    </xf>
    <xf numFmtId="49" fontId="57" fillId="0" borderId="55" xfId="0" applyNumberFormat="1" applyFont="1" applyBorder="1" applyAlignment="1">
      <alignment horizontal="center"/>
    </xf>
    <xf numFmtId="49" fontId="57" fillId="0" borderId="21" xfId="0" applyNumberFormat="1" applyFont="1" applyBorder="1" applyAlignment="1">
      <alignment horizontal="center"/>
    </xf>
    <xf numFmtId="49" fontId="57" fillId="0" borderId="17" xfId="0" applyNumberFormat="1" applyFont="1" applyBorder="1" applyAlignment="1">
      <alignment horizontal="center"/>
    </xf>
    <xf numFmtId="0" fontId="55" fillId="0" borderId="37" xfId="636" applyFont="1" applyFill="1" applyBorder="1" applyAlignment="1">
      <alignment horizontal="center" vertical="center" wrapText="1"/>
    </xf>
    <xf numFmtId="43" fontId="17" fillId="0" borderId="1" xfId="379" applyFont="1" applyBorder="1" applyAlignment="1">
      <alignment horizontal="center" vertical="center" wrapText="1"/>
    </xf>
    <xf numFmtId="0" fontId="46" fillId="0" borderId="13" xfId="0" applyFont="1" applyFill="1" applyBorder="1" applyAlignment="1">
      <alignment horizontal="center" vertical="center" wrapText="1"/>
    </xf>
    <xf numFmtId="1" fontId="11" fillId="0" borderId="10" xfId="0" applyNumberFormat="1" applyFont="1" applyBorder="1" applyAlignment="1">
      <alignment horizontal="center"/>
    </xf>
    <xf numFmtId="3" fontId="57" fillId="0" borderId="56" xfId="0" applyNumberFormat="1" applyFont="1" applyBorder="1" applyAlignment="1">
      <alignment horizontal="center" vertical="center" wrapText="1"/>
    </xf>
    <xf numFmtId="3" fontId="57" fillId="0" borderId="50" xfId="0" applyNumberFormat="1" applyFont="1" applyBorder="1" applyAlignment="1">
      <alignment horizontal="center" vertical="center" wrapText="1"/>
    </xf>
    <xf numFmtId="173" fontId="11" fillId="0" borderId="8" xfId="379" applyNumberFormat="1" applyFont="1" applyFill="1" applyBorder="1" applyAlignment="1"/>
    <xf numFmtId="1" fontId="11" fillId="0" borderId="1" xfId="0" applyNumberFormat="1" applyFont="1" applyBorder="1" applyAlignment="1">
      <alignment horizontal="center"/>
    </xf>
    <xf numFmtId="43" fontId="11" fillId="0" borderId="1" xfId="0" applyNumberFormat="1" applyFont="1" applyBorder="1" applyAlignment="1">
      <alignment horizontal="center"/>
    </xf>
    <xf numFmtId="170" fontId="11" fillId="0" borderId="8" xfId="379" applyNumberFormat="1" applyFont="1" applyBorder="1" applyAlignment="1">
      <alignment horizontal="center"/>
    </xf>
    <xf numFmtId="170" fontId="11" fillId="0" borderId="11" xfId="379" applyNumberFormat="1" applyFont="1" applyBorder="1" applyAlignment="1">
      <alignment horizontal="center"/>
    </xf>
    <xf numFmtId="0" fontId="11" fillId="0" borderId="19"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176" fontId="11" fillId="0" borderId="50" xfId="0" applyNumberFormat="1" applyFont="1" applyBorder="1" applyAlignment="1">
      <alignment horizontal="center"/>
    </xf>
    <xf numFmtId="176" fontId="11" fillId="0" borderId="56" xfId="0" applyNumberFormat="1" applyFont="1" applyBorder="1" applyAlignment="1">
      <alignment horizontal="center"/>
    </xf>
    <xf numFmtId="170" fontId="11" fillId="0" borderId="21" xfId="379" applyNumberFormat="1" applyFont="1" applyBorder="1" applyAlignment="1">
      <alignment horizontal="center"/>
    </xf>
    <xf numFmtId="170" fontId="11" fillId="0" borderId="22" xfId="379" applyNumberFormat="1" applyFont="1" applyBorder="1" applyAlignment="1">
      <alignment horizontal="center"/>
    </xf>
    <xf numFmtId="0" fontId="11" fillId="0" borderId="36" xfId="0" applyFont="1" applyBorder="1" applyAlignment="1">
      <alignment horizontal="center" wrapText="1"/>
    </xf>
    <xf numFmtId="3" fontId="11" fillId="0" borderId="0" xfId="0" applyNumberFormat="1" applyFont="1" applyAlignment="1">
      <alignment horizontal="center"/>
    </xf>
    <xf numFmtId="0" fontId="86" fillId="0" borderId="0" xfId="0" applyFont="1" applyAlignment="1">
      <alignment horizontal="left"/>
    </xf>
    <xf numFmtId="1" fontId="46" fillId="0" borderId="2" xfId="0" applyNumberFormat="1" applyFont="1" applyBorder="1" applyAlignment="1">
      <alignment horizontal="center" vertical="center" wrapText="1"/>
    </xf>
    <xf numFmtId="0" fontId="46" fillId="0" borderId="19" xfId="0" applyFont="1" applyBorder="1" applyAlignment="1">
      <alignment horizontal="center" vertical="center" wrapText="1"/>
    </xf>
    <xf numFmtId="0" fontId="46" fillId="0" borderId="12" xfId="0" applyFont="1" applyBorder="1" applyAlignment="1">
      <alignment horizontal="center" vertical="center" wrapText="1"/>
    </xf>
    <xf numFmtId="0" fontId="87" fillId="0" borderId="80" xfId="0" applyFont="1" applyBorder="1"/>
    <xf numFmtId="0" fontId="87" fillId="0" borderId="81" xfId="0" quotePrefix="1" applyFont="1" applyBorder="1"/>
    <xf numFmtId="0" fontId="87" fillId="0" borderId="81" xfId="0" applyFont="1" applyBorder="1"/>
    <xf numFmtId="0" fontId="67" fillId="0" borderId="81" xfId="0" applyFont="1" applyBorder="1"/>
    <xf numFmtId="0" fontId="67" fillId="0" borderId="17" xfId="0" applyFont="1" applyBorder="1"/>
    <xf numFmtId="0" fontId="87" fillId="0" borderId="82" xfId="0" applyFont="1" applyBorder="1"/>
    <xf numFmtId="0" fontId="87" fillId="0" borderId="0" xfId="0" quotePrefix="1" applyFont="1" applyBorder="1"/>
    <xf numFmtId="0" fontId="87" fillId="0" borderId="0" xfId="0" applyFont="1" applyBorder="1"/>
    <xf numFmtId="0" fontId="67" fillId="0" borderId="0" xfId="0" applyFont="1" applyBorder="1"/>
    <xf numFmtId="0" fontId="67" fillId="0" borderId="68" xfId="0" applyFont="1" applyBorder="1"/>
    <xf numFmtId="0" fontId="87" fillId="0" borderId="54" xfId="0" applyFont="1" applyBorder="1"/>
    <xf numFmtId="0" fontId="87" fillId="0" borderId="70" xfId="0" quotePrefix="1" applyFont="1" applyBorder="1"/>
    <xf numFmtId="0" fontId="87" fillId="0" borderId="70" xfId="0" applyFont="1" applyBorder="1"/>
    <xf numFmtId="0" fontId="67" fillId="0" borderId="70" xfId="0" applyFont="1" applyBorder="1"/>
    <xf numFmtId="0" fontId="67" fillId="0" borderId="55" xfId="0" applyFont="1" applyBorder="1"/>
    <xf numFmtId="0" fontId="55" fillId="0" borderId="36" xfId="636" applyFont="1" applyFill="1" applyBorder="1" applyAlignment="1">
      <alignment horizontal="center" vertical="center" wrapText="1"/>
    </xf>
    <xf numFmtId="43" fontId="46" fillId="0" borderId="50" xfId="379" applyFont="1" applyBorder="1" applyAlignment="1">
      <alignment horizontal="center" vertical="center" wrapText="1"/>
    </xf>
    <xf numFmtId="172" fontId="11" fillId="0" borderId="8" xfId="383" applyNumberFormat="1" applyFont="1" applyFill="1" applyBorder="1" applyAlignment="1"/>
    <xf numFmtId="43" fontId="11" fillId="0" borderId="10" xfId="0" applyNumberFormat="1" applyFont="1" applyBorder="1" applyAlignment="1">
      <alignment horizontal="center"/>
    </xf>
    <xf numFmtId="176" fontId="46" fillId="0" borderId="1" xfId="379" applyNumberFormat="1" applyFont="1" applyBorder="1" applyAlignment="1">
      <alignment horizontal="center" vertical="center" wrapText="1"/>
    </xf>
    <xf numFmtId="0" fontId="55" fillId="0" borderId="35" xfId="636" applyFont="1" applyBorder="1" applyAlignment="1">
      <alignment horizontal="center" vertical="center" wrapText="1"/>
    </xf>
    <xf numFmtId="172" fontId="11" fillId="0" borderId="11" xfId="383" applyNumberFormat="1" applyFont="1" applyFill="1" applyBorder="1" applyAlignment="1"/>
    <xf numFmtId="177" fontId="17" fillId="0" borderId="1" xfId="0" applyNumberFormat="1" applyFont="1" applyBorder="1" applyAlignment="1">
      <alignment horizontal="center" vertical="center" wrapText="1"/>
    </xf>
    <xf numFmtId="176" fontId="17" fillId="0" borderId="1" xfId="379" applyNumberFormat="1" applyFont="1" applyBorder="1" applyAlignment="1">
      <alignment horizontal="center" vertical="center" wrapText="1"/>
    </xf>
    <xf numFmtId="0" fontId="27" fillId="0" borderId="0" xfId="524" applyFont="1"/>
    <xf numFmtId="10" fontId="11" fillId="0" borderId="0" xfId="559" applyNumberFormat="1" applyFont="1" applyBorder="1"/>
    <xf numFmtId="0" fontId="43" fillId="0" borderId="0" xfId="524" applyFont="1" applyBorder="1" applyAlignment="1">
      <alignment vertical="top" wrapText="1"/>
    </xf>
    <xf numFmtId="0" fontId="52" fillId="0" borderId="0" xfId="524" applyFont="1" applyBorder="1" applyAlignment="1">
      <alignment vertical="top" wrapText="1"/>
    </xf>
    <xf numFmtId="170" fontId="11" fillId="0" borderId="23" xfId="379" applyNumberFormat="1" applyFont="1" applyFill="1" applyBorder="1" applyAlignment="1">
      <alignment horizontal="center"/>
    </xf>
    <xf numFmtId="170" fontId="11" fillId="0" borderId="30" xfId="379" applyNumberFormat="1" applyFont="1" applyFill="1" applyBorder="1" applyAlignment="1">
      <alignment horizontal="center"/>
    </xf>
    <xf numFmtId="170" fontId="11" fillId="0" borderId="1" xfId="379" applyNumberFormat="1" applyFont="1" applyFill="1" applyBorder="1" applyAlignment="1">
      <alignment horizontal="center"/>
    </xf>
    <xf numFmtId="170" fontId="11" fillId="0" borderId="8" xfId="379" applyNumberFormat="1" applyFont="1" applyFill="1" applyBorder="1" applyAlignment="1">
      <alignment horizontal="center"/>
    </xf>
    <xf numFmtId="170" fontId="11" fillId="0" borderId="33" xfId="379" applyNumberFormat="1" applyFont="1" applyFill="1" applyBorder="1" applyAlignment="1">
      <alignment horizontal="center"/>
    </xf>
    <xf numFmtId="170" fontId="11" fillId="0" borderId="44" xfId="379" applyNumberFormat="1" applyFont="1" applyFill="1" applyBorder="1" applyAlignment="1">
      <alignment horizontal="center"/>
    </xf>
    <xf numFmtId="170" fontId="44" fillId="0" borderId="44" xfId="379" applyNumberFormat="1" applyFont="1" applyFill="1" applyBorder="1" applyAlignment="1">
      <alignment horizontal="center"/>
    </xf>
    <xf numFmtId="170" fontId="18" fillId="0" borderId="44" xfId="379" applyNumberFormat="1" applyFont="1" applyFill="1" applyBorder="1" applyAlignment="1">
      <alignment horizontal="center"/>
    </xf>
    <xf numFmtId="170" fontId="18" fillId="0" borderId="18" xfId="379" applyNumberFormat="1" applyFont="1" applyFill="1" applyBorder="1" applyAlignment="1">
      <alignment horizontal="center"/>
    </xf>
    <xf numFmtId="170" fontId="18" fillId="0" borderId="10" xfId="379" applyNumberFormat="1" applyFont="1" applyFill="1" applyBorder="1" applyAlignment="1">
      <alignment horizontal="center"/>
    </xf>
    <xf numFmtId="170" fontId="18" fillId="0" borderId="11" xfId="379" applyNumberFormat="1" applyFont="1" applyFill="1" applyBorder="1" applyAlignment="1">
      <alignment horizontal="center"/>
    </xf>
    <xf numFmtId="170" fontId="11" fillId="0" borderId="2" xfId="379" applyNumberFormat="1" applyFont="1" applyBorder="1"/>
    <xf numFmtId="170" fontId="11" fillId="0" borderId="9" xfId="379" applyNumberFormat="1" applyFont="1" applyBorder="1"/>
    <xf numFmtId="2" fontId="11" fillId="0" borderId="23" xfId="379" applyNumberFormat="1" applyFont="1" applyFill="1" applyBorder="1" applyAlignment="1" applyProtection="1">
      <alignment horizontal="center"/>
      <protection locked="0"/>
    </xf>
    <xf numFmtId="0" fontId="55" fillId="0" borderId="12" xfId="636" applyFont="1" applyFill="1" applyBorder="1" applyAlignment="1">
      <alignment horizontal="center" vertical="center" wrapText="1"/>
    </xf>
    <xf numFmtId="0" fontId="55" fillId="0" borderId="13" xfId="636" applyFont="1" applyFill="1" applyBorder="1" applyAlignment="1">
      <alignment horizontal="center" vertical="center" wrapText="1"/>
    </xf>
    <xf numFmtId="0" fontId="55" fillId="0" borderId="19" xfId="636" applyFont="1" applyBorder="1" applyAlignment="1">
      <alignment horizontal="center" vertical="center" wrapText="1"/>
    </xf>
    <xf numFmtId="0" fontId="18" fillId="0" borderId="17" xfId="0" applyFont="1" applyBorder="1"/>
    <xf numFmtId="0" fontId="18" fillId="0" borderId="22" xfId="0" applyFont="1" applyBorder="1"/>
    <xf numFmtId="170" fontId="11" fillId="0" borderId="1" xfId="379" applyNumberFormat="1" applyFont="1" applyFill="1" applyBorder="1" applyAlignment="1">
      <alignment horizontal="right"/>
    </xf>
    <xf numFmtId="170" fontId="44" fillId="0" borderId="1" xfId="379" applyNumberFormat="1" applyFont="1" applyFill="1" applyBorder="1" applyAlignment="1">
      <alignment horizontal="right"/>
    </xf>
    <xf numFmtId="170" fontId="44" fillId="0" borderId="8" xfId="379" applyNumberFormat="1" applyFont="1" applyFill="1" applyBorder="1" applyAlignment="1">
      <alignment horizontal="right"/>
    </xf>
    <xf numFmtId="170" fontId="11" fillId="0" borderId="44" xfId="379" applyNumberFormat="1" applyFont="1" applyFill="1" applyBorder="1" applyAlignment="1">
      <alignment horizontal="right"/>
    </xf>
    <xf numFmtId="170" fontId="44" fillId="0" borderId="44" xfId="379" applyNumberFormat="1" applyFont="1" applyFill="1" applyBorder="1" applyAlignment="1">
      <alignment horizontal="right"/>
    </xf>
    <xf numFmtId="170" fontId="44" fillId="0" borderId="18" xfId="379" applyNumberFormat="1" applyFont="1" applyFill="1" applyBorder="1" applyAlignment="1">
      <alignment horizontal="right"/>
    </xf>
    <xf numFmtId="170" fontId="18" fillId="0" borderId="44" xfId="379" applyNumberFormat="1" applyFont="1" applyFill="1" applyBorder="1" applyAlignment="1">
      <alignment horizontal="right"/>
    </xf>
    <xf numFmtId="170" fontId="18" fillId="0" borderId="18" xfId="379" applyNumberFormat="1" applyFont="1" applyFill="1" applyBorder="1" applyAlignment="1">
      <alignment horizontal="right"/>
    </xf>
    <xf numFmtId="43" fontId="18" fillId="0" borderId="44" xfId="379" applyNumberFormat="1" applyFont="1" applyFill="1" applyBorder="1" applyAlignment="1">
      <alignment horizontal="right"/>
    </xf>
    <xf numFmtId="170" fontId="18" fillId="0" borderId="10" xfId="379" applyNumberFormat="1" applyFont="1" applyFill="1" applyBorder="1" applyAlignment="1">
      <alignment horizontal="right"/>
    </xf>
    <xf numFmtId="170" fontId="18" fillId="0" borderId="11" xfId="379" applyNumberFormat="1" applyFont="1" applyFill="1" applyBorder="1" applyAlignment="1">
      <alignment horizontal="right"/>
    </xf>
    <xf numFmtId="49" fontId="11" fillId="62" borderId="26" xfId="0" applyNumberFormat="1" applyFont="1" applyFill="1" applyBorder="1" applyAlignment="1">
      <alignment horizontal="center"/>
    </xf>
    <xf numFmtId="49" fontId="11" fillId="62" borderId="42" xfId="0" applyNumberFormat="1" applyFont="1" applyFill="1" applyBorder="1" applyAlignment="1">
      <alignment horizontal="center"/>
    </xf>
    <xf numFmtId="0" fontId="11" fillId="62" borderId="26" xfId="0" applyFont="1" applyFill="1" applyBorder="1" applyAlignment="1">
      <alignment horizontal="center"/>
    </xf>
    <xf numFmtId="2" fontId="11" fillId="0" borderId="7" xfId="0" applyNumberFormat="1" applyFont="1" applyBorder="1"/>
    <xf numFmtId="2" fontId="11" fillId="0" borderId="2" xfId="0" applyNumberFormat="1" applyFont="1" applyBorder="1"/>
    <xf numFmtId="0" fontId="52" fillId="0" borderId="0" xfId="524" applyFont="1" applyAlignment="1">
      <alignment horizontal="center" vertical="center"/>
    </xf>
    <xf numFmtId="2" fontId="11" fillId="0" borderId="7" xfId="521" applyNumberFormat="1" applyFont="1" applyBorder="1"/>
    <xf numFmtId="2" fontId="11" fillId="0" borderId="2" xfId="521" applyNumberFormat="1" applyFont="1" applyBorder="1"/>
    <xf numFmtId="2" fontId="11" fillId="0" borderId="43" xfId="521" applyNumberFormat="1" applyFont="1" applyBorder="1"/>
    <xf numFmtId="49" fontId="11" fillId="0" borderId="42" xfId="521" applyNumberFormat="1" applyFont="1" applyBorder="1" applyAlignment="1">
      <alignment horizontal="center"/>
    </xf>
    <xf numFmtId="2" fontId="11" fillId="0" borderId="19" xfId="521" applyNumberFormat="1" applyFont="1" applyBorder="1"/>
    <xf numFmtId="0" fontId="11" fillId="0" borderId="20" xfId="521" applyFont="1" applyBorder="1"/>
    <xf numFmtId="0" fontId="11" fillId="0" borderId="12" xfId="521" applyFont="1" applyBorder="1" applyAlignment="1">
      <alignment horizontal="center"/>
    </xf>
    <xf numFmtId="170" fontId="11" fillId="0" borderId="18" xfId="379" applyNumberFormat="1" applyFont="1" applyFill="1" applyBorder="1" applyAlignment="1">
      <alignment horizontal="center"/>
    </xf>
    <xf numFmtId="170" fontId="27" fillId="0" borderId="12" xfId="379" applyNumberFormat="1" applyFont="1" applyBorder="1"/>
    <xf numFmtId="170" fontId="27" fillId="0" borderId="13" xfId="379" applyNumberFormat="1" applyFont="1" applyBorder="1"/>
    <xf numFmtId="170" fontId="27" fillId="0" borderId="1" xfId="379" applyNumberFormat="1" applyFont="1" applyBorder="1"/>
    <xf numFmtId="170" fontId="27" fillId="0" borderId="8" xfId="379" applyNumberFormat="1" applyFont="1" applyBorder="1"/>
    <xf numFmtId="170" fontId="11" fillId="0" borderId="11" xfId="379" applyNumberFormat="1" applyFont="1" applyFill="1" applyBorder="1" applyAlignment="1">
      <alignment horizontal="center"/>
    </xf>
    <xf numFmtId="3" fontId="11" fillId="0" borderId="1" xfId="558" applyNumberFormat="1" applyFont="1" applyFill="1" applyBorder="1" applyAlignment="1">
      <alignment horizontal="center"/>
    </xf>
    <xf numFmtId="3" fontId="11" fillId="0" borderId="1" xfId="379" applyNumberFormat="1" applyFont="1" applyFill="1" applyBorder="1" applyAlignment="1">
      <alignment horizontal="center"/>
    </xf>
    <xf numFmtId="3" fontId="11" fillId="0" borderId="10" xfId="558" applyNumberFormat="1" applyFont="1" applyFill="1" applyBorder="1" applyAlignment="1">
      <alignment horizontal="center"/>
    </xf>
    <xf numFmtId="0" fontId="11" fillId="0" borderId="39" xfId="521" applyFont="1" applyBorder="1" applyAlignment="1">
      <alignment horizontal="center" wrapText="1"/>
    </xf>
    <xf numFmtId="0" fontId="11" fillId="0" borderId="26" xfId="521" applyFont="1" applyBorder="1" applyAlignment="1">
      <alignment horizontal="center" wrapText="1"/>
    </xf>
    <xf numFmtId="0" fontId="11" fillId="0" borderId="69" xfId="521" applyFont="1" applyBorder="1" applyAlignment="1">
      <alignment horizontal="center" wrapText="1"/>
    </xf>
    <xf numFmtId="3" fontId="44" fillId="0" borderId="50" xfId="379" applyNumberFormat="1" applyFont="1" applyFill="1" applyBorder="1" applyAlignment="1">
      <alignment horizontal="center"/>
    </xf>
    <xf numFmtId="3" fontId="44" fillId="0" borderId="56" xfId="379" applyNumberFormat="1" applyFont="1" applyFill="1" applyBorder="1" applyAlignment="1">
      <alignment horizontal="center"/>
    </xf>
    <xf numFmtId="0" fontId="11" fillId="0" borderId="26" xfId="521" applyFont="1" applyFill="1" applyBorder="1" applyAlignment="1">
      <alignment horizontal="center" wrapText="1"/>
    </xf>
    <xf numFmtId="0" fontId="11" fillId="0" borderId="42" xfId="521" applyFont="1" applyFill="1" applyBorder="1" applyAlignment="1">
      <alignment horizontal="center" wrapText="1"/>
    </xf>
    <xf numFmtId="0" fontId="11" fillId="0" borderId="36" xfId="521" applyFont="1" applyFill="1" applyBorder="1" applyAlignment="1">
      <alignment horizontal="center" wrapText="1"/>
    </xf>
    <xf numFmtId="10" fontId="11" fillId="0" borderId="19" xfId="558" applyNumberFormat="1" applyFont="1" applyFill="1" applyBorder="1" applyAlignment="1">
      <alignment horizontal="center"/>
    </xf>
    <xf numFmtId="3" fontId="11" fillId="0" borderId="12" xfId="379" applyNumberFormat="1" applyFont="1" applyFill="1" applyBorder="1" applyAlignment="1">
      <alignment horizontal="center"/>
    </xf>
    <xf numFmtId="3" fontId="44" fillId="0" borderId="75" xfId="379" applyNumberFormat="1" applyFont="1" applyFill="1" applyBorder="1" applyAlignment="1">
      <alignment horizontal="center"/>
    </xf>
    <xf numFmtId="3" fontId="11" fillId="0" borderId="13" xfId="0" applyNumberFormat="1" applyFont="1" applyBorder="1"/>
    <xf numFmtId="3" fontId="11" fillId="0" borderId="8" xfId="0" applyNumberFormat="1" applyFont="1" applyBorder="1"/>
    <xf numFmtId="0" fontId="11" fillId="0" borderId="37" xfId="521" applyFont="1" applyFill="1" applyBorder="1" applyAlignment="1">
      <alignment horizontal="center" wrapText="1"/>
    </xf>
    <xf numFmtId="3" fontId="44" fillId="0" borderId="19" xfId="521" applyNumberFormat="1" applyFont="1" applyFill="1" applyBorder="1" applyAlignment="1">
      <alignment horizontal="center"/>
    </xf>
    <xf numFmtId="3" fontId="44" fillId="0" borderId="2" xfId="521" applyNumberFormat="1" applyFont="1" applyFill="1" applyBorder="1" applyAlignment="1">
      <alignment horizontal="center"/>
    </xf>
    <xf numFmtId="3" fontId="44" fillId="0" borderId="9" xfId="521" applyNumberFormat="1" applyFont="1" applyFill="1" applyBorder="1" applyAlignment="1">
      <alignment horizontal="center"/>
    </xf>
    <xf numFmtId="170" fontId="11" fillId="33" borderId="12" xfId="379" applyNumberFormat="1" applyFont="1" applyFill="1" applyBorder="1"/>
    <xf numFmtId="170" fontId="11" fillId="33" borderId="1" xfId="379" applyNumberFormat="1" applyFont="1" applyFill="1" applyBorder="1"/>
    <xf numFmtId="43" fontId="106" fillId="65" borderId="4" xfId="379" applyFont="1" applyFill="1" applyBorder="1" applyAlignment="1">
      <alignment horizontal="center" vertical="center"/>
    </xf>
    <xf numFmtId="0" fontId="15" fillId="0" borderId="0" xfId="0" applyFont="1" applyAlignment="1">
      <alignment horizontal="center" vertical="center"/>
    </xf>
    <xf numFmtId="3" fontId="11" fillId="0" borderId="12" xfId="521" applyNumberFormat="1" applyFont="1" applyFill="1" applyBorder="1" applyAlignment="1">
      <alignment horizontal="center"/>
    </xf>
    <xf numFmtId="0" fontId="11" fillId="0" borderId="35" xfId="521" applyFont="1" applyBorder="1" applyAlignment="1">
      <alignment horizontal="center" wrapText="1"/>
    </xf>
    <xf numFmtId="170" fontId="11" fillId="0" borderId="12" xfId="379" applyNumberFormat="1" applyFont="1" applyFill="1" applyBorder="1" applyAlignment="1">
      <alignment horizontal="center"/>
    </xf>
    <xf numFmtId="170" fontId="11" fillId="0" borderId="13" xfId="379" applyNumberFormat="1" applyFont="1" applyFill="1" applyBorder="1" applyAlignment="1">
      <alignment horizontal="center"/>
    </xf>
    <xf numFmtId="0" fontId="11" fillId="0" borderId="27" xfId="521" applyFont="1" applyBorder="1"/>
    <xf numFmtId="170" fontId="11" fillId="0" borderId="28" xfId="379" applyNumberFormat="1" applyFont="1" applyFill="1" applyBorder="1" applyAlignment="1">
      <alignment horizontal="center"/>
    </xf>
    <xf numFmtId="170" fontId="11" fillId="0" borderId="29" xfId="379" applyNumberFormat="1" applyFont="1" applyFill="1" applyBorder="1" applyAlignment="1">
      <alignment horizontal="center"/>
    </xf>
    <xf numFmtId="0" fontId="11" fillId="0" borderId="28" xfId="521" applyFont="1" applyBorder="1"/>
    <xf numFmtId="3" fontId="11" fillId="0" borderId="28" xfId="521" applyNumberFormat="1" applyFont="1" applyFill="1" applyBorder="1" applyAlignment="1">
      <alignment horizontal="center"/>
    </xf>
    <xf numFmtId="0" fontId="11" fillId="33" borderId="10" xfId="0" applyFont="1" applyFill="1" applyBorder="1"/>
    <xf numFmtId="3" fontId="44" fillId="0" borderId="27" xfId="521" applyNumberFormat="1" applyFont="1" applyFill="1" applyBorder="1" applyAlignment="1">
      <alignment horizontal="center"/>
    </xf>
    <xf numFmtId="3" fontId="11" fillId="0" borderId="29" xfId="521" applyNumberFormat="1" applyFont="1" applyFill="1" applyBorder="1" applyAlignment="1">
      <alignment horizontal="center"/>
    </xf>
    <xf numFmtId="0" fontId="11" fillId="62" borderId="39" xfId="0" applyFont="1" applyFill="1" applyBorder="1"/>
    <xf numFmtId="0" fontId="11" fillId="62" borderId="26" xfId="0" applyFont="1" applyFill="1" applyBorder="1"/>
    <xf numFmtId="0" fontId="18" fillId="0" borderId="32" xfId="0" applyFont="1" applyBorder="1"/>
    <xf numFmtId="0" fontId="18" fillId="0" borderId="68" xfId="0" applyFont="1" applyBorder="1"/>
    <xf numFmtId="0" fontId="18" fillId="0" borderId="33" xfId="0" applyFont="1" applyBorder="1"/>
    <xf numFmtId="170" fontId="18" fillId="0" borderId="33" xfId="379" applyNumberFormat="1" applyFont="1" applyFill="1" applyBorder="1" applyAlignment="1">
      <alignment horizontal="right"/>
    </xf>
    <xf numFmtId="170" fontId="18" fillId="0" borderId="34" xfId="379" applyNumberFormat="1" applyFont="1" applyFill="1" applyBorder="1" applyAlignment="1">
      <alignment horizontal="right"/>
    </xf>
    <xf numFmtId="0" fontId="11" fillId="0" borderId="22" xfId="0" applyFont="1" applyBorder="1"/>
    <xf numFmtId="170" fontId="11" fillId="0" borderId="10" xfId="379" applyNumberFormat="1" applyFont="1" applyFill="1" applyBorder="1" applyAlignment="1">
      <alignment horizontal="right"/>
    </xf>
    <xf numFmtId="170" fontId="44" fillId="0" borderId="10" xfId="379" applyNumberFormat="1" applyFont="1" applyFill="1" applyBorder="1" applyAlignment="1">
      <alignment horizontal="right"/>
    </xf>
    <xf numFmtId="170" fontId="44" fillId="0" borderId="11" xfId="379" applyNumberFormat="1" applyFont="1" applyFill="1" applyBorder="1" applyAlignment="1">
      <alignment horizontal="right"/>
    </xf>
    <xf numFmtId="49" fontId="11" fillId="0" borderId="32" xfId="0" applyNumberFormat="1" applyFont="1" applyBorder="1"/>
    <xf numFmtId="0" fontId="11" fillId="0" borderId="33" xfId="0" applyFont="1" applyBorder="1"/>
    <xf numFmtId="43" fontId="44" fillId="0" borderId="33" xfId="379" applyNumberFormat="1" applyFont="1" applyFill="1" applyBorder="1" applyAlignment="1">
      <alignment horizontal="center"/>
    </xf>
    <xf numFmtId="170" fontId="44" fillId="0" borderId="10" xfId="379" applyNumberFormat="1" applyFont="1" applyFill="1" applyBorder="1" applyAlignment="1">
      <alignment horizontal="center"/>
    </xf>
    <xf numFmtId="2" fontId="11" fillId="0" borderId="43" xfId="0" applyNumberFormat="1" applyFont="1" applyBorder="1"/>
    <xf numFmtId="170" fontId="11" fillId="0" borderId="34" xfId="379" applyNumberFormat="1" applyFont="1" applyFill="1" applyBorder="1" applyAlignment="1">
      <alignment horizontal="center"/>
    </xf>
    <xf numFmtId="0" fontId="55" fillId="0" borderId="20" xfId="636" applyFont="1" applyBorder="1" applyAlignment="1">
      <alignment horizontal="center" vertical="center" wrapText="1"/>
    </xf>
    <xf numFmtId="0" fontId="46" fillId="0" borderId="21" xfId="0" applyFont="1" applyFill="1" applyBorder="1" applyAlignment="1">
      <alignment horizontal="center" vertical="center" wrapText="1"/>
    </xf>
    <xf numFmtId="0" fontId="44" fillId="0" borderId="21" xfId="0" applyFont="1" applyBorder="1" applyAlignment="1">
      <alignment horizontal="center" vertical="center" wrapText="1"/>
    </xf>
    <xf numFmtId="0" fontId="17" fillId="0" borderId="55" xfId="0" quotePrefix="1" applyFont="1" applyBorder="1" applyAlignment="1">
      <alignment horizontal="center" vertical="center" wrapText="1"/>
    </xf>
    <xf numFmtId="0" fontId="11" fillId="0" borderId="22" xfId="0" applyFont="1" applyBorder="1" applyAlignment="1">
      <alignment horizontal="center"/>
    </xf>
    <xf numFmtId="0" fontId="11" fillId="0" borderId="20" xfId="0" applyFont="1" applyBorder="1" applyAlignment="1">
      <alignment horizontal="center" wrapText="1"/>
    </xf>
    <xf numFmtId="49" fontId="11" fillId="0" borderId="21" xfId="0" applyNumberFormat="1" applyFont="1" applyBorder="1" applyAlignment="1">
      <alignment horizontal="center"/>
    </xf>
    <xf numFmtId="49" fontId="11" fillId="0" borderId="22" xfId="0" applyNumberFormat="1" applyFont="1" applyBorder="1" applyAlignment="1">
      <alignment horizontal="center"/>
    </xf>
    <xf numFmtId="0" fontId="17" fillId="0" borderId="21" xfId="0" quotePrefix="1" applyFont="1" applyBorder="1" applyAlignment="1">
      <alignment horizontal="center" vertical="center" wrapText="1"/>
    </xf>
    <xf numFmtId="3" fontId="44" fillId="0" borderId="23" xfId="0" applyNumberFormat="1" applyFont="1" applyBorder="1" applyAlignment="1">
      <alignment horizontal="center" vertical="center" wrapText="1"/>
    </xf>
    <xf numFmtId="0" fontId="67" fillId="0" borderId="50" xfId="0" applyFont="1" applyBorder="1" applyAlignment="1">
      <alignment horizontal="left"/>
    </xf>
    <xf numFmtId="185" fontId="108" fillId="0" borderId="1" xfId="890" applyNumberFormat="1" applyFont="1" applyBorder="1"/>
    <xf numFmtId="0" fontId="67" fillId="0" borderId="1" xfId="860" applyFont="1" applyBorder="1" applyAlignment="1">
      <alignment horizontal="center"/>
    </xf>
    <xf numFmtId="0" fontId="107" fillId="0" borderId="0" xfId="0" applyFont="1" applyProtection="1">
      <protection locked="0"/>
    </xf>
    <xf numFmtId="0" fontId="67" fillId="0" borderId="1" xfId="860" applyFont="1" applyBorder="1"/>
    <xf numFmtId="49" fontId="11" fillId="36" borderId="115" xfId="0" applyNumberFormat="1" applyFont="1" applyFill="1" applyBorder="1" applyAlignment="1">
      <alignment wrapText="1"/>
    </xf>
    <xf numFmtId="0" fontId="18" fillId="36" borderId="116" xfId="0" applyFont="1" applyFill="1" applyBorder="1" applyAlignment="1">
      <alignment horizontal="center"/>
    </xf>
    <xf numFmtId="0" fontId="18" fillId="36" borderId="117" xfId="0" applyFont="1" applyFill="1" applyBorder="1" applyAlignment="1">
      <alignment horizontal="center"/>
    </xf>
    <xf numFmtId="0" fontId="63" fillId="0" borderId="0" xfId="0" applyFont="1" applyAlignment="1">
      <alignment vertical="center" wrapText="1"/>
    </xf>
    <xf numFmtId="170" fontId="46" fillId="0" borderId="23" xfId="379" applyNumberFormat="1" applyFont="1" applyBorder="1" applyAlignment="1">
      <alignment horizontal="right" vertical="center" wrapText="1"/>
    </xf>
    <xf numFmtId="170" fontId="46" fillId="0" borderId="30" xfId="379" applyNumberFormat="1" applyFont="1" applyBorder="1" applyAlignment="1">
      <alignment horizontal="right" vertical="center" wrapText="1"/>
    </xf>
    <xf numFmtId="170" fontId="11" fillId="0" borderId="8" xfId="379" applyNumberFormat="1" applyFont="1" applyFill="1" applyBorder="1" applyAlignment="1">
      <alignment horizontal="right"/>
    </xf>
    <xf numFmtId="170" fontId="46" fillId="0" borderId="1" xfId="379" applyNumberFormat="1" applyFont="1" applyBorder="1" applyAlignment="1">
      <alignment horizontal="right" vertical="center" wrapText="1"/>
    </xf>
    <xf numFmtId="170" fontId="46" fillId="0" borderId="8" xfId="379" applyNumberFormat="1" applyFont="1" applyBorder="1" applyAlignment="1">
      <alignment horizontal="right" vertical="center" wrapText="1"/>
    </xf>
    <xf numFmtId="0" fontId="25" fillId="0" borderId="0" xfId="0" applyFont="1" applyAlignment="1">
      <alignment horizontal="center" vertical="top"/>
    </xf>
    <xf numFmtId="0" fontId="15" fillId="0" borderId="0" xfId="0" applyFont="1"/>
    <xf numFmtId="1" fontId="11" fillId="33" borderId="67" xfId="0" applyNumberFormat="1" applyFont="1" applyFill="1" applyBorder="1" applyAlignment="1">
      <alignment horizontal="center"/>
    </xf>
    <xf numFmtId="170" fontId="11" fillId="0" borderId="28" xfId="379" applyNumberFormat="1" applyFont="1" applyBorder="1"/>
    <xf numFmtId="0" fontId="11" fillId="0" borderId="51" xfId="0" applyFont="1" applyFill="1" applyBorder="1" applyAlignment="1">
      <alignment horizontal="center"/>
    </xf>
    <xf numFmtId="0" fontId="110" fillId="0" borderId="0" xfId="0" applyFont="1" applyAlignment="1" applyProtection="1">
      <alignment horizontal="right"/>
      <protection locked="0"/>
    </xf>
    <xf numFmtId="167" fontId="11" fillId="0" borderId="28" xfId="0" applyNumberFormat="1" applyFont="1" applyBorder="1"/>
    <xf numFmtId="1" fontId="11" fillId="33" borderId="51" xfId="0" applyNumberFormat="1" applyFont="1" applyFill="1" applyBorder="1" applyAlignment="1">
      <alignment horizontal="center"/>
    </xf>
    <xf numFmtId="17" fontId="11" fillId="65" borderId="23" xfId="0" applyNumberFormat="1" applyFont="1" applyFill="1" applyBorder="1" applyAlignment="1" applyProtection="1">
      <alignment horizontal="center"/>
      <protection locked="0"/>
    </xf>
    <xf numFmtId="3" fontId="11" fillId="33" borderId="2" xfId="0" applyNumberFormat="1" applyFont="1" applyFill="1" applyBorder="1" applyAlignment="1">
      <alignment horizontal="center"/>
    </xf>
    <xf numFmtId="3" fontId="11" fillId="33" borderId="1" xfId="379" applyNumberFormat="1" applyFont="1" applyFill="1" applyBorder="1" applyAlignment="1">
      <alignment horizontal="center"/>
    </xf>
    <xf numFmtId="43" fontId="11" fillId="33" borderId="1" xfId="379" applyNumberFormat="1" applyFont="1" applyFill="1" applyBorder="1" applyAlignment="1">
      <alignment horizontal="center"/>
    </xf>
    <xf numFmtId="3" fontId="11" fillId="33" borderId="23" xfId="379" applyNumberFormat="1" applyFont="1" applyFill="1" applyBorder="1" applyAlignment="1">
      <alignment horizontal="center" vertical="center"/>
    </xf>
    <xf numFmtId="170" fontId="11" fillId="33" borderId="1" xfId="379" applyNumberFormat="1" applyFont="1" applyFill="1" applyBorder="1" applyAlignment="1">
      <alignment horizontal="center"/>
    </xf>
    <xf numFmtId="170" fontId="11" fillId="33" borderId="1" xfId="379" applyNumberFormat="1" applyFont="1" applyFill="1" applyBorder="1" applyAlignment="1">
      <alignment horizontal="center"/>
    </xf>
    <xf numFmtId="2" fontId="11" fillId="33" borderId="23" xfId="379" applyNumberFormat="1" applyFont="1" applyFill="1" applyBorder="1" applyAlignment="1">
      <alignment horizontal="center"/>
    </xf>
    <xf numFmtId="2" fontId="11" fillId="33" borderId="1" xfId="379" applyNumberFormat="1" applyFont="1" applyFill="1" applyBorder="1" applyAlignment="1">
      <alignment horizontal="center"/>
    </xf>
    <xf numFmtId="43" fontId="11" fillId="0" borderId="1" xfId="379" applyFont="1" applyBorder="1" applyAlignment="1">
      <alignment horizontal="center"/>
    </xf>
    <xf numFmtId="10" fontId="11" fillId="0" borderId="1" xfId="933" applyNumberFormat="1" applyFont="1" applyBorder="1" applyAlignment="1">
      <alignment horizontal="center"/>
    </xf>
    <xf numFmtId="49" fontId="11" fillId="0" borderId="1" xfId="1413" applyNumberFormat="1" applyFont="1" applyBorder="1" applyAlignment="1">
      <alignment horizontal="center"/>
    </xf>
    <xf numFmtId="0" fontId="18" fillId="0" borderId="1" xfId="1413" applyFont="1" applyBorder="1" applyAlignment="1">
      <alignment horizontal="center"/>
    </xf>
    <xf numFmtId="0" fontId="18" fillId="0" borderId="1" xfId="521" applyFont="1" applyBorder="1" applyAlignment="1">
      <alignment horizontal="center"/>
    </xf>
    <xf numFmtId="0" fontId="11" fillId="0" borderId="0" xfId="0" applyFont="1"/>
    <xf numFmtId="0" fontId="11" fillId="0" borderId="0" xfId="0" applyFont="1" applyFill="1" applyBorder="1" applyAlignment="1">
      <alignment horizontal="center"/>
    </xf>
    <xf numFmtId="0" fontId="11" fillId="0" borderId="17" xfId="0" applyFont="1" applyFill="1" applyBorder="1" applyAlignment="1">
      <alignment horizontal="center"/>
    </xf>
    <xf numFmtId="0" fontId="11" fillId="0" borderId="20" xfId="0" applyFont="1" applyFill="1" applyBorder="1" applyAlignment="1">
      <alignment horizontal="left"/>
    </xf>
    <xf numFmtId="3" fontId="46" fillId="0" borderId="1" xfId="0" applyNumberFormat="1" applyFont="1" applyBorder="1" applyAlignment="1">
      <alignment horizontal="center" vertical="center" wrapText="1"/>
    </xf>
    <xf numFmtId="3" fontId="44" fillId="33" borderId="8" xfId="0" applyNumberFormat="1" applyFont="1" applyFill="1" applyBorder="1" applyAlignment="1">
      <alignment horizontal="center"/>
    </xf>
    <xf numFmtId="3" fontId="11" fillId="33" borderId="1" xfId="0" applyNumberFormat="1" applyFont="1" applyFill="1" applyBorder="1" applyAlignment="1">
      <alignment horizontal="center"/>
    </xf>
    <xf numFmtId="3" fontId="11" fillId="33" borderId="2" xfId="379" applyNumberFormat="1" applyFont="1" applyFill="1" applyBorder="1" applyAlignment="1">
      <alignment horizontal="center"/>
    </xf>
    <xf numFmtId="3" fontId="11" fillId="33" borderId="21" xfId="0" applyNumberFormat="1" applyFont="1" applyFill="1" applyBorder="1" applyAlignment="1">
      <alignment horizontal="center"/>
    </xf>
    <xf numFmtId="3" fontId="11" fillId="33" borderId="21" xfId="379" applyNumberFormat="1" applyFont="1" applyFill="1" applyBorder="1" applyAlignment="1">
      <alignment horizontal="center"/>
    </xf>
    <xf numFmtId="0" fontId="0" fillId="0" borderId="0" xfId="0" applyFill="1" applyBorder="1" applyAlignment="1"/>
    <xf numFmtId="0" fontId="0" fillId="0" borderId="25" xfId="0" applyFill="1" applyBorder="1" applyAlignment="1"/>
    <xf numFmtId="0" fontId="60" fillId="0" borderId="24" xfId="0" applyFont="1" applyFill="1" applyBorder="1" applyAlignment="1">
      <alignment horizontal="center"/>
    </xf>
    <xf numFmtId="0" fontId="60" fillId="0" borderId="24" xfId="0" applyFont="1" applyFill="1" applyBorder="1" applyAlignment="1">
      <alignment horizontal="centerContinuous"/>
    </xf>
    <xf numFmtId="0" fontId="18" fillId="0" borderId="27" xfId="0" applyFont="1" applyBorder="1" applyAlignment="1">
      <alignment horizontal="center"/>
    </xf>
    <xf numFmtId="0" fontId="18" fillId="0" borderId="81" xfId="0" applyFont="1" applyBorder="1" applyAlignment="1" applyProtection="1">
      <alignment horizontal="center" wrapText="1"/>
      <protection locked="0"/>
    </xf>
    <xf numFmtId="0" fontId="18" fillId="0" borderId="81" xfId="0" applyFont="1" applyFill="1" applyBorder="1" applyAlignment="1" applyProtection="1">
      <alignment horizontal="center" wrapText="1"/>
      <protection locked="0"/>
    </xf>
    <xf numFmtId="0" fontId="62" fillId="0" borderId="81" xfId="0" applyFont="1" applyFill="1" applyBorder="1" applyAlignment="1" applyProtection="1">
      <alignment vertical="center" wrapText="1"/>
      <protection locked="0"/>
    </xf>
    <xf numFmtId="17" fontId="11" fillId="0" borderId="1" xfId="0" applyNumberFormat="1" applyFont="1" applyBorder="1" applyAlignment="1" applyProtection="1">
      <alignment horizontal="center"/>
      <protection locked="0"/>
    </xf>
    <xf numFmtId="0" fontId="18" fillId="0" borderId="1" xfId="0" applyFont="1" applyBorder="1" applyAlignment="1" applyProtection="1">
      <alignment horizontal="center" wrapText="1"/>
      <protection locked="0"/>
    </xf>
    <xf numFmtId="0" fontId="11" fillId="0" borderId="81" xfId="0" applyFont="1" applyBorder="1" applyAlignment="1" applyProtection="1">
      <alignment horizontal="center"/>
      <protection locked="0"/>
    </xf>
    <xf numFmtId="0" fontId="0" fillId="0" borderId="0" xfId="0" applyBorder="1" applyProtection="1">
      <protection locked="0"/>
    </xf>
    <xf numFmtId="170" fontId="11" fillId="0" borderId="1" xfId="379" applyNumberFormat="1" applyFont="1" applyFill="1" applyBorder="1" applyAlignment="1" applyProtection="1">
      <alignment horizontal="center"/>
      <protection locked="0"/>
    </xf>
    <xf numFmtId="0" fontId="112" fillId="0" borderId="0" xfId="0" applyFont="1" applyProtection="1">
      <protection locked="0"/>
    </xf>
    <xf numFmtId="0" fontId="18" fillId="0" borderId="44" xfId="0" applyFont="1" applyBorder="1" applyAlignment="1" applyProtection="1">
      <alignment horizontal="center"/>
      <protection locked="0"/>
    </xf>
    <xf numFmtId="2" fontId="18" fillId="33" borderId="23" xfId="379" applyNumberFormat="1" applyFont="1" applyFill="1" applyBorder="1" applyAlignment="1" applyProtection="1">
      <alignment horizontal="center" wrapText="1"/>
      <protection locked="0"/>
    </xf>
    <xf numFmtId="2" fontId="18" fillId="33" borderId="1" xfId="379" applyNumberFormat="1" applyFont="1" applyFill="1" applyBorder="1" applyAlignment="1" applyProtection="1">
      <alignment horizontal="center" wrapText="1"/>
      <protection locked="0"/>
    </xf>
    <xf numFmtId="0" fontId="18" fillId="0" borderId="68" xfId="0" applyFont="1" applyBorder="1" applyProtection="1">
      <protection locked="0"/>
    </xf>
    <xf numFmtId="0" fontId="18" fillId="0" borderId="0" xfId="0" applyFont="1" applyFill="1" applyProtection="1">
      <protection locked="0"/>
    </xf>
    <xf numFmtId="0" fontId="18" fillId="0" borderId="0" xfId="0" applyFont="1" applyAlignment="1" applyProtection="1">
      <alignment horizontal="center"/>
      <protection locked="0"/>
    </xf>
    <xf numFmtId="2" fontId="22" fillId="33" borderId="4" xfId="379" applyNumberFormat="1" applyFont="1" applyFill="1" applyBorder="1" applyAlignment="1" applyProtection="1">
      <alignment horizontal="center"/>
      <protection locked="0"/>
    </xf>
    <xf numFmtId="0" fontId="57" fillId="0" borderId="0" xfId="0" applyFont="1" applyBorder="1" applyAlignment="1">
      <alignment horizontal="center"/>
    </xf>
    <xf numFmtId="0" fontId="57" fillId="0" borderId="0" xfId="0" applyFont="1" applyBorder="1" applyAlignment="1"/>
    <xf numFmtId="0" fontId="50" fillId="0" borderId="0" xfId="767" applyFont="1"/>
    <xf numFmtId="49" fontId="11" fillId="0" borderId="0" xfId="768" applyNumberFormat="1" applyFont="1" applyBorder="1" applyAlignment="1">
      <alignment vertical="top" wrapText="1"/>
    </xf>
    <xf numFmtId="49" fontId="50" fillId="0" borderId="0" xfId="767" applyNumberFormat="1" applyFont="1" applyAlignment="1">
      <alignment vertical="top" wrapText="1"/>
    </xf>
    <xf numFmtId="0" fontId="51" fillId="34" borderId="45" xfId="767" applyFont="1" applyFill="1" applyBorder="1" applyAlignment="1">
      <alignment horizontal="right"/>
    </xf>
    <xf numFmtId="0" fontId="51" fillId="34" borderId="0" xfId="767" applyFont="1" applyFill="1" applyBorder="1" applyAlignment="1">
      <alignment horizontal="right"/>
    </xf>
    <xf numFmtId="0" fontId="51" fillId="34" borderId="41" xfId="767" applyFont="1" applyFill="1" applyBorder="1" applyAlignment="1">
      <alignment horizontal="right"/>
    </xf>
    <xf numFmtId="0" fontId="50" fillId="0" borderId="45" xfId="767" applyFont="1" applyBorder="1"/>
    <xf numFmtId="10" fontId="21" fillId="0" borderId="0" xfId="769" applyNumberFormat="1" applyFont="1" applyBorder="1"/>
    <xf numFmtId="10" fontId="21" fillId="0" borderId="101" xfId="769" applyNumberFormat="1" applyFont="1" applyBorder="1"/>
    <xf numFmtId="10" fontId="21" fillId="0" borderId="41" xfId="769" applyNumberFormat="1" applyFont="1" applyBorder="1"/>
    <xf numFmtId="0" fontId="50" fillId="0" borderId="0" xfId="767" applyFont="1" applyBorder="1"/>
    <xf numFmtId="0" fontId="50" fillId="0" borderId="94" xfId="767" applyFont="1" applyBorder="1"/>
    <xf numFmtId="0" fontId="50" fillId="0" borderId="100" xfId="767" applyFont="1" applyBorder="1"/>
    <xf numFmtId="10" fontId="21" fillId="0" borderId="102" xfId="769" applyNumberFormat="1" applyFont="1" applyBorder="1"/>
    <xf numFmtId="10" fontId="21" fillId="0" borderId="95" xfId="769" applyNumberFormat="1" applyFont="1" applyBorder="1"/>
    <xf numFmtId="0" fontId="51" fillId="0" borderId="45" xfId="767" applyFont="1" applyBorder="1"/>
    <xf numFmtId="10" fontId="51" fillId="0" borderId="0" xfId="767" applyNumberFormat="1" applyFont="1" applyBorder="1"/>
    <xf numFmtId="10" fontId="51" fillId="0" borderId="101" xfId="767" applyNumberFormat="1" applyFont="1" applyBorder="1"/>
    <xf numFmtId="10" fontId="51" fillId="0" borderId="41" xfId="767" applyNumberFormat="1" applyFont="1" applyBorder="1"/>
    <xf numFmtId="43" fontId="21" fillId="33" borderId="0" xfId="768" applyNumberFormat="1" applyFont="1" applyFill="1" applyBorder="1"/>
    <xf numFmtId="43" fontId="21" fillId="33" borderId="17" xfId="768" applyNumberFormat="1" applyFont="1" applyFill="1" applyBorder="1"/>
    <xf numFmtId="43" fontId="21" fillId="0" borderId="41" xfId="768" applyNumberFormat="1" applyFont="1" applyBorder="1"/>
    <xf numFmtId="43" fontId="21" fillId="0" borderId="0" xfId="768" applyNumberFormat="1" applyFont="1" applyBorder="1"/>
    <xf numFmtId="43" fontId="21" fillId="33" borderId="105" xfId="768" applyNumberFormat="1" applyFont="1" applyFill="1" applyBorder="1"/>
    <xf numFmtId="43" fontId="21" fillId="33" borderId="113" xfId="768" applyNumberFormat="1" applyFont="1" applyFill="1" applyBorder="1"/>
    <xf numFmtId="43" fontId="21" fillId="0" borderId="100" xfId="768" applyNumberFormat="1" applyFont="1" applyBorder="1"/>
    <xf numFmtId="43" fontId="21" fillId="0" borderId="114" xfId="768" applyNumberFormat="1" applyFont="1" applyBorder="1"/>
    <xf numFmtId="43" fontId="21" fillId="0" borderId="95" xfId="768" applyNumberFormat="1" applyFont="1" applyBorder="1"/>
    <xf numFmtId="0" fontId="51" fillId="0" borderId="46" xfId="767" applyFont="1" applyBorder="1"/>
    <xf numFmtId="43" fontId="51" fillId="0" borderId="25" xfId="768" applyNumberFormat="1" applyFont="1" applyBorder="1"/>
    <xf numFmtId="43" fontId="51" fillId="0" borderId="103" xfId="768" applyNumberFormat="1" applyFont="1" applyBorder="1"/>
    <xf numFmtId="43" fontId="51" fillId="0" borderId="40" xfId="768" applyNumberFormat="1" applyFont="1" applyBorder="1"/>
    <xf numFmtId="0" fontId="51" fillId="0" borderId="0" xfId="767" applyFont="1" applyBorder="1"/>
    <xf numFmtId="43" fontId="51" fillId="0" borderId="0" xfId="768" applyNumberFormat="1" applyFont="1" applyBorder="1"/>
    <xf numFmtId="0" fontId="51" fillId="62" borderId="45" xfId="767" applyFont="1" applyFill="1" applyBorder="1" applyAlignment="1">
      <alignment horizontal="right"/>
    </xf>
    <xf numFmtId="0" fontId="51" fillId="62" borderId="0" xfId="767" applyFont="1" applyFill="1" applyBorder="1" applyAlignment="1">
      <alignment horizontal="right"/>
    </xf>
    <xf numFmtId="0" fontId="51" fillId="62" borderId="41" xfId="767" applyFont="1" applyFill="1" applyBorder="1" applyAlignment="1">
      <alignment horizontal="right"/>
    </xf>
    <xf numFmtId="10" fontId="21" fillId="61" borderId="0" xfId="769" applyNumberFormat="1" applyFont="1" applyFill="1" applyBorder="1"/>
    <xf numFmtId="10" fontId="21" fillId="61" borderId="101" xfId="769" applyNumberFormat="1" applyFont="1" applyFill="1" applyBorder="1"/>
    <xf numFmtId="0" fontId="51" fillId="0" borderId="106" xfId="767" applyFont="1" applyBorder="1"/>
    <xf numFmtId="10" fontId="51" fillId="0" borderId="107" xfId="767" applyNumberFormat="1" applyFont="1" applyBorder="1"/>
    <xf numFmtId="10" fontId="51" fillId="0" borderId="108" xfId="767" applyNumberFormat="1" applyFont="1" applyBorder="1"/>
    <xf numFmtId="10" fontId="51" fillId="0" borderId="109" xfId="767" applyNumberFormat="1" applyFont="1" applyBorder="1"/>
    <xf numFmtId="43" fontId="21" fillId="61" borderId="0" xfId="768" applyNumberFormat="1" applyFont="1" applyFill="1" applyBorder="1"/>
    <xf numFmtId="43" fontId="21" fillId="61" borderId="101" xfId="768" applyNumberFormat="1" applyFont="1" applyFill="1" applyBorder="1"/>
    <xf numFmtId="43" fontId="21" fillId="61" borderId="105" xfId="768" applyNumberFormat="1" applyFont="1" applyFill="1" applyBorder="1"/>
    <xf numFmtId="43" fontId="21" fillId="61" borderId="104" xfId="768" applyNumberFormat="1" applyFont="1" applyFill="1" applyBorder="1"/>
    <xf numFmtId="43" fontId="21" fillId="0" borderId="0" xfId="768" applyNumberFormat="1" applyFont="1" applyFill="1" applyBorder="1"/>
    <xf numFmtId="43" fontId="21" fillId="33" borderId="102" xfId="768" applyNumberFormat="1" applyFont="1" applyFill="1" applyBorder="1"/>
    <xf numFmtId="0" fontId="50" fillId="0" borderId="0" xfId="767" applyFont="1" applyBorder="1" applyAlignment="1">
      <alignment vertical="top" wrapText="1"/>
    </xf>
    <xf numFmtId="0" fontId="50" fillId="0" borderId="0" xfId="767" applyFont="1" applyAlignment="1">
      <alignment vertical="top" wrapText="1"/>
    </xf>
    <xf numFmtId="0" fontId="51" fillId="34" borderId="45" xfId="767" applyFont="1" applyFill="1" applyBorder="1" applyAlignment="1">
      <alignment horizontal="center"/>
    </xf>
    <xf numFmtId="0" fontId="51" fillId="34" borderId="0" xfId="767" applyFont="1" applyFill="1" applyBorder="1" applyAlignment="1">
      <alignment horizontal="center"/>
    </xf>
    <xf numFmtId="0" fontId="51" fillId="34" borderId="41" xfId="767" applyFont="1" applyFill="1" applyBorder="1" applyAlignment="1">
      <alignment horizontal="center"/>
    </xf>
    <xf numFmtId="0" fontId="51" fillId="35" borderId="41" xfId="767" applyFont="1" applyFill="1" applyBorder="1" applyAlignment="1">
      <alignment horizontal="center"/>
    </xf>
    <xf numFmtId="0" fontId="51" fillId="34" borderId="38" xfId="767" applyFont="1" applyFill="1" applyBorder="1" applyAlignment="1">
      <alignment horizontal="center"/>
    </xf>
    <xf numFmtId="0" fontId="51" fillId="34" borderId="70" xfId="767" applyFont="1" applyFill="1" applyBorder="1" applyAlignment="1">
      <alignment horizontal="center"/>
    </xf>
    <xf numFmtId="0" fontId="51" fillId="34" borderId="78" xfId="767" applyFont="1" applyFill="1" applyBorder="1" applyAlignment="1">
      <alignment horizontal="center"/>
    </xf>
    <xf numFmtId="0" fontId="50" fillId="34" borderId="45" xfId="767" applyFont="1" applyFill="1" applyBorder="1" applyAlignment="1">
      <alignment vertical="top"/>
    </xf>
    <xf numFmtId="0" fontId="50" fillId="34" borderId="0" xfId="767" applyFont="1" applyFill="1" applyBorder="1" applyAlignment="1">
      <alignment vertical="top"/>
    </xf>
    <xf numFmtId="0" fontId="51" fillId="34" borderId="41" xfId="767" applyFont="1" applyFill="1" applyBorder="1" applyAlignment="1">
      <alignment horizontal="center" wrapText="1"/>
    </xf>
    <xf numFmtId="0" fontId="51" fillId="34" borderId="70" xfId="767" applyFont="1" applyFill="1" applyBorder="1" applyAlignment="1">
      <alignment horizontal="center" vertical="center"/>
    </xf>
    <xf numFmtId="0" fontId="51" fillId="34" borderId="78" xfId="767" applyFont="1" applyFill="1" applyBorder="1" applyAlignment="1">
      <alignment horizontal="center" vertical="center" wrapText="1"/>
    </xf>
    <xf numFmtId="0" fontId="50" fillId="0" borderId="45" xfId="767" applyFont="1" applyFill="1" applyBorder="1" applyAlignment="1">
      <alignment vertical="top"/>
    </xf>
    <xf numFmtId="0" fontId="50" fillId="0" borderId="0" xfId="767" applyFont="1" applyFill="1" applyBorder="1" applyAlignment="1">
      <alignment vertical="top"/>
    </xf>
    <xf numFmtId="0" fontId="51" fillId="33" borderId="0" xfId="767" applyFont="1" applyFill="1" applyBorder="1" applyAlignment="1">
      <alignment vertical="top"/>
    </xf>
    <xf numFmtId="0" fontId="51" fillId="0" borderId="0" xfId="767" applyFont="1" applyFill="1" applyBorder="1" applyAlignment="1">
      <alignment vertical="top"/>
    </xf>
    <xf numFmtId="0" fontId="51" fillId="0" borderId="41" xfId="767" applyFont="1" applyFill="1" applyBorder="1" applyAlignment="1">
      <alignment horizontal="center" vertical="top" wrapText="1"/>
    </xf>
    <xf numFmtId="0" fontId="50" fillId="0" borderId="94" xfId="767" applyFont="1" applyFill="1" applyBorder="1" applyAlignment="1">
      <alignment vertical="top"/>
    </xf>
    <xf numFmtId="0" fontId="50" fillId="0" borderId="100" xfId="767" applyFont="1" applyFill="1" applyBorder="1" applyAlignment="1">
      <alignment vertical="top"/>
    </xf>
    <xf numFmtId="0" fontId="51" fillId="33" borderId="100" xfId="767" applyFont="1" applyFill="1" applyBorder="1" applyAlignment="1">
      <alignment vertical="top"/>
    </xf>
    <xf numFmtId="0" fontId="50" fillId="0" borderId="25" xfId="767" applyFont="1" applyFill="1" applyBorder="1"/>
    <xf numFmtId="0" fontId="50" fillId="0" borderId="25" xfId="767" applyFont="1" applyBorder="1"/>
    <xf numFmtId="10" fontId="11" fillId="0" borderId="40" xfId="769" applyNumberFormat="1" applyFont="1" applyBorder="1"/>
    <xf numFmtId="0" fontId="51" fillId="0" borderId="0" xfId="767" applyFont="1" applyBorder="1" applyAlignment="1">
      <alignment vertical="top" wrapText="1"/>
    </xf>
    <xf numFmtId="0" fontId="50" fillId="0" borderId="0" xfId="767" applyFont="1" applyFill="1" applyBorder="1"/>
    <xf numFmtId="10" fontId="11" fillId="0" borderId="0" xfId="769" applyNumberFormat="1" applyFont="1" applyBorder="1"/>
    <xf numFmtId="0" fontId="51" fillId="0" borderId="0" xfId="767" applyFont="1" applyFill="1" applyBorder="1" applyAlignment="1">
      <alignment vertical="top" wrapText="1"/>
    </xf>
    <xf numFmtId="0" fontId="51" fillId="0" borderId="47" xfId="767" applyFont="1" applyBorder="1" applyAlignment="1">
      <alignment vertical="top" wrapText="1"/>
    </xf>
    <xf numFmtId="0" fontId="51" fillId="0" borderId="48" xfId="767" applyFont="1" applyFill="1" applyBorder="1" applyAlignment="1">
      <alignment horizontal="center" vertical="center" wrapText="1"/>
    </xf>
    <xf numFmtId="0" fontId="22" fillId="0" borderId="48" xfId="796" applyNumberFormat="1" applyFont="1" applyBorder="1" applyAlignment="1">
      <alignment horizontal="center" vertical="center"/>
    </xf>
    <xf numFmtId="0" fontId="50" fillId="0" borderId="49" xfId="767" applyFont="1" applyBorder="1"/>
    <xf numFmtId="0" fontId="51" fillId="0" borderId="45" xfId="767" applyFont="1" applyBorder="1" applyAlignment="1">
      <alignment horizontal="left" vertical="center" wrapText="1"/>
    </xf>
    <xf numFmtId="0" fontId="51" fillId="35" borderId="1" xfId="767" applyFont="1" applyFill="1" applyBorder="1" applyAlignment="1">
      <alignment horizontal="center" vertical="center" wrapText="1"/>
    </xf>
    <xf numFmtId="10" fontId="11" fillId="0" borderId="41" xfId="769" applyNumberFormat="1" applyFont="1" applyBorder="1" applyAlignment="1">
      <alignment horizontal="center" vertical="center" wrapText="1"/>
    </xf>
    <xf numFmtId="0" fontId="115" fillId="0" borderId="46" xfId="767" applyFont="1" applyBorder="1" applyAlignment="1">
      <alignment horizontal="left" vertical="top" wrapText="1"/>
    </xf>
    <xf numFmtId="0" fontId="116" fillId="0" borderId="25" xfId="767" applyFont="1" applyBorder="1" applyAlignment="1">
      <alignment vertical="top" wrapText="1"/>
    </xf>
    <xf numFmtId="0" fontId="115" fillId="0" borderId="0" xfId="767" applyFont="1" applyBorder="1" applyAlignment="1">
      <alignment horizontal="left" vertical="top" wrapText="1"/>
    </xf>
    <xf numFmtId="0" fontId="116" fillId="0" borderId="0" xfId="767" applyFont="1" applyBorder="1" applyAlignment="1">
      <alignment vertical="top" wrapText="1"/>
    </xf>
    <xf numFmtId="0" fontId="113" fillId="0" borderId="0" xfId="767" applyFont="1" applyBorder="1" applyAlignment="1">
      <alignment horizontal="center" vertical="top" wrapText="1"/>
    </xf>
    <xf numFmtId="0" fontId="50" fillId="0" borderId="35" xfId="767" applyFont="1" applyBorder="1"/>
    <xf numFmtId="0" fontId="51" fillId="34" borderId="48" xfId="767" applyFont="1" applyFill="1" applyBorder="1" applyAlignment="1">
      <alignment horizontal="center"/>
    </xf>
    <xf numFmtId="0" fontId="51" fillId="34" borderId="48" xfId="767" applyFont="1" applyFill="1" applyBorder="1" applyAlignment="1">
      <alignment horizontal="center" vertical="center"/>
    </xf>
    <xf numFmtId="0" fontId="51" fillId="34" borderId="49" xfId="767" applyFont="1" applyFill="1" applyBorder="1" applyAlignment="1">
      <alignment horizontal="center" vertical="center"/>
    </xf>
    <xf numFmtId="0" fontId="50" fillId="0" borderId="7" xfId="767" applyFont="1" applyBorder="1"/>
    <xf numFmtId="0" fontId="50" fillId="0" borderId="32" xfId="767" applyFont="1" applyBorder="1" applyAlignment="1">
      <alignment wrapText="1"/>
    </xf>
    <xf numFmtId="43" fontId="50" fillId="0" borderId="0" xfId="767" applyNumberFormat="1" applyFont="1" applyBorder="1" applyAlignment="1">
      <alignment horizontal="center" vertical="center"/>
    </xf>
    <xf numFmtId="43" fontId="50" fillId="0" borderId="17" xfId="767" applyNumberFormat="1" applyFont="1" applyBorder="1" applyAlignment="1">
      <alignment horizontal="center" vertical="center"/>
    </xf>
    <xf numFmtId="43" fontId="50" fillId="0" borderId="44" xfId="767" applyNumberFormat="1" applyFont="1" applyBorder="1" applyAlignment="1">
      <alignment horizontal="center" vertical="center"/>
    </xf>
    <xf numFmtId="43" fontId="50" fillId="0" borderId="41" xfId="767" applyNumberFormat="1" applyFont="1" applyBorder="1" applyAlignment="1">
      <alignment horizontal="center" vertical="center"/>
    </xf>
    <xf numFmtId="43" fontId="50" fillId="0" borderId="68" xfId="767" applyNumberFormat="1" applyFont="1" applyBorder="1" applyAlignment="1">
      <alignment horizontal="center" vertical="center"/>
    </xf>
    <xf numFmtId="43" fontId="50" fillId="0" borderId="33" xfId="767" applyNumberFormat="1" applyFont="1" applyBorder="1" applyAlignment="1">
      <alignment horizontal="center" vertical="center"/>
    </xf>
    <xf numFmtId="0" fontId="50" fillId="0" borderId="7" xfId="767" applyFont="1" applyBorder="1" applyAlignment="1">
      <alignment wrapText="1"/>
    </xf>
    <xf numFmtId="43" fontId="11" fillId="33" borderId="70" xfId="796" applyFont="1" applyFill="1" applyBorder="1" applyAlignment="1">
      <alignment horizontal="center" vertical="center"/>
    </xf>
    <xf numFmtId="43" fontId="50" fillId="0" borderId="70" xfId="767" applyNumberFormat="1" applyFont="1" applyBorder="1" applyAlignment="1">
      <alignment horizontal="center" vertical="center"/>
    </xf>
    <xf numFmtId="43" fontId="50" fillId="0" borderId="55" xfId="767" applyNumberFormat="1" applyFont="1" applyBorder="1" applyAlignment="1">
      <alignment horizontal="center" vertical="center"/>
    </xf>
    <xf numFmtId="43" fontId="50" fillId="0" borderId="23" xfId="767" applyNumberFormat="1" applyFont="1" applyBorder="1" applyAlignment="1">
      <alignment horizontal="center" vertical="center"/>
    </xf>
    <xf numFmtId="43" fontId="50" fillId="0" borderId="78" xfId="767" applyNumberFormat="1" applyFont="1" applyBorder="1" applyAlignment="1">
      <alignment horizontal="center" vertical="center"/>
    </xf>
    <xf numFmtId="0" fontId="50" fillId="62" borderId="15" xfId="767" applyFont="1" applyFill="1" applyBorder="1" applyAlignment="1">
      <alignment wrapText="1"/>
    </xf>
    <xf numFmtId="43" fontId="50" fillId="62" borderId="51" xfId="767" applyNumberFormat="1" applyFont="1" applyFill="1" applyBorder="1" applyAlignment="1">
      <alignment horizontal="center" vertical="center"/>
    </xf>
    <xf numFmtId="43" fontId="50" fillId="62" borderId="52" xfId="767" applyNumberFormat="1" applyFont="1" applyFill="1" applyBorder="1" applyAlignment="1">
      <alignment horizontal="center" vertical="center"/>
    </xf>
    <xf numFmtId="0" fontId="50" fillId="0" borderId="97" xfId="767" applyFont="1" applyBorder="1" applyAlignment="1">
      <alignment wrapText="1"/>
    </xf>
    <xf numFmtId="43" fontId="50" fillId="0" borderId="81" xfId="767" applyNumberFormat="1" applyFont="1" applyBorder="1" applyAlignment="1">
      <alignment horizontal="center" vertical="center"/>
    </xf>
    <xf numFmtId="43" fontId="50" fillId="0" borderId="92" xfId="767" applyNumberFormat="1" applyFont="1" applyBorder="1" applyAlignment="1">
      <alignment horizontal="center" vertical="center"/>
    </xf>
    <xf numFmtId="43" fontId="50" fillId="0" borderId="93" xfId="767" applyNumberFormat="1" applyFont="1" applyBorder="1" applyAlignment="1">
      <alignment horizontal="center" vertical="center"/>
    </xf>
    <xf numFmtId="43" fontId="50" fillId="0" borderId="96" xfId="767" applyNumberFormat="1" applyFont="1" applyBorder="1" applyAlignment="1">
      <alignment horizontal="center" vertical="center"/>
    </xf>
    <xf numFmtId="0" fontId="50" fillId="62" borderId="94" xfId="767" applyFont="1" applyFill="1" applyBorder="1" applyAlignment="1">
      <alignment wrapText="1"/>
    </xf>
    <xf numFmtId="43" fontId="50" fillId="62" borderId="110" xfId="767" applyNumberFormat="1" applyFont="1" applyFill="1" applyBorder="1" applyAlignment="1">
      <alignment horizontal="center" vertical="center"/>
    </xf>
    <xf numFmtId="43" fontId="50" fillId="62" borderId="0" xfId="767" applyNumberFormat="1" applyFont="1" applyFill="1" applyBorder="1" applyAlignment="1">
      <alignment horizontal="center" vertical="center"/>
    </xf>
    <xf numFmtId="43" fontId="50" fillId="62" borderId="111" xfId="767" applyNumberFormat="1" applyFont="1" applyFill="1" applyBorder="1" applyAlignment="1">
      <alignment horizontal="center" vertical="center"/>
    </xf>
    <xf numFmtId="43" fontId="11" fillId="0" borderId="112" xfId="768" applyNumberFormat="1" applyFont="1" applyBorder="1" applyAlignment="1">
      <alignment horizontal="center" vertical="center"/>
    </xf>
    <xf numFmtId="43" fontId="11" fillId="0" borderId="107" xfId="768" applyNumberFormat="1" applyFont="1" applyBorder="1" applyAlignment="1">
      <alignment horizontal="center" vertical="center"/>
    </xf>
    <xf numFmtId="43" fontId="11" fillId="0" borderId="55" xfId="768" applyNumberFormat="1" applyFont="1" applyBorder="1" applyAlignment="1">
      <alignment horizontal="center" vertical="center"/>
    </xf>
    <xf numFmtId="43" fontId="11" fillId="0" borderId="98" xfId="768" applyNumberFormat="1" applyFont="1" applyBorder="1" applyAlignment="1">
      <alignment horizontal="center" vertical="center"/>
    </xf>
    <xf numFmtId="43" fontId="11" fillId="62" borderId="51" xfId="768" applyNumberFormat="1" applyFont="1" applyFill="1" applyBorder="1" applyAlignment="1">
      <alignment horizontal="center" vertical="center"/>
    </xf>
    <xf numFmtId="43" fontId="11" fillId="62" borderId="52" xfId="768" applyNumberFormat="1" applyFont="1" applyFill="1" applyBorder="1" applyAlignment="1">
      <alignment horizontal="center" vertical="center"/>
    </xf>
    <xf numFmtId="43" fontId="117" fillId="64" borderId="99" xfId="768" applyNumberFormat="1" applyFont="1" applyFill="1" applyBorder="1" applyAlignment="1">
      <alignment horizontal="center" vertical="center"/>
    </xf>
    <xf numFmtId="43" fontId="11" fillId="33" borderId="23" xfId="379" applyFont="1" applyFill="1" applyBorder="1" applyAlignment="1">
      <alignment horizontal="center"/>
    </xf>
    <xf numFmtId="43" fontId="11" fillId="65" borderId="23" xfId="379" applyFont="1" applyFill="1" applyBorder="1" applyAlignment="1">
      <alignment horizontal="center"/>
    </xf>
    <xf numFmtId="43" fontId="11" fillId="33" borderId="23" xfId="379" applyFont="1" applyFill="1" applyBorder="1" applyAlignment="1" applyProtection="1">
      <alignment horizontal="center"/>
      <protection locked="0"/>
    </xf>
    <xf numFmtId="1" fontId="11" fillId="33" borderId="1" xfId="379" applyNumberFormat="1" applyFont="1" applyFill="1" applyBorder="1" applyAlignment="1" applyProtection="1">
      <alignment horizontal="center"/>
      <protection locked="0"/>
    </xf>
    <xf numFmtId="1" fontId="11" fillId="33" borderId="1" xfId="0" applyNumberFormat="1" applyFont="1" applyFill="1" applyBorder="1" applyProtection="1">
      <protection locked="0"/>
    </xf>
    <xf numFmtId="1" fontId="11" fillId="33" borderId="23" xfId="379" applyNumberFormat="1" applyFont="1" applyFill="1" applyBorder="1" applyAlignment="1">
      <alignment horizontal="center"/>
    </xf>
    <xf numFmtId="1" fontId="11" fillId="33" borderId="23" xfId="379" applyNumberFormat="1" applyFont="1" applyFill="1" applyBorder="1" applyAlignment="1" applyProtection="1">
      <alignment horizontal="center"/>
      <protection locked="0"/>
    </xf>
    <xf numFmtId="1" fontId="11" fillId="33" borderId="23" xfId="0" applyNumberFormat="1" applyFont="1" applyFill="1" applyBorder="1" applyProtection="1">
      <protection locked="0"/>
    </xf>
    <xf numFmtId="1" fontId="11" fillId="65" borderId="23" xfId="379" applyNumberFormat="1" applyFont="1" applyFill="1" applyBorder="1" applyAlignment="1" applyProtection="1">
      <alignment horizontal="center"/>
      <protection locked="0"/>
    </xf>
    <xf numFmtId="1" fontId="11" fillId="65" borderId="23" xfId="0" applyNumberFormat="1" applyFont="1" applyFill="1" applyBorder="1" applyProtection="1">
      <protection locked="0"/>
    </xf>
    <xf numFmtId="1" fontId="11" fillId="33" borderId="23" xfId="379" applyNumberFormat="1" applyFont="1" applyFill="1" applyBorder="1" applyProtection="1">
      <protection locked="0"/>
    </xf>
    <xf numFmtId="0" fontId="111" fillId="0" borderId="0" xfId="0" applyFont="1" applyFill="1" applyBorder="1" applyAlignment="1" applyProtection="1">
      <alignment horizontal="left" vertical="center" wrapText="1"/>
      <protection locked="0"/>
    </xf>
    <xf numFmtId="43" fontId="11" fillId="0" borderId="0" xfId="379" applyFont="1" applyAlignment="1">
      <alignment horizontal="center"/>
    </xf>
    <xf numFmtId="43" fontId="11" fillId="0" borderId="0" xfId="379" applyFont="1" applyAlignment="1" applyProtection="1">
      <alignment horizontal="center"/>
      <protection locked="0"/>
    </xf>
    <xf numFmtId="43" fontId="54" fillId="0" borderId="0" xfId="379" applyFont="1" applyBorder="1" applyAlignment="1" applyProtection="1">
      <alignment horizontal="left" vertical="center"/>
      <protection locked="0"/>
    </xf>
    <xf numFmtId="43" fontId="18" fillId="0" borderId="0" xfId="379" applyFont="1" applyAlignment="1" applyProtection="1">
      <alignment horizontal="center"/>
      <protection locked="0"/>
    </xf>
    <xf numFmtId="43" fontId="18" fillId="0" borderId="44" xfId="379" applyFont="1" applyBorder="1" applyAlignment="1" applyProtection="1">
      <alignment horizontal="center" wrapText="1"/>
      <protection locked="0"/>
    </xf>
    <xf numFmtId="43" fontId="18" fillId="0" borderId="81" xfId="379" applyFont="1" applyBorder="1" applyAlignment="1" applyProtection="1">
      <alignment horizontal="center" wrapText="1"/>
      <protection locked="0"/>
    </xf>
    <xf numFmtId="43" fontId="11" fillId="0" borderId="0" xfId="379" applyFont="1" applyBorder="1" applyProtection="1">
      <protection locked="0"/>
    </xf>
    <xf numFmtId="43" fontId="11" fillId="0" borderId="0" xfId="379" applyFont="1" applyBorder="1"/>
    <xf numFmtId="43" fontId="11" fillId="0" borderId="70" xfId="379" applyFont="1" applyBorder="1" applyAlignment="1">
      <alignment horizontal="center"/>
    </xf>
    <xf numFmtId="43" fontId="67" fillId="0" borderId="17" xfId="379" applyFont="1" applyBorder="1" applyAlignment="1">
      <alignment horizontal="center"/>
    </xf>
    <xf numFmtId="43" fontId="67" fillId="0" borderId="21" xfId="379" applyFont="1" applyBorder="1" applyAlignment="1">
      <alignment horizontal="center"/>
    </xf>
    <xf numFmtId="43" fontId="67" fillId="0" borderId="55" xfId="379" applyFont="1" applyBorder="1" applyAlignment="1">
      <alignment horizontal="center"/>
    </xf>
    <xf numFmtId="43" fontId="67" fillId="0" borderId="1" xfId="379" applyFont="1" applyBorder="1" applyAlignment="1">
      <alignment horizontal="center"/>
    </xf>
    <xf numFmtId="43" fontId="108" fillId="0" borderId="1" xfId="379" applyFont="1" applyBorder="1"/>
    <xf numFmtId="0" fontId="11" fillId="0" borderId="0" xfId="0" applyFont="1" applyAlignment="1"/>
    <xf numFmtId="0" fontId="11" fillId="0" borderId="0" xfId="0" applyFont="1" applyAlignment="1" applyProtection="1">
      <protection locked="0"/>
    </xf>
    <xf numFmtId="2" fontId="11" fillId="0" borderId="23" xfId="379" applyNumberFormat="1" applyFont="1" applyFill="1" applyBorder="1" applyAlignment="1" applyProtection="1">
      <protection locked="0"/>
    </xf>
    <xf numFmtId="43" fontId="11" fillId="0" borderId="0" xfId="0" applyNumberFormat="1" applyFont="1" applyAlignment="1"/>
    <xf numFmtId="0" fontId="11" fillId="0" borderId="68" xfId="0" applyFont="1" applyBorder="1" applyAlignment="1">
      <alignment horizontal="center"/>
    </xf>
    <xf numFmtId="0" fontId="67" fillId="0" borderId="0" xfId="0" applyFont="1" applyBorder="1" applyAlignment="1">
      <alignment horizontal="center"/>
    </xf>
    <xf numFmtId="43" fontId="67" fillId="0" borderId="0" xfId="379" applyFont="1" applyBorder="1" applyAlignment="1">
      <alignment horizontal="center"/>
    </xf>
    <xf numFmtId="0" fontId="67" fillId="0" borderId="68" xfId="0" applyFont="1" applyBorder="1" applyAlignment="1">
      <alignment horizontal="center"/>
    </xf>
    <xf numFmtId="49" fontId="11" fillId="0" borderId="0" xfId="0" applyNumberFormat="1" applyFont="1" applyBorder="1" applyAlignment="1" applyProtection="1">
      <alignment horizontal="center"/>
      <protection locked="0"/>
    </xf>
    <xf numFmtId="43" fontId="11" fillId="0" borderId="0" xfId="379" applyFont="1" applyBorder="1" applyAlignment="1" applyProtection="1">
      <alignment horizontal="center"/>
      <protection locked="0"/>
    </xf>
    <xf numFmtId="10" fontId="11" fillId="0" borderId="0" xfId="557" applyNumberFormat="1" applyFont="1" applyBorder="1" applyAlignment="1" applyProtection="1">
      <alignment horizontal="center"/>
      <protection locked="0"/>
    </xf>
    <xf numFmtId="0" fontId="0" fillId="0" borderId="0" xfId="0" applyBorder="1" applyAlignment="1">
      <alignment vertical="center"/>
    </xf>
    <xf numFmtId="0" fontId="11" fillId="36" borderId="2" xfId="0" applyFont="1" applyFill="1" applyBorder="1" applyAlignment="1">
      <alignment wrapText="1"/>
    </xf>
    <xf numFmtId="0" fontId="11" fillId="36" borderId="9" xfId="0" applyFont="1" applyFill="1" applyBorder="1" applyAlignment="1">
      <alignment wrapText="1"/>
    </xf>
    <xf numFmtId="0" fontId="11" fillId="36" borderId="19" xfId="0" applyFont="1" applyFill="1" applyBorder="1" applyAlignment="1">
      <alignment wrapText="1"/>
    </xf>
    <xf numFmtId="49" fontId="11" fillId="36" borderId="2" xfId="0" applyNumberFormat="1" applyFont="1" applyFill="1" applyBorder="1" applyAlignment="1">
      <alignment wrapText="1"/>
    </xf>
    <xf numFmtId="0" fontId="18" fillId="0" borderId="118" xfId="0" applyFont="1" applyBorder="1" applyAlignment="1">
      <alignment wrapText="1"/>
    </xf>
    <xf numFmtId="0" fontId="18" fillId="0" borderId="119" xfId="0" applyFont="1" applyBorder="1" applyAlignment="1">
      <alignment horizontal="center" wrapText="1"/>
    </xf>
    <xf numFmtId="0" fontId="18" fillId="0" borderId="120" xfId="0" applyFont="1" applyBorder="1" applyAlignment="1">
      <alignment horizontal="center" wrapText="1"/>
    </xf>
    <xf numFmtId="49" fontId="11" fillId="36" borderId="43" xfId="0" applyNumberFormat="1" applyFont="1" applyFill="1" applyBorder="1" applyAlignment="1">
      <alignment wrapText="1"/>
    </xf>
    <xf numFmtId="0" fontId="11" fillId="36" borderId="39" xfId="0" applyFont="1" applyFill="1" applyBorder="1" applyAlignment="1">
      <alignment wrapText="1"/>
    </xf>
    <xf numFmtId="2" fontId="11" fillId="0" borderId="1" xfId="379" applyNumberFormat="1" applyFont="1" applyBorder="1" applyAlignment="1" applyProtection="1">
      <protection locked="0"/>
    </xf>
    <xf numFmtId="0" fontId="118" fillId="0" borderId="0" xfId="0" applyFont="1" applyFill="1" applyBorder="1" applyAlignment="1" applyProtection="1">
      <alignment horizontal="center" vertical="center" wrapText="1"/>
      <protection locked="0"/>
    </xf>
    <xf numFmtId="0" fontId="21" fillId="0" borderId="0" xfId="0" applyFont="1" applyAlignment="1" applyProtection="1">
      <alignment horizontal="left"/>
      <protection locked="0"/>
    </xf>
    <xf numFmtId="10" fontId="21" fillId="0" borderId="0" xfId="557" applyNumberFormat="1" applyFont="1" applyBorder="1"/>
    <xf numFmtId="170" fontId="11" fillId="65" borderId="1" xfId="379" applyNumberFormat="1" applyFont="1" applyFill="1" applyBorder="1" applyAlignment="1">
      <alignment horizontal="center"/>
    </xf>
    <xf numFmtId="170" fontId="11" fillId="65" borderId="10" xfId="379" applyNumberFormat="1" applyFont="1" applyFill="1" applyBorder="1" applyAlignment="1">
      <alignment horizontal="center"/>
    </xf>
    <xf numFmtId="1" fontId="11" fillId="65" borderId="1" xfId="0" applyNumberFormat="1" applyFont="1" applyFill="1" applyBorder="1" applyAlignment="1">
      <alignment horizontal="center"/>
    </xf>
    <xf numFmtId="1" fontId="11" fillId="65" borderId="10" xfId="0" applyNumberFormat="1" applyFont="1" applyFill="1" applyBorder="1" applyAlignment="1">
      <alignment horizontal="center"/>
    </xf>
    <xf numFmtId="170" fontId="11" fillId="65" borderId="28" xfId="379" applyNumberFormat="1" applyFont="1" applyFill="1" applyBorder="1"/>
    <xf numFmtId="170" fontId="11" fillId="65" borderId="26" xfId="379" applyNumberFormat="1" applyFont="1" applyFill="1" applyBorder="1"/>
    <xf numFmtId="167" fontId="11" fillId="65" borderId="28" xfId="0" applyNumberFormat="1" applyFont="1" applyFill="1" applyBorder="1"/>
    <xf numFmtId="167" fontId="11" fillId="65" borderId="26" xfId="0" applyNumberFormat="1" applyFont="1" applyFill="1" applyBorder="1"/>
    <xf numFmtId="0" fontId="11" fillId="65" borderId="1" xfId="0" applyFont="1" applyFill="1" applyBorder="1" applyAlignment="1">
      <alignment horizontal="center"/>
    </xf>
    <xf numFmtId="0" fontId="11" fillId="65" borderId="10" xfId="0" applyFont="1" applyFill="1" applyBorder="1" applyAlignment="1">
      <alignment horizontal="center"/>
    </xf>
    <xf numFmtId="0" fontId="119" fillId="0" borderId="0" xfId="0" applyFont="1" applyBorder="1" applyAlignment="1"/>
    <xf numFmtId="0" fontId="11" fillId="33" borderId="0" xfId="0" applyFont="1" applyFill="1"/>
    <xf numFmtId="2" fontId="11" fillId="66" borderId="7" xfId="379" applyNumberFormat="1" applyFont="1" applyFill="1" applyBorder="1" applyAlignment="1" applyProtection="1">
      <alignment horizontal="center"/>
      <protection locked="0"/>
    </xf>
    <xf numFmtId="2" fontId="11" fillId="66" borderId="23" xfId="379" applyNumberFormat="1" applyFont="1" applyFill="1" applyBorder="1" applyAlignment="1" applyProtection="1">
      <alignment horizontal="center"/>
      <protection locked="0"/>
    </xf>
    <xf numFmtId="2" fontId="11" fillId="66" borderId="2" xfId="379" applyNumberFormat="1" applyFont="1" applyFill="1" applyBorder="1" applyAlignment="1" applyProtection="1">
      <alignment horizontal="center"/>
      <protection locked="0"/>
    </xf>
    <xf numFmtId="0" fontId="11" fillId="66" borderId="0" xfId="0" applyFont="1" applyFill="1"/>
    <xf numFmtId="0" fontId="18" fillId="67" borderId="1" xfId="0" applyFont="1" applyFill="1" applyBorder="1" applyAlignment="1">
      <alignment horizontal="center"/>
    </xf>
    <xf numFmtId="0" fontId="18" fillId="67" borderId="8" xfId="0" applyFont="1" applyFill="1" applyBorder="1" applyAlignment="1">
      <alignment horizontal="center"/>
    </xf>
    <xf numFmtId="0" fontId="18" fillId="67" borderId="10" xfId="0" applyFont="1" applyFill="1" applyBorder="1" applyAlignment="1">
      <alignment horizontal="center"/>
    </xf>
    <xf numFmtId="0" fontId="18" fillId="67" borderId="11" xfId="0" applyFont="1" applyFill="1" applyBorder="1" applyAlignment="1">
      <alignment horizontal="center"/>
    </xf>
    <xf numFmtId="0" fontId="18" fillId="67" borderId="12" xfId="0" applyFont="1" applyFill="1" applyBorder="1" applyAlignment="1">
      <alignment horizontal="center"/>
    </xf>
    <xf numFmtId="0" fontId="18" fillId="67" borderId="13" xfId="0" applyFont="1" applyFill="1" applyBorder="1" applyAlignment="1">
      <alignment horizontal="center"/>
    </xf>
    <xf numFmtId="0" fontId="18" fillId="67" borderId="44" xfId="0" applyFont="1" applyFill="1" applyBorder="1" applyAlignment="1">
      <alignment horizontal="center"/>
    </xf>
    <xf numFmtId="0" fontId="18" fillId="67" borderId="18" xfId="0" applyFont="1" applyFill="1" applyBorder="1" applyAlignment="1">
      <alignment horizontal="center"/>
    </xf>
    <xf numFmtId="0" fontId="18" fillId="67" borderId="26" xfId="0" applyFont="1" applyFill="1" applyBorder="1" applyAlignment="1">
      <alignment horizontal="center"/>
    </xf>
    <xf numFmtId="0" fontId="18" fillId="67" borderId="42" xfId="0" applyFont="1" applyFill="1" applyBorder="1" applyAlignment="1">
      <alignment horizontal="center"/>
    </xf>
    <xf numFmtId="0" fontId="18" fillId="66" borderId="1" xfId="0" applyFont="1" applyFill="1" applyBorder="1" applyAlignment="1" applyProtection="1">
      <alignment horizontal="center" wrapText="1"/>
    </xf>
    <xf numFmtId="0" fontId="18" fillId="66" borderId="44" xfId="0" applyFont="1" applyFill="1" applyBorder="1" applyAlignment="1" applyProtection="1">
      <alignment horizontal="center" wrapText="1"/>
    </xf>
    <xf numFmtId="2" fontId="11" fillId="66" borderId="1" xfId="379" applyNumberFormat="1" applyFont="1" applyFill="1" applyBorder="1" applyAlignment="1" applyProtection="1">
      <alignment horizontal="center"/>
      <protection locked="0"/>
    </xf>
    <xf numFmtId="2" fontId="57" fillId="0" borderId="23" xfId="379" applyNumberFormat="1" applyFont="1" applyFill="1" applyBorder="1" applyAlignment="1" applyProtection="1">
      <alignment horizontal="center"/>
      <protection locked="0"/>
    </xf>
    <xf numFmtId="0" fontId="57" fillId="0" borderId="1" xfId="0" applyFont="1" applyFill="1" applyBorder="1"/>
    <xf numFmtId="0" fontId="57" fillId="0" borderId="1" xfId="0" applyFont="1" applyBorder="1"/>
    <xf numFmtId="49" fontId="57" fillId="0" borderId="17" xfId="0" applyNumberFormat="1" applyFont="1" applyBorder="1"/>
    <xf numFmtId="0" fontId="57" fillId="0" borderId="17" xfId="0" applyFont="1" applyBorder="1"/>
    <xf numFmtId="0" fontId="57" fillId="0" borderId="22" xfId="0" applyFont="1" applyBorder="1"/>
    <xf numFmtId="170" fontId="44" fillId="0" borderId="0" xfId="0" applyNumberFormat="1" applyFont="1"/>
    <xf numFmtId="0" fontId="43" fillId="0" borderId="1" xfId="0" applyFont="1" applyBorder="1" applyAlignment="1"/>
    <xf numFmtId="170" fontId="43" fillId="0" borderId="1" xfId="379" applyNumberFormat="1" applyFont="1" applyBorder="1" applyAlignment="1"/>
    <xf numFmtId="0" fontId="27" fillId="68" borderId="1" xfId="0" applyFont="1" applyFill="1" applyBorder="1" applyAlignment="1"/>
    <xf numFmtId="170" fontId="27" fillId="0" borderId="1" xfId="379" applyNumberFormat="1" applyFont="1" applyBorder="1" applyAlignment="1"/>
    <xf numFmtId="0" fontId="27" fillId="69" borderId="1" xfId="0" applyFont="1" applyFill="1" applyBorder="1" applyAlignment="1"/>
    <xf numFmtId="0" fontId="27" fillId="70" borderId="1" xfId="0" applyFont="1" applyFill="1" applyBorder="1" applyAlignment="1"/>
    <xf numFmtId="0" fontId="27" fillId="71" borderId="1" xfId="0" applyFont="1" applyFill="1" applyBorder="1" applyAlignment="1"/>
    <xf numFmtId="170" fontId="11" fillId="0" borderId="0" xfId="379" applyNumberFormat="1" applyFont="1" applyAlignment="1"/>
    <xf numFmtId="43" fontId="28" fillId="64" borderId="99" xfId="768" applyNumberFormat="1" applyFont="1" applyFill="1" applyBorder="1" applyAlignment="1">
      <alignment horizontal="center" vertical="center"/>
    </xf>
    <xf numFmtId="0" fontId="11" fillId="0" borderId="27" xfId="521" applyFont="1" applyBorder="1" applyAlignment="1">
      <alignment vertical="center"/>
    </xf>
    <xf numFmtId="0" fontId="11" fillId="0" borderId="77" xfId="521" applyFont="1" applyBorder="1" applyAlignment="1">
      <alignment vertical="center"/>
    </xf>
    <xf numFmtId="0" fontId="11" fillId="0" borderId="28" xfId="521" applyFont="1" applyBorder="1" applyAlignment="1">
      <alignment horizontal="center" vertical="center"/>
    </xf>
    <xf numFmtId="170" fontId="11" fillId="0" borderId="28" xfId="379" applyNumberFormat="1" applyFont="1" applyFill="1" applyBorder="1" applyAlignment="1">
      <alignment horizontal="center" vertical="center"/>
    </xf>
    <xf numFmtId="170" fontId="11" fillId="0" borderId="29" xfId="379" applyNumberFormat="1" applyFont="1" applyFill="1" applyBorder="1" applyAlignment="1">
      <alignment horizontal="center" vertical="center"/>
    </xf>
    <xf numFmtId="0" fontId="11" fillId="0" borderId="0" xfId="521" applyFont="1" applyAlignment="1">
      <alignment vertical="center"/>
    </xf>
    <xf numFmtId="10" fontId="11" fillId="0" borderId="27" xfId="558" applyNumberFormat="1" applyFont="1" applyFill="1" applyBorder="1" applyAlignment="1">
      <alignment horizontal="center" vertical="center"/>
    </xf>
    <xf numFmtId="3" fontId="44" fillId="0" borderId="76" xfId="379" applyNumberFormat="1" applyFont="1" applyFill="1" applyBorder="1" applyAlignment="1">
      <alignment horizontal="center" vertical="center"/>
    </xf>
    <xf numFmtId="3" fontId="11" fillId="0" borderId="76" xfId="379" applyNumberFormat="1" applyFont="1" applyFill="1" applyBorder="1" applyAlignment="1">
      <alignment horizontal="center" vertical="center"/>
    </xf>
    <xf numFmtId="3" fontId="11" fillId="0" borderId="29" xfId="379" applyNumberFormat="1" applyFont="1" applyFill="1" applyBorder="1" applyAlignment="1">
      <alignment horizontal="center" vertical="center"/>
    </xf>
    <xf numFmtId="0" fontId="15" fillId="0" borderId="0" xfId="0" applyFont="1" applyFill="1" applyBorder="1" applyAlignment="1"/>
    <xf numFmtId="0" fontId="46" fillId="0" borderId="1" xfId="0" applyFont="1" applyBorder="1" applyAlignment="1">
      <alignment horizontal="center" vertical="center" wrapText="1"/>
    </xf>
    <xf numFmtId="43" fontId="11" fillId="0" borderId="56" xfId="0" applyNumberFormat="1" applyFont="1" applyBorder="1" applyAlignment="1">
      <alignment horizontal="center"/>
    </xf>
    <xf numFmtId="0" fontId="11" fillId="0" borderId="0" xfId="696" applyProtection="1">
      <protection locked="0"/>
    </xf>
    <xf numFmtId="0" fontId="5" fillId="0" borderId="0" xfId="767" applyProtection="1">
      <protection locked="0"/>
    </xf>
    <xf numFmtId="0" fontId="11" fillId="0" borderId="0" xfId="696" applyAlignment="1" applyProtection="1">
      <alignment horizontal="left"/>
      <protection locked="0"/>
    </xf>
    <xf numFmtId="0" fontId="2" fillId="0" borderId="0" xfId="767" applyFont="1" applyProtection="1">
      <protection locked="0"/>
    </xf>
    <xf numFmtId="49" fontId="121" fillId="0" borderId="0" xfId="597" applyNumberFormat="1" applyFont="1" applyBorder="1" applyAlignment="1" applyProtection="1">
      <alignment vertical="top" wrapText="1"/>
      <protection locked="0"/>
    </xf>
    <xf numFmtId="49" fontId="2" fillId="0" borderId="0" xfId="767" applyNumberFormat="1" applyFont="1" applyAlignment="1" applyProtection="1">
      <alignment vertical="top" wrapText="1"/>
      <protection locked="0"/>
    </xf>
    <xf numFmtId="49" fontId="122" fillId="0" borderId="0" xfId="597" applyNumberFormat="1" applyFont="1" applyBorder="1" applyAlignment="1" applyProtection="1">
      <alignment vertical="top" wrapText="1"/>
      <protection locked="0"/>
    </xf>
    <xf numFmtId="0" fontId="81" fillId="34" borderId="45" xfId="767" applyFont="1" applyFill="1" applyBorder="1" applyAlignment="1" applyProtection="1">
      <alignment horizontal="right"/>
      <protection locked="0"/>
    </xf>
    <xf numFmtId="0" fontId="81" fillId="34" borderId="0" xfId="767" applyFont="1" applyFill="1" applyBorder="1" applyAlignment="1" applyProtection="1">
      <alignment horizontal="right"/>
      <protection locked="0"/>
    </xf>
    <xf numFmtId="0" fontId="81" fillId="34" borderId="41" xfId="767" applyFont="1" applyFill="1" applyBorder="1" applyAlignment="1" applyProtection="1">
      <alignment horizontal="right"/>
      <protection locked="0"/>
    </xf>
    <xf numFmtId="0" fontId="81" fillId="0" borderId="45" xfId="767" applyFont="1" applyBorder="1" applyProtection="1">
      <protection locked="0"/>
    </xf>
    <xf numFmtId="0" fontId="81" fillId="0" borderId="121" xfId="767" applyFont="1" applyBorder="1" applyProtection="1">
      <protection locked="0"/>
    </xf>
    <xf numFmtId="0" fontId="2" fillId="0" borderId="45" xfId="767" applyFont="1" applyBorder="1" applyProtection="1">
      <protection locked="0"/>
    </xf>
    <xf numFmtId="10" fontId="121" fillId="0" borderId="0" xfId="611" applyNumberFormat="1" applyFont="1" applyBorder="1" applyProtection="1">
      <protection locked="0"/>
    </xf>
    <xf numFmtId="10" fontId="121" fillId="0" borderId="101" xfId="611" applyNumberFormat="1" applyFont="1" applyBorder="1" applyProtection="1">
      <protection locked="0"/>
    </xf>
    <xf numFmtId="10" fontId="121" fillId="0" borderId="41" xfId="611" applyNumberFormat="1" applyFont="1" applyBorder="1" applyProtection="1">
      <protection locked="0"/>
    </xf>
    <xf numFmtId="0" fontId="5" fillId="0" borderId="45" xfId="767" applyBorder="1" applyProtection="1">
      <protection locked="0"/>
    </xf>
    <xf numFmtId="0" fontId="5" fillId="0" borderId="121" xfId="767" applyBorder="1" applyProtection="1">
      <protection locked="0"/>
    </xf>
    <xf numFmtId="9" fontId="0" fillId="70" borderId="0" xfId="611" applyFont="1" applyFill="1" applyProtection="1">
      <protection locked="0"/>
    </xf>
    <xf numFmtId="9" fontId="5" fillId="70" borderId="0" xfId="767" applyNumberFormat="1" applyFill="1" applyProtection="1">
      <protection locked="0"/>
    </xf>
    <xf numFmtId="9" fontId="5" fillId="0" borderId="0" xfId="767" applyNumberFormat="1" applyProtection="1">
      <protection locked="0"/>
    </xf>
    <xf numFmtId="0" fontId="2" fillId="0" borderId="0" xfId="767" applyFont="1" applyBorder="1" applyProtection="1">
      <protection locked="0"/>
    </xf>
    <xf numFmtId="0" fontId="2" fillId="0" borderId="94" xfId="767" applyFont="1" applyBorder="1" applyProtection="1">
      <protection locked="0"/>
    </xf>
    <xf numFmtId="0" fontId="2" fillId="0" borderId="100" xfId="767" applyFont="1" applyBorder="1" applyProtection="1">
      <protection locked="0"/>
    </xf>
    <xf numFmtId="10" fontId="121" fillId="0" borderId="102" xfId="611" applyNumberFormat="1" applyFont="1" applyBorder="1" applyProtection="1">
      <protection locked="0"/>
    </xf>
    <xf numFmtId="10" fontId="121" fillId="0" borderId="95" xfId="611" applyNumberFormat="1" applyFont="1" applyBorder="1" applyProtection="1">
      <protection locked="0"/>
    </xf>
    <xf numFmtId="10" fontId="81" fillId="0" borderId="0" xfId="767" applyNumberFormat="1" applyFont="1" applyBorder="1" applyProtection="1">
      <protection locked="0"/>
    </xf>
    <xf numFmtId="10" fontId="81" fillId="0" borderId="101" xfId="767" applyNumberFormat="1" applyFont="1" applyBorder="1" applyProtection="1">
      <protection locked="0"/>
    </xf>
    <xf numFmtId="10" fontId="81" fillId="0" borderId="41" xfId="767" applyNumberFormat="1" applyFont="1" applyBorder="1" applyProtection="1">
      <protection locked="0"/>
    </xf>
    <xf numFmtId="43" fontId="121" fillId="33" borderId="0" xfId="597" applyNumberFormat="1" applyFont="1" applyFill="1" applyBorder="1" applyProtection="1">
      <protection locked="0"/>
    </xf>
    <xf numFmtId="43" fontId="121" fillId="0" borderId="41" xfId="597" applyNumberFormat="1" applyFont="1" applyBorder="1" applyProtection="1">
      <protection locked="0"/>
    </xf>
    <xf numFmtId="43" fontId="121" fillId="0" borderId="0" xfId="597" applyNumberFormat="1" applyFont="1" applyBorder="1" applyProtection="1">
      <protection locked="0"/>
    </xf>
    <xf numFmtId="43" fontId="121" fillId="33" borderId="105" xfId="597" applyNumberFormat="1" applyFont="1" applyFill="1" applyBorder="1" applyProtection="1">
      <protection locked="0"/>
    </xf>
    <xf numFmtId="43" fontId="121" fillId="33" borderId="104" xfId="597" applyNumberFormat="1" applyFont="1" applyFill="1" applyBorder="1" applyProtection="1">
      <protection locked="0"/>
    </xf>
    <xf numFmtId="43" fontId="121" fillId="0" borderId="100" xfId="597" applyNumberFormat="1" applyFont="1" applyBorder="1" applyProtection="1">
      <protection locked="0"/>
    </xf>
    <xf numFmtId="43" fontId="121" fillId="33" borderId="102" xfId="597" applyNumberFormat="1" applyFont="1" applyFill="1" applyBorder="1" applyProtection="1">
      <protection locked="0"/>
    </xf>
    <xf numFmtId="43" fontId="121" fillId="0" borderId="95" xfId="597" applyNumberFormat="1" applyFont="1" applyBorder="1" applyProtection="1">
      <protection locked="0"/>
    </xf>
    <xf numFmtId="0" fontId="81" fillId="0" borderId="46" xfId="767" applyFont="1" applyBorder="1" applyProtection="1">
      <protection locked="0"/>
    </xf>
    <xf numFmtId="43" fontId="81" fillId="0" borderId="25" xfId="597" applyNumberFormat="1" applyFont="1" applyBorder="1" applyProtection="1">
      <protection locked="0"/>
    </xf>
    <xf numFmtId="43" fontId="81" fillId="0" borderId="103" xfId="597" applyNumberFormat="1" applyFont="1" applyBorder="1" applyProtection="1">
      <protection locked="0"/>
    </xf>
    <xf numFmtId="43" fontId="81" fillId="0" borderId="40" xfId="597" applyNumberFormat="1" applyFont="1" applyBorder="1" applyProtection="1">
      <protection locked="0"/>
    </xf>
    <xf numFmtId="0" fontId="5" fillId="0" borderId="46" xfId="767" applyBorder="1" applyProtection="1">
      <protection locked="0"/>
    </xf>
    <xf numFmtId="0" fontId="5" fillId="0" borderId="122" xfId="767" applyBorder="1" applyProtection="1">
      <protection locked="0"/>
    </xf>
    <xf numFmtId="0" fontId="81" fillId="0" borderId="0" xfId="767" applyFont="1" applyBorder="1" applyProtection="1">
      <protection locked="0"/>
    </xf>
    <xf numFmtId="43" fontId="81" fillId="0" borderId="0" xfId="597" applyNumberFormat="1" applyFont="1" applyBorder="1" applyProtection="1">
      <protection locked="0"/>
    </xf>
    <xf numFmtId="0" fontId="81" fillId="62" borderId="45" xfId="767" applyFont="1" applyFill="1" applyBorder="1" applyAlignment="1" applyProtection="1">
      <alignment horizontal="right"/>
      <protection locked="0"/>
    </xf>
    <xf numFmtId="0" fontId="81" fillId="62" borderId="0" xfId="767" applyFont="1" applyFill="1" applyBorder="1" applyAlignment="1" applyProtection="1">
      <alignment horizontal="right"/>
      <protection locked="0"/>
    </xf>
    <xf numFmtId="0" fontId="81" fillId="62" borderId="41" xfId="767" applyFont="1" applyFill="1" applyBorder="1" applyAlignment="1" applyProtection="1">
      <alignment horizontal="right"/>
      <protection locked="0"/>
    </xf>
    <xf numFmtId="10" fontId="121" fillId="61" borderId="0" xfId="611" applyNumberFormat="1" applyFont="1" applyFill="1" applyBorder="1" applyProtection="1">
      <protection locked="0"/>
    </xf>
    <xf numFmtId="10" fontId="121" fillId="61" borderId="101" xfId="611" applyNumberFormat="1" applyFont="1" applyFill="1" applyBorder="1" applyProtection="1">
      <protection locked="0"/>
    </xf>
    <xf numFmtId="0" fontId="81" fillId="0" borderId="106" xfId="767" applyFont="1" applyBorder="1" applyProtection="1">
      <protection locked="0"/>
    </xf>
    <xf numFmtId="10" fontId="81" fillId="0" borderId="107" xfId="767" applyNumberFormat="1" applyFont="1" applyBorder="1" applyProtection="1">
      <protection locked="0"/>
    </xf>
    <xf numFmtId="10" fontId="81" fillId="0" borderId="108" xfId="767" applyNumberFormat="1" applyFont="1" applyBorder="1" applyProtection="1">
      <protection locked="0"/>
    </xf>
    <xf numFmtId="10" fontId="81" fillId="0" borderId="109" xfId="767" applyNumberFormat="1" applyFont="1" applyBorder="1" applyProtection="1">
      <protection locked="0"/>
    </xf>
    <xf numFmtId="43" fontId="121" fillId="61" borderId="0" xfId="597" applyNumberFormat="1" applyFont="1" applyFill="1" applyBorder="1" applyProtection="1">
      <protection locked="0"/>
    </xf>
    <xf numFmtId="43" fontId="121" fillId="61" borderId="101" xfId="597" applyNumberFormat="1" applyFont="1" applyFill="1" applyBorder="1" applyProtection="1">
      <protection locked="0"/>
    </xf>
    <xf numFmtId="43" fontId="121" fillId="61" borderId="105" xfId="597" applyNumberFormat="1" applyFont="1" applyFill="1" applyBorder="1" applyProtection="1">
      <protection locked="0"/>
    </xf>
    <xf numFmtId="43" fontId="121" fillId="61" borderId="104" xfId="597" applyNumberFormat="1" applyFont="1" applyFill="1" applyBorder="1" applyProtection="1">
      <protection locked="0"/>
    </xf>
    <xf numFmtId="43" fontId="121" fillId="0" borderId="0" xfId="597" applyNumberFormat="1" applyFont="1" applyFill="1" applyBorder="1" applyProtection="1">
      <protection locked="0"/>
    </xf>
    <xf numFmtId="0" fontId="2" fillId="0" borderId="0" xfId="767" applyFont="1" applyBorder="1" applyAlignment="1" applyProtection="1">
      <alignment vertical="top" wrapText="1"/>
      <protection locked="0"/>
    </xf>
    <xf numFmtId="0" fontId="2" fillId="0" borderId="0" xfId="767" applyFont="1" applyAlignment="1" applyProtection="1">
      <alignment vertical="top" wrapText="1"/>
      <protection locked="0"/>
    </xf>
    <xf numFmtId="0" fontId="81" fillId="34" borderId="45" xfId="767" applyFont="1" applyFill="1" applyBorder="1" applyAlignment="1" applyProtection="1">
      <alignment horizontal="center"/>
      <protection locked="0"/>
    </xf>
    <xf numFmtId="0" fontId="81" fillId="34" borderId="0" xfId="767" applyFont="1" applyFill="1" applyBorder="1" applyAlignment="1" applyProtection="1">
      <alignment horizontal="center"/>
      <protection locked="0"/>
    </xf>
    <xf numFmtId="0" fontId="81" fillId="34" borderId="41" xfId="767" applyFont="1" applyFill="1" applyBorder="1" applyAlignment="1" applyProtection="1">
      <alignment horizontal="center"/>
      <protection locked="0"/>
    </xf>
    <xf numFmtId="0" fontId="81" fillId="35" borderId="41" xfId="767" applyFont="1" applyFill="1" applyBorder="1" applyAlignment="1" applyProtection="1">
      <alignment horizontal="center"/>
      <protection locked="0"/>
    </xf>
    <xf numFmtId="0" fontId="81" fillId="34" borderId="38" xfId="767" applyFont="1" applyFill="1" applyBorder="1" applyAlignment="1" applyProtection="1">
      <alignment horizontal="center"/>
      <protection locked="0"/>
    </xf>
    <xf numFmtId="0" fontId="81" fillId="34" borderId="70" xfId="767" applyFont="1" applyFill="1" applyBorder="1" applyAlignment="1" applyProtection="1">
      <alignment horizontal="center"/>
      <protection locked="0"/>
    </xf>
    <xf numFmtId="0" fontId="81" fillId="34" borderId="78" xfId="767" applyFont="1" applyFill="1" applyBorder="1" applyAlignment="1" applyProtection="1">
      <alignment horizontal="center"/>
      <protection locked="0"/>
    </xf>
    <xf numFmtId="0" fontId="2" fillId="34" borderId="45" xfId="767" applyFont="1" applyFill="1" applyBorder="1" applyAlignment="1" applyProtection="1">
      <alignment vertical="top"/>
      <protection locked="0"/>
    </xf>
    <xf numFmtId="0" fontId="2" fillId="34" borderId="0" xfId="767" applyFont="1" applyFill="1" applyBorder="1" applyAlignment="1" applyProtection="1">
      <alignment vertical="top"/>
      <protection locked="0"/>
    </xf>
    <xf numFmtId="0" fontId="81" fillId="34" borderId="41" xfId="767" applyFont="1" applyFill="1" applyBorder="1" applyAlignment="1" applyProtection="1">
      <alignment horizontal="center" wrapText="1"/>
      <protection locked="0"/>
    </xf>
    <xf numFmtId="0" fontId="81" fillId="34" borderId="70" xfId="767" applyFont="1" applyFill="1" applyBorder="1" applyAlignment="1" applyProtection="1">
      <alignment horizontal="center" vertical="center"/>
      <protection locked="0"/>
    </xf>
    <xf numFmtId="0" fontId="81" fillId="34" borderId="78" xfId="767" applyFont="1" applyFill="1" applyBorder="1" applyAlignment="1" applyProtection="1">
      <alignment horizontal="center" vertical="center" wrapText="1"/>
      <protection locked="0"/>
    </xf>
    <xf numFmtId="0" fontId="2" fillId="0" borderId="45" xfId="767" applyFont="1" applyFill="1" applyBorder="1" applyAlignment="1" applyProtection="1">
      <alignment vertical="top"/>
      <protection locked="0"/>
    </xf>
    <xf numFmtId="0" fontId="2" fillId="0" borderId="0" xfId="767" applyFont="1" applyFill="1" applyBorder="1" applyAlignment="1" applyProtection="1">
      <alignment vertical="top"/>
      <protection locked="0"/>
    </xf>
    <xf numFmtId="0" fontId="81" fillId="33" borderId="0" xfId="767" applyFont="1" applyFill="1" applyBorder="1" applyAlignment="1" applyProtection="1">
      <alignment vertical="top"/>
      <protection locked="0"/>
    </xf>
    <xf numFmtId="0" fontId="81" fillId="0" borderId="0" xfId="767" applyFont="1" applyFill="1" applyBorder="1" applyAlignment="1" applyProtection="1">
      <alignment vertical="top"/>
      <protection locked="0"/>
    </xf>
    <xf numFmtId="0" fontId="81" fillId="0" borderId="41" xfId="767" applyFont="1" applyFill="1" applyBorder="1" applyAlignment="1" applyProtection="1">
      <alignment horizontal="center" vertical="top" wrapText="1"/>
      <protection locked="0"/>
    </xf>
    <xf numFmtId="0" fontId="81" fillId="33" borderId="123" xfId="767" applyFont="1" applyFill="1" applyBorder="1" applyAlignment="1" applyProtection="1">
      <alignment vertical="top"/>
      <protection locked="0"/>
    </xf>
    <xf numFmtId="0" fontId="2" fillId="0" borderId="94" xfId="767" applyFont="1" applyFill="1" applyBorder="1" applyAlignment="1" applyProtection="1">
      <alignment vertical="top"/>
      <protection locked="0"/>
    </xf>
    <xf numFmtId="0" fontId="2" fillId="0" borderId="100" xfId="767" applyFont="1" applyFill="1" applyBorder="1" applyAlignment="1" applyProtection="1">
      <alignment vertical="top"/>
      <protection locked="0"/>
    </xf>
    <xf numFmtId="0" fontId="81" fillId="33" borderId="100" xfId="767" applyFont="1" applyFill="1" applyBorder="1" applyAlignment="1" applyProtection="1">
      <alignment vertical="top"/>
      <protection locked="0"/>
    </xf>
    <xf numFmtId="0" fontId="2" fillId="0" borderId="25" xfId="767" applyFont="1" applyFill="1" applyBorder="1" applyProtection="1">
      <protection locked="0"/>
    </xf>
    <xf numFmtId="0" fontId="2" fillId="0" borderId="25" xfId="767" applyFont="1" applyBorder="1" applyProtection="1">
      <protection locked="0"/>
    </xf>
    <xf numFmtId="10" fontId="122" fillId="0" borderId="40" xfId="611" applyNumberFormat="1" applyFont="1" applyBorder="1" applyProtection="1">
      <protection locked="0"/>
    </xf>
    <xf numFmtId="0" fontId="81" fillId="0" borderId="0" xfId="767" applyFont="1" applyBorder="1" applyAlignment="1" applyProtection="1">
      <alignment vertical="top" wrapText="1"/>
      <protection locked="0"/>
    </xf>
    <xf numFmtId="0" fontId="2" fillId="0" borderId="0" xfId="767" applyFont="1" applyFill="1" applyBorder="1" applyProtection="1">
      <protection locked="0"/>
    </xf>
    <xf numFmtId="10" fontId="122" fillId="0" borderId="0" xfId="611" applyNumberFormat="1" applyFont="1" applyBorder="1" applyProtection="1">
      <protection locked="0"/>
    </xf>
    <xf numFmtId="0" fontId="2" fillId="0" borderId="0" xfId="767" applyFont="1" applyBorder="1" applyAlignment="1" applyProtection="1">
      <alignment horizontal="left" vertical="top" wrapText="1"/>
      <protection locked="0"/>
    </xf>
    <xf numFmtId="0" fontId="81" fillId="0" borderId="0" xfId="767" applyFont="1" applyFill="1" applyBorder="1" applyAlignment="1" applyProtection="1">
      <alignment vertical="top" wrapText="1"/>
      <protection locked="0"/>
    </xf>
    <xf numFmtId="0" fontId="5" fillId="0" borderId="0" xfId="767" applyBorder="1" applyProtection="1">
      <protection locked="0"/>
    </xf>
    <xf numFmtId="0" fontId="81" fillId="0" borderId="47" xfId="767" applyFont="1" applyBorder="1" applyAlignment="1" applyProtection="1">
      <alignment vertical="top" wrapText="1"/>
      <protection locked="0"/>
    </xf>
    <xf numFmtId="0" fontId="81" fillId="0" borderId="48" xfId="767" applyFont="1" applyFill="1" applyBorder="1" applyAlignment="1" applyProtection="1">
      <alignment horizontal="center" vertical="center" wrapText="1"/>
      <protection locked="0"/>
    </xf>
    <xf numFmtId="0" fontId="124" fillId="0" borderId="48" xfId="796" applyNumberFormat="1" applyFont="1" applyBorder="1" applyAlignment="1" applyProtection="1">
      <alignment horizontal="center" vertical="center"/>
      <protection locked="0"/>
    </xf>
    <xf numFmtId="0" fontId="5" fillId="0" borderId="49" xfId="767" applyBorder="1" applyProtection="1">
      <protection locked="0"/>
    </xf>
    <xf numFmtId="0" fontId="81" fillId="0" borderId="45" xfId="767" applyFont="1" applyBorder="1" applyAlignment="1" applyProtection="1">
      <alignment horizontal="left" vertical="center" wrapText="1"/>
      <protection locked="0"/>
    </xf>
    <xf numFmtId="0" fontId="81" fillId="35" borderId="1" xfId="767" applyFont="1" applyFill="1" applyBorder="1" applyAlignment="1" applyProtection="1">
      <alignment horizontal="center" vertical="center" wrapText="1"/>
      <protection locked="0"/>
    </xf>
    <xf numFmtId="10" fontId="122" fillId="0" borderId="41" xfId="611" applyNumberFormat="1" applyFont="1" applyBorder="1" applyAlignment="1" applyProtection="1">
      <alignment horizontal="center" vertical="center" wrapText="1"/>
      <protection locked="0"/>
    </xf>
    <xf numFmtId="0" fontId="125" fillId="0" borderId="46" xfId="767" applyFont="1" applyBorder="1" applyAlignment="1" applyProtection="1">
      <alignment horizontal="left" vertical="top" wrapText="1"/>
      <protection locked="0"/>
    </xf>
    <xf numFmtId="0" fontId="126" fillId="0" borderId="25" xfId="767" applyFont="1" applyBorder="1" applyAlignment="1" applyProtection="1">
      <alignment vertical="top" wrapText="1"/>
      <protection locked="0"/>
    </xf>
    <xf numFmtId="0" fontId="126" fillId="72" borderId="25" xfId="767" applyFont="1" applyFill="1" applyBorder="1" applyAlignment="1" applyProtection="1">
      <alignment vertical="top" wrapText="1"/>
      <protection locked="0"/>
    </xf>
    <xf numFmtId="0" fontId="125" fillId="0" borderId="0" xfId="767" applyFont="1" applyBorder="1" applyAlignment="1" applyProtection="1">
      <alignment horizontal="left" vertical="top" wrapText="1"/>
      <protection locked="0"/>
    </xf>
    <xf numFmtId="0" fontId="126" fillId="0" borderId="0" xfId="767" applyFont="1" applyBorder="1" applyAlignment="1" applyProtection="1">
      <alignment vertical="top" wrapText="1"/>
      <protection locked="0"/>
    </xf>
    <xf numFmtId="0" fontId="123" fillId="0" borderId="0" xfId="767" applyFont="1" applyBorder="1" applyAlignment="1" applyProtection="1">
      <alignment horizontal="center" vertical="top" wrapText="1"/>
      <protection locked="0"/>
    </xf>
    <xf numFmtId="0" fontId="2" fillId="0" borderId="35" xfId="767" applyFont="1" applyBorder="1" applyProtection="1">
      <protection locked="0"/>
    </xf>
    <xf numFmtId="0" fontId="81" fillId="34" borderId="48" xfId="767" applyFont="1" applyFill="1" applyBorder="1" applyAlignment="1" applyProtection="1">
      <alignment horizontal="center"/>
      <protection locked="0"/>
    </xf>
    <xf numFmtId="0" fontId="81" fillId="34" borderId="48" xfId="767" applyFont="1" applyFill="1" applyBorder="1" applyAlignment="1" applyProtection="1">
      <alignment horizontal="center" vertical="center"/>
      <protection locked="0"/>
    </xf>
    <xf numFmtId="0" fontId="81" fillId="34" borderId="49" xfId="767" applyFont="1" applyFill="1" applyBorder="1" applyAlignment="1" applyProtection="1">
      <alignment horizontal="center" vertical="center"/>
      <protection locked="0"/>
    </xf>
    <xf numFmtId="0" fontId="2" fillId="0" borderId="7" xfId="767" applyFont="1" applyBorder="1" applyProtection="1">
      <protection locked="0"/>
    </xf>
    <xf numFmtId="0" fontId="81" fillId="34" borderId="54" xfId="767" applyFont="1" applyFill="1" applyBorder="1" applyAlignment="1" applyProtection="1">
      <alignment vertical="top"/>
      <protection locked="0"/>
    </xf>
    <xf numFmtId="0" fontId="81" fillId="34" borderId="70" xfId="767" applyFont="1" applyFill="1" applyBorder="1" applyAlignment="1" applyProtection="1">
      <alignment vertical="top"/>
      <protection locked="0"/>
    </xf>
    <xf numFmtId="0" fontId="81" fillId="34" borderId="78" xfId="767" applyFont="1" applyFill="1" applyBorder="1" applyAlignment="1" applyProtection="1">
      <alignment vertical="top"/>
      <protection locked="0"/>
    </xf>
    <xf numFmtId="0" fontId="2" fillId="0" borderId="32" xfId="767" applyFont="1" applyBorder="1" applyAlignment="1" applyProtection="1">
      <alignment wrapText="1"/>
      <protection locked="0"/>
    </xf>
    <xf numFmtId="43" fontId="2" fillId="0" borderId="0" xfId="767" applyNumberFormat="1" applyFont="1" applyBorder="1" applyAlignment="1" applyProtection="1">
      <alignment horizontal="center" vertical="center"/>
      <protection locked="0"/>
    </xf>
    <xf numFmtId="43" fontId="2" fillId="0" borderId="17" xfId="767" applyNumberFormat="1" applyFont="1" applyBorder="1" applyAlignment="1" applyProtection="1">
      <alignment horizontal="center" vertical="center"/>
      <protection locked="0"/>
    </xf>
    <xf numFmtId="43" fontId="2" fillId="0" borderId="41" xfId="767" applyNumberFormat="1" applyFont="1" applyBorder="1" applyAlignment="1" applyProtection="1">
      <alignment horizontal="center" vertical="center"/>
      <protection locked="0"/>
    </xf>
    <xf numFmtId="43" fontId="2" fillId="0" borderId="68" xfId="767" applyNumberFormat="1" applyFont="1" applyBorder="1" applyAlignment="1" applyProtection="1">
      <alignment horizontal="center" vertical="center"/>
      <protection locked="0"/>
    </xf>
    <xf numFmtId="0" fontId="2" fillId="72" borderId="7" xfId="767" applyFont="1" applyFill="1" applyBorder="1" applyAlignment="1" applyProtection="1">
      <alignment wrapText="1"/>
      <protection locked="0"/>
    </xf>
    <xf numFmtId="43" fontId="122" fillId="33" borderId="70" xfId="796" applyFont="1" applyFill="1" applyBorder="1" applyAlignment="1" applyProtection="1">
      <alignment horizontal="center" vertical="center"/>
      <protection locked="0"/>
    </xf>
    <xf numFmtId="43" fontId="2" fillId="33" borderId="70" xfId="767" applyNumberFormat="1" applyFont="1" applyFill="1" applyBorder="1" applyAlignment="1" applyProtection="1">
      <alignment horizontal="center" vertical="center"/>
      <protection locked="0"/>
    </xf>
    <xf numFmtId="43" fontId="2" fillId="0" borderId="70" xfId="767" applyNumberFormat="1" applyFont="1" applyBorder="1" applyAlignment="1" applyProtection="1">
      <alignment horizontal="center" vertical="center"/>
      <protection locked="0"/>
    </xf>
    <xf numFmtId="43" fontId="2" fillId="0" borderId="55" xfId="767" applyNumberFormat="1" applyFont="1" applyBorder="1" applyAlignment="1" applyProtection="1">
      <alignment horizontal="center" vertical="center"/>
      <protection locked="0"/>
    </xf>
    <xf numFmtId="43" fontId="2" fillId="0" borderId="78" xfId="767" applyNumberFormat="1" applyFont="1" applyBorder="1" applyAlignment="1" applyProtection="1">
      <alignment horizontal="center" vertical="center"/>
      <protection locked="0"/>
    </xf>
    <xf numFmtId="0" fontId="2" fillId="62" borderId="15" xfId="767" applyFont="1" applyFill="1" applyBorder="1" applyAlignment="1" applyProtection="1">
      <alignment wrapText="1"/>
      <protection locked="0"/>
    </xf>
    <xf numFmtId="43" fontId="2" fillId="62" borderId="51" xfId="767" applyNumberFormat="1" applyFont="1" applyFill="1" applyBorder="1" applyAlignment="1" applyProtection="1">
      <alignment horizontal="center" vertical="center"/>
      <protection locked="0"/>
    </xf>
    <xf numFmtId="43" fontId="2" fillId="62" borderId="52" xfId="767" applyNumberFormat="1" applyFont="1" applyFill="1" applyBorder="1" applyAlignment="1" applyProtection="1">
      <alignment horizontal="center" vertical="center"/>
      <protection locked="0"/>
    </xf>
    <xf numFmtId="43" fontId="2" fillId="0" borderId="81" xfId="767" applyNumberFormat="1" applyFont="1" applyBorder="1" applyAlignment="1" applyProtection="1">
      <alignment horizontal="center" vertical="center"/>
      <protection locked="0"/>
    </xf>
    <xf numFmtId="43" fontId="2" fillId="0" borderId="92" xfId="767" applyNumberFormat="1" applyFont="1" applyBorder="1" applyAlignment="1" applyProtection="1">
      <alignment horizontal="center" vertical="center"/>
      <protection locked="0"/>
    </xf>
    <xf numFmtId="0" fontId="2" fillId="62" borderId="94" xfId="767" applyFont="1" applyFill="1" applyBorder="1" applyAlignment="1" applyProtection="1">
      <alignment wrapText="1"/>
      <protection locked="0"/>
    </xf>
    <xf numFmtId="43" fontId="2" fillId="62" borderId="110" xfId="767" applyNumberFormat="1" applyFont="1" applyFill="1" applyBorder="1" applyAlignment="1" applyProtection="1">
      <alignment horizontal="center" vertical="center"/>
      <protection locked="0"/>
    </xf>
    <xf numFmtId="43" fontId="2" fillId="62" borderId="0" xfId="767" applyNumberFormat="1" applyFont="1" applyFill="1" applyBorder="1" applyAlignment="1" applyProtection="1">
      <alignment horizontal="center" vertical="center"/>
      <protection locked="0"/>
    </xf>
    <xf numFmtId="43" fontId="122" fillId="0" borderId="112" xfId="597" applyNumberFormat="1" applyFont="1" applyBorder="1" applyAlignment="1" applyProtection="1">
      <alignment horizontal="center" vertical="center"/>
      <protection locked="0"/>
    </xf>
    <xf numFmtId="43" fontId="122" fillId="0" borderId="107" xfId="597" applyNumberFormat="1" applyFont="1" applyBorder="1" applyAlignment="1" applyProtection="1">
      <alignment horizontal="center" vertical="center"/>
      <protection locked="0"/>
    </xf>
    <xf numFmtId="43" fontId="122" fillId="0" borderId="124" xfId="597" applyNumberFormat="1" applyFont="1" applyBorder="1" applyAlignment="1" applyProtection="1">
      <alignment horizontal="center" vertical="center"/>
      <protection locked="0"/>
    </xf>
    <xf numFmtId="43" fontId="122" fillId="72" borderId="99" xfId="597" applyNumberFormat="1" applyFont="1" applyFill="1" applyBorder="1" applyAlignment="1" applyProtection="1">
      <alignment horizontal="center" vertical="center"/>
      <protection locked="0"/>
    </xf>
    <xf numFmtId="43" fontId="122" fillId="62" borderId="51" xfId="597" applyNumberFormat="1" applyFont="1" applyFill="1" applyBorder="1" applyAlignment="1" applyProtection="1">
      <alignment horizontal="center" vertical="center"/>
      <protection locked="0"/>
    </xf>
    <xf numFmtId="43" fontId="122" fillId="62" borderId="70" xfId="597" applyNumberFormat="1" applyFont="1" applyFill="1" applyBorder="1" applyAlignment="1" applyProtection="1">
      <alignment horizontal="center" vertical="center"/>
      <protection locked="0"/>
    </xf>
    <xf numFmtId="43" fontId="122" fillId="62" borderId="52" xfId="597" applyNumberFormat="1" applyFont="1" applyFill="1" applyBorder="1" applyAlignment="1" applyProtection="1">
      <alignment horizontal="center" vertical="center"/>
      <protection locked="0"/>
    </xf>
    <xf numFmtId="43" fontId="122" fillId="0" borderId="0" xfId="597" applyNumberFormat="1" applyFont="1" applyBorder="1" applyAlignment="1" applyProtection="1">
      <alignment horizontal="center" vertical="center"/>
      <protection locked="0"/>
    </xf>
    <xf numFmtId="43" fontId="79" fillId="0" borderId="0" xfId="597" applyNumberFormat="1" applyFont="1" applyBorder="1" applyAlignment="1" applyProtection="1">
      <alignment horizontal="center" vertical="center"/>
      <protection locked="0"/>
    </xf>
    <xf numFmtId="43" fontId="122" fillId="0" borderId="17" xfId="597" applyNumberFormat="1" applyFont="1" applyBorder="1" applyAlignment="1" applyProtection="1">
      <alignment horizontal="center" vertical="center"/>
      <protection locked="0"/>
    </xf>
    <xf numFmtId="43" fontId="122" fillId="0" borderId="41" xfId="597" applyNumberFormat="1" applyFont="1" applyBorder="1" applyAlignment="1" applyProtection="1">
      <alignment horizontal="center" vertical="center"/>
      <protection locked="0"/>
    </xf>
    <xf numFmtId="0" fontId="2" fillId="72" borderId="27" xfId="767" applyFont="1" applyFill="1" applyBorder="1" applyAlignment="1" applyProtection="1">
      <alignment wrapText="1"/>
      <protection locked="0"/>
    </xf>
    <xf numFmtId="43" fontId="122" fillId="0" borderId="25" xfId="597" applyNumberFormat="1" applyFont="1" applyBorder="1" applyAlignment="1" applyProtection="1">
      <alignment horizontal="center" vertical="center"/>
      <protection locked="0"/>
    </xf>
    <xf numFmtId="43" fontId="122" fillId="0" borderId="77" xfId="597" applyNumberFormat="1" applyFont="1" applyBorder="1" applyAlignment="1" applyProtection="1">
      <alignment horizontal="center" vertical="center"/>
      <protection locked="0"/>
    </xf>
    <xf numFmtId="43" fontId="122" fillId="72" borderId="29" xfId="597" applyNumberFormat="1" applyFont="1" applyFill="1" applyBorder="1" applyAlignment="1" applyProtection="1">
      <alignment horizontal="center" vertical="center"/>
      <protection locked="0"/>
    </xf>
    <xf numFmtId="0" fontId="2" fillId="0" borderId="0" xfId="767" applyFont="1" applyBorder="1" applyAlignment="1" applyProtection="1">
      <alignment wrapText="1"/>
      <protection locked="0"/>
    </xf>
    <xf numFmtId="0" fontId="81" fillId="0" borderId="0" xfId="767" applyFont="1" applyProtection="1">
      <protection locked="0"/>
    </xf>
    <xf numFmtId="0" fontId="18" fillId="0" borderId="82" xfId="609" applyFont="1" applyBorder="1" applyAlignment="1"/>
    <xf numFmtId="0" fontId="11" fillId="65" borderId="0" xfId="609" applyFont="1" applyFill="1" applyBorder="1" applyAlignment="1"/>
    <xf numFmtId="2" fontId="129" fillId="0" borderId="0" xfId="609" applyNumberFormat="1" applyFont="1" applyBorder="1" applyAlignment="1">
      <alignment horizontal="center"/>
    </xf>
    <xf numFmtId="2" fontId="129" fillId="0" borderId="68" xfId="609" applyNumberFormat="1" applyFont="1" applyBorder="1" applyAlignment="1">
      <alignment horizontal="center"/>
    </xf>
    <xf numFmtId="0" fontId="129" fillId="65" borderId="0" xfId="609" applyFont="1" applyFill="1" applyBorder="1" applyAlignment="1"/>
    <xf numFmtId="0" fontId="18" fillId="0" borderId="54" xfId="609" applyFont="1" applyBorder="1" applyAlignment="1"/>
    <xf numFmtId="0" fontId="11" fillId="65" borderId="70" xfId="609" applyFont="1" applyFill="1" applyBorder="1" applyAlignment="1"/>
    <xf numFmtId="0" fontId="11" fillId="65" borderId="70" xfId="609" applyFont="1" applyFill="1" applyBorder="1"/>
    <xf numFmtId="2" fontId="129" fillId="0" borderId="55" xfId="609" applyNumberFormat="1" applyFont="1" applyBorder="1" applyAlignment="1">
      <alignment horizontal="center"/>
    </xf>
    <xf numFmtId="0" fontId="18" fillId="0" borderId="51" xfId="609" applyFont="1" applyBorder="1" applyAlignment="1">
      <alignment horizontal="center"/>
    </xf>
    <xf numFmtId="0" fontId="18" fillId="0" borderId="21" xfId="609" applyFont="1" applyBorder="1" applyAlignment="1">
      <alignment horizontal="center"/>
    </xf>
    <xf numFmtId="0" fontId="5" fillId="0" borderId="50" xfId="767" applyBorder="1" applyProtection="1">
      <protection locked="0"/>
    </xf>
    <xf numFmtId="43" fontId="5" fillId="33" borderId="45" xfId="767" applyNumberFormat="1" applyFill="1" applyBorder="1" applyProtection="1">
      <protection locked="0"/>
    </xf>
    <xf numFmtId="43" fontId="5" fillId="33" borderId="121" xfId="767" applyNumberFormat="1" applyFill="1" applyBorder="1" applyProtection="1">
      <protection locked="0"/>
    </xf>
    <xf numFmtId="0" fontId="18" fillId="0" borderId="0" xfId="609" applyFont="1" applyBorder="1" applyAlignment="1"/>
    <xf numFmtId="0" fontId="11" fillId="0" borderId="0" xfId="609" applyFont="1" applyFill="1" applyBorder="1" applyAlignment="1"/>
    <xf numFmtId="0" fontId="11" fillId="0" borderId="0" xfId="609" applyFont="1" applyFill="1" applyBorder="1"/>
    <xf numFmtId="43" fontId="2" fillId="70" borderId="92" xfId="767" applyNumberFormat="1" applyFont="1" applyFill="1" applyBorder="1" applyAlignment="1" applyProtection="1">
      <alignment horizontal="center" vertical="center"/>
      <protection locked="0"/>
    </xf>
    <xf numFmtId="43" fontId="130" fillId="0" borderId="92" xfId="767" applyNumberFormat="1" applyFont="1" applyBorder="1" applyAlignment="1" applyProtection="1">
      <alignment horizontal="center" vertical="center"/>
      <protection locked="0"/>
    </xf>
    <xf numFmtId="43" fontId="130" fillId="0" borderId="17" xfId="767" applyNumberFormat="1" applyFont="1" applyBorder="1" applyAlignment="1" applyProtection="1">
      <alignment horizontal="center" vertical="center"/>
      <protection locked="0"/>
    </xf>
    <xf numFmtId="43" fontId="130" fillId="0" borderId="96" xfId="767" applyNumberFormat="1" applyFont="1" applyBorder="1" applyAlignment="1" applyProtection="1">
      <alignment horizontal="center" vertical="center"/>
      <protection locked="0"/>
    </xf>
    <xf numFmtId="43" fontId="130" fillId="62" borderId="110" xfId="767" applyNumberFormat="1" applyFont="1" applyFill="1" applyBorder="1" applyAlignment="1" applyProtection="1">
      <alignment horizontal="center" vertical="center"/>
      <protection locked="0"/>
    </xf>
    <xf numFmtId="43" fontId="130" fillId="62" borderId="111" xfId="767" applyNumberFormat="1" applyFont="1" applyFill="1" applyBorder="1" applyAlignment="1" applyProtection="1">
      <alignment horizontal="center" vertical="center"/>
      <protection locked="0"/>
    </xf>
    <xf numFmtId="1" fontId="28" fillId="0" borderId="0" xfId="521" applyNumberFormat="1" applyFont="1" applyFill="1" applyBorder="1" applyAlignment="1">
      <alignment horizontal="center"/>
    </xf>
    <xf numFmtId="3" fontId="44" fillId="0" borderId="1" xfId="0" applyNumberFormat="1" applyFont="1" applyBorder="1" applyAlignment="1">
      <alignment horizontal="center" vertical="center" wrapText="1"/>
    </xf>
    <xf numFmtId="3" fontId="44" fillId="70" borderId="1" xfId="0" applyNumberFormat="1" applyFont="1" applyFill="1" applyBorder="1" applyAlignment="1">
      <alignment horizontal="center" vertical="center" wrapText="1"/>
    </xf>
    <xf numFmtId="3" fontId="44" fillId="70" borderId="10" xfId="0" applyNumberFormat="1" applyFont="1" applyFill="1" applyBorder="1" applyAlignment="1">
      <alignment horizontal="center" vertical="center" wrapText="1"/>
    </xf>
    <xf numFmtId="43" fontId="2" fillId="70" borderId="0" xfId="767" applyNumberFormat="1" applyFont="1" applyFill="1" applyBorder="1" applyAlignment="1" applyProtection="1">
      <alignment horizontal="center" vertical="center"/>
      <protection locked="0"/>
    </xf>
    <xf numFmtId="3" fontId="11" fillId="0" borderId="0" xfId="0" applyNumberFormat="1" applyFont="1" applyProtection="1">
      <protection locked="0"/>
    </xf>
    <xf numFmtId="43" fontId="11" fillId="33" borderId="1" xfId="379" applyFont="1" applyFill="1" applyBorder="1" applyAlignment="1">
      <alignment horizontal="center"/>
    </xf>
    <xf numFmtId="0" fontId="131" fillId="66" borderId="44" xfId="0" applyFont="1" applyFill="1" applyBorder="1" applyAlignment="1" applyProtection="1">
      <alignment horizontal="center" wrapText="1"/>
    </xf>
    <xf numFmtId="0" fontId="131" fillId="66" borderId="1" xfId="0" applyFont="1" applyFill="1" applyBorder="1" applyAlignment="1" applyProtection="1">
      <alignment horizontal="center" wrapText="1"/>
    </xf>
    <xf numFmtId="2" fontId="132" fillId="0" borderId="23" xfId="379" applyNumberFormat="1" applyFont="1" applyFill="1" applyBorder="1" applyAlignment="1" applyProtection="1">
      <protection locked="0"/>
    </xf>
    <xf numFmtId="2" fontId="132" fillId="0" borderId="1" xfId="379" applyNumberFormat="1" applyFont="1" applyBorder="1" applyAlignment="1" applyProtection="1">
      <protection locked="0"/>
    </xf>
    <xf numFmtId="1" fontId="132" fillId="33" borderId="23" xfId="634" applyNumberFormat="1" applyFont="1" applyFill="1" applyBorder="1" applyAlignment="1">
      <alignment horizontal="center"/>
    </xf>
    <xf numFmtId="10" fontId="46" fillId="0" borderId="1" xfId="557" applyNumberFormat="1" applyFont="1" applyFill="1" applyBorder="1" applyAlignment="1">
      <alignment horizontal="center" vertical="center" wrapText="1"/>
    </xf>
    <xf numFmtId="10" fontId="44" fillId="0" borderId="1" xfId="557" applyNumberFormat="1" applyFont="1" applyFill="1" applyBorder="1" applyAlignment="1">
      <alignment horizontal="center" vertical="center" wrapText="1"/>
    </xf>
    <xf numFmtId="10" fontId="122" fillId="70" borderId="0" xfId="611" applyNumberFormat="1" applyFont="1" applyFill="1" applyBorder="1" applyAlignment="1" applyProtection="1">
      <alignment horizontal="center" vertical="center"/>
      <protection locked="0"/>
    </xf>
    <xf numFmtId="0" fontId="18" fillId="0" borderId="0" xfId="696" applyFont="1" applyProtection="1">
      <protection locked="0"/>
    </xf>
    <xf numFmtId="0" fontId="89" fillId="0" borderId="0" xfId="696" applyFont="1" applyAlignment="1" applyProtection="1">
      <alignment vertical="top"/>
      <protection locked="0"/>
    </xf>
    <xf numFmtId="0" fontId="89" fillId="33" borderId="0" xfId="696" applyFont="1" applyFill="1" applyBorder="1" applyAlignment="1" applyProtection="1">
      <alignment vertical="top"/>
      <protection locked="0"/>
    </xf>
    <xf numFmtId="0" fontId="89" fillId="33" borderId="0" xfId="696" applyFont="1" applyFill="1" applyAlignment="1" applyProtection="1">
      <alignment vertical="top"/>
      <protection locked="0"/>
    </xf>
    <xf numFmtId="0" fontId="89" fillId="0" borderId="0" xfId="696" applyFont="1" applyAlignment="1" applyProtection="1">
      <alignment horizontal="right" vertical="top"/>
      <protection locked="0"/>
    </xf>
    <xf numFmtId="0" fontId="11" fillId="0" borderId="0" xfId="696" applyAlignment="1" applyProtection="1">
      <protection locked="0"/>
    </xf>
    <xf numFmtId="0" fontId="18" fillId="0" borderId="1"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8" fillId="73" borderId="0" xfId="0" applyFont="1" applyFill="1" applyProtection="1">
      <protection locked="0"/>
    </xf>
    <xf numFmtId="0" fontId="18" fillId="73" borderId="1" xfId="0" applyFont="1" applyFill="1" applyBorder="1" applyProtection="1">
      <protection locked="0"/>
    </xf>
    <xf numFmtId="0" fontId="18" fillId="0" borderId="1" xfId="0" applyFont="1" applyFill="1" applyBorder="1" applyProtection="1">
      <protection locked="0"/>
    </xf>
    <xf numFmtId="0" fontId="18" fillId="34" borderId="0" xfId="0" applyFont="1" applyFill="1" applyProtection="1">
      <protection locked="0"/>
    </xf>
    <xf numFmtId="170" fontId="11" fillId="74" borderId="1" xfId="796" quotePrefix="1" applyNumberFormat="1" applyFont="1" applyFill="1" applyBorder="1" applyAlignment="1" applyProtection="1">
      <alignment horizontal="center"/>
      <protection locked="0"/>
    </xf>
    <xf numFmtId="0" fontId="25" fillId="0" borderId="0" xfId="0" applyFont="1" applyProtection="1">
      <protection locked="0"/>
    </xf>
    <xf numFmtId="2" fontId="18" fillId="73" borderId="0" xfId="0" applyNumberFormat="1" applyFont="1" applyFill="1" applyProtection="1">
      <protection locked="0"/>
    </xf>
    <xf numFmtId="0" fontId="11" fillId="0" borderId="1" xfId="0" applyFont="1" applyBorder="1" applyProtection="1">
      <protection locked="0"/>
    </xf>
    <xf numFmtId="0" fontId="11" fillId="73" borderId="0" xfId="0" applyFont="1" applyFill="1" applyProtection="1">
      <protection locked="0"/>
    </xf>
    <xf numFmtId="170" fontId="11" fillId="33" borderId="1" xfId="796" applyNumberFormat="1" applyFont="1" applyFill="1" applyBorder="1" applyProtection="1">
      <protection locked="0"/>
    </xf>
    <xf numFmtId="0" fontId="11" fillId="34" borderId="0" xfId="0" applyFont="1" applyFill="1" applyProtection="1">
      <protection locked="0"/>
    </xf>
    <xf numFmtId="10" fontId="11" fillId="0" borderId="1" xfId="856" applyNumberFormat="1" applyFont="1" applyFill="1" applyBorder="1" applyProtection="1">
      <protection locked="0"/>
    </xf>
    <xf numFmtId="170" fontId="11" fillId="0" borderId="1" xfId="796" applyNumberFormat="1" applyFont="1" applyFill="1" applyBorder="1" applyProtection="1">
      <protection locked="0"/>
    </xf>
    <xf numFmtId="0" fontId="1" fillId="0" borderId="97" xfId="767" applyFont="1" applyBorder="1" applyAlignment="1" applyProtection="1">
      <alignment wrapText="1"/>
      <protection locked="0"/>
    </xf>
    <xf numFmtId="172" fontId="11" fillId="33" borderId="0" xfId="383" applyNumberFormat="1" applyFont="1" applyFill="1" applyBorder="1" applyAlignment="1">
      <alignment horizontal="left"/>
    </xf>
    <xf numFmtId="172" fontId="11" fillId="0" borderId="0" xfId="383" applyNumberFormat="1" applyFont="1" applyFill="1" applyBorder="1" applyAlignment="1">
      <alignment horizontal="center"/>
    </xf>
    <xf numFmtId="0" fontId="25" fillId="0" borderId="0" xfId="0" applyFont="1" applyAlignment="1">
      <alignment horizontal="center" vertical="top"/>
    </xf>
    <xf numFmtId="0" fontId="26" fillId="0" borderId="0" xfId="0" applyFont="1" applyAlignment="1">
      <alignment horizontal="left" vertical="top"/>
    </xf>
    <xf numFmtId="0" fontId="11" fillId="33" borderId="0" xfId="0" applyFont="1" applyFill="1" applyBorder="1" applyAlignment="1" applyProtection="1">
      <alignment horizontal="left" vertical="center"/>
    </xf>
    <xf numFmtId="0" fontId="63" fillId="0" borderId="0" xfId="0" applyFont="1" applyBorder="1" applyAlignment="1">
      <alignment horizontal="center" vertical="center" wrapText="1"/>
    </xf>
    <xf numFmtId="0" fontId="63" fillId="0" borderId="0" xfId="0" applyFont="1" applyAlignment="1">
      <alignment horizontal="center" vertical="center" wrapText="1"/>
    </xf>
    <xf numFmtId="49" fontId="18" fillId="0" borderId="14" xfId="0" applyNumberFormat="1" applyFont="1" applyFill="1" applyBorder="1" applyAlignment="1">
      <alignment horizontal="center" wrapText="1"/>
    </xf>
    <xf numFmtId="0" fontId="18" fillId="0" borderId="24" xfId="0" applyFont="1" applyFill="1" applyBorder="1" applyAlignment="1">
      <alignment horizontal="center" wrapText="1"/>
    </xf>
    <xf numFmtId="0" fontId="18" fillId="0" borderId="53" xfId="0" applyFont="1" applyFill="1" applyBorder="1" applyAlignment="1">
      <alignment horizontal="center" wrapText="1"/>
    </xf>
    <xf numFmtId="49" fontId="18" fillId="0" borderId="20" xfId="0" applyNumberFormat="1" applyFont="1" applyFill="1" applyBorder="1" applyAlignment="1">
      <alignment horizontal="center"/>
    </xf>
    <xf numFmtId="0" fontId="18" fillId="0" borderId="13" xfId="0" applyNumberFormat="1" applyFont="1" applyFill="1" applyBorder="1" applyAlignment="1">
      <alignment horizontal="center"/>
    </xf>
    <xf numFmtId="0" fontId="18" fillId="0" borderId="15" xfId="0" applyFont="1" applyFill="1" applyBorder="1" applyAlignment="1">
      <alignment horizontal="center"/>
    </xf>
    <xf numFmtId="0" fontId="18" fillId="0" borderId="52" xfId="0" applyFont="1" applyFill="1" applyBorder="1" applyAlignment="1">
      <alignment horizontal="center"/>
    </xf>
    <xf numFmtId="49" fontId="18" fillId="0" borderId="24" xfId="0" applyNumberFormat="1" applyFont="1" applyFill="1" applyBorder="1" applyAlignment="1">
      <alignment horizontal="center"/>
    </xf>
    <xf numFmtId="0" fontId="18" fillId="0" borderId="51" xfId="0" applyFont="1" applyFill="1" applyBorder="1" applyAlignment="1">
      <alignment horizontal="center"/>
    </xf>
    <xf numFmtId="0" fontId="18" fillId="0" borderId="19" xfId="0" applyFont="1" applyFill="1" applyBorder="1" applyAlignment="1">
      <alignment horizontal="center"/>
    </xf>
    <xf numFmtId="0" fontId="18" fillId="0" borderId="13" xfId="0" applyFont="1" applyFill="1" applyBorder="1" applyAlignment="1">
      <alignment horizontal="center"/>
    </xf>
    <xf numFmtId="0" fontId="18" fillId="0" borderId="12" xfId="0" applyFont="1" applyFill="1" applyBorder="1" applyAlignment="1">
      <alignment horizontal="center"/>
    </xf>
    <xf numFmtId="2" fontId="18" fillId="0" borderId="20" xfId="0" applyNumberFormat="1" applyFont="1" applyFill="1" applyBorder="1" applyAlignment="1">
      <alignment horizontal="center"/>
    </xf>
    <xf numFmtId="2" fontId="18" fillId="0" borderId="13" xfId="0" applyNumberFormat="1" applyFont="1" applyFill="1" applyBorder="1" applyAlignment="1">
      <alignment horizontal="center"/>
    </xf>
    <xf numFmtId="0" fontId="18" fillId="0" borderId="20" xfId="0" applyNumberFormat="1" applyFont="1" applyFill="1" applyBorder="1" applyAlignment="1">
      <alignment horizontal="center"/>
    </xf>
    <xf numFmtId="170" fontId="11" fillId="0" borderId="14" xfId="379" applyNumberFormat="1" applyFont="1" applyBorder="1" applyAlignment="1">
      <alignment horizontal="center"/>
    </xf>
    <xf numFmtId="170" fontId="11" fillId="0" borderId="53" xfId="379" applyNumberFormat="1" applyFont="1" applyBorder="1" applyAlignment="1">
      <alignment horizontal="center"/>
    </xf>
    <xf numFmtId="0" fontId="11" fillId="0" borderId="47" xfId="0" applyFont="1" applyBorder="1" applyAlignment="1">
      <alignment horizontal="center" vertical="center" wrapText="1"/>
    </xf>
    <xf numFmtId="0" fontId="11" fillId="0" borderId="49" xfId="0" applyFont="1" applyBorder="1" applyAlignment="1">
      <alignment horizontal="center" vertical="center" wrapText="1"/>
    </xf>
    <xf numFmtId="0" fontId="18" fillId="0" borderId="50" xfId="0" applyFont="1" applyBorder="1" applyAlignment="1">
      <alignment horizontal="center"/>
    </xf>
    <xf numFmtId="0" fontId="18" fillId="0" borderId="51" xfId="0" applyFont="1" applyBorder="1" applyAlignment="1">
      <alignment horizontal="center"/>
    </xf>
    <xf numFmtId="0" fontId="18" fillId="0" borderId="21" xfId="0" applyFont="1" applyBorder="1" applyAlignment="1">
      <alignment horizontal="center"/>
    </xf>
    <xf numFmtId="49" fontId="11" fillId="0" borderId="47" xfId="0" applyNumberFormat="1" applyFont="1" applyBorder="1" applyAlignment="1">
      <alignment horizontal="center"/>
    </xf>
    <xf numFmtId="0" fontId="11" fillId="0" borderId="49" xfId="0" applyFont="1" applyBorder="1" applyAlignment="1">
      <alignment horizontal="center"/>
    </xf>
    <xf numFmtId="0" fontId="11" fillId="0" borderId="49" xfId="0" applyNumberFormat="1" applyFont="1" applyBorder="1" applyAlignment="1">
      <alignment horizontal="center"/>
    </xf>
    <xf numFmtId="49" fontId="11" fillId="0" borderId="47" xfId="0" applyNumberFormat="1" applyFont="1" applyBorder="1" applyAlignment="1">
      <alignment horizontal="center" vertical="center" wrapText="1"/>
    </xf>
    <xf numFmtId="0" fontId="18" fillId="0" borderId="1" xfId="0" applyFont="1" applyBorder="1" applyAlignment="1" applyProtection="1">
      <alignment horizontal="center"/>
      <protection locked="0"/>
    </xf>
    <xf numFmtId="0" fontId="62" fillId="0" borderId="0" xfId="0" applyFont="1" applyFill="1" applyBorder="1" applyAlignment="1" applyProtection="1">
      <alignment horizontal="center" vertical="center"/>
      <protection locked="0"/>
    </xf>
    <xf numFmtId="0" fontId="66" fillId="0" borderId="1" xfId="860" applyFont="1" applyBorder="1" applyAlignment="1">
      <alignment horizontal="center"/>
    </xf>
    <xf numFmtId="0" fontId="58" fillId="0" borderId="0" xfId="0" applyFont="1" applyBorder="1" applyAlignment="1">
      <alignment horizontal="center"/>
    </xf>
    <xf numFmtId="3" fontId="44" fillId="0" borderId="10" xfId="0" applyNumberFormat="1" applyFont="1" applyBorder="1" applyAlignment="1">
      <alignment horizontal="center" vertical="center" wrapText="1"/>
    </xf>
    <xf numFmtId="3" fontId="44" fillId="0" borderId="76" xfId="0" applyNumberFormat="1" applyFont="1" applyBorder="1" applyAlignment="1">
      <alignment horizontal="center" vertical="center" wrapText="1"/>
    </xf>
    <xf numFmtId="3" fontId="44" fillId="0" borderId="77" xfId="0" applyNumberFormat="1" applyFont="1" applyBorder="1" applyAlignment="1">
      <alignment horizontal="center" vertical="center" wrapText="1"/>
    </xf>
    <xf numFmtId="0" fontId="56" fillId="0" borderId="54" xfId="0" applyFont="1" applyBorder="1" applyAlignment="1">
      <alignment horizontal="center" vertical="center" wrapText="1"/>
    </xf>
    <xf numFmtId="0" fontId="56" fillId="0" borderId="55" xfId="0" applyFont="1" applyBorder="1" applyAlignment="1">
      <alignment horizontal="center" vertical="center" wrapText="1"/>
    </xf>
    <xf numFmtId="3" fontId="44" fillId="0" borderId="50" xfId="0" applyNumberFormat="1" applyFont="1" applyBorder="1" applyAlignment="1">
      <alignment horizontal="center" vertical="center" wrapText="1"/>
    </xf>
    <xf numFmtId="3" fontId="44" fillId="0" borderId="21" xfId="0" applyNumberFormat="1" applyFont="1" applyBorder="1" applyAlignment="1">
      <alignment horizontal="center" vertical="center" wrapText="1"/>
    </xf>
    <xf numFmtId="0" fontId="46" fillId="0" borderId="23" xfId="0" applyFont="1" applyBorder="1" applyAlignment="1">
      <alignment horizontal="center" vertical="center" wrapText="1"/>
    </xf>
    <xf numFmtId="3" fontId="44" fillId="0" borderId="1" xfId="0" applyNumberFormat="1" applyFont="1" applyBorder="1" applyAlignment="1">
      <alignment horizontal="center" vertical="center" wrapText="1"/>
    </xf>
    <xf numFmtId="0" fontId="56" fillId="0" borderId="54" xfId="0" applyFont="1" applyBorder="1" applyAlignment="1">
      <alignment horizontal="center" vertical="center"/>
    </xf>
    <xf numFmtId="0" fontId="56" fillId="0" borderId="55" xfId="0" applyFont="1" applyBorder="1" applyAlignment="1">
      <alignment horizontal="center" vertical="center"/>
    </xf>
    <xf numFmtId="172" fontId="11" fillId="66" borderId="31" xfId="383" applyNumberFormat="1" applyFont="1" applyFill="1" applyBorder="1" applyAlignment="1">
      <alignment horizontal="center"/>
    </xf>
    <xf numFmtId="172" fontId="11" fillId="66" borderId="5" xfId="383" applyNumberFormat="1" applyFont="1" applyFill="1" applyBorder="1" applyAlignment="1">
      <alignment horizontal="center"/>
    </xf>
    <xf numFmtId="172" fontId="11" fillId="66" borderId="6" xfId="383" applyNumberFormat="1" applyFont="1" applyFill="1" applyBorder="1" applyAlignment="1">
      <alignment horizontal="center"/>
    </xf>
    <xf numFmtId="0" fontId="11" fillId="0" borderId="39" xfId="0" applyFont="1" applyBorder="1" applyAlignment="1">
      <alignment horizontal="center"/>
    </xf>
    <xf numFmtId="0" fontId="11" fillId="0" borderId="26" xfId="0" applyFont="1" applyBorder="1" applyAlignment="1">
      <alignment horizontal="center"/>
    </xf>
    <xf numFmtId="0" fontId="11" fillId="0" borderId="42" xfId="0" applyFont="1" applyBorder="1" applyAlignment="1">
      <alignment horizontal="center"/>
    </xf>
    <xf numFmtId="0" fontId="45" fillId="34" borderId="0" xfId="0" applyFont="1" applyFill="1" applyBorder="1" applyAlignment="1">
      <alignment horizontal="center" vertical="center"/>
    </xf>
    <xf numFmtId="0" fontId="11" fillId="34" borderId="48" xfId="0" applyFont="1" applyFill="1" applyBorder="1" applyAlignment="1">
      <alignment horizontal="left" vertical="center" wrapText="1"/>
    </xf>
    <xf numFmtId="0" fontId="46" fillId="0" borderId="12" xfId="0" applyFont="1" applyBorder="1" applyAlignment="1">
      <alignment horizontal="center" vertical="center" wrapText="1"/>
    </xf>
    <xf numFmtId="0" fontId="56" fillId="0" borderId="75" xfId="0" applyFont="1" applyBorder="1" applyAlignment="1">
      <alignment horizontal="center" vertical="center" wrapText="1"/>
    </xf>
    <xf numFmtId="0" fontId="56" fillId="0" borderId="20" xfId="0" applyFont="1" applyBorder="1" applyAlignment="1">
      <alignment horizontal="center" vertical="center" wrapText="1"/>
    </xf>
    <xf numFmtId="172" fontId="11" fillId="0" borderId="31" xfId="383" applyNumberFormat="1" applyFont="1" applyFill="1" applyBorder="1" applyAlignment="1">
      <alignment horizontal="center"/>
    </xf>
    <xf numFmtId="172" fontId="11" fillId="0" borderId="5" xfId="383" applyNumberFormat="1" applyFont="1" applyFill="1" applyBorder="1" applyAlignment="1">
      <alignment horizontal="center"/>
    </xf>
    <xf numFmtId="172" fontId="11" fillId="0" borderId="6" xfId="383" applyNumberFormat="1" applyFont="1" applyFill="1" applyBorder="1" applyAlignment="1">
      <alignment horizontal="center"/>
    </xf>
    <xf numFmtId="0" fontId="58" fillId="0" borderId="19" xfId="0" applyFont="1" applyBorder="1" applyAlignment="1">
      <alignment horizontal="center"/>
    </xf>
    <xf numFmtId="0" fontId="58" fillId="0" borderId="24" xfId="0" applyFont="1" applyBorder="1" applyAlignment="1">
      <alignment horizontal="center"/>
    </xf>
    <xf numFmtId="0" fontId="58" fillId="0" borderId="13" xfId="0" applyFont="1" applyBorder="1" applyAlignment="1">
      <alignment horizontal="center"/>
    </xf>
    <xf numFmtId="2" fontId="85" fillId="66" borderId="3" xfId="379" applyNumberFormat="1" applyFont="1" applyFill="1" applyBorder="1" applyAlignment="1" applyProtection="1">
      <alignment horizontal="center" vertical="center"/>
      <protection locked="0"/>
    </xf>
    <xf numFmtId="2" fontId="85" fillId="66" borderId="79" xfId="379" applyNumberFormat="1" applyFont="1" applyFill="1" applyBorder="1" applyAlignment="1" applyProtection="1">
      <alignment horizontal="center" vertical="center"/>
      <protection locked="0"/>
    </xf>
    <xf numFmtId="0" fontId="11" fillId="34" borderId="48" xfId="0" applyFont="1" applyFill="1" applyBorder="1" applyAlignment="1">
      <alignment horizontal="center" vertical="center" wrapText="1"/>
    </xf>
    <xf numFmtId="0" fontId="67" fillId="0" borderId="50" xfId="0" applyFont="1" applyBorder="1" applyAlignment="1">
      <alignment horizontal="center"/>
    </xf>
    <xf numFmtId="0" fontId="67" fillId="0" borderId="51" xfId="0" applyFont="1" applyBorder="1" applyAlignment="1">
      <alignment horizontal="center"/>
    </xf>
    <xf numFmtId="0" fontId="67" fillId="0" borderId="21" xfId="0" applyFont="1" applyBorder="1" applyAlignment="1">
      <alignment horizontal="center"/>
    </xf>
    <xf numFmtId="0" fontId="26" fillId="0" borderId="0" xfId="696" applyFont="1" applyAlignment="1">
      <alignment horizontal="left"/>
    </xf>
    <xf numFmtId="0" fontId="50" fillId="0" borderId="0" xfId="767" applyFont="1" applyAlignment="1">
      <alignment horizontal="left" vertical="top" wrapText="1"/>
    </xf>
    <xf numFmtId="0" fontId="51" fillId="34" borderId="70" xfId="767" applyFont="1" applyFill="1" applyBorder="1" applyAlignment="1">
      <alignment horizontal="center" vertical="top"/>
    </xf>
    <xf numFmtId="0" fontId="51" fillId="34" borderId="78" xfId="767" applyFont="1" applyFill="1" applyBorder="1" applyAlignment="1">
      <alignment horizontal="center" vertical="top"/>
    </xf>
    <xf numFmtId="0" fontId="114" fillId="0" borderId="0" xfId="767" applyFont="1" applyBorder="1" applyAlignment="1">
      <alignment horizontal="left" vertical="top" wrapText="1"/>
    </xf>
    <xf numFmtId="0" fontId="50" fillId="0" borderId="0" xfId="767" applyFont="1" applyBorder="1" applyAlignment="1">
      <alignment horizontal="left" vertical="top" wrapText="1"/>
    </xf>
    <xf numFmtId="0" fontId="51" fillId="34" borderId="45" xfId="767" applyFont="1" applyFill="1" applyBorder="1" applyAlignment="1">
      <alignment horizontal="center" vertical="top"/>
    </xf>
    <xf numFmtId="0" fontId="51" fillId="34" borderId="0" xfId="767" applyFont="1" applyFill="1" applyBorder="1" applyAlignment="1">
      <alignment horizontal="center" vertical="top"/>
    </xf>
    <xf numFmtId="0" fontId="51" fillId="34" borderId="41" xfId="767" applyFont="1" applyFill="1" applyBorder="1" applyAlignment="1">
      <alignment horizontal="center" vertical="top"/>
    </xf>
    <xf numFmtId="0" fontId="51" fillId="34" borderId="15" xfId="767" applyFont="1" applyFill="1" applyBorder="1" applyAlignment="1">
      <alignment horizontal="center" vertical="center"/>
    </xf>
    <xf numFmtId="0" fontId="51" fillId="34" borderId="51" xfId="767" applyFont="1" applyFill="1" applyBorder="1" applyAlignment="1">
      <alignment horizontal="center" vertical="center"/>
    </xf>
    <xf numFmtId="0" fontId="51" fillId="34" borderId="52" xfId="767" applyFont="1" applyFill="1" applyBorder="1" applyAlignment="1">
      <alignment horizontal="center" vertical="center"/>
    </xf>
    <xf numFmtId="0" fontId="114" fillId="0" borderId="0" xfId="767" applyFont="1" applyBorder="1" applyAlignment="1">
      <alignment horizontal="left"/>
    </xf>
    <xf numFmtId="0" fontId="51" fillId="0" borderId="0" xfId="767" applyFont="1" applyBorder="1" applyAlignment="1">
      <alignment horizontal="center" vertical="top" wrapText="1"/>
    </xf>
    <xf numFmtId="0" fontId="51" fillId="34" borderId="47" xfId="767" applyFont="1" applyFill="1" applyBorder="1" applyAlignment="1">
      <alignment horizontal="center"/>
    </xf>
    <xf numFmtId="0" fontId="51" fillId="34" borderId="48" xfId="767" applyFont="1" applyFill="1" applyBorder="1" applyAlignment="1">
      <alignment horizontal="center"/>
    </xf>
    <xf numFmtId="0" fontId="51" fillId="34" borderId="49" xfId="767" applyFont="1" applyFill="1" applyBorder="1" applyAlignment="1">
      <alignment horizontal="center"/>
    </xf>
    <xf numFmtId="0" fontId="51" fillId="34" borderId="45" xfId="767" applyFont="1" applyFill="1" applyBorder="1" applyAlignment="1">
      <alignment horizontal="left" vertical="center"/>
    </xf>
    <xf numFmtId="0" fontId="51" fillId="34" borderId="0" xfId="767" applyFont="1" applyFill="1" applyBorder="1" applyAlignment="1">
      <alignment horizontal="left" vertical="center"/>
    </xf>
    <xf numFmtId="0" fontId="50" fillId="34" borderId="38" xfId="767" applyFont="1" applyFill="1" applyBorder="1" applyAlignment="1">
      <alignment vertical="top" wrapText="1"/>
    </xf>
    <xf numFmtId="0" fontId="50" fillId="34" borderId="70" xfId="767" applyFont="1" applyFill="1" applyBorder="1" applyAlignment="1">
      <alignment vertical="top" wrapText="1"/>
    </xf>
    <xf numFmtId="0" fontId="51" fillId="0" borderId="46" xfId="767" applyFont="1" applyBorder="1" applyAlignment="1">
      <alignment vertical="top" wrapText="1"/>
    </xf>
    <xf numFmtId="0" fontId="51" fillId="0" borderId="25" xfId="767" applyFont="1" applyBorder="1" applyAlignment="1">
      <alignment vertical="top" wrapText="1"/>
    </xf>
    <xf numFmtId="171" fontId="21" fillId="33" borderId="45" xfId="768" applyNumberFormat="1" applyFont="1" applyFill="1" applyBorder="1" applyAlignment="1">
      <alignment horizontal="center" vertical="top"/>
    </xf>
    <xf numFmtId="171" fontId="21" fillId="33" borderId="0" xfId="768" applyNumberFormat="1" applyFont="1" applyFill="1" applyBorder="1" applyAlignment="1">
      <alignment horizontal="center" vertical="top"/>
    </xf>
    <xf numFmtId="171" fontId="21" fillId="33" borderId="41" xfId="768" applyNumberFormat="1" applyFont="1" applyFill="1" applyBorder="1" applyAlignment="1">
      <alignment horizontal="center" vertical="top"/>
    </xf>
    <xf numFmtId="0" fontId="114" fillId="0" borderId="0" xfId="767" applyFont="1" applyAlignment="1">
      <alignment horizontal="left" vertical="top"/>
    </xf>
    <xf numFmtId="0" fontId="51" fillId="62" borderId="47" xfId="767" applyFont="1" applyFill="1" applyBorder="1" applyAlignment="1">
      <alignment horizontal="center" vertical="top"/>
    </xf>
    <xf numFmtId="0" fontId="51" fillId="62" borderId="48" xfId="767" applyFont="1" applyFill="1" applyBorder="1" applyAlignment="1">
      <alignment horizontal="center" vertical="top"/>
    </xf>
    <xf numFmtId="0" fontId="51" fillId="62" borderId="49" xfId="767" applyFont="1" applyFill="1" applyBorder="1" applyAlignment="1">
      <alignment horizontal="center" vertical="top"/>
    </xf>
    <xf numFmtId="171" fontId="21" fillId="33" borderId="45" xfId="768" applyNumberFormat="1" applyFont="1" applyFill="1" applyBorder="1" applyAlignment="1">
      <alignment horizontal="center"/>
    </xf>
    <xf numFmtId="171" fontId="21" fillId="33" borderId="0" xfId="768" applyNumberFormat="1" applyFont="1" applyFill="1" applyBorder="1" applyAlignment="1">
      <alignment horizontal="center"/>
    </xf>
    <xf numFmtId="171" fontId="21" fillId="33" borderId="41" xfId="768" applyNumberFormat="1" applyFont="1" applyFill="1" applyBorder="1" applyAlignment="1">
      <alignment horizontal="center"/>
    </xf>
    <xf numFmtId="49" fontId="121" fillId="0" borderId="0" xfId="597" applyNumberFormat="1" applyFont="1" applyBorder="1" applyAlignment="1" applyProtection="1">
      <alignment horizontal="left" vertical="top" wrapText="1"/>
      <protection locked="0"/>
    </xf>
    <xf numFmtId="0" fontId="25" fillId="0" borderId="0" xfId="696" applyFont="1" applyAlignment="1" applyProtection="1">
      <alignment horizontal="center"/>
      <protection locked="0"/>
    </xf>
    <xf numFmtId="0" fontId="2" fillId="0" borderId="0" xfId="767" applyFont="1" applyAlignment="1" applyProtection="1">
      <alignment horizontal="left" vertical="top" wrapText="1"/>
      <protection locked="0"/>
    </xf>
    <xf numFmtId="0" fontId="120" fillId="0" borderId="0" xfId="767" applyFont="1" applyAlignment="1" applyProtection="1">
      <alignment horizontal="center" vertical="top"/>
      <protection locked="0"/>
    </xf>
    <xf numFmtId="0" fontId="2" fillId="0" borderId="0" xfId="767" applyFont="1" applyAlignment="1" applyProtection="1">
      <alignment horizontal="left" vertical="top"/>
      <protection locked="0"/>
    </xf>
    <xf numFmtId="0" fontId="123" fillId="0" borderId="0" xfId="767" applyFont="1" applyBorder="1" applyAlignment="1" applyProtection="1">
      <alignment horizontal="center"/>
      <protection locked="0"/>
    </xf>
    <xf numFmtId="0" fontId="81" fillId="34" borderId="47" xfId="767" applyFont="1" applyFill="1" applyBorder="1" applyAlignment="1" applyProtection="1">
      <alignment horizontal="center"/>
      <protection locked="0"/>
    </xf>
    <xf numFmtId="0" fontId="81" fillId="34" borderId="48" xfId="767" applyFont="1" applyFill="1" applyBorder="1" applyAlignment="1" applyProtection="1">
      <alignment horizontal="center"/>
      <protection locked="0"/>
    </xf>
    <xf numFmtId="0" fontId="81" fillId="34" borderId="49" xfId="767" applyFont="1" applyFill="1" applyBorder="1" applyAlignment="1" applyProtection="1">
      <alignment horizontal="center"/>
      <protection locked="0"/>
    </xf>
    <xf numFmtId="0" fontId="81" fillId="34" borderId="47" xfId="767" applyFont="1" applyFill="1" applyBorder="1" applyAlignment="1" applyProtection="1">
      <alignment horizontal="center" wrapText="1"/>
      <protection locked="0"/>
    </xf>
    <xf numFmtId="0" fontId="81" fillId="34" borderId="49" xfId="767" applyFont="1" applyFill="1" applyBorder="1" applyAlignment="1" applyProtection="1">
      <alignment horizontal="center" wrapText="1"/>
      <protection locked="0"/>
    </xf>
    <xf numFmtId="0" fontId="81" fillId="34" borderId="45" xfId="767" applyFont="1" applyFill="1" applyBorder="1" applyAlignment="1" applyProtection="1">
      <alignment horizontal="center" wrapText="1"/>
      <protection locked="0"/>
    </xf>
    <xf numFmtId="0" fontId="81" fillId="34" borderId="41" xfId="767" applyFont="1" applyFill="1" applyBorder="1" applyAlignment="1" applyProtection="1">
      <alignment horizontal="center" wrapText="1"/>
      <protection locked="0"/>
    </xf>
    <xf numFmtId="171" fontId="121" fillId="33" borderId="45" xfId="597" applyNumberFormat="1" applyFont="1" applyFill="1" applyBorder="1" applyAlignment="1" applyProtection="1">
      <alignment horizontal="center"/>
      <protection locked="0"/>
    </xf>
    <xf numFmtId="171" fontId="121" fillId="33" borderId="0" xfId="597" applyNumberFormat="1" applyFont="1" applyFill="1" applyBorder="1" applyAlignment="1" applyProtection="1">
      <alignment horizontal="center"/>
      <protection locked="0"/>
    </xf>
    <xf numFmtId="171" fontId="121" fillId="33" borderId="41" xfId="597" applyNumberFormat="1" applyFont="1" applyFill="1" applyBorder="1" applyAlignment="1" applyProtection="1">
      <alignment horizontal="center"/>
      <protection locked="0"/>
    </xf>
    <xf numFmtId="0" fontId="81" fillId="34" borderId="15" xfId="767" applyFont="1" applyFill="1" applyBorder="1" applyAlignment="1" applyProtection="1">
      <alignment horizontal="center" vertical="center"/>
      <protection locked="0"/>
    </xf>
    <xf numFmtId="0" fontId="81" fillId="34" borderId="51" xfId="767" applyFont="1" applyFill="1" applyBorder="1" applyAlignment="1" applyProtection="1">
      <alignment horizontal="center" vertical="center"/>
      <protection locked="0"/>
    </xf>
    <xf numFmtId="0" fontId="81" fillId="34" borderId="52" xfId="767" applyFont="1" applyFill="1" applyBorder="1" applyAlignment="1" applyProtection="1">
      <alignment horizontal="center" vertical="center"/>
      <protection locked="0"/>
    </xf>
    <xf numFmtId="0" fontId="2" fillId="0" borderId="0" xfId="767" applyFont="1" applyBorder="1" applyAlignment="1" applyProtection="1">
      <alignment horizontal="left" vertical="top" wrapText="1"/>
      <protection locked="0"/>
    </xf>
    <xf numFmtId="0" fontId="81" fillId="62" borderId="47" xfId="767" applyFont="1" applyFill="1" applyBorder="1" applyAlignment="1" applyProtection="1">
      <alignment horizontal="center" vertical="top"/>
      <protection locked="0"/>
    </xf>
    <xf numFmtId="0" fontId="81" fillId="62" borderId="48" xfId="767" applyFont="1" applyFill="1" applyBorder="1" applyAlignment="1" applyProtection="1">
      <alignment horizontal="center" vertical="top"/>
      <protection locked="0"/>
    </xf>
    <xf numFmtId="0" fontId="81" fillId="62" borderId="49" xfId="767" applyFont="1" applyFill="1" applyBorder="1" applyAlignment="1" applyProtection="1">
      <alignment horizontal="center" vertical="top"/>
      <protection locked="0"/>
    </xf>
    <xf numFmtId="171" fontId="121" fillId="33" borderId="45" xfId="597" applyNumberFormat="1" applyFont="1" applyFill="1" applyBorder="1" applyAlignment="1" applyProtection="1">
      <alignment horizontal="center" vertical="top"/>
      <protection locked="0"/>
    </xf>
    <xf numFmtId="171" fontId="121" fillId="33" borderId="0" xfId="597" applyNumberFormat="1" applyFont="1" applyFill="1" applyBorder="1" applyAlignment="1" applyProtection="1">
      <alignment horizontal="center" vertical="top"/>
      <protection locked="0"/>
    </xf>
    <xf numFmtId="171" fontId="121" fillId="33" borderId="41" xfId="597" applyNumberFormat="1" applyFont="1" applyFill="1" applyBorder="1" applyAlignment="1" applyProtection="1">
      <alignment horizontal="center" vertical="top"/>
      <protection locked="0"/>
    </xf>
    <xf numFmtId="0" fontId="81" fillId="34" borderId="45" xfId="767" applyFont="1" applyFill="1" applyBorder="1" applyAlignment="1" applyProtection="1">
      <alignment horizontal="center" vertical="top"/>
      <protection locked="0"/>
    </xf>
    <xf numFmtId="0" fontId="81" fillId="34" borderId="0" xfId="767" applyFont="1" applyFill="1" applyBorder="1" applyAlignment="1" applyProtection="1">
      <alignment horizontal="center" vertical="top"/>
      <protection locked="0"/>
    </xf>
    <xf numFmtId="0" fontId="81" fillId="34" borderId="41" xfId="767" applyFont="1" applyFill="1" applyBorder="1" applyAlignment="1" applyProtection="1">
      <alignment horizontal="center" vertical="top"/>
      <protection locked="0"/>
    </xf>
    <xf numFmtId="0" fontId="81" fillId="34" borderId="45" xfId="767" applyFont="1" applyFill="1" applyBorder="1" applyAlignment="1" applyProtection="1">
      <alignment horizontal="left" vertical="center"/>
      <protection locked="0"/>
    </xf>
    <xf numFmtId="0" fontId="81" fillId="34" borderId="0" xfId="767" applyFont="1" applyFill="1" applyBorder="1" applyAlignment="1" applyProtection="1">
      <alignment horizontal="left" vertical="center"/>
      <protection locked="0"/>
    </xf>
    <xf numFmtId="0" fontId="2" fillId="34" borderId="38" xfId="767" applyFont="1" applyFill="1" applyBorder="1" applyAlignment="1" applyProtection="1">
      <alignment vertical="top" wrapText="1"/>
      <protection locked="0"/>
    </xf>
    <xf numFmtId="0" fontId="2" fillId="34" borderId="70" xfId="767" applyFont="1" applyFill="1" applyBorder="1" applyAlignment="1" applyProtection="1">
      <alignment vertical="top" wrapText="1"/>
      <protection locked="0"/>
    </xf>
    <xf numFmtId="0" fontId="81" fillId="0" borderId="46" xfId="767" applyFont="1" applyBorder="1" applyAlignment="1" applyProtection="1">
      <alignment vertical="top" wrapText="1"/>
      <protection locked="0"/>
    </xf>
    <xf numFmtId="0" fontId="81" fillId="0" borderId="25" xfId="767" applyFont="1" applyBorder="1" applyAlignment="1" applyProtection="1">
      <alignment vertical="top" wrapText="1"/>
      <protection locked="0"/>
    </xf>
    <xf numFmtId="0" fontId="81" fillId="0" borderId="0" xfId="767" applyFont="1" applyBorder="1" applyAlignment="1" applyProtection="1">
      <alignment horizontal="center" vertical="top" wrapText="1"/>
      <protection locked="0"/>
    </xf>
    <xf numFmtId="0" fontId="123" fillId="0" borderId="0" xfId="767" applyFont="1" applyBorder="1" applyAlignment="1" applyProtection="1">
      <alignment horizontal="center" vertical="top" wrapText="1"/>
      <protection locked="0"/>
    </xf>
    <xf numFmtId="0" fontId="121" fillId="0" borderId="0" xfId="767" applyFont="1" applyAlignment="1" applyProtection="1">
      <alignment horizontal="left" vertical="top"/>
      <protection locked="0"/>
    </xf>
    <xf numFmtId="0" fontId="126" fillId="0" borderId="0" xfId="767" applyFont="1" applyBorder="1" applyAlignment="1" applyProtection="1">
      <alignment horizontal="left" vertical="top" wrapText="1"/>
      <protection locked="0"/>
    </xf>
    <xf numFmtId="2" fontId="11" fillId="0" borderId="75" xfId="0" applyNumberFormat="1" applyFont="1" applyFill="1" applyBorder="1" applyAlignment="1">
      <alignment horizontal="center" wrapText="1"/>
    </xf>
    <xf numFmtId="2" fontId="11" fillId="0" borderId="20" xfId="0" applyNumberFormat="1" applyFont="1" applyFill="1" applyBorder="1" applyAlignment="1">
      <alignment horizontal="center" wrapText="1"/>
    </xf>
    <xf numFmtId="2" fontId="11" fillId="0" borderId="53" xfId="0" applyNumberFormat="1" applyFont="1" applyFill="1" applyBorder="1" applyAlignment="1">
      <alignment horizontal="center" wrapText="1"/>
    </xf>
    <xf numFmtId="2"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2" fontId="18" fillId="0" borderId="1" xfId="0" applyNumberFormat="1" applyFont="1" applyBorder="1" applyAlignment="1">
      <alignment horizontal="center"/>
    </xf>
    <xf numFmtId="0" fontId="18" fillId="0" borderId="1" xfId="0" applyFont="1" applyBorder="1" applyAlignment="1">
      <alignment horizontal="center"/>
    </xf>
    <xf numFmtId="172" fontId="109" fillId="33" borderId="0" xfId="1446" applyNumberFormat="1" applyFont="1" applyFill="1" applyBorder="1" applyAlignment="1">
      <alignment horizontal="left"/>
    </xf>
  </cellXfs>
  <cellStyles count="1447">
    <cellStyle name="$" xfId="745"/>
    <cellStyle name="$.00" xfId="746"/>
    <cellStyle name="$_9. Rev2Cost_GDPIPI" xfId="747"/>
    <cellStyle name="$_lists" xfId="748"/>
    <cellStyle name="$_lists_4. Current Monthly Fixed Charge" xfId="749"/>
    <cellStyle name="$_Sheet4" xfId="750"/>
    <cellStyle name="$M" xfId="751"/>
    <cellStyle name="$M.00" xfId="752"/>
    <cellStyle name="$M_9. Rev2Cost_GDPIPI" xfId="753"/>
    <cellStyle name="20% - Accent1 10" xfId="1"/>
    <cellStyle name="20% - Accent1 11" xfId="2"/>
    <cellStyle name="20% - Accent1 12" xfId="3"/>
    <cellStyle name="20% - Accent1 13" xfId="4"/>
    <cellStyle name="20% - Accent1 14" xfId="5"/>
    <cellStyle name="20% - Accent1 15" xfId="6"/>
    <cellStyle name="20% - Accent1 16" xfId="669"/>
    <cellStyle name="20% - Accent1 2" xfId="7"/>
    <cellStyle name="20% - Accent1 2 2" xfId="716"/>
    <cellStyle name="20% - Accent1 3" xfId="8"/>
    <cellStyle name="20% - Accent1 4" xfId="9"/>
    <cellStyle name="20% - Accent1 5" xfId="10"/>
    <cellStyle name="20% - Accent1 6" xfId="11"/>
    <cellStyle name="20% - Accent1 7" xfId="12"/>
    <cellStyle name="20% - Accent1 8" xfId="13"/>
    <cellStyle name="20% - Accent1 9" xfId="14"/>
    <cellStyle name="20% - Accent2 10" xfId="15"/>
    <cellStyle name="20% - Accent2 11" xfId="16"/>
    <cellStyle name="20% - Accent2 12" xfId="17"/>
    <cellStyle name="20% - Accent2 13" xfId="18"/>
    <cellStyle name="20% - Accent2 14" xfId="19"/>
    <cellStyle name="20% - Accent2 15" xfId="20"/>
    <cellStyle name="20% - Accent2 16" xfId="670"/>
    <cellStyle name="20% - Accent2 2" xfId="21"/>
    <cellStyle name="20% - Accent2 2 2" xfId="720"/>
    <cellStyle name="20% - Accent2 3" xfId="22"/>
    <cellStyle name="20% - Accent2 4" xfId="23"/>
    <cellStyle name="20% - Accent2 5" xfId="24"/>
    <cellStyle name="20% - Accent2 6" xfId="25"/>
    <cellStyle name="20% - Accent2 7" xfId="26"/>
    <cellStyle name="20% - Accent2 8" xfId="27"/>
    <cellStyle name="20% - Accent2 9" xfId="28"/>
    <cellStyle name="20% - Accent3 10" xfId="29"/>
    <cellStyle name="20% - Accent3 11" xfId="30"/>
    <cellStyle name="20% - Accent3 12" xfId="31"/>
    <cellStyle name="20% - Accent3 13" xfId="32"/>
    <cellStyle name="20% - Accent3 14" xfId="33"/>
    <cellStyle name="20% - Accent3 15" xfId="34"/>
    <cellStyle name="20% - Accent3 16" xfId="671"/>
    <cellStyle name="20% - Accent3 2" xfId="35"/>
    <cellStyle name="20% - Accent3 2 2" xfId="724"/>
    <cellStyle name="20% - Accent3 3" xfId="36"/>
    <cellStyle name="20% - Accent3 4" xfId="37"/>
    <cellStyle name="20% - Accent3 5" xfId="38"/>
    <cellStyle name="20% - Accent3 6" xfId="39"/>
    <cellStyle name="20% - Accent3 7" xfId="40"/>
    <cellStyle name="20% - Accent3 8" xfId="41"/>
    <cellStyle name="20% - Accent3 9" xfId="42"/>
    <cellStyle name="20% - Accent4 10" xfId="43"/>
    <cellStyle name="20% - Accent4 11" xfId="44"/>
    <cellStyle name="20% - Accent4 12" xfId="45"/>
    <cellStyle name="20% - Accent4 13" xfId="46"/>
    <cellStyle name="20% - Accent4 14" xfId="47"/>
    <cellStyle name="20% - Accent4 15" xfId="48"/>
    <cellStyle name="20% - Accent4 16" xfId="672"/>
    <cellStyle name="20% - Accent4 2" xfId="49"/>
    <cellStyle name="20% - Accent4 2 2" xfId="728"/>
    <cellStyle name="20% - Accent4 3" xfId="50"/>
    <cellStyle name="20% - Accent4 4" xfId="51"/>
    <cellStyle name="20% - Accent4 5" xfId="52"/>
    <cellStyle name="20% - Accent4 6" xfId="53"/>
    <cellStyle name="20% - Accent4 7" xfId="54"/>
    <cellStyle name="20% - Accent4 8" xfId="55"/>
    <cellStyle name="20% - Accent4 9" xfId="56"/>
    <cellStyle name="20% - Accent5 10" xfId="57"/>
    <cellStyle name="20% - Accent5 11" xfId="58"/>
    <cellStyle name="20% - Accent5 12" xfId="59"/>
    <cellStyle name="20% - Accent5 13" xfId="60"/>
    <cellStyle name="20% - Accent5 14" xfId="61"/>
    <cellStyle name="20% - Accent5 15" xfId="62"/>
    <cellStyle name="20% - Accent5 16" xfId="673"/>
    <cellStyle name="20% - Accent5 2" xfId="63"/>
    <cellStyle name="20% - Accent5 2 2" xfId="732"/>
    <cellStyle name="20% - Accent5 3" xfId="64"/>
    <cellStyle name="20% - Accent5 4" xfId="65"/>
    <cellStyle name="20% - Accent5 5" xfId="66"/>
    <cellStyle name="20% - Accent5 6" xfId="67"/>
    <cellStyle name="20% - Accent5 7" xfId="68"/>
    <cellStyle name="20% - Accent5 8" xfId="69"/>
    <cellStyle name="20% - Accent5 9" xfId="70"/>
    <cellStyle name="20% - Accent6 10" xfId="71"/>
    <cellStyle name="20% - Accent6 11" xfId="72"/>
    <cellStyle name="20% - Accent6 12" xfId="73"/>
    <cellStyle name="20% - Accent6 13" xfId="74"/>
    <cellStyle name="20% - Accent6 14" xfId="75"/>
    <cellStyle name="20% - Accent6 15" xfId="76"/>
    <cellStyle name="20% - Accent6 16" xfId="674"/>
    <cellStyle name="20% - Accent6 2" xfId="77"/>
    <cellStyle name="20% - Accent6 2 2" xfId="736"/>
    <cellStyle name="20% - Accent6 3" xfId="78"/>
    <cellStyle name="20% - Accent6 4" xfId="79"/>
    <cellStyle name="20% - Accent6 5" xfId="80"/>
    <cellStyle name="20% - Accent6 6" xfId="81"/>
    <cellStyle name="20% - Accent6 7" xfId="82"/>
    <cellStyle name="20% - Accent6 8" xfId="83"/>
    <cellStyle name="20% - Accent6 9" xfId="84"/>
    <cellStyle name="40% - Accent1 10" xfId="85"/>
    <cellStyle name="40% - Accent1 11" xfId="86"/>
    <cellStyle name="40% - Accent1 12" xfId="87"/>
    <cellStyle name="40% - Accent1 13" xfId="88"/>
    <cellStyle name="40% - Accent1 14" xfId="89"/>
    <cellStyle name="40% - Accent1 15" xfId="90"/>
    <cellStyle name="40% - Accent1 16" xfId="675"/>
    <cellStyle name="40% - Accent1 2" xfId="91"/>
    <cellStyle name="40% - Accent1 2 2" xfId="717"/>
    <cellStyle name="40% - Accent1 3" xfId="92"/>
    <cellStyle name="40% - Accent1 4" xfId="93"/>
    <cellStyle name="40% - Accent1 5" xfId="94"/>
    <cellStyle name="40% - Accent1 6" xfId="95"/>
    <cellStyle name="40% - Accent1 7" xfId="96"/>
    <cellStyle name="40% - Accent1 8" xfId="97"/>
    <cellStyle name="40% - Accent1 9" xfId="98"/>
    <cellStyle name="40% - Accent2 10" xfId="99"/>
    <cellStyle name="40% - Accent2 11" xfId="100"/>
    <cellStyle name="40% - Accent2 12" xfId="101"/>
    <cellStyle name="40% - Accent2 13" xfId="102"/>
    <cellStyle name="40% - Accent2 14" xfId="103"/>
    <cellStyle name="40% - Accent2 15" xfId="104"/>
    <cellStyle name="40% - Accent2 16" xfId="676"/>
    <cellStyle name="40% - Accent2 2" xfId="105"/>
    <cellStyle name="40% - Accent2 2 2" xfId="721"/>
    <cellStyle name="40% - Accent2 3" xfId="106"/>
    <cellStyle name="40% - Accent2 4" xfId="107"/>
    <cellStyle name="40% - Accent2 5" xfId="108"/>
    <cellStyle name="40% - Accent2 6" xfId="109"/>
    <cellStyle name="40% - Accent2 7" xfId="110"/>
    <cellStyle name="40% - Accent2 8" xfId="111"/>
    <cellStyle name="40% - Accent2 9" xfId="112"/>
    <cellStyle name="40% - Accent3 10" xfId="113"/>
    <cellStyle name="40% - Accent3 11" xfId="114"/>
    <cellStyle name="40% - Accent3 12" xfId="115"/>
    <cellStyle name="40% - Accent3 13" xfId="116"/>
    <cellStyle name="40% - Accent3 14" xfId="117"/>
    <cellStyle name="40% - Accent3 15" xfId="118"/>
    <cellStyle name="40% - Accent3 16" xfId="677"/>
    <cellStyle name="40% - Accent3 2" xfId="119"/>
    <cellStyle name="40% - Accent3 2 2" xfId="725"/>
    <cellStyle name="40% - Accent3 3" xfId="120"/>
    <cellStyle name="40% - Accent3 4" xfId="121"/>
    <cellStyle name="40% - Accent3 5" xfId="122"/>
    <cellStyle name="40% - Accent3 6" xfId="123"/>
    <cellStyle name="40% - Accent3 7" xfId="124"/>
    <cellStyle name="40% - Accent3 8" xfId="125"/>
    <cellStyle name="40% - Accent3 9" xfId="126"/>
    <cellStyle name="40% - Accent4 10" xfId="127"/>
    <cellStyle name="40% - Accent4 11" xfId="128"/>
    <cellStyle name="40% - Accent4 12" xfId="129"/>
    <cellStyle name="40% - Accent4 13" xfId="130"/>
    <cellStyle name="40% - Accent4 14" xfId="131"/>
    <cellStyle name="40% - Accent4 15" xfId="132"/>
    <cellStyle name="40% - Accent4 16" xfId="678"/>
    <cellStyle name="40% - Accent4 2" xfId="133"/>
    <cellStyle name="40% - Accent4 2 2" xfId="729"/>
    <cellStyle name="40% - Accent4 3" xfId="134"/>
    <cellStyle name="40% - Accent4 4" xfId="135"/>
    <cellStyle name="40% - Accent4 5" xfId="136"/>
    <cellStyle name="40% - Accent4 6" xfId="137"/>
    <cellStyle name="40% - Accent4 7" xfId="138"/>
    <cellStyle name="40% - Accent4 8" xfId="139"/>
    <cellStyle name="40% - Accent4 9" xfId="140"/>
    <cellStyle name="40% - Accent5 10" xfId="141"/>
    <cellStyle name="40% - Accent5 11" xfId="142"/>
    <cellStyle name="40% - Accent5 12" xfId="143"/>
    <cellStyle name="40% - Accent5 13" xfId="144"/>
    <cellStyle name="40% - Accent5 14" xfId="145"/>
    <cellStyle name="40% - Accent5 15" xfId="146"/>
    <cellStyle name="40% - Accent5 16" xfId="679"/>
    <cellStyle name="40% - Accent5 2" xfId="147"/>
    <cellStyle name="40% - Accent5 2 2" xfId="733"/>
    <cellStyle name="40% - Accent5 3" xfId="148"/>
    <cellStyle name="40% - Accent5 4" xfId="149"/>
    <cellStyle name="40% - Accent5 5" xfId="150"/>
    <cellStyle name="40% - Accent5 6" xfId="151"/>
    <cellStyle name="40% - Accent5 7" xfId="152"/>
    <cellStyle name="40% - Accent5 8" xfId="153"/>
    <cellStyle name="40% - Accent5 9" xfId="154"/>
    <cellStyle name="40% - Accent6 10" xfId="155"/>
    <cellStyle name="40% - Accent6 11" xfId="156"/>
    <cellStyle name="40% - Accent6 12" xfId="157"/>
    <cellStyle name="40% - Accent6 13" xfId="158"/>
    <cellStyle name="40% - Accent6 14" xfId="159"/>
    <cellStyle name="40% - Accent6 15" xfId="160"/>
    <cellStyle name="40% - Accent6 16" xfId="680"/>
    <cellStyle name="40% - Accent6 2" xfId="161"/>
    <cellStyle name="40% - Accent6 2 2" xfId="737"/>
    <cellStyle name="40% - Accent6 3" xfId="162"/>
    <cellStyle name="40% - Accent6 4" xfId="163"/>
    <cellStyle name="40% - Accent6 5" xfId="164"/>
    <cellStyle name="40% - Accent6 6" xfId="165"/>
    <cellStyle name="40% - Accent6 7" xfId="166"/>
    <cellStyle name="40% - Accent6 8" xfId="167"/>
    <cellStyle name="40% - Accent6 9" xfId="168"/>
    <cellStyle name="60% - Accent1 10" xfId="169"/>
    <cellStyle name="60% - Accent1 11" xfId="170"/>
    <cellStyle name="60% - Accent1 12" xfId="171"/>
    <cellStyle name="60% - Accent1 13" xfId="172"/>
    <cellStyle name="60% - Accent1 14" xfId="173"/>
    <cellStyle name="60% - Accent1 15" xfId="174"/>
    <cellStyle name="60% - Accent1 16" xfId="681"/>
    <cellStyle name="60% - Accent1 2" xfId="175"/>
    <cellStyle name="60% - Accent1 2 2" xfId="718"/>
    <cellStyle name="60% - Accent1 3" xfId="176"/>
    <cellStyle name="60% - Accent1 4" xfId="177"/>
    <cellStyle name="60% - Accent1 5" xfId="178"/>
    <cellStyle name="60% - Accent1 6" xfId="179"/>
    <cellStyle name="60% - Accent1 7" xfId="180"/>
    <cellStyle name="60% - Accent1 8" xfId="181"/>
    <cellStyle name="60% - Accent1 9" xfId="182"/>
    <cellStyle name="60% - Accent2 10" xfId="183"/>
    <cellStyle name="60% - Accent2 11" xfId="184"/>
    <cellStyle name="60% - Accent2 12" xfId="185"/>
    <cellStyle name="60% - Accent2 13" xfId="186"/>
    <cellStyle name="60% - Accent2 14" xfId="187"/>
    <cellStyle name="60% - Accent2 15" xfId="188"/>
    <cellStyle name="60% - Accent2 16" xfId="682"/>
    <cellStyle name="60% - Accent2 2" xfId="189"/>
    <cellStyle name="60% - Accent2 2 2" xfId="722"/>
    <cellStyle name="60% - Accent2 3" xfId="190"/>
    <cellStyle name="60% - Accent2 4" xfId="191"/>
    <cellStyle name="60% - Accent2 5" xfId="192"/>
    <cellStyle name="60% - Accent2 6" xfId="193"/>
    <cellStyle name="60% - Accent2 7" xfId="194"/>
    <cellStyle name="60% - Accent2 8" xfId="195"/>
    <cellStyle name="60% - Accent2 9" xfId="196"/>
    <cellStyle name="60% - Accent3 10" xfId="197"/>
    <cellStyle name="60% - Accent3 11" xfId="198"/>
    <cellStyle name="60% - Accent3 12" xfId="199"/>
    <cellStyle name="60% - Accent3 13" xfId="200"/>
    <cellStyle name="60% - Accent3 14" xfId="201"/>
    <cellStyle name="60% - Accent3 15" xfId="202"/>
    <cellStyle name="60% - Accent3 16" xfId="683"/>
    <cellStyle name="60% - Accent3 2" xfId="203"/>
    <cellStyle name="60% - Accent3 2 2" xfId="726"/>
    <cellStyle name="60% - Accent3 3" xfId="204"/>
    <cellStyle name="60% - Accent3 4" xfId="205"/>
    <cellStyle name="60% - Accent3 5" xfId="206"/>
    <cellStyle name="60% - Accent3 6" xfId="207"/>
    <cellStyle name="60% - Accent3 7" xfId="208"/>
    <cellStyle name="60% - Accent3 8" xfId="209"/>
    <cellStyle name="60% - Accent3 9" xfId="210"/>
    <cellStyle name="60% - Accent4 10" xfId="211"/>
    <cellStyle name="60% - Accent4 11" xfId="212"/>
    <cellStyle name="60% - Accent4 12" xfId="213"/>
    <cellStyle name="60% - Accent4 13" xfId="214"/>
    <cellStyle name="60% - Accent4 14" xfId="215"/>
    <cellStyle name="60% - Accent4 15" xfId="216"/>
    <cellStyle name="60% - Accent4 16" xfId="684"/>
    <cellStyle name="60% - Accent4 2" xfId="217"/>
    <cellStyle name="60% - Accent4 2 2" xfId="730"/>
    <cellStyle name="60% - Accent4 3" xfId="218"/>
    <cellStyle name="60% - Accent4 4" xfId="219"/>
    <cellStyle name="60% - Accent4 5" xfId="220"/>
    <cellStyle name="60% - Accent4 6" xfId="221"/>
    <cellStyle name="60% - Accent4 7" xfId="222"/>
    <cellStyle name="60% - Accent4 8" xfId="223"/>
    <cellStyle name="60% - Accent4 9" xfId="224"/>
    <cellStyle name="60% - Accent5 10" xfId="225"/>
    <cellStyle name="60% - Accent5 11" xfId="226"/>
    <cellStyle name="60% - Accent5 12" xfId="227"/>
    <cellStyle name="60% - Accent5 13" xfId="228"/>
    <cellStyle name="60% - Accent5 14" xfId="229"/>
    <cellStyle name="60% - Accent5 15" xfId="230"/>
    <cellStyle name="60% - Accent5 16" xfId="685"/>
    <cellStyle name="60% - Accent5 2" xfId="231"/>
    <cellStyle name="60% - Accent5 2 2" xfId="734"/>
    <cellStyle name="60% - Accent5 3" xfId="232"/>
    <cellStyle name="60% - Accent5 4" xfId="233"/>
    <cellStyle name="60% - Accent5 5" xfId="234"/>
    <cellStyle name="60% - Accent5 6" xfId="235"/>
    <cellStyle name="60% - Accent5 7" xfId="236"/>
    <cellStyle name="60% - Accent5 8" xfId="237"/>
    <cellStyle name="60% - Accent5 9" xfId="238"/>
    <cellStyle name="60% - Accent6 10" xfId="239"/>
    <cellStyle name="60% - Accent6 11" xfId="240"/>
    <cellStyle name="60% - Accent6 12" xfId="241"/>
    <cellStyle name="60% - Accent6 13" xfId="242"/>
    <cellStyle name="60% - Accent6 14" xfId="243"/>
    <cellStyle name="60% - Accent6 15" xfId="244"/>
    <cellStyle name="60% - Accent6 16" xfId="686"/>
    <cellStyle name="60% - Accent6 2" xfId="245"/>
    <cellStyle name="60% - Accent6 2 2" xfId="738"/>
    <cellStyle name="60% - Accent6 3" xfId="246"/>
    <cellStyle name="60% - Accent6 4" xfId="247"/>
    <cellStyle name="60% - Accent6 5" xfId="248"/>
    <cellStyle name="60% - Accent6 6" xfId="249"/>
    <cellStyle name="60% - Accent6 7" xfId="250"/>
    <cellStyle name="60% - Accent6 8" xfId="251"/>
    <cellStyle name="60% - Accent6 9" xfId="252"/>
    <cellStyle name="Accent1 10" xfId="253"/>
    <cellStyle name="Accent1 11" xfId="254"/>
    <cellStyle name="Accent1 12" xfId="255"/>
    <cellStyle name="Accent1 13" xfId="256"/>
    <cellStyle name="Accent1 14" xfId="257"/>
    <cellStyle name="Accent1 15" xfId="258"/>
    <cellStyle name="Accent1 16" xfId="687"/>
    <cellStyle name="Accent1 2" xfId="259"/>
    <cellStyle name="Accent1 2 2" xfId="715"/>
    <cellStyle name="Accent1 3" xfId="260"/>
    <cellStyle name="Accent1 4" xfId="261"/>
    <cellStyle name="Accent1 5" xfId="262"/>
    <cellStyle name="Accent1 6" xfId="263"/>
    <cellStyle name="Accent1 7" xfId="264"/>
    <cellStyle name="Accent1 8" xfId="265"/>
    <cellStyle name="Accent1 9" xfId="266"/>
    <cellStyle name="Accent2 10" xfId="267"/>
    <cellStyle name="Accent2 11" xfId="268"/>
    <cellStyle name="Accent2 12" xfId="269"/>
    <cellStyle name="Accent2 13" xfId="270"/>
    <cellStyle name="Accent2 14" xfId="271"/>
    <cellStyle name="Accent2 15" xfId="272"/>
    <cellStyle name="Accent2 16" xfId="688"/>
    <cellStyle name="Accent2 2" xfId="273"/>
    <cellStyle name="Accent2 2 2" xfId="719"/>
    <cellStyle name="Accent2 3" xfId="274"/>
    <cellStyle name="Accent2 4" xfId="275"/>
    <cellStyle name="Accent2 5" xfId="276"/>
    <cellStyle name="Accent2 6" xfId="277"/>
    <cellStyle name="Accent2 7" xfId="278"/>
    <cellStyle name="Accent2 8" xfId="279"/>
    <cellStyle name="Accent2 9" xfId="280"/>
    <cellStyle name="Accent3 10" xfId="281"/>
    <cellStyle name="Accent3 11" xfId="282"/>
    <cellStyle name="Accent3 12" xfId="283"/>
    <cellStyle name="Accent3 13" xfId="284"/>
    <cellStyle name="Accent3 14" xfId="285"/>
    <cellStyle name="Accent3 15" xfId="286"/>
    <cellStyle name="Accent3 16" xfId="689"/>
    <cellStyle name="Accent3 2" xfId="287"/>
    <cellStyle name="Accent3 2 2" xfId="723"/>
    <cellStyle name="Accent3 3" xfId="288"/>
    <cellStyle name="Accent3 4" xfId="289"/>
    <cellStyle name="Accent3 5" xfId="290"/>
    <cellStyle name="Accent3 6" xfId="291"/>
    <cellStyle name="Accent3 7" xfId="292"/>
    <cellStyle name="Accent3 8" xfId="293"/>
    <cellStyle name="Accent3 9" xfId="294"/>
    <cellStyle name="Accent4 10" xfId="295"/>
    <cellStyle name="Accent4 11" xfId="296"/>
    <cellStyle name="Accent4 12" xfId="297"/>
    <cellStyle name="Accent4 13" xfId="298"/>
    <cellStyle name="Accent4 14" xfId="299"/>
    <cellStyle name="Accent4 15" xfId="300"/>
    <cellStyle name="Accent4 16" xfId="795"/>
    <cellStyle name="Accent4 2" xfId="301"/>
    <cellStyle name="Accent4 2 2" xfId="727"/>
    <cellStyle name="Accent4 3" xfId="302"/>
    <cellStyle name="Accent4 4" xfId="303"/>
    <cellStyle name="Accent4 5" xfId="304"/>
    <cellStyle name="Accent4 6" xfId="305"/>
    <cellStyle name="Accent4 7" xfId="306"/>
    <cellStyle name="Accent4 8" xfId="307"/>
    <cellStyle name="Accent4 9" xfId="308"/>
    <cellStyle name="Accent5 10" xfId="309"/>
    <cellStyle name="Accent5 11" xfId="310"/>
    <cellStyle name="Accent5 12" xfId="311"/>
    <cellStyle name="Accent5 13" xfId="312"/>
    <cellStyle name="Accent5 14" xfId="313"/>
    <cellStyle name="Accent5 15" xfId="314"/>
    <cellStyle name="Accent5 16" xfId="790"/>
    <cellStyle name="Accent5 2" xfId="315"/>
    <cellStyle name="Accent5 2 2" xfId="731"/>
    <cellStyle name="Accent5 3" xfId="316"/>
    <cellStyle name="Accent5 4" xfId="317"/>
    <cellStyle name="Accent5 5" xfId="318"/>
    <cellStyle name="Accent5 6" xfId="319"/>
    <cellStyle name="Accent5 7" xfId="320"/>
    <cellStyle name="Accent5 8" xfId="321"/>
    <cellStyle name="Accent5 9" xfId="322"/>
    <cellStyle name="Accent6 10" xfId="323"/>
    <cellStyle name="Accent6 11" xfId="324"/>
    <cellStyle name="Accent6 12" xfId="325"/>
    <cellStyle name="Accent6 13" xfId="326"/>
    <cellStyle name="Accent6 14" xfId="327"/>
    <cellStyle name="Accent6 15" xfId="328"/>
    <cellStyle name="Accent6 16" xfId="794"/>
    <cellStyle name="Accent6 2" xfId="329"/>
    <cellStyle name="Accent6 2 2" xfId="735"/>
    <cellStyle name="Accent6 3" xfId="330"/>
    <cellStyle name="Accent6 4" xfId="331"/>
    <cellStyle name="Accent6 5" xfId="332"/>
    <cellStyle name="Accent6 6" xfId="333"/>
    <cellStyle name="Accent6 7" xfId="334"/>
    <cellStyle name="Accent6 8" xfId="335"/>
    <cellStyle name="Accent6 9" xfId="336"/>
    <cellStyle name="Bad 10" xfId="337"/>
    <cellStyle name="Bad 11" xfId="338"/>
    <cellStyle name="Bad 12" xfId="339"/>
    <cellStyle name="Bad 13" xfId="340"/>
    <cellStyle name="Bad 14" xfId="341"/>
    <cellStyle name="Bad 15" xfId="342"/>
    <cellStyle name="Bad 16" xfId="779"/>
    <cellStyle name="Bad 2" xfId="343"/>
    <cellStyle name="Bad 2 2" xfId="704"/>
    <cellStyle name="Bad 3" xfId="344"/>
    <cellStyle name="Bad 4" xfId="345"/>
    <cellStyle name="Bad 5" xfId="346"/>
    <cellStyle name="Bad 6" xfId="347"/>
    <cellStyle name="Bad 7" xfId="348"/>
    <cellStyle name="Bad 8" xfId="349"/>
    <cellStyle name="Bad 9" xfId="350"/>
    <cellStyle name="Calculation 10" xfId="351"/>
    <cellStyle name="Calculation 11" xfId="352"/>
    <cellStyle name="Calculation 12" xfId="353"/>
    <cellStyle name="Calculation 13" xfId="354"/>
    <cellStyle name="Calculation 14" xfId="355"/>
    <cellStyle name="Calculation 15" xfId="356"/>
    <cellStyle name="Calculation 16" xfId="690"/>
    <cellStyle name="Calculation 2" xfId="357"/>
    <cellStyle name="Calculation 2 2" xfId="708"/>
    <cellStyle name="Calculation 3" xfId="358"/>
    <cellStyle name="Calculation 4" xfId="359"/>
    <cellStyle name="Calculation 5" xfId="360"/>
    <cellStyle name="Calculation 6" xfId="361"/>
    <cellStyle name="Calculation 7" xfId="362"/>
    <cellStyle name="Calculation 8" xfId="363"/>
    <cellStyle name="Calculation 9" xfId="364"/>
    <cellStyle name="Check Cell 10" xfId="365"/>
    <cellStyle name="Check Cell 11" xfId="366"/>
    <cellStyle name="Check Cell 12" xfId="367"/>
    <cellStyle name="Check Cell 13" xfId="368"/>
    <cellStyle name="Check Cell 14" xfId="369"/>
    <cellStyle name="Check Cell 15" xfId="370"/>
    <cellStyle name="Check Cell 16" xfId="775"/>
    <cellStyle name="Check Cell 2" xfId="371"/>
    <cellStyle name="Check Cell 2 2" xfId="710"/>
    <cellStyle name="Check Cell 3" xfId="372"/>
    <cellStyle name="Check Cell 4" xfId="373"/>
    <cellStyle name="Check Cell 5" xfId="374"/>
    <cellStyle name="Check Cell 6" xfId="375"/>
    <cellStyle name="Check Cell 7" xfId="376"/>
    <cellStyle name="Check Cell 8" xfId="377"/>
    <cellStyle name="Check Cell 9" xfId="378"/>
    <cellStyle name="Comma" xfId="379" builtinId="3"/>
    <cellStyle name="Comma 2" xfId="595"/>
    <cellStyle name="Comma 2 2" xfId="596"/>
    <cellStyle name="Comma 2 2 2" xfId="594"/>
    <cellStyle name="Comma 2 3" xfId="634"/>
    <cellStyle name="Comma 2 4" xfId="740"/>
    <cellStyle name="Comma 3" xfId="380"/>
    <cellStyle name="Comma 3 2" xfId="597"/>
    <cellStyle name="Comma 3 2 2" xfId="768"/>
    <cellStyle name="Comma 3 3" xfId="742"/>
    <cellStyle name="Comma 3 4" xfId="937"/>
    <cellStyle name="Comma 4" xfId="598"/>
    <cellStyle name="Comma 4 2" xfId="618"/>
    <cellStyle name="Comma 4 2 2" xfId="655"/>
    <cellStyle name="Comma 4 2 2 2" xfId="834"/>
    <cellStyle name="Comma 4 2 2 2 2" xfId="1165"/>
    <cellStyle name="Comma 4 2 2 2 2 2" xfId="1398"/>
    <cellStyle name="Comma 4 2 2 2 3" xfId="1282"/>
    <cellStyle name="Comma 4 2 2 2 4" xfId="1046"/>
    <cellStyle name="Comma 4 2 2 3" xfId="904"/>
    <cellStyle name="Comma 4 2 2 3 2" xfId="1342"/>
    <cellStyle name="Comma 4 2 2 3 3" xfId="1109"/>
    <cellStyle name="Comma 4 2 2 4" xfId="1226"/>
    <cellStyle name="Comma 4 2 2 5" xfId="989"/>
    <cellStyle name="Comma 4 2 3" xfId="801"/>
    <cellStyle name="Comma 4 2 3 2" xfId="1135"/>
    <cellStyle name="Comma 4 2 3 2 2" xfId="1368"/>
    <cellStyle name="Comma 4 2 3 3" xfId="1252"/>
    <cellStyle name="Comma 4 2 3 4" xfId="1016"/>
    <cellStyle name="Comma 4 2 4" xfId="874"/>
    <cellStyle name="Comma 4 2 4 2" xfId="1316"/>
    <cellStyle name="Comma 4 2 4 3" xfId="1083"/>
    <cellStyle name="Comma 4 2 5" xfId="1200"/>
    <cellStyle name="Comma 4 2 6" xfId="963"/>
    <cellStyle name="Comma 4 3" xfId="626"/>
    <cellStyle name="Comma 4 3 2" xfId="663"/>
    <cellStyle name="Comma 4 3 2 2" xfId="842"/>
    <cellStyle name="Comma 4 3 2 2 2" xfId="1173"/>
    <cellStyle name="Comma 4 3 2 2 2 2" xfId="1406"/>
    <cellStyle name="Comma 4 3 2 2 3" xfId="1290"/>
    <cellStyle name="Comma 4 3 2 2 4" xfId="1054"/>
    <cellStyle name="Comma 4 3 2 3" xfId="912"/>
    <cellStyle name="Comma 4 3 2 3 2" xfId="1350"/>
    <cellStyle name="Comma 4 3 2 3 3" xfId="1117"/>
    <cellStyle name="Comma 4 3 2 4" xfId="1234"/>
    <cellStyle name="Comma 4 3 2 5" xfId="997"/>
    <cellStyle name="Comma 4 3 3" xfId="809"/>
    <cellStyle name="Comma 4 3 3 2" xfId="1143"/>
    <cellStyle name="Comma 4 3 3 2 2" xfId="1376"/>
    <cellStyle name="Comma 4 3 3 3" xfId="1260"/>
    <cellStyle name="Comma 4 3 3 4" xfId="1024"/>
    <cellStyle name="Comma 4 3 4" xfId="882"/>
    <cellStyle name="Comma 4 3 4 2" xfId="1324"/>
    <cellStyle name="Comma 4 3 4 3" xfId="1091"/>
    <cellStyle name="Comma 4 3 5" xfId="1208"/>
    <cellStyle name="Comma 4 3 6" xfId="971"/>
    <cellStyle name="Comma 4 4" xfId="647"/>
    <cellStyle name="Comma 4 4 2" xfId="826"/>
    <cellStyle name="Comma 4 4 2 2" xfId="1157"/>
    <cellStyle name="Comma 4 4 2 2 2" xfId="1390"/>
    <cellStyle name="Comma 4 4 2 3" xfId="1274"/>
    <cellStyle name="Comma 4 4 2 4" xfId="1038"/>
    <cellStyle name="Comma 4 4 3" xfId="896"/>
    <cellStyle name="Comma 4 4 3 2" xfId="1334"/>
    <cellStyle name="Comma 4 4 3 3" xfId="1101"/>
    <cellStyle name="Comma 4 4 4" xfId="1218"/>
    <cellStyle name="Comma 4 4 5" xfId="981"/>
    <cellStyle name="Comma 4 5" xfId="787"/>
    <cellStyle name="Comma 4 5 2" xfId="1127"/>
    <cellStyle name="Comma 4 5 2 2" xfId="1360"/>
    <cellStyle name="Comma 4 5 3" xfId="1244"/>
    <cellStyle name="Comma 4 5 4" xfId="1008"/>
    <cellStyle name="Comma 4 6" xfId="866"/>
    <cellStyle name="Comma 4 6 2" xfId="1308"/>
    <cellStyle name="Comma 4 6 3" xfId="1075"/>
    <cellStyle name="Comma 4 7" xfId="1192"/>
    <cellStyle name="Comma 4 8" xfId="955"/>
    <cellStyle name="Comma 5" xfId="641"/>
    <cellStyle name="Comma 6" xfId="638"/>
    <cellStyle name="Comma 6 2" xfId="819"/>
    <cellStyle name="Comma 6 2 2" xfId="1179"/>
    <cellStyle name="Comma 6 2 2 2" xfId="1412"/>
    <cellStyle name="Comma 6 2 3" xfId="1296"/>
    <cellStyle name="Comma 6 2 4" xfId="1060"/>
    <cellStyle name="Comma 6 3" xfId="890"/>
    <cellStyle name="Comma 6 3 2" xfId="1384"/>
    <cellStyle name="Comma 6 3 3" xfId="1151"/>
    <cellStyle name="Comma 6 4" xfId="1268"/>
    <cellStyle name="Comma 6 5" xfId="1032"/>
    <cellStyle name="Comma 7" xfId="796"/>
    <cellStyle name="Comma 7 2" xfId="1063"/>
    <cellStyle name="Comma 8" xfId="1067"/>
    <cellStyle name="Comma 8 2" xfId="1297"/>
    <cellStyle name="Comma 9" xfId="1181"/>
    <cellStyle name="Comma0" xfId="754"/>
    <cellStyle name="Currency 2" xfId="381"/>
    <cellStyle name="Currency 2 2" xfId="599"/>
    <cellStyle name="Currency 2 3" xfId="589"/>
    <cellStyle name="Currency 2 4" xfId="789"/>
    <cellStyle name="Currency 2 5" xfId="936"/>
    <cellStyle name="Currency 3" xfId="382"/>
    <cellStyle name="Currency 3 2" xfId="600"/>
    <cellStyle name="Currency 3 3" xfId="590"/>
    <cellStyle name="Currency 3 4" xfId="770"/>
    <cellStyle name="Currency 4" xfId="948"/>
    <cellStyle name="Currency 5" xfId="383"/>
    <cellStyle name="Currency0" xfId="755"/>
    <cellStyle name="Date" xfId="756"/>
    <cellStyle name="Explanatory Text 10" xfId="384"/>
    <cellStyle name="Explanatory Text 11" xfId="385"/>
    <cellStyle name="Explanatory Text 12" xfId="386"/>
    <cellStyle name="Explanatory Text 13" xfId="387"/>
    <cellStyle name="Explanatory Text 14" xfId="388"/>
    <cellStyle name="Explanatory Text 15" xfId="389"/>
    <cellStyle name="Explanatory Text 16" xfId="782"/>
    <cellStyle name="Explanatory Text 2" xfId="390"/>
    <cellStyle name="Explanatory Text 2 2" xfId="713"/>
    <cellStyle name="Explanatory Text 3" xfId="391"/>
    <cellStyle name="Explanatory Text 4" xfId="392"/>
    <cellStyle name="Explanatory Text 5" xfId="393"/>
    <cellStyle name="Explanatory Text 6" xfId="394"/>
    <cellStyle name="Explanatory Text 7" xfId="395"/>
    <cellStyle name="Explanatory Text 8" xfId="396"/>
    <cellStyle name="Explanatory Text 9" xfId="397"/>
    <cellStyle name="Fixed" xfId="757"/>
    <cellStyle name="Good 10" xfId="398"/>
    <cellStyle name="Good 11" xfId="399"/>
    <cellStyle name="Good 12" xfId="400"/>
    <cellStyle name="Good 13" xfId="401"/>
    <cellStyle name="Good 14" xfId="402"/>
    <cellStyle name="Good 15" xfId="403"/>
    <cellStyle name="Good 16" xfId="778"/>
    <cellStyle name="Good 2" xfId="404"/>
    <cellStyle name="Good 2 2" xfId="703"/>
    <cellStyle name="Good 3" xfId="405"/>
    <cellStyle name="Good 4" xfId="406"/>
    <cellStyle name="Good 5" xfId="407"/>
    <cellStyle name="Good 6" xfId="408"/>
    <cellStyle name="Good 7" xfId="409"/>
    <cellStyle name="Good 8" xfId="410"/>
    <cellStyle name="Good 9" xfId="411"/>
    <cellStyle name="Grey" xfId="758"/>
    <cellStyle name="Heading 1 10" xfId="412"/>
    <cellStyle name="Heading 1 11" xfId="413"/>
    <cellStyle name="Heading 1 12" xfId="414"/>
    <cellStyle name="Heading 1 13" xfId="415"/>
    <cellStyle name="Heading 1 14" xfId="416"/>
    <cellStyle name="Heading 1 15" xfId="417"/>
    <cellStyle name="Heading 1 16" xfId="783"/>
    <cellStyle name="Heading 1 2" xfId="418"/>
    <cellStyle name="Heading 1 2 2" xfId="699"/>
    <cellStyle name="Heading 1 3" xfId="419"/>
    <cellStyle name="Heading 1 4" xfId="420"/>
    <cellStyle name="Heading 1 5" xfId="421"/>
    <cellStyle name="Heading 1 6" xfId="422"/>
    <cellStyle name="Heading 1 7" xfId="423"/>
    <cellStyle name="Heading 1 8" xfId="424"/>
    <cellStyle name="Heading 1 9" xfId="425"/>
    <cellStyle name="Heading 2 10" xfId="426"/>
    <cellStyle name="Heading 2 11" xfId="427"/>
    <cellStyle name="Heading 2 12" xfId="428"/>
    <cellStyle name="Heading 2 13" xfId="429"/>
    <cellStyle name="Heading 2 14" xfId="430"/>
    <cellStyle name="Heading 2 15" xfId="431"/>
    <cellStyle name="Heading 2 16" xfId="781"/>
    <cellStyle name="Heading 2 2" xfId="432"/>
    <cellStyle name="Heading 2 2 2" xfId="698"/>
    <cellStyle name="Heading 2 3" xfId="433"/>
    <cellStyle name="Heading 2 4" xfId="434"/>
    <cellStyle name="Heading 2 5" xfId="435"/>
    <cellStyle name="Heading 2 6" xfId="436"/>
    <cellStyle name="Heading 2 7" xfId="437"/>
    <cellStyle name="Heading 2 8" xfId="438"/>
    <cellStyle name="Heading 2 9" xfId="439"/>
    <cellStyle name="Heading 3 10" xfId="440"/>
    <cellStyle name="Heading 3 11" xfId="441"/>
    <cellStyle name="Heading 3 12" xfId="442"/>
    <cellStyle name="Heading 3 13" xfId="443"/>
    <cellStyle name="Heading 3 14" xfId="444"/>
    <cellStyle name="Heading 3 15" xfId="445"/>
    <cellStyle name="Heading 3 16" xfId="780"/>
    <cellStyle name="Heading 3 2" xfId="446"/>
    <cellStyle name="Heading 3 2 2" xfId="701"/>
    <cellStyle name="Heading 3 3" xfId="447"/>
    <cellStyle name="Heading 3 4" xfId="448"/>
    <cellStyle name="Heading 3 5" xfId="449"/>
    <cellStyle name="Heading 3 6" xfId="450"/>
    <cellStyle name="Heading 3 7" xfId="451"/>
    <cellStyle name="Heading 3 8" xfId="452"/>
    <cellStyle name="Heading 3 9" xfId="453"/>
    <cellStyle name="Heading 4 10" xfId="454"/>
    <cellStyle name="Heading 4 11" xfId="455"/>
    <cellStyle name="Heading 4 12" xfId="456"/>
    <cellStyle name="Heading 4 13" xfId="457"/>
    <cellStyle name="Heading 4 14" xfId="458"/>
    <cellStyle name="Heading 4 15" xfId="459"/>
    <cellStyle name="Heading 4 16" xfId="823"/>
    <cellStyle name="Heading 4 2" xfId="460"/>
    <cellStyle name="Heading 4 2 2" xfId="702"/>
    <cellStyle name="Heading 4 3" xfId="461"/>
    <cellStyle name="Heading 4 4" xfId="462"/>
    <cellStyle name="Heading 4 5" xfId="463"/>
    <cellStyle name="Heading 4 6" xfId="464"/>
    <cellStyle name="Heading 4 7" xfId="465"/>
    <cellStyle name="Heading 4 8" xfId="466"/>
    <cellStyle name="Heading 4 9" xfId="467"/>
    <cellStyle name="Hyperlink" xfId="1446" builtinId="8"/>
    <cellStyle name="Hyperlink 2" xfId="784"/>
    <cellStyle name="Hyperlink 2 2" xfId="1003"/>
    <cellStyle name="Hyperlink 3" xfId="691"/>
    <cellStyle name="Input [yellow]" xfId="759"/>
    <cellStyle name="Input 10" xfId="468"/>
    <cellStyle name="Input 11" xfId="469"/>
    <cellStyle name="Input 12" xfId="470"/>
    <cellStyle name="Input 13" xfId="471"/>
    <cellStyle name="Input 14" xfId="472"/>
    <cellStyle name="Input 15" xfId="473"/>
    <cellStyle name="Input 16" xfId="776"/>
    <cellStyle name="Input 17" xfId="852"/>
    <cellStyle name="Input 18" xfId="851"/>
    <cellStyle name="Input 19" xfId="850"/>
    <cellStyle name="Input 2" xfId="474"/>
    <cellStyle name="Input 2 2" xfId="706"/>
    <cellStyle name="Input 20" xfId="858"/>
    <cellStyle name="Input 3" xfId="475"/>
    <cellStyle name="Input 4" xfId="476"/>
    <cellStyle name="Input 5" xfId="477"/>
    <cellStyle name="Input 6" xfId="478"/>
    <cellStyle name="Input 7" xfId="479"/>
    <cellStyle name="Input 8" xfId="480"/>
    <cellStyle name="Input 9" xfId="481"/>
    <cellStyle name="Linked Cell 10" xfId="482"/>
    <cellStyle name="Linked Cell 11" xfId="483"/>
    <cellStyle name="Linked Cell 12" xfId="484"/>
    <cellStyle name="Linked Cell 13" xfId="485"/>
    <cellStyle name="Linked Cell 14" xfId="486"/>
    <cellStyle name="Linked Cell 15" xfId="487"/>
    <cellStyle name="Linked Cell 16" xfId="817"/>
    <cellStyle name="Linked Cell 2" xfId="488"/>
    <cellStyle name="Linked Cell 2 2" xfId="709"/>
    <cellStyle name="Linked Cell 3" xfId="489"/>
    <cellStyle name="Linked Cell 4" xfId="490"/>
    <cellStyle name="Linked Cell 5" xfId="491"/>
    <cellStyle name="Linked Cell 6" xfId="492"/>
    <cellStyle name="Linked Cell 7" xfId="493"/>
    <cellStyle name="Linked Cell 8" xfId="494"/>
    <cellStyle name="Linked Cell 9" xfId="495"/>
    <cellStyle name="M" xfId="760"/>
    <cellStyle name="M.00" xfId="773"/>
    <cellStyle name="M_9. Rev2Cost_GDPIPI" xfId="761"/>
    <cellStyle name="M_lists" xfId="762"/>
    <cellStyle name="M_lists_4. Current Monthly Fixed Charge" xfId="763"/>
    <cellStyle name="M_Sheet4" xfId="764"/>
    <cellStyle name="Neutral 10" xfId="496"/>
    <cellStyle name="Neutral 11" xfId="497"/>
    <cellStyle name="Neutral 12" xfId="498"/>
    <cellStyle name="Neutral 13" xfId="499"/>
    <cellStyle name="Neutral 14" xfId="500"/>
    <cellStyle name="Neutral 15" xfId="501"/>
    <cellStyle name="Neutral 16" xfId="692"/>
    <cellStyle name="Neutral 2" xfId="502"/>
    <cellStyle name="Neutral 2 2" xfId="705"/>
    <cellStyle name="Neutral 3" xfId="503"/>
    <cellStyle name="Neutral 4" xfId="504"/>
    <cellStyle name="Neutral 5" xfId="505"/>
    <cellStyle name="Neutral 6" xfId="506"/>
    <cellStyle name="Neutral 7" xfId="507"/>
    <cellStyle name="Neutral 8" xfId="508"/>
    <cellStyle name="Neutral 9" xfId="509"/>
    <cellStyle name="Normal" xfId="0" builtinId="0"/>
    <cellStyle name="Normal - Style1" xfId="765"/>
    <cellStyle name="Normal 10" xfId="510"/>
    <cellStyle name="Normal 11" xfId="511"/>
    <cellStyle name="Normal 12" xfId="512"/>
    <cellStyle name="Normal 13" xfId="513"/>
    <cellStyle name="Normal 14" xfId="514"/>
    <cellStyle name="Normal 15" xfId="515"/>
    <cellStyle name="Normal 16" xfId="516"/>
    <cellStyle name="Normal 16 10" xfId="1183"/>
    <cellStyle name="Normal 16 11" xfId="939"/>
    <cellStyle name="Normal 16 2" xfId="602"/>
    <cellStyle name="Normal 16 2 2" xfId="619"/>
    <cellStyle name="Normal 16 2 2 2" xfId="656"/>
    <cellStyle name="Normal 16 2 2 2 2" xfId="835"/>
    <cellStyle name="Normal 16 2 2 2 2 2" xfId="1166"/>
    <cellStyle name="Normal 16 2 2 2 2 2 2" xfId="1399"/>
    <cellStyle name="Normal 16 2 2 2 2 3" xfId="1283"/>
    <cellStyle name="Normal 16 2 2 2 2 4" xfId="1047"/>
    <cellStyle name="Normal 16 2 2 2 3" xfId="905"/>
    <cellStyle name="Normal 16 2 2 2 3 2" xfId="1343"/>
    <cellStyle name="Normal 16 2 2 2 3 3" xfId="1110"/>
    <cellStyle name="Normal 16 2 2 2 4" xfId="1227"/>
    <cellStyle name="Normal 16 2 2 2 5" xfId="990"/>
    <cellStyle name="Normal 16 2 2 3" xfId="802"/>
    <cellStyle name="Normal 16 2 2 3 2" xfId="1136"/>
    <cellStyle name="Normal 16 2 2 3 2 2" xfId="1369"/>
    <cellStyle name="Normal 16 2 2 3 3" xfId="1253"/>
    <cellStyle name="Normal 16 2 2 3 4" xfId="1017"/>
    <cellStyle name="Normal 16 2 2 4" xfId="875"/>
    <cellStyle name="Normal 16 2 2 4 2" xfId="1317"/>
    <cellStyle name="Normal 16 2 2 4 3" xfId="1084"/>
    <cellStyle name="Normal 16 2 2 5" xfId="1201"/>
    <cellStyle name="Normal 16 2 2 6" xfId="964"/>
    <cellStyle name="Normal 16 2 3" xfId="627"/>
    <cellStyle name="Normal 16 2 3 2" xfId="664"/>
    <cellStyle name="Normal 16 2 3 2 2" xfId="843"/>
    <cellStyle name="Normal 16 2 3 2 2 2" xfId="1174"/>
    <cellStyle name="Normal 16 2 3 2 2 2 2" xfId="1407"/>
    <cellStyle name="Normal 16 2 3 2 2 3" xfId="1291"/>
    <cellStyle name="Normal 16 2 3 2 2 4" xfId="1055"/>
    <cellStyle name="Normal 16 2 3 2 3" xfId="913"/>
    <cellStyle name="Normal 16 2 3 2 3 2" xfId="1351"/>
    <cellStyle name="Normal 16 2 3 2 3 3" xfId="1118"/>
    <cellStyle name="Normal 16 2 3 2 4" xfId="1235"/>
    <cellStyle name="Normal 16 2 3 2 5" xfId="998"/>
    <cellStyle name="Normal 16 2 3 3" xfId="810"/>
    <cellStyle name="Normal 16 2 3 3 2" xfId="1144"/>
    <cellStyle name="Normal 16 2 3 3 2 2" xfId="1377"/>
    <cellStyle name="Normal 16 2 3 3 3" xfId="1261"/>
    <cellStyle name="Normal 16 2 3 3 4" xfId="1025"/>
    <cellStyle name="Normal 16 2 3 4" xfId="883"/>
    <cellStyle name="Normal 16 2 3 4 2" xfId="1325"/>
    <cellStyle name="Normal 16 2 3 4 3" xfId="1092"/>
    <cellStyle name="Normal 16 2 3 5" xfId="1209"/>
    <cellStyle name="Normal 16 2 3 6" xfId="972"/>
    <cellStyle name="Normal 16 2 4" xfId="648"/>
    <cellStyle name="Normal 16 2 4 2" xfId="827"/>
    <cellStyle name="Normal 16 2 4 2 2" xfId="1158"/>
    <cellStyle name="Normal 16 2 4 2 2 2" xfId="1391"/>
    <cellStyle name="Normal 16 2 4 2 3" xfId="1275"/>
    <cellStyle name="Normal 16 2 4 2 4" xfId="1039"/>
    <cellStyle name="Normal 16 2 4 3" xfId="897"/>
    <cellStyle name="Normal 16 2 4 3 2" xfId="1309"/>
    <cellStyle name="Normal 16 2 4 3 3" xfId="1076"/>
    <cellStyle name="Normal 16 2 4 4" xfId="1193"/>
    <cellStyle name="Normal 16 2 4 5" xfId="956"/>
    <cellStyle name="Normal 16 2 5" xfId="791"/>
    <cellStyle name="Normal 16 2 5 2" xfId="1102"/>
    <cellStyle name="Normal 16 2 5 2 2" xfId="1335"/>
    <cellStyle name="Normal 16 2 5 3" xfId="1219"/>
    <cellStyle name="Normal 16 2 5 4" xfId="982"/>
    <cellStyle name="Normal 16 2 6" xfId="867"/>
    <cellStyle name="Normal 16 2 6 2" xfId="1128"/>
    <cellStyle name="Normal 16 2 6 2 2" xfId="1361"/>
    <cellStyle name="Normal 16 2 6 3" xfId="1245"/>
    <cellStyle name="Normal 16 2 6 4" xfId="1009"/>
    <cellStyle name="Normal 16 2 7" xfId="1069"/>
    <cellStyle name="Normal 16 2 7 2" xfId="1302"/>
    <cellStyle name="Normal 16 2 8" xfId="1186"/>
    <cellStyle name="Normal 16 2 9" xfId="949"/>
    <cellStyle name="Normal 16 3" xfId="591"/>
    <cellStyle name="Normal 16 3 2" xfId="645"/>
    <cellStyle name="Normal 16 3 2 2" xfId="824"/>
    <cellStyle name="Normal 16 3 2 2 2" xfId="1155"/>
    <cellStyle name="Normal 16 3 2 2 2 2" xfId="1388"/>
    <cellStyle name="Normal 16 3 2 2 3" xfId="1272"/>
    <cellStyle name="Normal 16 3 2 2 4" xfId="1036"/>
    <cellStyle name="Normal 16 3 2 3" xfId="894"/>
    <cellStyle name="Normal 16 3 2 3 2" xfId="1332"/>
    <cellStyle name="Normal 16 3 2 3 3" xfId="1099"/>
    <cellStyle name="Normal 16 3 2 4" xfId="1216"/>
    <cellStyle name="Normal 16 3 2 5" xfId="979"/>
    <cellStyle name="Normal 16 3 3" xfId="785"/>
    <cellStyle name="Normal 16 3 3 2" xfId="1125"/>
    <cellStyle name="Normal 16 3 3 2 2" xfId="1358"/>
    <cellStyle name="Normal 16 3 3 3" xfId="1242"/>
    <cellStyle name="Normal 16 3 3 4" xfId="1006"/>
    <cellStyle name="Normal 16 3 4" xfId="864"/>
    <cellStyle name="Normal 16 3 4 2" xfId="1306"/>
    <cellStyle name="Normal 16 3 4 3" xfId="1073"/>
    <cellStyle name="Normal 16 3 5" xfId="1190"/>
    <cellStyle name="Normal 16 3 6" xfId="953"/>
    <cellStyle name="Normal 16 4" xfId="616"/>
    <cellStyle name="Normal 16 4 2" xfId="653"/>
    <cellStyle name="Normal 16 4 2 2" xfId="832"/>
    <cellStyle name="Normal 16 4 2 2 2" xfId="1163"/>
    <cellStyle name="Normal 16 4 2 2 2 2" xfId="1396"/>
    <cellStyle name="Normal 16 4 2 2 3" xfId="1280"/>
    <cellStyle name="Normal 16 4 2 2 4" xfId="1044"/>
    <cellStyle name="Normal 16 4 2 3" xfId="902"/>
    <cellStyle name="Normal 16 4 2 3 2" xfId="1340"/>
    <cellStyle name="Normal 16 4 2 3 3" xfId="1107"/>
    <cellStyle name="Normal 16 4 2 4" xfId="1224"/>
    <cellStyle name="Normal 16 4 2 5" xfId="987"/>
    <cellStyle name="Normal 16 4 3" xfId="799"/>
    <cellStyle name="Normal 16 4 3 2" xfId="1133"/>
    <cellStyle name="Normal 16 4 3 2 2" xfId="1366"/>
    <cellStyle name="Normal 16 4 3 3" xfId="1250"/>
    <cellStyle name="Normal 16 4 3 4" xfId="1014"/>
    <cellStyle name="Normal 16 4 4" xfId="872"/>
    <cellStyle name="Normal 16 4 4 2" xfId="1314"/>
    <cellStyle name="Normal 16 4 4 3" xfId="1081"/>
    <cellStyle name="Normal 16 4 5" xfId="1198"/>
    <cellStyle name="Normal 16 4 6" xfId="961"/>
    <cellStyle name="Normal 16 5" xfId="624"/>
    <cellStyle name="Normal 16 5 2" xfId="661"/>
    <cellStyle name="Normal 16 5 2 2" xfId="840"/>
    <cellStyle name="Normal 16 5 2 2 2" xfId="1171"/>
    <cellStyle name="Normal 16 5 2 2 2 2" xfId="1404"/>
    <cellStyle name="Normal 16 5 2 2 3" xfId="1288"/>
    <cellStyle name="Normal 16 5 2 2 4" xfId="1052"/>
    <cellStyle name="Normal 16 5 2 3" xfId="910"/>
    <cellStyle name="Normal 16 5 2 3 2" xfId="1348"/>
    <cellStyle name="Normal 16 5 2 3 3" xfId="1115"/>
    <cellStyle name="Normal 16 5 2 4" xfId="1232"/>
    <cellStyle name="Normal 16 5 2 5" xfId="995"/>
    <cellStyle name="Normal 16 5 3" xfId="807"/>
    <cellStyle name="Normal 16 5 3 2" xfId="1141"/>
    <cellStyle name="Normal 16 5 3 2 2" xfId="1374"/>
    <cellStyle name="Normal 16 5 3 3" xfId="1258"/>
    <cellStyle name="Normal 16 5 3 4" xfId="1022"/>
    <cellStyle name="Normal 16 5 4" xfId="880"/>
    <cellStyle name="Normal 16 5 4 2" xfId="1322"/>
    <cellStyle name="Normal 16 5 4 3" xfId="1089"/>
    <cellStyle name="Normal 16 5 5" xfId="1206"/>
    <cellStyle name="Normal 16 5 6" xfId="969"/>
    <cellStyle name="Normal 16 6" xfId="642"/>
    <cellStyle name="Normal 16 6 2" xfId="821"/>
    <cellStyle name="Normal 16 6 2 2" xfId="1153"/>
    <cellStyle name="Normal 16 6 2 2 2" xfId="1386"/>
    <cellStyle name="Normal 16 6 2 3" xfId="1270"/>
    <cellStyle name="Normal 16 6 2 4" xfId="1034"/>
    <cellStyle name="Normal 16 6 3" xfId="892"/>
    <cellStyle name="Normal 16 6 3 2" xfId="1304"/>
    <cellStyle name="Normal 16 6 3 3" xfId="1071"/>
    <cellStyle name="Normal 16 6 4" xfId="1188"/>
    <cellStyle name="Normal 16 6 5" xfId="951"/>
    <cellStyle name="Normal 16 7" xfId="771"/>
    <cellStyle name="Normal 16 7 2" xfId="1097"/>
    <cellStyle name="Normal 16 7 2 2" xfId="1330"/>
    <cellStyle name="Normal 16 7 3" xfId="1214"/>
    <cellStyle name="Normal 16 7 4" xfId="977"/>
    <cellStyle name="Normal 16 8" xfId="861"/>
    <cellStyle name="Normal 16 8 2" xfId="1123"/>
    <cellStyle name="Normal 16 8 2 2" xfId="1356"/>
    <cellStyle name="Normal 16 8 3" xfId="1240"/>
    <cellStyle name="Normal 16 8 4" xfId="1004"/>
    <cellStyle name="Normal 16 9" xfId="1064"/>
    <cellStyle name="Normal 16 9 2" xfId="1299"/>
    <cellStyle name="Normal 17" xfId="517"/>
    <cellStyle name="Normal 17 10" xfId="1184"/>
    <cellStyle name="Normal 17 11" xfId="940"/>
    <cellStyle name="Normal 17 2" xfId="603"/>
    <cellStyle name="Normal 17 2 2" xfId="620"/>
    <cellStyle name="Normal 17 2 2 2" xfId="657"/>
    <cellStyle name="Normal 17 2 2 2 2" xfId="836"/>
    <cellStyle name="Normal 17 2 2 2 2 2" xfId="1167"/>
    <cellStyle name="Normal 17 2 2 2 2 2 2" xfId="1400"/>
    <cellStyle name="Normal 17 2 2 2 2 3" xfId="1284"/>
    <cellStyle name="Normal 17 2 2 2 2 4" xfId="1048"/>
    <cellStyle name="Normal 17 2 2 2 3" xfId="906"/>
    <cellStyle name="Normal 17 2 2 2 3 2" xfId="1344"/>
    <cellStyle name="Normal 17 2 2 2 3 3" xfId="1111"/>
    <cellStyle name="Normal 17 2 2 2 4" xfId="1228"/>
    <cellStyle name="Normal 17 2 2 2 5" xfId="991"/>
    <cellStyle name="Normal 17 2 2 3" xfId="803"/>
    <cellStyle name="Normal 17 2 2 3 2" xfId="1137"/>
    <cellStyle name="Normal 17 2 2 3 2 2" xfId="1370"/>
    <cellStyle name="Normal 17 2 2 3 3" xfId="1254"/>
    <cellStyle name="Normal 17 2 2 3 4" xfId="1018"/>
    <cellStyle name="Normal 17 2 2 4" xfId="876"/>
    <cellStyle name="Normal 17 2 2 4 2" xfId="1318"/>
    <cellStyle name="Normal 17 2 2 4 3" xfId="1085"/>
    <cellStyle name="Normal 17 2 2 5" xfId="1202"/>
    <cellStyle name="Normal 17 2 2 6" xfId="965"/>
    <cellStyle name="Normal 17 2 3" xfId="628"/>
    <cellStyle name="Normal 17 2 3 2" xfId="665"/>
    <cellStyle name="Normal 17 2 3 2 2" xfId="844"/>
    <cellStyle name="Normal 17 2 3 2 2 2" xfId="1175"/>
    <cellStyle name="Normal 17 2 3 2 2 2 2" xfId="1408"/>
    <cellStyle name="Normal 17 2 3 2 2 3" xfId="1292"/>
    <cellStyle name="Normal 17 2 3 2 2 4" xfId="1056"/>
    <cellStyle name="Normal 17 2 3 2 3" xfId="914"/>
    <cellStyle name="Normal 17 2 3 2 3 2" xfId="1352"/>
    <cellStyle name="Normal 17 2 3 2 3 3" xfId="1119"/>
    <cellStyle name="Normal 17 2 3 2 4" xfId="1236"/>
    <cellStyle name="Normal 17 2 3 2 5" xfId="999"/>
    <cellStyle name="Normal 17 2 3 3" xfId="811"/>
    <cellStyle name="Normal 17 2 3 3 2" xfId="1145"/>
    <cellStyle name="Normal 17 2 3 3 2 2" xfId="1378"/>
    <cellStyle name="Normal 17 2 3 3 3" xfId="1262"/>
    <cellStyle name="Normal 17 2 3 3 4" xfId="1026"/>
    <cellStyle name="Normal 17 2 3 4" xfId="884"/>
    <cellStyle name="Normal 17 2 3 4 2" xfId="1326"/>
    <cellStyle name="Normal 17 2 3 4 3" xfId="1093"/>
    <cellStyle name="Normal 17 2 3 5" xfId="1210"/>
    <cellStyle name="Normal 17 2 3 6" xfId="973"/>
    <cellStyle name="Normal 17 2 4" xfId="649"/>
    <cellStyle name="Normal 17 2 4 2" xfId="828"/>
    <cellStyle name="Normal 17 2 4 2 2" xfId="1159"/>
    <cellStyle name="Normal 17 2 4 2 2 2" xfId="1392"/>
    <cellStyle name="Normal 17 2 4 2 3" xfId="1276"/>
    <cellStyle name="Normal 17 2 4 2 4" xfId="1040"/>
    <cellStyle name="Normal 17 2 4 3" xfId="898"/>
    <cellStyle name="Normal 17 2 4 3 2" xfId="1310"/>
    <cellStyle name="Normal 17 2 4 3 3" xfId="1077"/>
    <cellStyle name="Normal 17 2 4 4" xfId="1194"/>
    <cellStyle name="Normal 17 2 4 5" xfId="957"/>
    <cellStyle name="Normal 17 2 5" xfId="792"/>
    <cellStyle name="Normal 17 2 5 2" xfId="1103"/>
    <cellStyle name="Normal 17 2 5 2 2" xfId="1336"/>
    <cellStyle name="Normal 17 2 5 3" xfId="1220"/>
    <cellStyle name="Normal 17 2 5 4" xfId="983"/>
    <cellStyle name="Normal 17 2 6" xfId="868"/>
    <cellStyle name="Normal 17 2 6 2" xfId="1129"/>
    <cellStyle name="Normal 17 2 6 2 2" xfId="1362"/>
    <cellStyle name="Normal 17 2 6 3" xfId="1246"/>
    <cellStyle name="Normal 17 2 6 4" xfId="1010"/>
    <cellStyle name="Normal 17 2 7" xfId="1070"/>
    <cellStyle name="Normal 17 2 7 2" xfId="1303"/>
    <cellStyle name="Normal 17 2 8" xfId="1187"/>
    <cellStyle name="Normal 17 2 9" xfId="950"/>
    <cellStyle name="Normal 17 3" xfId="592"/>
    <cellStyle name="Normal 17 3 2" xfId="646"/>
    <cellStyle name="Normal 17 3 2 2" xfId="825"/>
    <cellStyle name="Normal 17 3 2 2 2" xfId="1156"/>
    <cellStyle name="Normal 17 3 2 2 2 2" xfId="1389"/>
    <cellStyle name="Normal 17 3 2 2 3" xfId="1273"/>
    <cellStyle name="Normal 17 3 2 2 4" xfId="1037"/>
    <cellStyle name="Normal 17 3 2 3" xfId="895"/>
    <cellStyle name="Normal 17 3 2 3 2" xfId="1333"/>
    <cellStyle name="Normal 17 3 2 3 3" xfId="1100"/>
    <cellStyle name="Normal 17 3 2 4" xfId="1217"/>
    <cellStyle name="Normal 17 3 2 5" xfId="980"/>
    <cellStyle name="Normal 17 3 3" xfId="786"/>
    <cellStyle name="Normal 17 3 3 2" xfId="1126"/>
    <cellStyle name="Normal 17 3 3 2 2" xfId="1359"/>
    <cellStyle name="Normal 17 3 3 3" xfId="1243"/>
    <cellStyle name="Normal 17 3 3 4" xfId="1007"/>
    <cellStyle name="Normal 17 3 4" xfId="865"/>
    <cellStyle name="Normal 17 3 4 2" xfId="1307"/>
    <cellStyle name="Normal 17 3 4 3" xfId="1074"/>
    <cellStyle name="Normal 17 3 5" xfId="1191"/>
    <cellStyle name="Normal 17 3 6" xfId="954"/>
    <cellStyle name="Normal 17 4" xfId="617"/>
    <cellStyle name="Normal 17 4 2" xfId="654"/>
    <cellStyle name="Normal 17 4 2 2" xfId="833"/>
    <cellStyle name="Normal 17 4 2 2 2" xfId="1164"/>
    <cellStyle name="Normal 17 4 2 2 2 2" xfId="1397"/>
    <cellStyle name="Normal 17 4 2 2 3" xfId="1281"/>
    <cellStyle name="Normal 17 4 2 2 4" xfId="1045"/>
    <cellStyle name="Normal 17 4 2 3" xfId="903"/>
    <cellStyle name="Normal 17 4 2 3 2" xfId="1341"/>
    <cellStyle name="Normal 17 4 2 3 3" xfId="1108"/>
    <cellStyle name="Normal 17 4 2 4" xfId="1225"/>
    <cellStyle name="Normal 17 4 2 5" xfId="988"/>
    <cellStyle name="Normal 17 4 3" xfId="800"/>
    <cellStyle name="Normal 17 4 3 2" xfId="1134"/>
    <cellStyle name="Normal 17 4 3 2 2" xfId="1367"/>
    <cellStyle name="Normal 17 4 3 3" xfId="1251"/>
    <cellStyle name="Normal 17 4 3 4" xfId="1015"/>
    <cellStyle name="Normal 17 4 4" xfId="873"/>
    <cellStyle name="Normal 17 4 4 2" xfId="1315"/>
    <cellStyle name="Normal 17 4 4 3" xfId="1082"/>
    <cellStyle name="Normal 17 4 5" xfId="1199"/>
    <cellStyle name="Normal 17 4 6" xfId="962"/>
    <cellStyle name="Normal 17 5" xfId="625"/>
    <cellStyle name="Normal 17 5 2" xfId="662"/>
    <cellStyle name="Normal 17 5 2 2" xfId="841"/>
    <cellStyle name="Normal 17 5 2 2 2" xfId="1172"/>
    <cellStyle name="Normal 17 5 2 2 2 2" xfId="1405"/>
    <cellStyle name="Normal 17 5 2 2 3" xfId="1289"/>
    <cellStyle name="Normal 17 5 2 2 4" xfId="1053"/>
    <cellStyle name="Normal 17 5 2 3" xfId="911"/>
    <cellStyle name="Normal 17 5 2 3 2" xfId="1349"/>
    <cellStyle name="Normal 17 5 2 3 3" xfId="1116"/>
    <cellStyle name="Normal 17 5 2 4" xfId="1233"/>
    <cellStyle name="Normal 17 5 2 5" xfId="996"/>
    <cellStyle name="Normal 17 5 3" xfId="808"/>
    <cellStyle name="Normal 17 5 3 2" xfId="1142"/>
    <cellStyle name="Normal 17 5 3 2 2" xfId="1375"/>
    <cellStyle name="Normal 17 5 3 3" xfId="1259"/>
    <cellStyle name="Normal 17 5 3 4" xfId="1023"/>
    <cellStyle name="Normal 17 5 4" xfId="881"/>
    <cellStyle name="Normal 17 5 4 2" xfId="1323"/>
    <cellStyle name="Normal 17 5 4 3" xfId="1090"/>
    <cellStyle name="Normal 17 5 5" xfId="1207"/>
    <cellStyle name="Normal 17 5 6" xfId="970"/>
    <cellStyle name="Normal 17 6" xfId="643"/>
    <cellStyle name="Normal 17 6 2" xfId="822"/>
    <cellStyle name="Normal 17 6 2 2" xfId="1154"/>
    <cellStyle name="Normal 17 6 2 2 2" xfId="1387"/>
    <cellStyle name="Normal 17 6 2 3" xfId="1271"/>
    <cellStyle name="Normal 17 6 2 4" xfId="1035"/>
    <cellStyle name="Normal 17 6 3" xfId="893"/>
    <cellStyle name="Normal 17 6 3 2" xfId="1305"/>
    <cellStyle name="Normal 17 6 3 3" xfId="1072"/>
    <cellStyle name="Normal 17 6 4" xfId="1189"/>
    <cellStyle name="Normal 17 6 5" xfId="952"/>
    <cellStyle name="Normal 17 7" xfId="772"/>
    <cellStyle name="Normal 17 7 2" xfId="1098"/>
    <cellStyle name="Normal 17 7 2 2" xfId="1331"/>
    <cellStyle name="Normal 17 7 3" xfId="1215"/>
    <cellStyle name="Normal 17 7 4" xfId="978"/>
    <cellStyle name="Normal 17 8" xfId="862"/>
    <cellStyle name="Normal 17 8 2" xfId="1124"/>
    <cellStyle name="Normal 17 8 2 2" xfId="1357"/>
    <cellStyle name="Normal 17 8 3" xfId="1241"/>
    <cellStyle name="Normal 17 8 4" xfId="1005"/>
    <cellStyle name="Normal 17 9" xfId="1065"/>
    <cellStyle name="Normal 17 9 2" xfId="1300"/>
    <cellStyle name="Normal 18" xfId="518"/>
    <cellStyle name="Normal 19" xfId="519"/>
    <cellStyle name="Normal 19 2" xfId="604"/>
    <cellStyle name="Normal 19 3" xfId="593"/>
    <cellStyle name="Normal 2" xfId="520"/>
    <cellStyle name="Normal 2 2" xfId="605"/>
    <cellStyle name="Normal 2 2 2" xfId="621"/>
    <cellStyle name="Normal 2 2 2 2" xfId="658"/>
    <cellStyle name="Normal 2 2 2 2 2" xfId="837"/>
    <cellStyle name="Normal 2 2 2 2 2 2" xfId="1168"/>
    <cellStyle name="Normal 2 2 2 2 2 2 2" xfId="1401"/>
    <cellStyle name="Normal 2 2 2 2 2 3" xfId="1285"/>
    <cellStyle name="Normal 2 2 2 2 2 4" xfId="1049"/>
    <cellStyle name="Normal 2 2 2 2 3" xfId="907"/>
    <cellStyle name="Normal 2 2 2 2 3 2" xfId="1345"/>
    <cellStyle name="Normal 2 2 2 2 3 3" xfId="1112"/>
    <cellStyle name="Normal 2 2 2 2 4" xfId="1229"/>
    <cellStyle name="Normal 2 2 2 2 5" xfId="992"/>
    <cellStyle name="Normal 2 2 2 3" xfId="804"/>
    <cellStyle name="Normal 2 2 2 3 2" xfId="1138"/>
    <cellStyle name="Normal 2 2 2 3 2 2" xfId="1371"/>
    <cellStyle name="Normal 2 2 2 3 3" xfId="1255"/>
    <cellStyle name="Normal 2 2 2 3 4" xfId="1019"/>
    <cellStyle name="Normal 2 2 2 4" xfId="877"/>
    <cellStyle name="Normal 2 2 2 4 2" xfId="1319"/>
    <cellStyle name="Normal 2 2 2 4 3" xfId="1086"/>
    <cellStyle name="Normal 2 2 2 5" xfId="1203"/>
    <cellStyle name="Normal 2 2 2 6" xfId="966"/>
    <cellStyle name="Normal 2 2 3" xfId="629"/>
    <cellStyle name="Normal 2 2 3 2" xfId="666"/>
    <cellStyle name="Normal 2 2 3 2 2" xfId="845"/>
    <cellStyle name="Normal 2 2 3 2 2 2" xfId="1176"/>
    <cellStyle name="Normal 2 2 3 2 2 2 2" xfId="1409"/>
    <cellStyle name="Normal 2 2 3 2 2 3" xfId="1293"/>
    <cellStyle name="Normal 2 2 3 2 2 4" xfId="1057"/>
    <cellStyle name="Normal 2 2 3 2 3" xfId="915"/>
    <cellStyle name="Normal 2 2 3 2 3 2" xfId="1353"/>
    <cellStyle name="Normal 2 2 3 2 3 3" xfId="1120"/>
    <cellStyle name="Normal 2 2 3 2 4" xfId="1237"/>
    <cellStyle name="Normal 2 2 3 2 5" xfId="1000"/>
    <cellStyle name="Normal 2 2 3 3" xfId="812"/>
    <cellStyle name="Normal 2 2 3 3 2" xfId="1146"/>
    <cellStyle name="Normal 2 2 3 3 2 2" xfId="1379"/>
    <cellStyle name="Normal 2 2 3 3 3" xfId="1263"/>
    <cellStyle name="Normal 2 2 3 3 4" xfId="1027"/>
    <cellStyle name="Normal 2 2 3 4" xfId="885"/>
    <cellStyle name="Normal 2 2 3 4 2" xfId="1327"/>
    <cellStyle name="Normal 2 2 3 4 3" xfId="1094"/>
    <cellStyle name="Normal 2 2 3 5" xfId="1211"/>
    <cellStyle name="Normal 2 2 3 6" xfId="974"/>
    <cellStyle name="Normal 2 2 4" xfId="650"/>
    <cellStyle name="Normal 2 2 4 2" xfId="829"/>
    <cellStyle name="Normal 2 2 4 2 2" xfId="1160"/>
    <cellStyle name="Normal 2 2 4 2 2 2" xfId="1393"/>
    <cellStyle name="Normal 2 2 4 2 3" xfId="1277"/>
    <cellStyle name="Normal 2 2 4 2 4" xfId="1041"/>
    <cellStyle name="Normal 2 2 4 3" xfId="899"/>
    <cellStyle name="Normal 2 2 4 3 2" xfId="1311"/>
    <cellStyle name="Normal 2 2 4 3 3" xfId="1078"/>
    <cellStyle name="Normal 2 2 4 4" xfId="1195"/>
    <cellStyle name="Normal 2 2 4 5" xfId="958"/>
    <cellStyle name="Normal 2 2 5" xfId="793"/>
    <cellStyle name="Normal 2 2 5 2" xfId="1104"/>
    <cellStyle name="Normal 2 2 5 2 2" xfId="1337"/>
    <cellStyle name="Normal 2 2 5 3" xfId="1221"/>
    <cellStyle name="Normal 2 2 5 4" xfId="984"/>
    <cellStyle name="Normal 2 2 6" xfId="869"/>
    <cellStyle name="Normal 2 2 6 2" xfId="1130"/>
    <cellStyle name="Normal 2 2 6 2 2" xfId="1363"/>
    <cellStyle name="Normal 2 2 6 3" xfId="1247"/>
    <cellStyle name="Normal 2 2 6 4" xfId="1011"/>
    <cellStyle name="Normal 2 2 7" xfId="1068"/>
    <cellStyle name="Normal 2 2 7 2" xfId="1301"/>
    <cellStyle name="Normal 2 2 8" xfId="1185"/>
    <cellStyle name="Normal 2 2 9" xfId="947"/>
    <cellStyle name="Normal 2 3" xfId="636"/>
    <cellStyle name="Normal 2 4" xfId="696"/>
    <cellStyle name="Normal 20" xfId="521"/>
    <cellStyle name="Normal 21" xfId="606"/>
    <cellStyle name="Normal 22" xfId="632"/>
    <cellStyle name="Normal 22 2" xfId="640"/>
    <cellStyle name="Normal 22 3" xfId="815"/>
    <cellStyle name="Normal 22 3 2" xfId="1382"/>
    <cellStyle name="Normal 22 3 3" xfId="1149"/>
    <cellStyle name="Normal 22 4" xfId="888"/>
    <cellStyle name="Normal 22 4 2" xfId="1266"/>
    <cellStyle name="Normal 22 5" xfId="1030"/>
    <cellStyle name="Normal 23" xfId="637"/>
    <cellStyle name="Normal 23 2" xfId="818"/>
    <cellStyle name="Normal 23 2 2" xfId="1383"/>
    <cellStyle name="Normal 23 2 3" xfId="1150"/>
    <cellStyle name="Normal 23 3" xfId="889"/>
    <cellStyle name="Normal 23 3 2" xfId="1267"/>
    <cellStyle name="Normal 23 4" xfId="1031"/>
    <cellStyle name="Normal 24" xfId="848"/>
    <cellStyle name="Normal 24 2" xfId="1062"/>
    <cellStyle name="Normal 25" xfId="859"/>
    <cellStyle name="Normal 25 2" xfId="1298"/>
    <cellStyle name="Normal 25 3" xfId="1061"/>
    <cellStyle name="Normal 26" xfId="849"/>
    <cellStyle name="Normal 26 2" xfId="1180"/>
    <cellStyle name="Normal 27" xfId="855"/>
    <cellStyle name="Normal 28" xfId="860"/>
    <cellStyle name="Normal 29" xfId="930"/>
    <cellStyle name="Normal 3" xfId="522"/>
    <cellStyle name="Normal 3 2" xfId="607"/>
    <cellStyle name="Normal 3 3" xfId="608"/>
    <cellStyle name="Normal 3 3 2" xfId="601"/>
    <cellStyle name="Normal 3 4" xfId="633"/>
    <cellStyle name="Normal 3 4 2" xfId="816"/>
    <cellStyle name="Normal 3 5" xfId="700"/>
    <cellStyle name="Normal 3 6" xfId="923"/>
    <cellStyle name="Normal 30" xfId="926"/>
    <cellStyle name="Normal 31" xfId="1413"/>
    <cellStyle name="Normal 32" xfId="924"/>
    <cellStyle name="Normal 33" xfId="928"/>
    <cellStyle name="Normal 34" xfId="938"/>
    <cellStyle name="Normal 35" xfId="1422"/>
    <cellStyle name="Normal 36" xfId="1424"/>
    <cellStyle name="Normal 37" xfId="1426"/>
    <cellStyle name="Normal 38" xfId="1428"/>
    <cellStyle name="Normal 39" xfId="1430"/>
    <cellStyle name="Normal 4" xfId="523"/>
    <cellStyle name="Normal 4 2" xfId="609"/>
    <cellStyle name="Normal 4 3" xfId="739"/>
    <cellStyle name="Normal 40" xfId="1432"/>
    <cellStyle name="Normal 41" xfId="1434"/>
    <cellStyle name="Normal 42" xfId="1436"/>
    <cellStyle name="Normal 43" xfId="1438"/>
    <cellStyle name="Normal 44" xfId="1440"/>
    <cellStyle name="Normal 45" xfId="1442"/>
    <cellStyle name="Normal 46" xfId="1444"/>
    <cellStyle name="Normal 5" xfId="524"/>
    <cellStyle name="Normal 5 2" xfId="767"/>
    <cellStyle name="Normal 5 3" xfId="741"/>
    <cellStyle name="Normal 6" xfId="525"/>
    <cellStyle name="Normal 6 2" xfId="744"/>
    <cellStyle name="Normal 7" xfId="526"/>
    <cellStyle name="Normal 8" xfId="527"/>
    <cellStyle name="Normal 9" xfId="528"/>
    <cellStyle name="Note 10" xfId="529"/>
    <cellStyle name="Note 11" xfId="530"/>
    <cellStyle name="Note 12" xfId="531"/>
    <cellStyle name="Note 13" xfId="532"/>
    <cellStyle name="Note 14" xfId="533"/>
    <cellStyle name="Note 15" xfId="534"/>
    <cellStyle name="Note 16" xfId="777"/>
    <cellStyle name="Note 2" xfId="535"/>
    <cellStyle name="Note 2 2" xfId="712"/>
    <cellStyle name="Note 3" xfId="536"/>
    <cellStyle name="Note 4" xfId="537"/>
    <cellStyle name="Note 5" xfId="538"/>
    <cellStyle name="Note 6" xfId="539"/>
    <cellStyle name="Note 7" xfId="540"/>
    <cellStyle name="Note 8" xfId="541"/>
    <cellStyle name="Note 9" xfId="542"/>
    <cellStyle name="Output 10" xfId="543"/>
    <cellStyle name="Output 11" xfId="544"/>
    <cellStyle name="Output 12" xfId="545"/>
    <cellStyle name="Output 13" xfId="546"/>
    <cellStyle name="Output 14" xfId="547"/>
    <cellStyle name="Output 15" xfId="548"/>
    <cellStyle name="Output 16" xfId="774"/>
    <cellStyle name="Output 2" xfId="549"/>
    <cellStyle name="Output 2 2" xfId="707"/>
    <cellStyle name="Output 3" xfId="550"/>
    <cellStyle name="Output 4" xfId="551"/>
    <cellStyle name="Output 5" xfId="552"/>
    <cellStyle name="Output 6" xfId="553"/>
    <cellStyle name="Output 7" xfId="554"/>
    <cellStyle name="Output 8" xfId="555"/>
    <cellStyle name="Output 9" xfId="556"/>
    <cellStyle name="Percent" xfId="557" builtinId="5"/>
    <cellStyle name="Percent [2]" xfId="766"/>
    <cellStyle name="Percent 10" xfId="856"/>
    <cellStyle name="Percent 11" xfId="863"/>
    <cellStyle name="Percent 12" xfId="941"/>
    <cellStyle name="Percent 13" xfId="925"/>
    <cellStyle name="Percent 14" xfId="929"/>
    <cellStyle name="Percent 15" xfId="918"/>
    <cellStyle name="Percent 16" xfId="1414"/>
    <cellStyle name="Percent 17" xfId="934"/>
    <cellStyle name="Percent 18" xfId="943"/>
    <cellStyle name="Percent 19" xfId="920"/>
    <cellStyle name="Percent 2" xfId="558"/>
    <cellStyle name="Percent 2 2" xfId="610"/>
    <cellStyle name="Percent 2 2 2" xfId="622"/>
    <cellStyle name="Percent 2 2 2 2" xfId="659"/>
    <cellStyle name="Percent 2 2 2 2 2" xfId="838"/>
    <cellStyle name="Percent 2 2 2 2 2 2" xfId="1169"/>
    <cellStyle name="Percent 2 2 2 2 2 2 2" xfId="1402"/>
    <cellStyle name="Percent 2 2 2 2 2 3" xfId="1286"/>
    <cellStyle name="Percent 2 2 2 2 2 4" xfId="1050"/>
    <cellStyle name="Percent 2 2 2 2 3" xfId="908"/>
    <cellStyle name="Percent 2 2 2 2 3 2" xfId="1346"/>
    <cellStyle name="Percent 2 2 2 2 3 3" xfId="1113"/>
    <cellStyle name="Percent 2 2 2 2 4" xfId="1230"/>
    <cellStyle name="Percent 2 2 2 2 5" xfId="993"/>
    <cellStyle name="Percent 2 2 2 3" xfId="805"/>
    <cellStyle name="Percent 2 2 2 3 2" xfId="1139"/>
    <cellStyle name="Percent 2 2 2 3 2 2" xfId="1372"/>
    <cellStyle name="Percent 2 2 2 3 3" xfId="1256"/>
    <cellStyle name="Percent 2 2 2 3 4" xfId="1020"/>
    <cellStyle name="Percent 2 2 2 4" xfId="878"/>
    <cellStyle name="Percent 2 2 2 4 2" xfId="1320"/>
    <cellStyle name="Percent 2 2 2 4 3" xfId="1087"/>
    <cellStyle name="Percent 2 2 2 5" xfId="1204"/>
    <cellStyle name="Percent 2 2 2 6" xfId="967"/>
    <cellStyle name="Percent 2 2 3" xfId="630"/>
    <cellStyle name="Percent 2 2 3 2" xfId="667"/>
    <cellStyle name="Percent 2 2 3 2 2" xfId="846"/>
    <cellStyle name="Percent 2 2 3 2 2 2" xfId="1177"/>
    <cellStyle name="Percent 2 2 3 2 2 2 2" xfId="1410"/>
    <cellStyle name="Percent 2 2 3 2 2 3" xfId="1294"/>
    <cellStyle name="Percent 2 2 3 2 2 4" xfId="1058"/>
    <cellStyle name="Percent 2 2 3 2 3" xfId="916"/>
    <cellStyle name="Percent 2 2 3 2 3 2" xfId="1354"/>
    <cellStyle name="Percent 2 2 3 2 3 3" xfId="1121"/>
    <cellStyle name="Percent 2 2 3 2 4" xfId="1238"/>
    <cellStyle name="Percent 2 2 3 2 5" xfId="1001"/>
    <cellStyle name="Percent 2 2 3 3" xfId="813"/>
    <cellStyle name="Percent 2 2 3 3 2" xfId="1147"/>
    <cellStyle name="Percent 2 2 3 3 2 2" xfId="1380"/>
    <cellStyle name="Percent 2 2 3 3 3" xfId="1264"/>
    <cellStyle name="Percent 2 2 3 3 4" xfId="1028"/>
    <cellStyle name="Percent 2 2 3 4" xfId="886"/>
    <cellStyle name="Percent 2 2 3 4 2" xfId="1328"/>
    <cellStyle name="Percent 2 2 3 4 3" xfId="1095"/>
    <cellStyle name="Percent 2 2 3 5" xfId="1212"/>
    <cellStyle name="Percent 2 2 3 6" xfId="975"/>
    <cellStyle name="Percent 2 2 4" xfId="651"/>
    <cellStyle name="Percent 2 2 4 2" xfId="830"/>
    <cellStyle name="Percent 2 2 4 2 2" xfId="1161"/>
    <cellStyle name="Percent 2 2 4 2 2 2" xfId="1394"/>
    <cellStyle name="Percent 2 2 4 2 3" xfId="1278"/>
    <cellStyle name="Percent 2 2 4 2 4" xfId="1042"/>
    <cellStyle name="Percent 2 2 4 3" xfId="900"/>
    <cellStyle name="Percent 2 2 4 3 2" xfId="1338"/>
    <cellStyle name="Percent 2 2 4 3 3" xfId="1105"/>
    <cellStyle name="Percent 2 2 4 4" xfId="1222"/>
    <cellStyle name="Percent 2 2 4 5" xfId="985"/>
    <cellStyle name="Percent 2 2 5" xfId="797"/>
    <cellStyle name="Percent 2 2 5 2" xfId="1131"/>
    <cellStyle name="Percent 2 2 5 2 2" xfId="1364"/>
    <cellStyle name="Percent 2 2 5 3" xfId="1248"/>
    <cellStyle name="Percent 2 2 5 4" xfId="1012"/>
    <cellStyle name="Percent 2 2 6" xfId="870"/>
    <cellStyle name="Percent 2 2 6 2" xfId="1312"/>
    <cellStyle name="Percent 2 2 6 3" xfId="1079"/>
    <cellStyle name="Percent 2 2 7" xfId="1196"/>
    <cellStyle name="Percent 2 2 8" xfId="959"/>
    <cellStyle name="Percent 2 3" xfId="615"/>
    <cellStyle name="Percent 2 3 2" xfId="623"/>
    <cellStyle name="Percent 2 3 2 2" xfId="660"/>
    <cellStyle name="Percent 2 3 2 2 2" xfId="839"/>
    <cellStyle name="Percent 2 3 2 2 2 2" xfId="1170"/>
    <cellStyle name="Percent 2 3 2 2 2 2 2" xfId="1403"/>
    <cellStyle name="Percent 2 3 2 2 2 3" xfId="1287"/>
    <cellStyle name="Percent 2 3 2 2 2 4" xfId="1051"/>
    <cellStyle name="Percent 2 3 2 2 3" xfId="909"/>
    <cellStyle name="Percent 2 3 2 2 3 2" xfId="1347"/>
    <cellStyle name="Percent 2 3 2 2 3 3" xfId="1114"/>
    <cellStyle name="Percent 2 3 2 2 4" xfId="1231"/>
    <cellStyle name="Percent 2 3 2 2 5" xfId="994"/>
    <cellStyle name="Percent 2 3 2 3" xfId="806"/>
    <cellStyle name="Percent 2 3 2 3 2" xfId="1140"/>
    <cellStyle name="Percent 2 3 2 3 2 2" xfId="1373"/>
    <cellStyle name="Percent 2 3 2 3 3" xfId="1257"/>
    <cellStyle name="Percent 2 3 2 3 4" xfId="1021"/>
    <cellStyle name="Percent 2 3 2 4" xfId="879"/>
    <cellStyle name="Percent 2 3 2 4 2" xfId="1321"/>
    <cellStyle name="Percent 2 3 2 4 3" xfId="1088"/>
    <cellStyle name="Percent 2 3 2 5" xfId="1205"/>
    <cellStyle name="Percent 2 3 2 6" xfId="968"/>
    <cellStyle name="Percent 2 3 3" xfId="631"/>
    <cellStyle name="Percent 2 3 3 2" xfId="668"/>
    <cellStyle name="Percent 2 3 3 2 2" xfId="847"/>
    <cellStyle name="Percent 2 3 3 2 2 2" xfId="1178"/>
    <cellStyle name="Percent 2 3 3 2 2 2 2" xfId="1411"/>
    <cellStyle name="Percent 2 3 3 2 2 3" xfId="1295"/>
    <cellStyle name="Percent 2 3 3 2 2 4" xfId="1059"/>
    <cellStyle name="Percent 2 3 3 2 3" xfId="917"/>
    <cellStyle name="Percent 2 3 3 2 3 2" xfId="1355"/>
    <cellStyle name="Percent 2 3 3 2 3 3" xfId="1122"/>
    <cellStyle name="Percent 2 3 3 2 4" xfId="1239"/>
    <cellStyle name="Percent 2 3 3 2 5" xfId="1002"/>
    <cellStyle name="Percent 2 3 3 3" xfId="814"/>
    <cellStyle name="Percent 2 3 3 3 2" xfId="1148"/>
    <cellStyle name="Percent 2 3 3 3 2 2" xfId="1381"/>
    <cellStyle name="Percent 2 3 3 3 3" xfId="1265"/>
    <cellStyle name="Percent 2 3 3 3 4" xfId="1029"/>
    <cellStyle name="Percent 2 3 3 4" xfId="887"/>
    <cellStyle name="Percent 2 3 3 4 2" xfId="1329"/>
    <cellStyle name="Percent 2 3 3 4 3" xfId="1096"/>
    <cellStyle name="Percent 2 3 3 5" xfId="1213"/>
    <cellStyle name="Percent 2 3 3 6" xfId="976"/>
    <cellStyle name="Percent 2 3 4" xfId="652"/>
    <cellStyle name="Percent 2 3 4 2" xfId="831"/>
    <cellStyle name="Percent 2 3 4 2 2" xfId="1162"/>
    <cellStyle name="Percent 2 3 4 2 2 2" xfId="1395"/>
    <cellStyle name="Percent 2 3 4 2 3" xfId="1279"/>
    <cellStyle name="Percent 2 3 4 2 4" xfId="1043"/>
    <cellStyle name="Percent 2 3 4 3" xfId="901"/>
    <cellStyle name="Percent 2 3 4 3 2" xfId="1339"/>
    <cellStyle name="Percent 2 3 4 3 3" xfId="1106"/>
    <cellStyle name="Percent 2 3 4 4" xfId="1223"/>
    <cellStyle name="Percent 2 3 4 5" xfId="986"/>
    <cellStyle name="Percent 2 3 5" xfId="798"/>
    <cellStyle name="Percent 2 3 5 2" xfId="1132"/>
    <cellStyle name="Percent 2 3 5 2 2" xfId="1365"/>
    <cellStyle name="Percent 2 3 5 3" xfId="1249"/>
    <cellStyle name="Percent 2 3 5 4" xfId="1013"/>
    <cellStyle name="Percent 2 3 6" xfId="871"/>
    <cellStyle name="Percent 2 3 6 2" xfId="1313"/>
    <cellStyle name="Percent 2 3 6 3" xfId="1080"/>
    <cellStyle name="Percent 2 3 7" xfId="1197"/>
    <cellStyle name="Percent 2 3 8" xfId="960"/>
    <cellStyle name="Percent 2 4" xfId="1415"/>
    <cellStyle name="Percent 20" xfId="919"/>
    <cellStyle name="Percent 21" xfId="921"/>
    <cellStyle name="Percent 22" xfId="932"/>
    <cellStyle name="Percent 23" xfId="1416"/>
    <cellStyle name="Percent 24" xfId="935"/>
    <cellStyle name="Percent 25" xfId="1418"/>
    <cellStyle name="Percent 26" xfId="945"/>
    <cellStyle name="Percent 27" xfId="922"/>
    <cellStyle name="Percent 28" xfId="931"/>
    <cellStyle name="Percent 29" xfId="1420"/>
    <cellStyle name="Percent 3" xfId="559"/>
    <cellStyle name="Percent 3 2" xfId="611"/>
    <cellStyle name="Percent 3 2 2" xfId="769"/>
    <cellStyle name="Percent 3 3" xfId="635"/>
    <cellStyle name="Percent 3 4" xfId="743"/>
    <cellStyle name="Percent 30" xfId="942"/>
    <cellStyle name="Percent 31" xfId="944"/>
    <cellStyle name="Percent 32" xfId="933"/>
    <cellStyle name="Percent 33" xfId="1419"/>
    <cellStyle name="Percent 34" xfId="927"/>
    <cellStyle name="Percent 35" xfId="1417"/>
    <cellStyle name="Percent 36" xfId="1421"/>
    <cellStyle name="Percent 37" xfId="1423"/>
    <cellStyle name="Percent 38" xfId="1425"/>
    <cellStyle name="Percent 39" xfId="1427"/>
    <cellStyle name="Percent 4" xfId="612"/>
    <cellStyle name="Percent 4 2" xfId="788"/>
    <cellStyle name="Percent 40" xfId="1429"/>
    <cellStyle name="Percent 41" xfId="1431"/>
    <cellStyle name="Percent 42" xfId="1433"/>
    <cellStyle name="Percent 43" xfId="1435"/>
    <cellStyle name="Percent 44" xfId="1437"/>
    <cellStyle name="Percent 45" xfId="1439"/>
    <cellStyle name="Percent 46" xfId="1441"/>
    <cellStyle name="Percent 47" xfId="1443"/>
    <cellStyle name="Percent 48" xfId="1445"/>
    <cellStyle name="Percent 5" xfId="644"/>
    <cellStyle name="Percent 6" xfId="639"/>
    <cellStyle name="Percent 6 2" xfId="820"/>
    <cellStyle name="Percent 6 2 2" xfId="1385"/>
    <cellStyle name="Percent 6 2 3" xfId="1152"/>
    <cellStyle name="Percent 6 3" xfId="891"/>
    <cellStyle name="Percent 6 3 2" xfId="1269"/>
    <cellStyle name="Percent 6 4" xfId="1033"/>
    <cellStyle name="Percent 7" xfId="853"/>
    <cellStyle name="Percent 7 2" xfId="1066"/>
    <cellStyle name="Percent 8" xfId="854"/>
    <cellStyle name="Percent 8 2" xfId="1182"/>
    <cellStyle name="Percent 9" xfId="857"/>
    <cellStyle name="Style 23" xfId="613"/>
    <cellStyle name="Style 23 2" xfId="614"/>
    <cellStyle name="Title" xfId="560" builtinId="15" customBuiltin="1"/>
    <cellStyle name="Title 2" xfId="697"/>
    <cellStyle name="Title 2 2" xfId="946"/>
    <cellStyle name="Title 3" xfId="693"/>
    <cellStyle name="Total 10" xfId="561"/>
    <cellStyle name="Total 11" xfId="562"/>
    <cellStyle name="Total 12" xfId="563"/>
    <cellStyle name="Total 13" xfId="564"/>
    <cellStyle name="Total 14" xfId="565"/>
    <cellStyle name="Total 15" xfId="566"/>
    <cellStyle name="Total 16" xfId="694"/>
    <cellStyle name="Total 2" xfId="567"/>
    <cellStyle name="Total 2 2" xfId="714"/>
    <cellStyle name="Total 3" xfId="568"/>
    <cellStyle name="Total 4" xfId="569"/>
    <cellStyle name="Total 5" xfId="570"/>
    <cellStyle name="Total 6" xfId="571"/>
    <cellStyle name="Total 7" xfId="572"/>
    <cellStyle name="Total 8" xfId="573"/>
    <cellStyle name="Total 9" xfId="574"/>
    <cellStyle name="Warning Text 10" xfId="575"/>
    <cellStyle name="Warning Text 11" xfId="576"/>
    <cellStyle name="Warning Text 12" xfId="577"/>
    <cellStyle name="Warning Text 13" xfId="578"/>
    <cellStyle name="Warning Text 14" xfId="579"/>
    <cellStyle name="Warning Text 15" xfId="580"/>
    <cellStyle name="Warning Text 16" xfId="695"/>
    <cellStyle name="Warning Text 2" xfId="581"/>
    <cellStyle name="Warning Text 2 2" xfId="711"/>
    <cellStyle name="Warning Text 3" xfId="582"/>
    <cellStyle name="Warning Text 4" xfId="583"/>
    <cellStyle name="Warning Text 5" xfId="584"/>
    <cellStyle name="Warning Text 6" xfId="585"/>
    <cellStyle name="Warning Text 7" xfId="586"/>
    <cellStyle name="Warning Text 8" xfId="587"/>
    <cellStyle name="Warning Text 9" xfId="588"/>
  </cellStyles>
  <dxfs count="1">
    <dxf>
      <font>
        <color rgb="FFFF0000"/>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Analysis'!$V$58</c:f>
              <c:strCache>
                <c:ptCount val="1"/>
                <c:pt idx="0">
                  <c:v>kWh Purchased</c:v>
                </c:pt>
              </c:strCache>
            </c:strRef>
          </c:tx>
          <c:invertIfNegative val="0"/>
          <c:cat>
            <c:numRef>
              <c:f>'6. WS Regression Analysis'!$U$59:$U$68</c:f>
              <c:numCache>
                <c:formatCode>@</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'6. WS Regression Analysis'!$V$59:$V$68</c:f>
              <c:numCache>
                <c:formatCode>_(* #,##0.00_);_(* \(#,##0.00\);_(* "-"??_);_(@_)</c:formatCode>
                <c:ptCount val="10"/>
                <c:pt idx="0">
                  <c:v>91018552.480000004</c:v>
                </c:pt>
                <c:pt idx="1">
                  <c:v>94614050.200000003</c:v>
                </c:pt>
                <c:pt idx="2">
                  <c:v>96430220.5</c:v>
                </c:pt>
                <c:pt idx="3">
                  <c:v>92313324</c:v>
                </c:pt>
                <c:pt idx="4">
                  <c:v>91831741</c:v>
                </c:pt>
                <c:pt idx="5">
                  <c:v>90656017</c:v>
                </c:pt>
                <c:pt idx="6">
                  <c:v>89014822</c:v>
                </c:pt>
                <c:pt idx="7">
                  <c:v>90972832</c:v>
                </c:pt>
                <c:pt idx="8">
                  <c:v>89574310</c:v>
                </c:pt>
                <c:pt idx="9">
                  <c:v>90503010</c:v>
                </c:pt>
              </c:numCache>
            </c:numRef>
          </c:val>
          <c:extLst xmlns:c16r2="http://schemas.microsoft.com/office/drawing/2015/06/chart">
            <c:ext xmlns:c16="http://schemas.microsoft.com/office/drawing/2014/chart" uri="{C3380CC4-5D6E-409C-BE32-E72D297353CC}">
              <c16:uniqueId val="{00000000-5248-4424-8F43-A893DA57B826}"/>
            </c:ext>
          </c:extLst>
        </c:ser>
        <c:ser>
          <c:idx val="0"/>
          <c:order val="1"/>
          <c:tx>
            <c:strRef>
              <c:f>'6. WS Regression Analysis'!$W$58</c:f>
              <c:strCache>
                <c:ptCount val="1"/>
                <c:pt idx="0">
                  <c:v>Adjusted</c:v>
                </c:pt>
              </c:strCache>
            </c:strRef>
          </c:tx>
          <c:invertIfNegative val="0"/>
          <c:cat>
            <c:numRef>
              <c:f>'6. WS Regression Analysis'!$U$59:$U$68</c:f>
              <c:numCache>
                <c:formatCode>@</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'6. WS Regression Analysis'!$W$59:$W$68</c:f>
              <c:numCache>
                <c:formatCode>_(* #,##0.00_);_(* \(#,##0.00\);_(* "-"??_);_(@_)</c:formatCode>
                <c:ptCount val="10"/>
                <c:pt idx="0">
                  <c:v>93834660.825160488</c:v>
                </c:pt>
                <c:pt idx="1">
                  <c:v>93363786.459310383</c:v>
                </c:pt>
                <c:pt idx="2">
                  <c:v>92931642.3760335</c:v>
                </c:pt>
                <c:pt idx="3">
                  <c:v>92048566.784686312</c:v>
                </c:pt>
                <c:pt idx="4">
                  <c:v>91956572.796058238</c:v>
                </c:pt>
                <c:pt idx="5">
                  <c:v>91628943.54129757</c:v>
                </c:pt>
                <c:pt idx="6">
                  <c:v>91730059.579689622</c:v>
                </c:pt>
                <c:pt idx="7">
                  <c:v>90628305.25001581</c:v>
                </c:pt>
                <c:pt idx="8">
                  <c:v>88892412.867180794</c:v>
                </c:pt>
                <c:pt idx="9">
                  <c:v>90106871.447792977</c:v>
                </c:pt>
              </c:numCache>
            </c:numRef>
          </c:val>
          <c:extLst xmlns:c16r2="http://schemas.microsoft.com/office/drawing/2015/06/chart">
            <c:ext xmlns:c16="http://schemas.microsoft.com/office/drawing/2014/chart" uri="{C3380CC4-5D6E-409C-BE32-E72D297353CC}">
              <c16:uniqueId val="{00000001-5248-4424-8F43-A893DA57B826}"/>
            </c:ext>
          </c:extLst>
        </c:ser>
        <c:dLbls>
          <c:showLegendKey val="0"/>
          <c:showVal val="0"/>
          <c:showCatName val="0"/>
          <c:showSerName val="0"/>
          <c:showPercent val="0"/>
          <c:showBubbleSize val="0"/>
        </c:dLbls>
        <c:gapWidth val="150"/>
        <c:axId val="575450016"/>
        <c:axId val="575451976"/>
      </c:barChart>
      <c:dateAx>
        <c:axId val="575450016"/>
        <c:scaling>
          <c:orientation val="minMax"/>
        </c:scaling>
        <c:delete val="0"/>
        <c:axPos val="b"/>
        <c:title>
          <c:tx>
            <c:rich>
              <a:bodyPr/>
              <a:lstStyle/>
              <a:p>
                <a:pPr>
                  <a:defRPr/>
                </a:pPr>
                <a:r>
                  <a:rPr lang="en-US"/>
                  <a:t>Year</a:t>
                </a:r>
              </a:p>
            </c:rich>
          </c:tx>
          <c:layout/>
          <c:overlay val="0"/>
        </c:title>
        <c:numFmt formatCode="@" sourceLinked="1"/>
        <c:majorTickMark val="out"/>
        <c:minorTickMark val="none"/>
        <c:tickLblPos val="nextTo"/>
        <c:crossAx val="575451976"/>
        <c:crosses val="autoZero"/>
        <c:auto val="0"/>
        <c:lblOffset val="100"/>
        <c:baseTimeUnit val="days"/>
      </c:dateAx>
      <c:valAx>
        <c:axId val="575451976"/>
        <c:scaling>
          <c:orientation val="minMax"/>
          <c:min val="0"/>
        </c:scaling>
        <c:delete val="0"/>
        <c:axPos val="l"/>
        <c:majorGridlines/>
        <c:title>
          <c:tx>
            <c:rich>
              <a:bodyPr rot="0" vert="horz"/>
              <a:lstStyle/>
              <a:p>
                <a:pPr>
                  <a:defRPr/>
                </a:pPr>
                <a:r>
                  <a:rPr lang="en-US"/>
                  <a:t>kWh</a:t>
                </a:r>
              </a:p>
            </c:rich>
          </c:tx>
          <c:layout>
            <c:manualLayout>
              <c:xMode val="edge"/>
              <c:yMode val="edge"/>
              <c:x val="1.2783576388157308E-2"/>
              <c:y val="0.21644031263651128"/>
            </c:manualLayout>
          </c:layout>
          <c:overlay val="0"/>
        </c:title>
        <c:numFmt formatCode="#,##0" sourceLinked="0"/>
        <c:majorTickMark val="out"/>
        <c:minorTickMark val="none"/>
        <c:tickLblPos val="nextTo"/>
        <c:crossAx val="575450016"/>
        <c:crossesAt val="1"/>
        <c:crossBetween val="between"/>
        <c:dispUnits>
          <c:builtInUnit val="millions"/>
          <c:dispUnitsLbl>
            <c:layout/>
          </c:dispUnitsLbl>
        </c:dispUnits>
      </c:valAx>
      <c:spPr>
        <a:noFill/>
        <a:ln w="25400">
          <a:noFill/>
        </a:ln>
      </c:spPr>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83</xdr:row>
      <xdr:rowOff>66675</xdr:rowOff>
    </xdr:from>
    <xdr:to>
      <xdr:col>9</xdr:col>
      <xdr:colOff>247650</xdr:colOff>
      <xdr:row>83</xdr:row>
      <xdr:rowOff>371475</xdr:rowOff>
    </xdr:to>
    <xdr:sp macro="" textlink="">
      <xdr:nvSpPr>
        <xdr:cNvPr id="2" name="Right Brace 1"/>
        <xdr:cNvSpPr/>
      </xdr:nvSpPr>
      <xdr:spPr>
        <a:xfrm>
          <a:off x="13535025" y="22555200"/>
          <a:ext cx="114300" cy="3048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562606</xdr:colOff>
      <xdr:row>7</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23</xdr:row>
      <xdr:rowOff>8659</xdr:rowOff>
    </xdr:from>
    <xdr:to>
      <xdr:col>11</xdr:col>
      <xdr:colOff>472723</xdr:colOff>
      <xdr:row>23</xdr:row>
      <xdr:rowOff>151694</xdr:rowOff>
    </xdr:to>
    <xdr:sp macro="" textlink="">
      <xdr:nvSpPr>
        <xdr:cNvPr id="7" name="Rectangle 6"/>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23</xdr:row>
      <xdr:rowOff>8659</xdr:rowOff>
    </xdr:from>
    <xdr:to>
      <xdr:col>12</xdr:col>
      <xdr:colOff>481262</xdr:colOff>
      <xdr:row>23</xdr:row>
      <xdr:rowOff>155408</xdr:rowOff>
    </xdr:to>
    <xdr:sp macro="" textlink="">
      <xdr:nvSpPr>
        <xdr:cNvPr id="8" name="Rectangle 7"/>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23</xdr:row>
      <xdr:rowOff>7056</xdr:rowOff>
    </xdr:from>
    <xdr:to>
      <xdr:col>17</xdr:col>
      <xdr:colOff>493888</xdr:colOff>
      <xdr:row>23</xdr:row>
      <xdr:rowOff>151694</xdr:rowOff>
    </xdr:to>
    <xdr:sp macro="" textlink="">
      <xdr:nvSpPr>
        <xdr:cNvPr id="9" name="Rectangle 8"/>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23</xdr:row>
      <xdr:rowOff>11866</xdr:rowOff>
    </xdr:from>
    <xdr:to>
      <xdr:col>18</xdr:col>
      <xdr:colOff>490361</xdr:colOff>
      <xdr:row>23</xdr:row>
      <xdr:rowOff>151694</xdr:rowOff>
    </xdr:to>
    <xdr:sp macro="" textlink="">
      <xdr:nvSpPr>
        <xdr:cNvPr id="10" name="Rectangle 9"/>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23</xdr:row>
      <xdr:rowOff>7056</xdr:rowOff>
    </xdr:from>
    <xdr:to>
      <xdr:col>14</xdr:col>
      <xdr:colOff>493888</xdr:colOff>
      <xdr:row>23</xdr:row>
      <xdr:rowOff>151694</xdr:rowOff>
    </xdr:to>
    <xdr:sp macro="" textlink="">
      <xdr:nvSpPr>
        <xdr:cNvPr id="12" name="Rectangle 11"/>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23</xdr:row>
      <xdr:rowOff>11866</xdr:rowOff>
    </xdr:from>
    <xdr:to>
      <xdr:col>15</xdr:col>
      <xdr:colOff>490361</xdr:colOff>
      <xdr:row>23</xdr:row>
      <xdr:rowOff>151694</xdr:rowOff>
    </xdr:to>
    <xdr:sp macro="" textlink="">
      <xdr:nvSpPr>
        <xdr:cNvPr id="13" name="Rectangle 12"/>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23</xdr:row>
      <xdr:rowOff>6735</xdr:rowOff>
    </xdr:from>
    <xdr:to>
      <xdr:col>20</xdr:col>
      <xdr:colOff>483304</xdr:colOff>
      <xdr:row>23</xdr:row>
      <xdr:rowOff>148167</xdr:rowOff>
    </xdr:to>
    <xdr:sp macro="" textlink="">
      <xdr:nvSpPr>
        <xdr:cNvPr id="16" name="Rectangle 15"/>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23</xdr:col>
      <xdr:colOff>346363</xdr:colOff>
      <xdr:row>23</xdr:row>
      <xdr:rowOff>6735</xdr:rowOff>
    </xdr:from>
    <xdr:to>
      <xdr:col>23</xdr:col>
      <xdr:colOff>483304</xdr:colOff>
      <xdr:row>23</xdr:row>
      <xdr:rowOff>148167</xdr:rowOff>
    </xdr:to>
    <xdr:sp macro="" textlink="">
      <xdr:nvSpPr>
        <xdr:cNvPr id="17" name="Rectangle 16"/>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25</xdr:col>
      <xdr:colOff>346363</xdr:colOff>
      <xdr:row>23</xdr:row>
      <xdr:rowOff>6735</xdr:rowOff>
    </xdr:from>
    <xdr:to>
      <xdr:col>25</xdr:col>
      <xdr:colOff>483304</xdr:colOff>
      <xdr:row>23</xdr:row>
      <xdr:rowOff>148167</xdr:rowOff>
    </xdr:to>
    <xdr:sp macro="" textlink="">
      <xdr:nvSpPr>
        <xdr:cNvPr id="18" name="Rectangle 17"/>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23</xdr:row>
      <xdr:rowOff>6735</xdr:rowOff>
    </xdr:from>
    <xdr:to>
      <xdr:col>9</xdr:col>
      <xdr:colOff>483304</xdr:colOff>
      <xdr:row>23</xdr:row>
      <xdr:rowOff>148167</xdr:rowOff>
    </xdr:to>
    <xdr:sp macro="" textlink="">
      <xdr:nvSpPr>
        <xdr:cNvPr id="23" name="Rectangle 22"/>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21</xdr:col>
      <xdr:colOff>346363</xdr:colOff>
      <xdr:row>23</xdr:row>
      <xdr:rowOff>6735</xdr:rowOff>
    </xdr:from>
    <xdr:to>
      <xdr:col>21</xdr:col>
      <xdr:colOff>483304</xdr:colOff>
      <xdr:row>23</xdr:row>
      <xdr:rowOff>148167</xdr:rowOff>
    </xdr:to>
    <xdr:sp macro="" textlink="">
      <xdr:nvSpPr>
        <xdr:cNvPr id="21" name="Rectangle 20"/>
        <xdr:cNvSpPr/>
      </xdr:nvSpPr>
      <xdr:spPr>
        <a:xfrm>
          <a:off x="16691263" y="259753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31</xdr:row>
      <xdr:rowOff>133349</xdr:rowOff>
    </xdr:from>
    <xdr:to>
      <xdr:col>16</xdr:col>
      <xdr:colOff>190500</xdr:colOff>
      <xdr:row>32</xdr:row>
      <xdr:rowOff>133349</xdr:rowOff>
    </xdr:to>
    <xdr:sp macro="" textlink="">
      <xdr:nvSpPr>
        <xdr:cNvPr id="10" name="Down Arrow 9"/>
        <xdr:cNvSpPr/>
      </xdr:nvSpPr>
      <xdr:spPr>
        <a:xfrm>
          <a:off x="12830175" y="5838824"/>
          <a:ext cx="85725" cy="161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406213</xdr:colOff>
      <xdr:row>17</xdr:row>
      <xdr:rowOff>87406</xdr:rowOff>
    </xdr:from>
    <xdr:to>
      <xdr:col>2</xdr:col>
      <xdr:colOff>587188</xdr:colOff>
      <xdr:row>17</xdr:row>
      <xdr:rowOff>258856</xdr:rowOff>
    </xdr:to>
    <xdr:sp macro="" textlink="">
      <xdr:nvSpPr>
        <xdr:cNvPr id="3" name="Isosceles Triangle 2"/>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428625</xdr:colOff>
      <xdr:row>17</xdr:row>
      <xdr:rowOff>104775</xdr:rowOff>
    </xdr:from>
    <xdr:to>
      <xdr:col>17</xdr:col>
      <xdr:colOff>676275</xdr:colOff>
      <xdr:row>17</xdr:row>
      <xdr:rowOff>333375</xdr:rowOff>
    </xdr:to>
    <xdr:sp macro="" textlink="">
      <xdr:nvSpPr>
        <xdr:cNvPr id="2" name="5-Point Star 1"/>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9</xdr:col>
      <xdr:colOff>104775</xdr:colOff>
      <xdr:row>18</xdr:row>
      <xdr:rowOff>178734</xdr:rowOff>
    </xdr:from>
    <xdr:to>
      <xdr:col>9</xdr:col>
      <xdr:colOff>920002</xdr:colOff>
      <xdr:row>18</xdr:row>
      <xdr:rowOff>205403</xdr:rowOff>
    </xdr:to>
    <xdr:sp macro="" textlink="">
      <xdr:nvSpPr>
        <xdr:cNvPr id="6" name="Right Arrow 5"/>
        <xdr:cNvSpPr/>
      </xdr:nvSpPr>
      <xdr:spPr>
        <a:xfrm>
          <a:off x="9067800" y="4122084"/>
          <a:ext cx="815227" cy="266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19</xdr:col>
      <xdr:colOff>571500</xdr:colOff>
      <xdr:row>79</xdr:row>
      <xdr:rowOff>85725</xdr:rowOff>
    </xdr:from>
    <xdr:to>
      <xdr:col>25</xdr:col>
      <xdr:colOff>502444</xdr:colOff>
      <xdr:row>103</xdr:row>
      <xdr:rowOff>49213</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173394</xdr:colOff>
      <xdr:row>30</xdr:row>
      <xdr:rowOff>34636</xdr:rowOff>
    </xdr:from>
    <xdr:to>
      <xdr:col>0</xdr:col>
      <xdr:colOff>536863</xdr:colOff>
      <xdr:row>33</xdr:row>
      <xdr:rowOff>164521</xdr:rowOff>
    </xdr:to>
    <xdr:sp macro="" textlink="">
      <xdr:nvSpPr>
        <xdr:cNvPr id="2" name="Right Brace 1"/>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180108</xdr:colOff>
      <xdr:row>33</xdr:row>
      <xdr:rowOff>0</xdr:rowOff>
    </xdr:from>
    <xdr:to>
      <xdr:col>4</xdr:col>
      <xdr:colOff>435552</xdr:colOff>
      <xdr:row>36</xdr:row>
      <xdr:rowOff>141143</xdr:rowOff>
    </xdr:to>
    <xdr:sp macro="" textlink="">
      <xdr:nvSpPr>
        <xdr:cNvPr id="3" name="Down Arrow 2"/>
        <xdr:cNvSpPr/>
      </xdr:nvSpPr>
      <xdr:spPr>
        <a:xfrm>
          <a:off x="3590058" y="69723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79663</xdr:colOff>
      <xdr:row>33</xdr:row>
      <xdr:rowOff>38100</xdr:rowOff>
    </xdr:from>
    <xdr:to>
      <xdr:col>12</xdr:col>
      <xdr:colOff>344632</xdr:colOff>
      <xdr:row>36</xdr:row>
      <xdr:rowOff>161059</xdr:rowOff>
    </xdr:to>
    <xdr:sp macro="" textlink="">
      <xdr:nvSpPr>
        <xdr:cNvPr id="4" name="Down Arrow 3"/>
        <xdr:cNvSpPr/>
      </xdr:nvSpPr>
      <xdr:spPr>
        <a:xfrm>
          <a:off x="9680863" y="70104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166253</xdr:colOff>
      <xdr:row>33</xdr:row>
      <xdr:rowOff>47624</xdr:rowOff>
    </xdr:from>
    <xdr:to>
      <xdr:col>20</xdr:col>
      <xdr:colOff>431222</xdr:colOff>
      <xdr:row>37</xdr:row>
      <xdr:rowOff>19915</xdr:rowOff>
    </xdr:to>
    <xdr:sp macro="" textlink="">
      <xdr:nvSpPr>
        <xdr:cNvPr id="5" name="Down Arrow 4"/>
        <xdr:cNvSpPr/>
      </xdr:nvSpPr>
      <xdr:spPr>
        <a:xfrm>
          <a:off x="15949178" y="70199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209550</xdr:colOff>
      <xdr:row>19</xdr:row>
      <xdr:rowOff>104775</xdr:rowOff>
    </xdr:from>
    <xdr:to>
      <xdr:col>12</xdr:col>
      <xdr:colOff>457200</xdr:colOff>
      <xdr:row>19</xdr:row>
      <xdr:rowOff>257175</xdr:rowOff>
    </xdr:to>
    <xdr:sp macro="" textlink="">
      <xdr:nvSpPr>
        <xdr:cNvPr id="7" name="5-Point Star 6"/>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228600</xdr:colOff>
      <xdr:row>19</xdr:row>
      <xdr:rowOff>114300</xdr:rowOff>
    </xdr:from>
    <xdr:to>
      <xdr:col>20</xdr:col>
      <xdr:colOff>476250</xdr:colOff>
      <xdr:row>19</xdr:row>
      <xdr:rowOff>276225</xdr:rowOff>
    </xdr:to>
    <xdr:sp macro="" textlink="">
      <xdr:nvSpPr>
        <xdr:cNvPr id="8" name="5-Point Star 7"/>
        <xdr:cNvSpPr/>
      </xdr:nvSpPr>
      <xdr:spPr>
        <a:xfrm>
          <a:off x="16011525" y="41814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323850</xdr:colOff>
      <xdr:row>19</xdr:row>
      <xdr:rowOff>133350</xdr:rowOff>
    </xdr:from>
    <xdr:to>
      <xdr:col>10</xdr:col>
      <xdr:colOff>523875</xdr:colOff>
      <xdr:row>19</xdr:row>
      <xdr:rowOff>266700</xdr:rowOff>
    </xdr:to>
    <xdr:sp macro="" textlink="">
      <xdr:nvSpPr>
        <xdr:cNvPr id="11" name="Rectangle 10"/>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19</xdr:row>
      <xdr:rowOff>133350</xdr:rowOff>
    </xdr:from>
    <xdr:to>
      <xdr:col>18</xdr:col>
      <xdr:colOff>514350</xdr:colOff>
      <xdr:row>19</xdr:row>
      <xdr:rowOff>257175</xdr:rowOff>
    </xdr:to>
    <xdr:sp macro="" textlink="">
      <xdr:nvSpPr>
        <xdr:cNvPr id="12" name="Rectangle 11"/>
        <xdr:cNvSpPr/>
      </xdr:nvSpPr>
      <xdr:spPr>
        <a:xfrm>
          <a:off x="14382750" y="42005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295275</xdr:colOff>
      <xdr:row>19</xdr:row>
      <xdr:rowOff>133349</xdr:rowOff>
    </xdr:from>
    <xdr:to>
      <xdr:col>19</xdr:col>
      <xdr:colOff>495300</xdr:colOff>
      <xdr:row>19</xdr:row>
      <xdr:rowOff>257174</xdr:rowOff>
    </xdr:to>
    <xdr:sp macro="" textlink="">
      <xdr:nvSpPr>
        <xdr:cNvPr id="13" name="Isosceles Triangle 12"/>
        <xdr:cNvSpPr/>
      </xdr:nvSpPr>
      <xdr:spPr>
        <a:xfrm>
          <a:off x="15220950" y="420052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276225</xdr:colOff>
      <xdr:row>19</xdr:row>
      <xdr:rowOff>114300</xdr:rowOff>
    </xdr:from>
    <xdr:to>
      <xdr:col>11</xdr:col>
      <xdr:colOff>514350</xdr:colOff>
      <xdr:row>19</xdr:row>
      <xdr:rowOff>276225</xdr:rowOff>
    </xdr:to>
    <xdr:sp macro="" textlink="">
      <xdr:nvSpPr>
        <xdr:cNvPr id="14" name="Isosceles Triangle 13"/>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147203</xdr:colOff>
      <xdr:row>33</xdr:row>
      <xdr:rowOff>38099</xdr:rowOff>
    </xdr:from>
    <xdr:to>
      <xdr:col>28</xdr:col>
      <xdr:colOff>412172</xdr:colOff>
      <xdr:row>37</xdr:row>
      <xdr:rowOff>10390</xdr:rowOff>
    </xdr:to>
    <xdr:sp macro="" textlink="">
      <xdr:nvSpPr>
        <xdr:cNvPr id="16" name="Down Arrow 15"/>
        <xdr:cNvSpPr/>
      </xdr:nvSpPr>
      <xdr:spPr>
        <a:xfrm>
          <a:off x="22102328" y="7010399"/>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247650</xdr:colOff>
      <xdr:row>19</xdr:row>
      <xdr:rowOff>85725</xdr:rowOff>
    </xdr:from>
    <xdr:to>
      <xdr:col>28</xdr:col>
      <xdr:colOff>495300</xdr:colOff>
      <xdr:row>19</xdr:row>
      <xdr:rowOff>247650</xdr:rowOff>
    </xdr:to>
    <xdr:sp macro="" textlink="">
      <xdr:nvSpPr>
        <xdr:cNvPr id="17" name="5-Point Star 16"/>
        <xdr:cNvSpPr/>
      </xdr:nvSpPr>
      <xdr:spPr>
        <a:xfrm>
          <a:off x="22202775" y="4152900"/>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304800</xdr:colOff>
      <xdr:row>19</xdr:row>
      <xdr:rowOff>114300</xdr:rowOff>
    </xdr:from>
    <xdr:to>
      <xdr:col>26</xdr:col>
      <xdr:colOff>504825</xdr:colOff>
      <xdr:row>19</xdr:row>
      <xdr:rowOff>238125</xdr:rowOff>
    </xdr:to>
    <xdr:sp macro="" textlink="">
      <xdr:nvSpPr>
        <xdr:cNvPr id="18" name="Rectangle 17"/>
        <xdr:cNvSpPr/>
      </xdr:nvSpPr>
      <xdr:spPr>
        <a:xfrm>
          <a:off x="20545425" y="418147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295275</xdr:colOff>
      <xdr:row>19</xdr:row>
      <xdr:rowOff>114299</xdr:rowOff>
    </xdr:from>
    <xdr:to>
      <xdr:col>27</xdr:col>
      <xdr:colOff>495300</xdr:colOff>
      <xdr:row>19</xdr:row>
      <xdr:rowOff>238124</xdr:rowOff>
    </xdr:to>
    <xdr:sp macro="" textlink="">
      <xdr:nvSpPr>
        <xdr:cNvPr id="19" name="Isosceles Triangle 18"/>
        <xdr:cNvSpPr/>
      </xdr:nvSpPr>
      <xdr:spPr>
        <a:xfrm>
          <a:off x="21393150" y="418147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147203</xdr:colOff>
      <xdr:row>33</xdr:row>
      <xdr:rowOff>28574</xdr:rowOff>
    </xdr:from>
    <xdr:to>
      <xdr:col>36</xdr:col>
      <xdr:colOff>412172</xdr:colOff>
      <xdr:row>37</xdr:row>
      <xdr:rowOff>865</xdr:rowOff>
    </xdr:to>
    <xdr:sp macro="" textlink="">
      <xdr:nvSpPr>
        <xdr:cNvPr id="23" name="Down Arrow 22"/>
        <xdr:cNvSpPr/>
      </xdr:nvSpPr>
      <xdr:spPr>
        <a:xfrm>
          <a:off x="28265003" y="700087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247650</xdr:colOff>
      <xdr:row>19</xdr:row>
      <xdr:rowOff>76200</xdr:rowOff>
    </xdr:from>
    <xdr:to>
      <xdr:col>36</xdr:col>
      <xdr:colOff>495300</xdr:colOff>
      <xdr:row>19</xdr:row>
      <xdr:rowOff>238125</xdr:rowOff>
    </xdr:to>
    <xdr:sp macro="" textlink="">
      <xdr:nvSpPr>
        <xdr:cNvPr id="24" name="5-Point Star 23"/>
        <xdr:cNvSpPr/>
      </xdr:nvSpPr>
      <xdr:spPr>
        <a:xfrm>
          <a:off x="2836545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276225</xdr:colOff>
      <xdr:row>19</xdr:row>
      <xdr:rowOff>95250</xdr:rowOff>
    </xdr:from>
    <xdr:to>
      <xdr:col>34</xdr:col>
      <xdr:colOff>476250</xdr:colOff>
      <xdr:row>19</xdr:row>
      <xdr:rowOff>219075</xdr:rowOff>
    </xdr:to>
    <xdr:sp macro="" textlink="">
      <xdr:nvSpPr>
        <xdr:cNvPr id="25" name="Rectangle 24"/>
        <xdr:cNvSpPr/>
      </xdr:nvSpPr>
      <xdr:spPr>
        <a:xfrm>
          <a:off x="26679525" y="41624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257175</xdr:colOff>
      <xdr:row>19</xdr:row>
      <xdr:rowOff>85724</xdr:rowOff>
    </xdr:from>
    <xdr:to>
      <xdr:col>35</xdr:col>
      <xdr:colOff>457200</xdr:colOff>
      <xdr:row>19</xdr:row>
      <xdr:rowOff>209549</xdr:rowOff>
    </xdr:to>
    <xdr:sp macro="" textlink="">
      <xdr:nvSpPr>
        <xdr:cNvPr id="26" name="Isosceles Triangle 25"/>
        <xdr:cNvSpPr/>
      </xdr:nvSpPr>
      <xdr:spPr>
        <a:xfrm>
          <a:off x="27517725" y="4152899"/>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484908</xdr:colOff>
      <xdr:row>41</xdr:row>
      <xdr:rowOff>66675</xdr:rowOff>
    </xdr:from>
    <xdr:to>
      <xdr:col>5</xdr:col>
      <xdr:colOff>740352</xdr:colOff>
      <xdr:row>45</xdr:row>
      <xdr:rowOff>45893</xdr:rowOff>
    </xdr:to>
    <xdr:sp macro="" textlink="">
      <xdr:nvSpPr>
        <xdr:cNvPr id="8" name="Down Arrow 7"/>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41</xdr:row>
      <xdr:rowOff>57150</xdr:rowOff>
    </xdr:from>
    <xdr:to>
      <xdr:col>17</xdr:col>
      <xdr:colOff>226002</xdr:colOff>
      <xdr:row>45</xdr:row>
      <xdr:rowOff>36368</xdr:rowOff>
    </xdr:to>
    <xdr:sp macro="" textlink="">
      <xdr:nvSpPr>
        <xdr:cNvPr id="9" name="Down Arrow 8"/>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41</xdr:row>
      <xdr:rowOff>76200</xdr:rowOff>
    </xdr:from>
    <xdr:to>
      <xdr:col>27</xdr:col>
      <xdr:colOff>159327</xdr:colOff>
      <xdr:row>45</xdr:row>
      <xdr:rowOff>55418</xdr:rowOff>
    </xdr:to>
    <xdr:sp macro="" textlink="">
      <xdr:nvSpPr>
        <xdr:cNvPr id="10" name="Down Arrow 9"/>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41</xdr:row>
      <xdr:rowOff>57150</xdr:rowOff>
    </xdr:from>
    <xdr:to>
      <xdr:col>37</xdr:col>
      <xdr:colOff>321252</xdr:colOff>
      <xdr:row>45</xdr:row>
      <xdr:rowOff>36368</xdr:rowOff>
    </xdr:to>
    <xdr:sp macro="" textlink="">
      <xdr:nvSpPr>
        <xdr:cNvPr id="11" name="Down Arrow 10"/>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46</xdr:col>
      <xdr:colOff>799233</xdr:colOff>
      <xdr:row>41</xdr:row>
      <xdr:rowOff>76200</xdr:rowOff>
    </xdr:from>
    <xdr:to>
      <xdr:col>47</xdr:col>
      <xdr:colOff>187902</xdr:colOff>
      <xdr:row>45</xdr:row>
      <xdr:rowOff>55418</xdr:rowOff>
    </xdr:to>
    <xdr:sp macro="" textlink="">
      <xdr:nvSpPr>
        <xdr:cNvPr id="12" name="Down Arrow 11"/>
        <xdr:cNvSpPr/>
      </xdr:nvSpPr>
      <xdr:spPr>
        <a:xfrm>
          <a:off x="3786100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5%20Minimum%20Filing%20Requirements\2015_Filing_Requirements_Chapter2_Appendice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6%20Minimum%20Filing%20Requirements\2016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row>
        <row r="28">
          <cell r="E28"/>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24">
          <cell r="E24">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nippard@renfrewhydro.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B34"/>
  <sheetViews>
    <sheetView showGridLines="0" tabSelected="1" workbookViewId="0">
      <selection activeCell="P37" sqref="P37"/>
    </sheetView>
  </sheetViews>
  <sheetFormatPr defaultRowHeight="12.75" x14ac:dyDescent="0.2"/>
  <cols>
    <col min="1" max="1" width="13.6640625" style="1" customWidth="1"/>
    <col min="2" max="16384" width="9.33203125" style="1"/>
  </cols>
  <sheetData>
    <row r="1" spans="1:28" s="534" customFormat="1" x14ac:dyDescent="0.2">
      <c r="A1" s="755" t="s">
        <v>269</v>
      </c>
      <c r="B1" s="755"/>
    </row>
    <row r="2" spans="1:28" s="534" customFormat="1" x14ac:dyDescent="0.2"/>
    <row r="3" spans="1:28" s="534" customFormat="1" x14ac:dyDescent="0.2"/>
    <row r="4" spans="1:28" s="534" customFormat="1" x14ac:dyDescent="0.2"/>
    <row r="5" spans="1:28" s="534" customFormat="1" x14ac:dyDescent="0.2"/>
    <row r="6" spans="1:28" s="534" customFormat="1" x14ac:dyDescent="0.2"/>
    <row r="7" spans="1:28" s="534" customFormat="1" x14ac:dyDescent="0.2"/>
    <row r="8" spans="1:28" s="534" customFormat="1" x14ac:dyDescent="0.2"/>
    <row r="9" spans="1:28" s="534" customFormat="1" x14ac:dyDescent="0.2"/>
    <row r="10" spans="1:28" customFormat="1" ht="12.75" customHeight="1" x14ac:dyDescent="0.2">
      <c r="B10" s="1013"/>
      <c r="C10" s="1013"/>
      <c r="D10" s="1013"/>
      <c r="E10" s="1013"/>
      <c r="F10" s="1013"/>
      <c r="G10" s="1013"/>
      <c r="H10" s="1013"/>
      <c r="I10" s="1013"/>
      <c r="J10" s="137"/>
      <c r="K10" s="137"/>
      <c r="L10" s="137"/>
      <c r="M10" s="137"/>
    </row>
    <row r="11" spans="1:28" customFormat="1" ht="23.25" x14ac:dyDescent="0.2">
      <c r="B11" s="1014" t="s">
        <v>101</v>
      </c>
      <c r="C11" s="1014"/>
      <c r="D11" s="1014"/>
      <c r="E11" s="1014"/>
      <c r="F11" s="1014"/>
      <c r="G11" s="1014"/>
      <c r="H11" s="1014"/>
      <c r="I11" s="1014"/>
      <c r="J11" s="137"/>
      <c r="K11" s="137"/>
      <c r="L11" s="137"/>
      <c r="M11" s="137"/>
    </row>
    <row r="12" spans="1:28" x14ac:dyDescent="0.2">
      <c r="M12"/>
    </row>
    <row r="13" spans="1:28" ht="15" x14ac:dyDescent="0.2">
      <c r="B13" s="155" t="s">
        <v>87</v>
      </c>
      <c r="F13" s="1015" t="s">
        <v>447</v>
      </c>
      <c r="G13" s="1015"/>
      <c r="H13" s="1015"/>
      <c r="I13" s="1015"/>
      <c r="J13" s="1015"/>
      <c r="K13" s="140"/>
      <c r="L13" s="140"/>
      <c r="AB13" s="134"/>
    </row>
    <row r="14" spans="1:28" x14ac:dyDescent="0.2">
      <c r="B14" s="156"/>
      <c r="F14" s="138"/>
      <c r="G14" s="139"/>
      <c r="H14" s="138"/>
      <c r="I14" s="138"/>
      <c r="J14" s="138"/>
      <c r="K14" s="141"/>
      <c r="L14" s="141"/>
      <c r="AB14" s="134"/>
    </row>
    <row r="15" spans="1:28" ht="15" x14ac:dyDescent="0.2">
      <c r="B15" s="155" t="s">
        <v>88</v>
      </c>
      <c r="F15" s="1011"/>
      <c r="G15" s="1011"/>
      <c r="H15" s="1011"/>
      <c r="I15" s="1011"/>
      <c r="J15" s="1011"/>
      <c r="K15" s="141"/>
      <c r="L15" s="141"/>
      <c r="AB15" s="134"/>
    </row>
    <row r="16" spans="1:28" x14ac:dyDescent="0.2">
      <c r="B16" s="157"/>
      <c r="F16" s="135"/>
      <c r="G16" s="135"/>
      <c r="H16" s="135"/>
      <c r="I16" s="135"/>
      <c r="J16" s="135"/>
      <c r="K16" s="135"/>
      <c r="L16" s="135"/>
      <c r="AB16" s="134"/>
    </row>
    <row r="17" spans="2:28" ht="15" x14ac:dyDescent="0.2">
      <c r="B17" s="155" t="s">
        <v>89</v>
      </c>
      <c r="F17" s="1011" t="s">
        <v>473</v>
      </c>
      <c r="G17" s="1011"/>
      <c r="H17" s="1011"/>
      <c r="I17" s="1011"/>
      <c r="J17" s="1011"/>
      <c r="K17" s="135"/>
      <c r="L17" s="135"/>
      <c r="AB17" s="134"/>
    </row>
    <row r="18" spans="2:28" x14ac:dyDescent="0.2">
      <c r="B18" s="157"/>
      <c r="F18" s="135"/>
      <c r="G18" s="135"/>
      <c r="H18" s="135"/>
      <c r="I18" s="135"/>
      <c r="J18" s="135"/>
      <c r="K18" s="135"/>
      <c r="L18" s="135"/>
      <c r="AB18" s="134"/>
    </row>
    <row r="19" spans="2:28" ht="15" x14ac:dyDescent="0.2">
      <c r="B19" s="155" t="s">
        <v>90</v>
      </c>
      <c r="F19" s="1011" t="s">
        <v>448</v>
      </c>
      <c r="G19" s="1011"/>
      <c r="H19" s="1011"/>
      <c r="I19" s="1011"/>
      <c r="J19" s="1011"/>
      <c r="K19" s="1012"/>
      <c r="L19" s="1012"/>
      <c r="AB19" s="134"/>
    </row>
    <row r="20" spans="2:28" x14ac:dyDescent="0.2">
      <c r="B20" s="156"/>
      <c r="F20" s="142"/>
      <c r="G20" s="143"/>
      <c r="H20" s="142"/>
      <c r="I20" s="142"/>
      <c r="J20" s="142"/>
      <c r="K20" s="135"/>
      <c r="L20" s="135"/>
      <c r="AB20" s="134"/>
    </row>
    <row r="21" spans="2:28" ht="15" x14ac:dyDescent="0.2">
      <c r="B21" s="155" t="s">
        <v>91</v>
      </c>
      <c r="F21" s="1011" t="s">
        <v>475</v>
      </c>
      <c r="G21" s="1011"/>
      <c r="H21" s="1011"/>
      <c r="I21" s="1011"/>
      <c r="J21" s="1011"/>
      <c r="K21" s="135"/>
      <c r="L21" s="135"/>
      <c r="AB21" s="134"/>
    </row>
    <row r="22" spans="2:28" x14ac:dyDescent="0.2">
      <c r="B22" s="156"/>
      <c r="F22" s="142"/>
      <c r="G22" s="143"/>
      <c r="H22" s="142"/>
      <c r="I22" s="142"/>
      <c r="J22" s="142"/>
      <c r="K22" s="135"/>
      <c r="L22" s="135"/>
      <c r="AB22" s="134"/>
    </row>
    <row r="23" spans="2:28" ht="15" x14ac:dyDescent="0.2">
      <c r="B23" s="155" t="s">
        <v>92</v>
      </c>
      <c r="F23" s="1161" t="s">
        <v>476</v>
      </c>
      <c r="G23" s="1011"/>
      <c r="H23" s="1011"/>
      <c r="I23" s="1011"/>
      <c r="J23" s="1011"/>
      <c r="K23" s="135"/>
      <c r="L23" s="135"/>
      <c r="AB23" s="134"/>
    </row>
    <row r="24" spans="2:28" x14ac:dyDescent="0.2">
      <c r="B24" s="156"/>
      <c r="F24" s="142"/>
      <c r="G24" s="143"/>
      <c r="H24" s="142"/>
      <c r="I24" s="142"/>
      <c r="J24" s="142"/>
      <c r="K24" s="135"/>
      <c r="L24" s="135"/>
      <c r="AB24" s="134"/>
    </row>
    <row r="25" spans="2:28" ht="15" x14ac:dyDescent="0.2">
      <c r="B25" s="155" t="s">
        <v>93</v>
      </c>
      <c r="F25" s="159" t="s">
        <v>404</v>
      </c>
      <c r="G25" s="160"/>
      <c r="H25" s="160"/>
      <c r="I25" s="142"/>
      <c r="J25" s="142"/>
      <c r="K25" s="135"/>
      <c r="L25" s="135"/>
      <c r="AB25" s="134"/>
    </row>
    <row r="26" spans="2:28" x14ac:dyDescent="0.2">
      <c r="B26" s="61"/>
      <c r="F26" s="58"/>
      <c r="G26" s="161"/>
      <c r="H26" s="161"/>
      <c r="I26" s="534"/>
      <c r="J26" s="534"/>
      <c r="AB26" s="134"/>
    </row>
    <row r="27" spans="2:28" ht="15" x14ac:dyDescent="0.2">
      <c r="B27" s="155" t="s">
        <v>94</v>
      </c>
      <c r="F27" s="159" t="s">
        <v>449</v>
      </c>
      <c r="G27" s="160"/>
      <c r="H27" s="160"/>
      <c r="I27" s="534"/>
      <c r="J27" s="534"/>
      <c r="AB27" s="134"/>
    </row>
    <row r="28" spans="2:28" x14ac:dyDescent="0.2">
      <c r="B28" s="158"/>
      <c r="F28" s="58"/>
      <c r="G28" s="161"/>
      <c r="H28" s="161"/>
      <c r="I28" s="534"/>
      <c r="J28" s="534"/>
      <c r="AB28" s="134"/>
    </row>
    <row r="29" spans="2:28" ht="15" x14ac:dyDescent="0.2">
      <c r="B29" s="155" t="s">
        <v>95</v>
      </c>
      <c r="F29" s="159" t="s">
        <v>264</v>
      </c>
      <c r="G29" s="160"/>
      <c r="H29" s="160"/>
      <c r="I29" s="534"/>
      <c r="J29" s="534"/>
      <c r="AB29" s="134"/>
    </row>
    <row r="30" spans="2:28" x14ac:dyDescent="0.2">
      <c r="AB30" s="134"/>
    </row>
    <row r="32" spans="2:28" x14ac:dyDescent="0.2">
      <c r="B32" s="177" t="s">
        <v>272</v>
      </c>
      <c r="D32" s="62"/>
    </row>
    <row r="33" spans="2:4" x14ac:dyDescent="0.2">
      <c r="B33" s="1" t="s">
        <v>270</v>
      </c>
      <c r="D33" s="756"/>
    </row>
    <row r="34" spans="2:4" x14ac:dyDescent="0.2">
      <c r="B34" s="1" t="s">
        <v>271</v>
      </c>
      <c r="D34" s="760"/>
    </row>
  </sheetData>
  <mergeCells count="9">
    <mergeCell ref="F23:J23"/>
    <mergeCell ref="K19:L19"/>
    <mergeCell ref="F21:J21"/>
    <mergeCell ref="B10:I10"/>
    <mergeCell ref="B11:I11"/>
    <mergeCell ref="F15:J15"/>
    <mergeCell ref="F17:J17"/>
    <mergeCell ref="F19:J19"/>
    <mergeCell ref="F13:J13"/>
  </mergeCells>
  <hyperlinks>
    <hyperlink ref="F23" r:id="rId1"/>
  </hyperlinks>
  <pageMargins left="0.7" right="0.7" top="0.75" bottom="0.75" header="0.3" footer="0.3"/>
  <pageSetup paperSize="9" orientation="portrait" horizontalDpi="0"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showGridLines="0" zoomScaleNormal="100" workbookViewId="0">
      <selection activeCell="A11" sqref="A11"/>
    </sheetView>
  </sheetViews>
  <sheetFormatPr defaultColWidth="10.5" defaultRowHeight="12.75" x14ac:dyDescent="0.2"/>
  <cols>
    <col min="1" max="1" width="13.6640625" style="1" customWidth="1"/>
    <col min="2" max="2" width="50.1640625" style="1" customWidth="1"/>
    <col min="3" max="3" width="50.1640625" style="1" hidden="1" customWidth="1"/>
    <col min="4" max="4" width="12.5" style="1" bestFit="1" customWidth="1"/>
    <col min="5" max="5" width="18" style="1" bestFit="1" customWidth="1"/>
    <col min="6" max="7" width="16.33203125" style="1" bestFit="1" customWidth="1"/>
    <col min="8" max="8" width="13.33203125" style="1" bestFit="1" customWidth="1"/>
    <col min="9" max="16" width="16.33203125" style="1" bestFit="1" customWidth="1"/>
    <col min="17" max="18" width="10.5" style="1"/>
    <col min="19" max="20" width="1.83203125" style="1" bestFit="1" customWidth="1"/>
    <col min="21" max="16384" width="10.5" style="1"/>
  </cols>
  <sheetData>
    <row r="1" spans="1:16" s="534" customFormat="1" x14ac:dyDescent="0.2">
      <c r="A1" s="755" t="s">
        <v>269</v>
      </c>
    </row>
    <row r="2" spans="1:16" s="534" customFormat="1" x14ac:dyDescent="0.2"/>
    <row r="3" spans="1:16" s="534" customFormat="1" x14ac:dyDescent="0.2"/>
    <row r="4" spans="1:16" s="534" customFormat="1" x14ac:dyDescent="0.2"/>
    <row r="5" spans="1:16" s="534" customFormat="1" x14ac:dyDescent="0.2"/>
    <row r="6" spans="1:16" s="534" customFormat="1" x14ac:dyDescent="0.2"/>
    <row r="7" spans="1:16" s="534" customFormat="1" x14ac:dyDescent="0.2"/>
    <row r="8" spans="1:16" s="534" customFormat="1" x14ac:dyDescent="0.2"/>
    <row r="9" spans="1:16" s="534" customFormat="1" x14ac:dyDescent="0.2"/>
    <row r="11" spans="1:16" ht="23.25" x14ac:dyDescent="0.2">
      <c r="B11" s="133" t="s">
        <v>102</v>
      </c>
      <c r="C11" s="133"/>
    </row>
    <row r="12" spans="1:16" ht="13.5" customHeight="1" x14ac:dyDescent="0.2">
      <c r="B12" s="63" t="s">
        <v>64</v>
      </c>
      <c r="C12" s="133"/>
    </row>
    <row r="13" spans="1:16" ht="13.5" customHeight="1" x14ac:dyDescent="0.2">
      <c r="B13" s="100" t="s">
        <v>260</v>
      </c>
      <c r="C13" s="133"/>
    </row>
    <row r="14" spans="1:16" ht="13.5" customHeight="1" thickBot="1" x14ac:dyDescent="0.25"/>
    <row r="15" spans="1:16" ht="13.5" thickBot="1" x14ac:dyDescent="0.25">
      <c r="B15" s="471"/>
      <c r="C15" s="472"/>
      <c r="D15" s="418" t="s">
        <v>33</v>
      </c>
      <c r="E15" s="416">
        <f>'4. Customer Growth'!B17</f>
        <v>2006</v>
      </c>
      <c r="F15" s="416">
        <f>'4. Customer Growth'!B18</f>
        <v>2007</v>
      </c>
      <c r="G15" s="416">
        <f>'4. Customer Growth'!B19</f>
        <v>2008</v>
      </c>
      <c r="H15" s="416">
        <f>'4. Customer Growth'!B20</f>
        <v>2009</v>
      </c>
      <c r="I15" s="416">
        <f>'4. Customer Growth'!B21</f>
        <v>2010</v>
      </c>
      <c r="J15" s="416">
        <f>'4. Customer Growth'!B22</f>
        <v>2011</v>
      </c>
      <c r="K15" s="416">
        <f>'4. Customer Growth'!B23</f>
        <v>2012</v>
      </c>
      <c r="L15" s="416">
        <f>'4. Customer Growth'!B24</f>
        <v>2013</v>
      </c>
      <c r="M15" s="416">
        <f>'4. Customer Growth'!B25</f>
        <v>2014</v>
      </c>
      <c r="N15" s="416">
        <f>'4. Customer Growth'!B26</f>
        <v>2015</v>
      </c>
      <c r="O15" s="416" t="str">
        <f>'4. Customer Growth'!B30</f>
        <v>2016</v>
      </c>
      <c r="P15" s="417" t="str">
        <f>'4. Customer Growth'!B31</f>
        <v>2017</v>
      </c>
    </row>
    <row r="16" spans="1:16" x14ac:dyDescent="0.2">
      <c r="B16" s="757" t="s">
        <v>194</v>
      </c>
      <c r="C16" s="774" t="str">
        <f>IF($B16=$F$65,+$B$65,+IF($B16=$F$66,+$B$66,+IF($B16=$F$67,+$B$67,+IF($B16=$F$67,$B$67,+IF($B16=$F$68,+$B$68,+IF($B16=$F$69,+$B$69,+IF($B16=$F$70,+$B$70,+IF($B16=$F$71,+$B$71,+IF($B16=$F$72,+$B$72,+IF($B16=$F$73,+$B$73,+IF($B16=$F$74,+$B$74)))))))))))</f>
        <v>Residential</v>
      </c>
      <c r="D16" s="399" t="s">
        <v>130</v>
      </c>
      <c r="E16" s="507">
        <f>IF($C16='4. Customer Growth'!$C$15,+'4. Customer Growth'!$C$17,+IF($C16='4. Customer Growth'!$E$15,+'4. Customer Growth'!$E$17,+IF($C16='4. Customer Growth'!$G$15,+'4. Customer Growth'!$G$17,+IF($C16='4. Customer Growth'!$I$15,+'4. Customer Growth'!$I$17,+IF($C16='4. Customer Growth'!$K$15,+'4. Customer Growth'!$K$17,+IF($C16='4. Customer Growth'!$M$15,+'4. Customer Growth'!$M$17,IF($C16='4. Customer Growth'!$O$15,+'4. Customer Growth'!$O$17)))))))</f>
        <v>3537</v>
      </c>
      <c r="F16" s="507">
        <f>IF($C16='4. Customer Growth'!$C$15,+'4. Customer Growth'!$C$18,+IF($C16='4. Customer Growth'!$E$15,+'4. Customer Growth'!$E$18,+IF($C16='4. Customer Growth'!$G$15,+'4. Customer Growth'!$G$18,+IF($C16='4. Customer Growth'!$I$15,+'4. Customer Growth'!$I$18,+IF($C16='4. Customer Growth'!$K$15,+'4. Customer Growth'!$K$18,+IF($C16='4. Customer Growth'!$M$15,+'4. Customer Growth'!$M$18,IF($C16='4. Customer Growth'!$O$15,+'4. Customer Growth'!$O$18)))))))</f>
        <v>3551</v>
      </c>
      <c r="G16" s="507">
        <f>IF($C16='4. Customer Growth'!$C$15,+'4. Customer Growth'!$C$19,+IF($C16='4. Customer Growth'!$E$15,+'4. Customer Growth'!$E$19,+IF($C16='4. Customer Growth'!$G$15,+'4. Customer Growth'!$G$19,+IF($C16='4. Customer Growth'!$I$15,+'4. Customer Growth'!$I$19,+IF($C16='4. Customer Growth'!$K$15,+'4. Customer Growth'!$K$19,+IF($C16='4. Customer Growth'!$M$15,+'4. Customer Growth'!$M$19,IF($C16='4. Customer Growth'!$O$15,+'4. Customer Growth'!$O$19)))))))</f>
        <v>3581</v>
      </c>
      <c r="H16" s="507">
        <f>IF($C16='4. Customer Growth'!$C$15,+'4. Customer Growth'!$C$20,+IF($C16='4. Customer Growth'!$E$15,+'4. Customer Growth'!$E$20,+IF($C16='4. Customer Growth'!$G$15,+'4. Customer Growth'!$G$20,+IF($C16='4. Customer Growth'!$I$15,+'4. Customer Growth'!$I$20,+IF($C16='4. Customer Growth'!$K$15,+'4. Customer Growth'!$K$20,+IF($C16='4. Customer Growth'!$M$15,+'4. Customer Growth'!$M$20,IF($C16='4. Customer Growth'!$O$15,+'4. Customer Growth'!$O$20)))))))</f>
        <v>3608</v>
      </c>
      <c r="I16" s="507">
        <f>IF($C16='4. Customer Growth'!$C$15,+'4. Customer Growth'!$C$21,+IF($C16='4. Customer Growth'!$E$15,+'4. Customer Growth'!$E$21,+IF($C16='4. Customer Growth'!$G$15,+'4. Customer Growth'!$G$21,+IF($C16='4. Customer Growth'!$I$15,+'4. Customer Growth'!$I$21,+IF($C16='4. Customer Growth'!$K$15,+'4. Customer Growth'!$K$21,+IF($C16='4. Customer Growth'!$M$15,+'4. Customer Growth'!$M$21,IF($C16='4. Customer Growth'!$O$15,+'4. Customer Growth'!$O$21)))))))</f>
        <v>3654</v>
      </c>
      <c r="J16" s="507">
        <f>IF($C16='4. Customer Growth'!$C$15,+'4. Customer Growth'!$C$22,+IF($C16='4. Customer Growth'!$E$15,+'4. Customer Growth'!$E$22,+IF($C16='4. Customer Growth'!$G$15,+'4. Customer Growth'!$G$22,+IF($C16='4. Customer Growth'!$I$15,+'4. Customer Growth'!$I$22,+IF($C16='4. Customer Growth'!$K$15,+'4. Customer Growth'!$K$22,+IF($C16='4. Customer Growth'!$M$15,+'4. Customer Growth'!$M$22,IF($C16='4. Customer Growth'!$O$15,+'4. Customer Growth'!$O$22)))))))</f>
        <v>3687</v>
      </c>
      <c r="K16" s="507">
        <f>IF($C16='4. Customer Growth'!$C$15,+'4. Customer Growth'!$C$23,+IF($C16='4. Customer Growth'!$E$15,+'4. Customer Growth'!$E$23,+IF($C16='4. Customer Growth'!$G$15,+'4. Customer Growth'!$G$23,+IF($C16='4. Customer Growth'!$I$15,+'4. Customer Growth'!$I$23,+IF($C16='4. Customer Growth'!$K$15,+'4. Customer Growth'!$K$23,+IF($C16='4. Customer Growth'!$M$15,+'4. Customer Growth'!$M$23,IF($C16='4. Customer Growth'!$O$15,+'4. Customer Growth'!$O$23)))))))</f>
        <v>3707</v>
      </c>
      <c r="L16" s="507">
        <f>IF($C16='4. Customer Growth'!$C$15,+'4. Customer Growth'!$C$24,+IF($C16='4. Customer Growth'!$E$15,+'4. Customer Growth'!$E$24,+IF($C16='4. Customer Growth'!$G$15,+'4. Customer Growth'!$G$24,+IF($C16='4. Customer Growth'!$I$15,+'4. Customer Growth'!$I$24,+IF($C16='4. Customer Growth'!$K$15,+'4. Customer Growth'!$K$24,+IF($C16='4. Customer Growth'!$M$15,+'4. Customer Growth'!$M$24,IF($C16='4. Customer Growth'!$O$15,+'4. Customer Growth'!$O$24)))))))</f>
        <v>3730</v>
      </c>
      <c r="M16" s="507">
        <f>IF($C16='4. Customer Growth'!$C$15,+'4. Customer Growth'!$C$25,+IF($C16='4. Customer Growth'!$E$15,+'4. Customer Growth'!$E$25,+IF($C16='4. Customer Growth'!$G$15,+'4. Customer Growth'!$G$25,+IF($C16='4. Customer Growth'!$I$15,+'4. Customer Growth'!$I$25,+IF($C16='4. Customer Growth'!$K$15,+'4. Customer Growth'!$K$25,+IF($C16='4. Customer Growth'!$M$15,+'4. Customer Growth'!$M$25,IF($C16='4. Customer Growth'!$O$15,+'4. Customer Growth'!$O$25)))))))</f>
        <v>3760</v>
      </c>
      <c r="N16" s="507">
        <f>IF($C16='4. Customer Growth'!$C$15,+'4. Customer Growth'!$C$26,+IF($C16='4. Customer Growth'!$E$15,+'4. Customer Growth'!$E$26,+IF($C16='4. Customer Growth'!$G$15,+'4. Customer Growth'!$G$26,+IF($C16='4. Customer Growth'!$I$15,+'4. Customer Growth'!$I$26,+IF($C16='4. Customer Growth'!$K$15,+'4. Customer Growth'!$K$26,+IF($C16='4. Customer Growth'!$M$15,+'4. Customer Growth'!$M$26,IF($C16='4. Customer Growth'!$O$15,+'4. Customer Growth'!$O$26)))))))</f>
        <v>3779</v>
      </c>
      <c r="O16" s="507">
        <f>IF($C16='4. Customer Growth'!$C$15,+'4. Customer Growth'!$C$42,+IF($C16='4. Customer Growth'!$E$15,+'4. Customer Growth'!$E$42,+IF($C16='4. Customer Growth'!$G$15,+'4. Customer Growth'!$G$42,+IF($C16='4. Customer Growth'!$I$15,+'4. Customer Growth'!$I$42,+IF($C16='4. Customer Growth'!$K$15,+'4. Customer Growth'!$K$42,+IF($C16='4. Customer Growth'!$M$15,+'4. Customer Growth'!$M$42,IF($C16='4. Customer Growth'!$O$15,+'4. Customer Growth'!$O$42)))))))</f>
        <v>3806.8908831500453</v>
      </c>
      <c r="P16" s="508">
        <f>IF($C16='4. Customer Growth'!$C$15,+'4. Customer Growth'!$C$43,+IF($C16='4. Customer Growth'!$E$15,+'4. Customer Growth'!$E$43,+IF($C16='4. Customer Growth'!$G$15,+'4. Customer Growth'!$G$43,+IF($C16='4. Customer Growth'!$I$15,+'4. Customer Growth'!$I$43,+IF($C16='4. Customer Growth'!$K$15,+'4. Customer Growth'!$K$43,+IF($C16='4. Customer Growth'!$M$15,+'4. Customer Growth'!$M$43,IF($C16='4. Customer Growth'!$O$15,+'4. Customer Growth'!$O$43)))))))</f>
        <v>3834.9876147687037</v>
      </c>
    </row>
    <row r="17" spans="2:16" x14ac:dyDescent="0.2">
      <c r="B17" s="89"/>
      <c r="C17" s="775"/>
      <c r="D17" s="59" t="s">
        <v>36</v>
      </c>
      <c r="E17" s="507">
        <f>IF($B16=$F$65,+'7. Weather Senstive Class'!$C$21,IF($B16=$F$66,+'7. Weather Senstive Class'!$O$21,IF($B16=$F$67,+'7. Weather Senstive Class'!$W$21,IF($B16=$F$68,+'7. Weather Senstive Class'!$AE$21,IF($B16=$F$69,+'7. Weather Senstive Class'!$AM$21,IF($B16=$F$70,+'8. KW and Non-Weather Sensitive'!$E$21,IF($B16=$F$71,+'8. KW and Non-Weather Sensitive'!$P$21,IF($B16=$F$72,+'8. KW and Non-Weather Sensitive'!$Z$21,IF($B16=$F$73,+'8. KW and Non-Weather Sensitive'!$AJ$21,IF($B16=$F$74,+'8. KW and Non-Weather Sensitive'!$AT$21))))))))))</f>
        <v>30640106</v>
      </c>
      <c r="F17" s="507">
        <f>IF($B16=$F$65,+'7. Weather Senstive Class'!$C$22,IF($B16=$F$66,+'7. Weather Senstive Class'!$O$22,IF($B16=$F$67,+'7. Weather Senstive Class'!$W$22,IF($B16=$F$68,+'7. Weather Senstive Class'!$AE$22,IF($B16=$F$69,+'7. Weather Senstive Class'!$AM$22,IF($B16=$F$70,+'8. KW and Non-Weather Sensitive'!$E$22,IF($B16=$F$71,+'8. KW and Non-Weather Sensitive'!$P$22,IF($B16=$F$72,+'8. KW and Non-Weather Sensitive'!$Z$22,IF($B16=$F$73,+'8. KW and Non-Weather Sensitive'!$AJ$22,IF($B16=$F$74,+'8. KW and Non-Weather Sensitive'!$AT$22))))))))))</f>
        <v>31007901</v>
      </c>
      <c r="G17" s="507">
        <f>IF($B16=$F$65,+'7. Weather Senstive Class'!$C$23,IF($B16=$F$66,+'7. Weather Senstive Class'!$O$23,IF($B16=$F$67,+'7. Weather Senstive Class'!$W$23,IF($B16=$F$68,+'7. Weather Senstive Class'!$AE$23,IF($B16=$F$69,+'7. Weather Senstive Class'!$AM$23,IF($B16=$F$70,+'8. KW and Non-Weather Sensitive'!$E$23,IF($B16=$F$71,+'8. KW and Non-Weather Sensitive'!$P$23,IF($B16=$F$72,+'8. KW and Non-Weather Sensitive'!$Z$23,IF($B16=$F$73,+'8. KW and Non-Weather Sensitive'!$AJ$23,IF($B16=$F$74,+'8. KW and Non-Weather Sensitive'!$AT$23))))))))))</f>
        <v>31465398</v>
      </c>
      <c r="H17" s="507">
        <f>IF($B16=$F$65,+'7. Weather Senstive Class'!$C$24,IF($B16=$F$66,+'7. Weather Senstive Class'!$O$24,IF($B16=$F$67,+'7. Weather Senstive Class'!$W$24,IF($B16=$F$68,+'7. Weather Senstive Class'!$AE$24,IF($B16=$F$69,+'7. Weather Senstive Class'!$AM$24,IF($B16=$F$70,+'8. KW and Non-Weather Sensitive'!$E$24,IF($B16=$F$71,+'8. KW and Non-Weather Sensitive'!$P$24,IF($B16=$F$72,+'8. KW and Non-Weather Sensitive'!$Z$24,IF($B16=$F$73,+'8. KW and Non-Weather Sensitive'!$AJ$24,IF($B16=$F$74,+'8. KW and Non-Weather Sensitive'!$AT$24))))))))))</f>
        <v>30635928</v>
      </c>
      <c r="I17" s="507">
        <f>IF($B16=$F$65,+'7. Weather Senstive Class'!$C$25,IF($B16=$F$66,+'7. Weather Senstive Class'!$O$25,IF($B16=$F$67,+'7. Weather Senstive Class'!$W$25,IF($B16=$F$68,+'7. Weather Senstive Class'!$AE$25,IF($B16=$F$69,+'7. Weather Senstive Class'!$AM$25,IF($B16=$F$70,+'8. KW and Non-Weather Sensitive'!$E$25,IF($B16=$F$71,+'8. KW and Non-Weather Sensitive'!$P$25,IF($B16=$F$72,+'8. KW and Non-Weather Sensitive'!$Z$25,IF($B16=$F$73,+'8. KW and Non-Weather Sensitive'!$AJ$25,IF($B16=$F$74,+'8. KW and Non-Weather Sensitive'!$AT$25))))))))))</f>
        <v>30305144</v>
      </c>
      <c r="J17" s="507">
        <f>IF($B16=$F$65,+'7. Weather Senstive Class'!$C$26,IF($B16=$F$66,+'7. Weather Senstive Class'!$O$26,IF($B16=$F$67,+'7. Weather Senstive Class'!$M$26,IF($B16=$F$68,+'7. Weather Senstive Class'!$AE$26,IF($B16=$F$69,+'7. Weather Senstive Class'!$AM$26,IF($B16=$F$70,+'8. KW and Non-Weather Sensitive'!$E$26,IF($B16=$F$71,+'8. KW and Non-Weather Sensitive'!$P$26,IF($B16=$F$72,+'8. KW and Non-Weather Sensitive'!$Z$26,IF($B16=$F$73,+'8. KW and Non-Weather Sensitive'!$AJ$26,IF($B16=$F$74,+'8. KW and Non-Weather Sensitive'!$AT$26))))))))))</f>
        <v>30085520</v>
      </c>
      <c r="K17" s="507">
        <f>IF($B16=$F$65,+'7. Weather Senstive Class'!$C$27,IF($B16=$F$66,+'7. Weather Senstive Class'!$O$27,IF($B16=$F$67,+'7. Weather Senstive Class'!$W$27,IF($B16=$F$68,+'7. Weather Senstive Class'!$AE$27,IF($B16=$F$69,+'7. Weather Senstive Class'!$AM$27,IF($B16=$F$70,+'8. KW and Non-Weather Sensitive'!$E$27,IF($B16=$F$71,+'8. KW and Non-Weather Sensitive'!$P$27,IF($B16=$F$72,+'8. KW and Non-Weather Sensitive'!$Z$27,IF($B16=$F$73,+'8. KW and Non-Weather Sensitive'!$AJ$27,IF($B16=$F$74,+'8. KW and Non-Weather Sensitive'!$AT$27))))))))))</f>
        <v>29994156</v>
      </c>
      <c r="L17" s="507">
        <f>IF($B16=$F$65,+'7. Weather Senstive Class'!$C$28,IF($B16=$F$66,+'7. Weather Senstive Class'!$O$28,IF($B16=$F$67,+'7. Weather Senstive Class'!$W$28,IF($B16=$F$68,+'7. Weather Senstive Class'!$AE$28,IF($B16=$F$69,+'7. Weather Senstive Class'!$AM$28,IF($B16=$F$70,+'8. KW and Non-Weather Sensitive'!$E$28,IF($B16=$F$71,+'8. KW and Non-Weather Sensitive'!$P$28,IF($B16=$F$72,+'8. KW and Non-Weather Sensitive'!$Z$28,IF($B16=$F$73,+'8. KW and Non-Weather Sensitive'!$AJ$28,IF($B16=$F$74,+'8. KW and Non-Weather Sensitive'!$AT$28))))))))))</f>
        <v>30486731</v>
      </c>
      <c r="M17" s="507">
        <f>IF($B16=$F$65,+'7. Weather Senstive Class'!$C$29,IF($B16=$F$66,+'7. Weather Senstive Class'!$O$29,IF($B16=$F$67,+'7. Weather Senstive Class'!$W$29,IF($B16=$F$68,+'7. Weather Senstive Class'!$AE$29,IF($B16=$F$69,+'7. Weather Senstive Class'!$AM$29,IF($B16=$F$70,+'8. KW and Non-Weather Sensitive'!$E$29,IF($B16=$F$71,+'8. KW and Non-Weather Sensitive'!$P$29,IF($B16=$F$72,+'8. KW and Non-Weather Sensitive'!$Z$29,IF($B16=$F$73,+'8. KW and Non-Weather Sensitive'!$AJ$29,IF($B16=$F$74,+'8. KW and Non-Weather Sensitive'!$AT$29))))))))))</f>
        <v>30037011</v>
      </c>
      <c r="N17" s="507">
        <f>IF($B16=$F$65,+'7. Weather Senstive Class'!$C$30,IF($B16=$F$66,+'7. Weather Senstive Class'!$O$30,IF($B16=$F$67,+'7. Weather Senstive Class'!$W$30,IF($B16=$F$68,+'7. Weather Senstive Class'!$AE$30,IF($B16=$F$69,+'7. Weather Senstive Class'!$AM$30,IF($B16=$F$70,+'8. KW and Non-Weather Sensitive'!$E$30,IF($B16=$F$71,+'8. KW and Non-Weather Sensitive'!$P$30,IF($B16=$F$72,+'8. KW and Non-Weather Sensitive'!$Z$30,IF($B16=$F$73,+'8. KW and Non-Weather Sensitive'!$AJ$30,IF($B16=$F$74,+'8. KW and Non-Weather Sensitive'!$AT$30))))))))))</f>
        <v>29589162</v>
      </c>
      <c r="O17" s="507">
        <f>IF($B16=$F$65,+'7. Weather Senstive Class'!$H$42,IF($B16=$F$66,+'7. Weather Senstive Class'!$P$42,IF($B16=$F$67,+'7. Weather Senstive Class'!$X$42,IF($B16=$F$68,+'7. Weather Senstive Class'!$AF$42,IF($B16=$F$69,+'7. Weather Senstive Class'!$AN$42,IF($B16=$F$70,+'8. KW and Non-Weather Sensitive'!$I$49,IF($B16=$F$71,+'8. KW and Non-Weather Sensitive'!$T$49,IF($B16=$F$72,+'8. KW and Non-Weather Sensitive'!$AD$49,IF($B16=$F$73,+'8. KW and Non-Weather Sensitive'!$AN$49,IF($B16=$F$74,+'8. KW and Non-Weather Sensitive'!$AX$49))))))))))</f>
        <v>29593740.40872103</v>
      </c>
      <c r="P17" s="508">
        <f>IF($B16=$F$65,+'7. Weather Senstive Class'!$H$43,IF($B16=$F$66,+'7. Weather Senstive Class'!$P$43,IF($B16=$F$67,+'7. Weather Senstive Class'!$X$43,IF($B16=$F$68,+'7. Weather Senstive Class'!$AF$43,IF($B16=$F$69,+'7. Weather Senstive Class'!$AN$43,IF($B16=$F$70,+'8. KW and Non-Weather Sensitive'!$I$50,IF($B16=$F$71,+'8. KW and Non-Weather Sensitive'!$T$50,IF($B16=$F$72,+'8. KW and Non-Weather Sensitive'!$AD$50,IF($B16=$F$73,+'8. KW and Non-Weather Sensitive'!$AN$50,IF($B16=$F$74,+'8. KW and Non-Weather Sensitive'!$AX$50))))))))))</f>
        <v>29357541.574564926</v>
      </c>
    </row>
    <row r="18" spans="2:16" x14ac:dyDescent="0.2">
      <c r="B18" s="89"/>
      <c r="C18" s="775"/>
      <c r="D18" s="59" t="s">
        <v>37</v>
      </c>
      <c r="E18" s="405">
        <f>IF(B$16=$F$70,+'8. KW and Non-Weather Sensitive'!$F$21,IF($B16=$F$71,+'8. KW and Non-Weather Sensitive'!$Q$21,IF($B16=$F$72,+'8. KW and Non-Weather Sensitive'!$AA$21,IF($B16=$F$73,+'8. KW and Non-Weather Sensitive'!$AK$21,+IF($B16=$F$74,+'8. KW and Non-Weather Sensitive'!$AU$21,0)))))</f>
        <v>0</v>
      </c>
      <c r="F18" s="405">
        <f>IF($B16=$F$70,+'8. KW and Non-Weather Sensitive'!$F$22,IF($B16=$F$71,+'8. KW and Non-Weather Sensitive'!$Q$22,IF($B16=$F$72,+'8. KW and Non-Weather Sensitive'!$AA$22,IF($B16=$F$73,+'8. KW and Non-Weather Sensitive'!$AK$22,+IF($B16=$F$74,+'8. KW and Non-Weather Sensitive'!$AU$22,0)))))</f>
        <v>0</v>
      </c>
      <c r="G18" s="405">
        <f>IF($B16=$F$70,+'8. KW and Non-Weather Sensitive'!$F$23,IF($B16=$F$71,+'8. KW and Non-Weather Sensitive'!$Q$23,IF($B16=$F$72,+'8. KW and Non-Weather Sensitive'!$AA$23,IF($B16=$F$73,+'8. KW and Non-Weather Sensitive'!$AK$23,+IF($B16=$F$74,+'8. KW and Non-Weather Sensitive'!$AU$23,0)))))</f>
        <v>0</v>
      </c>
      <c r="H18" s="405">
        <f>IF($B16=$F$70,+'8. KW and Non-Weather Sensitive'!$F$24,IF($B16=$F$71,+'8. KW and Non-Weather Sensitive'!$Q$24,IF($B16=$F$72,+'8. KW and Non-Weather Sensitive'!$AA$24,IF($B16=$F$73,+'8. KW and Non-Weather Sensitive'!$AK$24,+IF($B16=$F$74,+'8. KW and Non-Weather Sensitive'!$AU$24,0)))))</f>
        <v>0</v>
      </c>
      <c r="I18" s="405">
        <f>IF($B16=$F$70,+'8. KW and Non-Weather Sensitive'!$F$25,IF($B16=$F$71,+'8. KW and Non-Weather Sensitive'!$Q$25,IF($B16=$F$72,+'8. KW and Non-Weather Sensitive'!$AA$25,IF($B16=$F$73,+'8. KW and Non-Weather Sensitive'!$AK$25,+IF($B16=$F$74,+'8. KW and Non-Weather Sensitive'!$AU$25,0)))))</f>
        <v>0</v>
      </c>
      <c r="J18" s="405">
        <f>IF($B16=$F$70,+'8. KW and Non-Weather Sensitive'!$F$26,IF($B16=$F$71,+'8. KW and Non-Weather Sensitive'!$Q$26,IF($B16=$F$72,+'8. KW and Non-Weather Sensitive'!$AA$26,IF($B16=$F$73,+'8. KW and Non-Weather Sensitive'!$AK$26,+IF($B16=$F$74,+'8. KW and Non-Weather Sensitive'!$AU$26,0)))))</f>
        <v>0</v>
      </c>
      <c r="K18" s="405">
        <f>IF($B16=$F$70,+'8. KW and Non-Weather Sensitive'!$F$27,IF($B16=$F$71,+'8. KW and Non-Weather Sensitive'!$Q$27,IF($B16=$F$72,+'8. KW and Non-Weather Sensitive'!$AA$27,IF($B16=$F$73,+'8. KW and Non-Weather Sensitive'!$AK$27,+IF($B16=$F$74,+'8. KW and Non-Weather Sensitive'!$AU$27,0)))))</f>
        <v>0</v>
      </c>
      <c r="L18" s="405">
        <f>IF($B16=$F$70,+'8. KW and Non-Weather Sensitive'!$F$28,IF($B16=$F$71,+'8. KW and Non-Weather Sensitive'!$Q$28,IF($B16=$F$72,+'8. KW and Non-Weather Sensitive'!$AA$28,IF($B16=$F$73,+'8. KW and Non-Weather Sensitive'!$AK$28,+IF($B16=$F$74,+'8. KW and Non-Weather Sensitive'!$AU$28,0)))))</f>
        <v>0</v>
      </c>
      <c r="M18" s="405">
        <f>IF($B16=$F$70,+'8. KW and Non-Weather Sensitive'!$F$29,IF($B16=$F$71,+'8. KW and Non-Weather Sensitive'!$Q$29,IF($B16=$F$72,+'8. KW and Non-Weather Sensitive'!$AA$29,IF($B16=$F$73,+'8. KW and Non-Weather Sensitive'!$AK$29,+IF($B16=$F$74,+'8. KW and Non-Weather Sensitive'!$AU$29,0)))))</f>
        <v>0</v>
      </c>
      <c r="N18" s="405">
        <f>IF($B16=$F$70,+'8. KW and Non-Weather Sensitive'!$F$30,IF($B16=$F$71,+'8. KW and Non-Weather Sensitive'!$Q$30,IF($B16=$F$72,+'8. KW and Non-Weather Sensitive'!$AA$30,IF($B16=$F$73,+'8. KW and Non-Weather Sensitive'!$AK$30,+IF($B16=$F$74,+'8. KW and Non-Weather Sensitive'!$AU$30,0)))))</f>
        <v>0</v>
      </c>
      <c r="O18" s="405">
        <f>IF($B16=$F$70,+'8. KW and Non-Weather Sensitive'!$J$49,IF($B16=$F$71,+'8. KW and Non-Weather Sensitive'!$U$49,IF($B16=$F$72,+'8. KW and Non-Weather Sensitive'!$AE$49,IF($B16=$F$73,+'8. KW and Non-Weather Sensitive'!$AO$49,+IF($B16=$F$74,+'8. KW and Non-Weather Sensitive'!$AY$49,0)))))</f>
        <v>0</v>
      </c>
      <c r="P18" s="509">
        <f>IF($B16=$F$70,+'8. KW and Non-Weather Sensitive'!$J$50,IF($B16=$F$71,+'8. KW and Non-Weather Sensitive'!$U$50,IF($B16=$F$72,+'8. KW and Non-Weather Sensitive'!$AE$50,IF($B16=$F$73,+'8. KW and Non-Weather Sensitive'!$AO$50,+IF($B16=$F$74,+'8. KW and Non-Weather Sensitive'!$AY$50,0)))))</f>
        <v>0</v>
      </c>
    </row>
    <row r="19" spans="2:16" x14ac:dyDescent="0.2">
      <c r="B19" s="89"/>
      <c r="C19" s="775"/>
      <c r="D19" s="59"/>
      <c r="E19" s="405"/>
      <c r="F19" s="405"/>
      <c r="G19" s="405"/>
      <c r="H19" s="405"/>
      <c r="I19" s="405"/>
      <c r="J19" s="405"/>
      <c r="K19" s="405"/>
      <c r="L19" s="405"/>
      <c r="M19" s="405"/>
      <c r="N19" s="405"/>
      <c r="O19" s="406"/>
      <c r="P19" s="407"/>
    </row>
    <row r="20" spans="2:16" x14ac:dyDescent="0.2">
      <c r="B20" s="759" t="s">
        <v>193</v>
      </c>
      <c r="C20" s="774" t="str">
        <f>IF($B20=$F$65,+$B$65,+IF($B20=$F$66,+$B$66,+IF($B20=$F$67,+$B$67,+IF($B20=$F$67,$B$67,+IF($B20=$F$68,+$B$68,+IF($B20=$F$69,+$B$69,+IF($B20=$F$70,+$B$70,+IF($B20=$F$71,+$B$71,+IF($B20=$F$72,+$B$72,+IF($B20=$F$73,+$B$73,+IF($B20=$F$74,+$B$74)))))))))))</f>
        <v>General Service &lt; 50 kW</v>
      </c>
      <c r="D20" s="88" t="s">
        <v>130</v>
      </c>
      <c r="E20" s="507">
        <f>IF($C20='4. Customer Growth'!$C$15,+'4. Customer Growth'!$C$17,+IF($C20='4. Customer Growth'!$E$15,+'4. Customer Growth'!$E$17,+IF($C20='4. Customer Growth'!$G$15,+'4. Customer Growth'!$G$17,+IF($C20='4. Customer Growth'!$I$15,+'4. Customer Growth'!$I$17,+IF($C20='4. Customer Growth'!$K$15,+'4. Customer Growth'!$K$17,+IF($C20='4. Customer Growth'!$M$15,+'4. Customer Growth'!$M$17,IF($C20='4. Customer Growth'!$O$15,+'4. Customer Growth'!$O$17)))))))</f>
        <v>512</v>
      </c>
      <c r="F20" s="507">
        <f>IF($C20='4. Customer Growth'!$C$15,+'4. Customer Growth'!$C$18,+IF($C20='4. Customer Growth'!$E$15,+'4. Customer Growth'!$E$18,+IF($C20='4. Customer Growth'!$G$15,+'4. Customer Growth'!$G$18,+IF($C20='4. Customer Growth'!$I$15,+'4. Customer Growth'!$I$18,+IF($C20='4. Customer Growth'!$K$15,+'4. Customer Growth'!$K$18,+IF($C20='4. Customer Growth'!$M$15,+'4. Customer Growth'!$M$18,IF($C20='4. Customer Growth'!$O$15,+'4. Customer Growth'!$O$18)))))))</f>
        <v>497</v>
      </c>
      <c r="G20" s="507">
        <f>IF($C20='4. Customer Growth'!$C$15,+'4. Customer Growth'!$C$19,+IF($C20='4. Customer Growth'!$E$15,+'4. Customer Growth'!$E$19,+IF($C20='4. Customer Growth'!$G$15,+'4. Customer Growth'!$G$19,+IF($C20='4. Customer Growth'!$I$15,+'4. Customer Growth'!$I$19,+IF($C20='4. Customer Growth'!$K$15,+'4. Customer Growth'!$K$19,+IF($C20='4. Customer Growth'!$M$15,+'4. Customer Growth'!$M$19,IF($C20='4. Customer Growth'!$O$15,+'4. Customer Growth'!$O$19)))))))</f>
        <v>494</v>
      </c>
      <c r="H20" s="507">
        <f>IF($C20='4. Customer Growth'!$C$15,+'4. Customer Growth'!$C$20,+IF($C20='4. Customer Growth'!$E$15,+'4. Customer Growth'!$E$20,+IF($C20='4. Customer Growth'!$G$15,+'4. Customer Growth'!$G$20,+IF($C20='4. Customer Growth'!$I$15,+'4. Customer Growth'!$I$20,+IF($C20='4. Customer Growth'!$K$15,+'4. Customer Growth'!$K$20,+IF($C20='4. Customer Growth'!$M$15,+'4. Customer Growth'!$M$20,IF($C20='4. Customer Growth'!$O$15,+'4. Customer Growth'!$O$20)))))))</f>
        <v>483</v>
      </c>
      <c r="I20" s="507">
        <f>IF($C20='4. Customer Growth'!$C$15,+'4. Customer Growth'!$C$21,+IF($C20='4. Customer Growth'!$E$15,+'4. Customer Growth'!$E$21,+IF($C20='4. Customer Growth'!$G$15,+'4. Customer Growth'!$G$21,+IF($C20='4. Customer Growth'!$I$15,+'4. Customer Growth'!$I$21,+IF($C20='4. Customer Growth'!$K$15,+'4. Customer Growth'!$K$21,+IF($C20='4. Customer Growth'!$M$15,+'4. Customer Growth'!$M$21,IF($C20='4. Customer Growth'!$O$15,+'4. Customer Growth'!$O$21)))))))</f>
        <v>442</v>
      </c>
      <c r="J20" s="507">
        <f>IF($C20='4. Customer Growth'!$C$15,+'4. Customer Growth'!$C$22,+IF($C20='4. Customer Growth'!$E$15,+'4. Customer Growth'!$E$22,+IF($C20='4. Customer Growth'!$G$15,+'4. Customer Growth'!$G$22,+IF($C20='4. Customer Growth'!$I$15,+'4. Customer Growth'!$I$22,+IF($C20='4. Customer Growth'!$K$15,+'4. Customer Growth'!$K$22,+IF($C20='4. Customer Growth'!$M$15,+'4. Customer Growth'!$M$22,IF($C20='4. Customer Growth'!$O$15,+'4. Customer Growth'!$O$22)))))))</f>
        <v>437</v>
      </c>
      <c r="K20" s="507">
        <f>IF($C20='4. Customer Growth'!$C$15,+'4. Customer Growth'!$C$23,+IF($C20='4. Customer Growth'!$E$15,+'4. Customer Growth'!$E$23,+IF($C20='4. Customer Growth'!$G$15,+'4. Customer Growth'!$G$23,+IF($C20='4. Customer Growth'!$I$15,+'4. Customer Growth'!$I$23,+IF($C20='4. Customer Growth'!$K$15,+'4. Customer Growth'!$K$23,+IF($C20='4. Customer Growth'!$M$15,+'4. Customer Growth'!$M$23,IF($C20='4. Customer Growth'!$O$15,+'4. Customer Growth'!$O$23)))))))</f>
        <v>435</v>
      </c>
      <c r="L20" s="507">
        <f>IF($C20='4. Customer Growth'!$C$15,+'4. Customer Growth'!$C$24,+IF($C20='4. Customer Growth'!$E$15,+'4. Customer Growth'!$E$24,+IF($C20='4. Customer Growth'!$G$15,+'4. Customer Growth'!$G$24,+IF($C20='4. Customer Growth'!$I$15,+'4. Customer Growth'!$I$24,+IF($C20='4. Customer Growth'!$K$15,+'4. Customer Growth'!$K$24,+IF($C20='4. Customer Growth'!$M$15,+'4. Customer Growth'!$M$24,IF($C20='4. Customer Growth'!$O$15,+'4. Customer Growth'!$O$24)))))))</f>
        <v>428</v>
      </c>
      <c r="M20" s="507">
        <f>IF($C20='4. Customer Growth'!$C$15,+'4. Customer Growth'!$C$25,+IF($C20='4. Customer Growth'!$E$15,+'4. Customer Growth'!$E$25,+IF($C20='4. Customer Growth'!$G$15,+'4. Customer Growth'!$G$25,+IF($C20='4. Customer Growth'!$I$15,+'4. Customer Growth'!$I$25,+IF($C20='4. Customer Growth'!$K$15,+'4. Customer Growth'!$K$25,+IF($C20='4. Customer Growth'!$M$15,+'4. Customer Growth'!$M$25,IF($C20='4. Customer Growth'!$O$15,+'4. Customer Growth'!$O$25)))))))</f>
        <v>428</v>
      </c>
      <c r="N20" s="507">
        <f>IF($C20='4. Customer Growth'!$C$15,+'4. Customer Growth'!$C$26,+IF($C20='4. Customer Growth'!$E$15,+'4. Customer Growth'!$E$26,+IF($C20='4. Customer Growth'!$G$15,+'4. Customer Growth'!$G$26,+IF($C20='4. Customer Growth'!$I$15,+'4. Customer Growth'!$I$26,+IF($C20='4. Customer Growth'!$K$15,+'4. Customer Growth'!$K$26,+IF($C20='4. Customer Growth'!$M$15,+'4. Customer Growth'!$M$26,IF($C20='4. Customer Growth'!$O$15,+'4. Customer Growth'!$O$26)))))))</f>
        <v>430</v>
      </c>
      <c r="O20" s="507">
        <f>IF($C20='4. Customer Growth'!$C$15,+'4. Customer Growth'!$C$42,+IF($C20='4. Customer Growth'!$E$15,+'4. Customer Growth'!$E$42,+IF($C20='4. Customer Growth'!$G$15,+'4. Customer Growth'!$G$42,+IF($C20='4. Customer Growth'!$I$15,+'4. Customer Growth'!$I$42,+IF($C20='4. Customer Growth'!$K$15,+'4. Customer Growth'!$K$42,+IF($C20='4. Customer Growth'!$M$15,+'4. Customer Growth'!$M$42,IF($C20='4. Customer Growth'!$O$15,+'4. Customer Growth'!$O$42)))))))</f>
        <v>421.7412356106833</v>
      </c>
      <c r="P20" s="508">
        <f>IF($C20='4. Customer Growth'!$C$15,+'4. Customer Growth'!$C$43,+IF($C20='4. Customer Growth'!$E$15,+'4. Customer Growth'!$E$43,+IF($C20='4. Customer Growth'!$G$15,+'4. Customer Growth'!$G$43,+IF($C20='4. Customer Growth'!$I$15,+'4. Customer Growth'!$I$43,+IF($C20='4. Customer Growth'!$K$15,+'4. Customer Growth'!$K$43,+IF($C20='4. Customer Growth'!$M$15,+'4. Customer Growth'!$M$43,IF($C20='4. Customer Growth'!$O$15,+'4. Customer Growth'!$O$43)))))))</f>
        <v>413.64109259168811</v>
      </c>
    </row>
    <row r="21" spans="2:16" x14ac:dyDescent="0.2">
      <c r="B21" s="89"/>
      <c r="C21" s="775"/>
      <c r="D21" s="59" t="s">
        <v>36</v>
      </c>
      <c r="E21" s="507">
        <f>IF($B20=$F$65,+'7. Weather Senstive Class'!$G$21,IF($B20=$F$66,+'7. Weather Senstive Class'!$K$21,IF($B20=$F$67,+'7. Weather Senstive Class'!$W$21,IF($B20=$F$68,+'7. Weather Senstive Class'!$AE$21,IF($B20=$F$69,+'7. Weather Senstive Class'!$AM$21,IF($B20=$F$70,+'8. KW and Non-Weather Sensitive'!$E$21,IF($B20=$F$71,+'8. KW and Non-Weather Sensitive'!$P$21,IF($B20=$F$72,+'8. KW and Non-Weather Sensitive'!$Z$21,IF($B20=$F$73,+'8. KW and Non-Weather Sensitive'!$AJ$21,IF($B20=$F$74,+'8. KW and Non-Weather Sensitive'!$AT$21))))))))))</f>
        <v>13424049</v>
      </c>
      <c r="F21" s="507">
        <f>IF($B20=$F$65,+'7. Weather Senstive Class'!$G$22,IF($B20=$F$66,+'7. Weather Senstive Class'!$K$22,IF($B20=$F$67,+'7. Weather Senstive Class'!$W$22,IF($B20=$F$68,+'7. Weather Senstive Class'!$AE$22,IF($B20=$F$69,+'7. Weather Senstive Class'!$AM$22,IF($B20=$F$70,+'8. KW and Non-Weather Sensitive'!$E$22,IF($B20=$F$71,+'8. KW and Non-Weather Sensitive'!$P$22,IF($B20=$F$72,+'8. KW and Non-Weather Sensitive'!$Z$22,IF($B20=$F$73,+'8. KW and Non-Weather Sensitive'!$AJ$22,IF($B20=$F$74,+'8. KW and Non-Weather Sensitive'!$AT$22))))))))))</f>
        <v>13776453</v>
      </c>
      <c r="G21" s="507">
        <f>IF($B20=$F$65,+'7. Weather Senstive Class'!$G$23,IF($B20=$F$66,+'7. Weather Senstive Class'!$K$23,IF($B20=$F$67,+'7. Weather Senstive Class'!$W$23,IF($B20=$F$68,+'7. Weather Senstive Class'!$AE$23,IF($B20=$F$69,+'7. Weather Senstive Class'!$AM$23,IF($B20=$F$70,+'8. KW and Non-Weather Sensitive'!$E$23,IF($B20=$F$71,+'8. KW and Non-Weather Sensitive'!$P$23,IF($B20=$F$72,+'8. KW and Non-Weather Sensitive'!$Z$23,IF($B20=$F$73,+'8. KW and Non-Weather Sensitive'!$AJ$23,IF($B20=$F$74,+'8. KW and Non-Weather Sensitive'!$AT$23))))))))))</f>
        <v>13927235</v>
      </c>
      <c r="H21" s="507">
        <f>IF($B20=$F$65,+'7. Weather Senstive Class'!$G$24,IF($B20=$F$66,+'7. Weather Senstive Class'!$K$24,IF($B20=$F$67,+'7. Weather Senstive Class'!$W$24,IF($B20=$F$68,+'7. Weather Senstive Class'!$AE$24,IF($B20=$F$69,+'7. Weather Senstive Class'!$AM$24,IF($B20=$F$70,+'8. KW and Non-Weather Sensitive'!$E$24,IF($B20=$F$71,+'8. KW and Non-Weather Sensitive'!$P$24,IF($B20=$F$72,+'8. KW and Non-Weather Sensitive'!$Z$24,IF($B20=$F$73,+'8. KW and Non-Weather Sensitive'!$AJ$24,IF($B20=$F$74,+'8. KW and Non-Weather Sensitive'!$AT$24))))))))))</f>
        <v>12859915</v>
      </c>
      <c r="I21" s="507">
        <f>IF($B20=$F$65,+'7. Weather Senstive Class'!$G$25,IF($B20=$F$66,+'7. Weather Senstive Class'!$K$25,IF($B20=$F$67,+'7. Weather Senstive Class'!$W$25,IF($B20=$F$68,+'7. Weather Senstive Class'!$AE$25,IF($B20=$F$69,+'7. Weather Senstive Class'!$AM$25,IF($B20=$F$70,+'8. KW and Non-Weather Sensitive'!$E$25,IF($B20=$F$71,+'8. KW and Non-Weather Sensitive'!$P$25,IF($B20=$F$72,+'8. KW and Non-Weather Sensitive'!$Z$25,IF($B20=$F$73,+'8. KW and Non-Weather Sensitive'!$AJ$25,IF($B20=$F$74,+'8. KW and Non-Weather Sensitive'!$AT$25))))))))))</f>
        <v>12427065</v>
      </c>
      <c r="J21" s="507">
        <f>IF($B20=$F$65,+'7. Weather Senstive Class'!$G$26,IF($B20=$F$66,+'7. Weather Senstive Class'!$K$26,IF($B20=$F$67,+'7. Weather Senstive Class'!$M$26,IF($B20=$F$68,+'7. Weather Senstive Class'!$AE$26,IF($B20=$F$69,+'7. Weather Senstive Class'!$AM$26,IF($B20=$F$70,+'8. KW and Non-Weather Sensitive'!$E$26,IF($B20=$F$71,+'8. KW and Non-Weather Sensitive'!$P$26,IF($B20=$F$72,+'8. KW and Non-Weather Sensitive'!$Z$26,IF($B20=$F$73,+'8. KW and Non-Weather Sensitive'!$AJ$26,IF($B20=$F$74,+'8. KW and Non-Weather Sensitive'!$AT$26))))))))))</f>
        <v>11962164</v>
      </c>
      <c r="K21" s="507">
        <f>IF($B20=$F$65,+'7. Weather Senstive Class'!$G$27,IF($B20=$F$66,+'7. Weather Senstive Class'!$K$27,IF($B20=$F$67,+'7. Weather Senstive Class'!$W$27,IF($B20=$F$68,+'7. Weather Senstive Class'!$AE$27,IF($B20=$F$69,+'7. Weather Senstive Class'!$AM$27,IF($B20=$F$70,+'8. KW and Non-Weather Sensitive'!$E$27,IF($B20=$F$71,+'8. KW and Non-Weather Sensitive'!$P$27,IF($B20=$F$72,+'8. KW and Non-Weather Sensitive'!$Z$27,IF($B20=$F$73,+'8. KW and Non-Weather Sensitive'!$AJ$27,IF($B20=$F$74,+'8. KW and Non-Weather Sensitive'!$AT$27))))))))))</f>
        <v>11672310</v>
      </c>
      <c r="L21" s="507">
        <f>IF($B20=$F$65,+'7. Weather Senstive Class'!$G$28,IF($B20=$F$66,+'7. Weather Senstive Class'!$K$28,IF($B20=$F$67,+'7. Weather Senstive Class'!$W$28,IF($B20=$F$68,+'7. Weather Senstive Class'!$AE$28,IF($B20=$F$69,+'7. Weather Senstive Class'!$AM$28,IF($B20=$F$70,+'8. KW and Non-Weather Sensitive'!$E$28,IF($B20=$F$71,+'8. KW and Non-Weather Sensitive'!$P$28,IF($B20=$F$72,+'8. KW and Non-Weather Sensitive'!$Z$28,IF($B20=$F$73,+'8. KW and Non-Weather Sensitive'!$AJ$28,IF($B20=$F$74,+'8. KW and Non-Weather Sensitive'!$AT$28))))))))))</f>
        <v>11531242</v>
      </c>
      <c r="M21" s="507">
        <f>IF($B20=$F$65,+'7. Weather Senstive Class'!$G$29,IF($B20=$F$66,+'7. Weather Senstive Class'!$K$29,IF($B20=$F$67,+'7. Weather Senstive Class'!$W$29,IF($B20=$F$68,+'7. Weather Senstive Class'!$AE$29,IF($B20=$F$69,+'7. Weather Senstive Class'!$AM$29,IF($B20=$F$70,+'8. KW and Non-Weather Sensitive'!$E$29,IF($B20=$F$71,+'8. KW and Non-Weather Sensitive'!$P$29,IF($B20=$F$72,+'8. KW and Non-Weather Sensitive'!$Z$29,IF($B20=$F$73,+'8. KW and Non-Weather Sensitive'!$AJ$29,IF($B20=$F$74,+'8. KW and Non-Weather Sensitive'!$AT$29))))))))))</f>
        <v>11294125</v>
      </c>
      <c r="N21" s="507">
        <f>IF($B20=$F$65,+'7. Weather Senstive Class'!$G$30,IF($B20=$F$66,+'7. Weather Senstive Class'!$K$30,IF($B20=$F$67,+'7. Weather Senstive Class'!$W$30,IF($B20=$F$68,+'7. Weather Senstive Class'!$AE$30,IF($B20=$F$69,+'7. Weather Senstive Class'!$AM$30,IF($B20=$F$70,+'8. KW and Non-Weather Sensitive'!$E$30,IF($B20=$F$71,+'8. KW and Non-Weather Sensitive'!$P$30,IF($B20=$F$72,+'8. KW and Non-Weather Sensitive'!$Z$30,IF($B20=$F$73,+'8. KW and Non-Weather Sensitive'!$AJ$30,IF($B20=$F$74,+'8. KW and Non-Weather Sensitive'!$AT$30))))))))))</f>
        <v>10843312</v>
      </c>
      <c r="O21" s="507">
        <f>IF($B20=$F$65,+'7. Weather Senstive Class'!$H$42,IF($B20=$F$66,+'7. Weather Senstive Class'!$P$42,IF($B20=$F$67,+'7. Weather Senstive Class'!$X$42,IF($B20=$F$68,+'7. Weather Senstive Class'!$AF$42,IF($B20=$F$69,+'7. Weather Senstive Class'!$AN$42,IF($B20=$F$70,+'8. KW and Non-Weather Sensitive'!$I$49,IF($B20=$F$71,+'8. KW and Non-Weather Sensitive'!$T$49,IF($B20=$F$72,+'8. KW and Non-Weather Sensitive'!$AD$49,IF($B20=$F$73,+'8. KW and Non-Weather Sensitive'!$AN$49,IF($B20=$F$74,+'8. KW and Non-Weather Sensitive'!$AX$49))))))))))</f>
        <v>12019249.345816894</v>
      </c>
      <c r="P21" s="508">
        <f>IF($B20=$F$65,+'7. Weather Senstive Class'!$H$43,IF($B20=$F$66,+'7. Weather Senstive Class'!$P$43,IF($B20=$F$67,+'7. Weather Senstive Class'!$X$43,IF($B20=$F$68,+'7. Weather Senstive Class'!$AF$43,IF($B20=$F$69,+'7. Weather Senstive Class'!$AN$43,IF($B20=$F$70,+'8. KW and Non-Weather Sensitive'!$I$50,IF($B20=$F$71,+'8. KW and Non-Weather Sensitive'!$T$50,IF($B20=$F$72,+'8. KW and Non-Weather Sensitive'!$AD$50,IF($B20=$F$73,+'8. KW and Non-Weather Sensitive'!$AN$50,IF($B20=$F$74,+'8. KW and Non-Weather Sensitive'!$AX$50))))))))))</f>
        <v>11923319.171269683</v>
      </c>
    </row>
    <row r="22" spans="2:16" x14ac:dyDescent="0.2">
      <c r="B22" s="89"/>
      <c r="C22" s="775"/>
      <c r="D22" s="59" t="s">
        <v>37</v>
      </c>
      <c r="E22" s="405">
        <f>IF(B$16=$F$70,+'8. KW and Non-Weather Sensitive'!$F$21,IF($B20=$F$71,+'8. KW and Non-Weather Sensitive'!$Q$21,IF($B20=$F$72,+'8. KW and Non-Weather Sensitive'!$AA$21,IF($B20=$F$73,+'8. KW and Non-Weather Sensitive'!$AK$21,+IF($B20=$F$74,+'8. KW and Non-Weather Sensitive'!$AU$21,0)))))</f>
        <v>0</v>
      </c>
      <c r="F22" s="405">
        <f>IF($B20=$F$70,+'8. KW and Non-Weather Sensitive'!$F$22,IF($B20=$F$71,+'8. KW and Non-Weather Sensitive'!$Q$22,IF($B20=$F$72,+'8. KW and Non-Weather Sensitive'!$AA$22,IF($B20=$F$73,+'8. KW and Non-Weather Sensitive'!$AK$22,+IF($B20=$F$74,+'8. KW and Non-Weather Sensitive'!$AU$22,0)))))</f>
        <v>0</v>
      </c>
      <c r="G22" s="405">
        <f>IF($B20=$F$70,+'8. KW and Non-Weather Sensitive'!$F$23,IF($B20=$F$71,+'8. KW and Non-Weather Sensitive'!$Q$23,IF($B20=$F$72,+'8. KW and Non-Weather Sensitive'!$AA$23,IF($B20=$F$73,+'8. KW and Non-Weather Sensitive'!$AK$23,+IF($B20=$F$74,+'8. KW and Non-Weather Sensitive'!$AU$23,0)))))</f>
        <v>0</v>
      </c>
      <c r="H22" s="405">
        <f>IF($B20=$F$70,+'8. KW and Non-Weather Sensitive'!$F$24,IF($B20=$F$71,+'8. KW and Non-Weather Sensitive'!$Q$24,IF($B20=$F$72,+'8. KW and Non-Weather Sensitive'!$AA$24,IF($B20=$F$73,+'8. KW and Non-Weather Sensitive'!$AK$24,+IF($B20=$F$74,+'8. KW and Non-Weather Sensitive'!$AU$24,0)))))</f>
        <v>0</v>
      </c>
      <c r="I22" s="405">
        <f>IF($B20=$F$70,+'8. KW and Non-Weather Sensitive'!$F$25,IF($B20=$F$71,+'8. KW and Non-Weather Sensitive'!$Q$25,IF($B20=$F$72,+'8. KW and Non-Weather Sensitive'!$AA$25,IF($B20=$F$73,+'8. KW and Non-Weather Sensitive'!$AK$25,+IF($B20=$F$74,+'8. KW and Non-Weather Sensitive'!$AU$25,0)))))</f>
        <v>0</v>
      </c>
      <c r="J22" s="405">
        <f>IF($B20=$F$70,+'8. KW and Non-Weather Sensitive'!$F$26,IF($B20=$F$71,+'8. KW and Non-Weather Sensitive'!$Q$26,IF($B20=$F$72,+'8. KW and Non-Weather Sensitive'!$AA$26,IF($B20=$F$73,+'8. KW and Non-Weather Sensitive'!$AK$26,+IF($B20=$F$74,+'8. KW and Non-Weather Sensitive'!$AU$26,0)))))</f>
        <v>0</v>
      </c>
      <c r="K22" s="405">
        <f>IF($B20=$F$70,+'8. KW and Non-Weather Sensitive'!$F$27,IF($B20=$F$71,+'8. KW and Non-Weather Sensitive'!$Q$27,IF($B20=$F$72,+'8. KW and Non-Weather Sensitive'!$AA$27,IF($B20=$F$73,+'8. KW and Non-Weather Sensitive'!$AK$27,+IF($B20=$F$74,+'8. KW and Non-Weather Sensitive'!$AU$27,0)))))</f>
        <v>0</v>
      </c>
      <c r="L22" s="405">
        <f>IF($B20=$F$70,+'8. KW and Non-Weather Sensitive'!$F$28,IF($B20=$F$71,+'8. KW and Non-Weather Sensitive'!$Q$28,IF($B20=$F$72,+'8. KW and Non-Weather Sensitive'!$AA$28,IF($B20=$F$73,+'8. KW and Non-Weather Sensitive'!$AK$28,+IF($B20=$F$74,+'8. KW and Non-Weather Sensitive'!$AU$28,0)))))</f>
        <v>0</v>
      </c>
      <c r="M22" s="405">
        <f>IF($B20=$F$70,+'8. KW and Non-Weather Sensitive'!$F$29,IF($B20=$F$71,+'8. KW and Non-Weather Sensitive'!$Q$29,IF($B20=$F$72,+'8. KW and Non-Weather Sensitive'!$AA$29,IF($B20=$F$73,+'8. KW and Non-Weather Sensitive'!$AK$29,+IF($B20=$F$74,+'8. KW and Non-Weather Sensitive'!$AU$29,0)))))</f>
        <v>0</v>
      </c>
      <c r="N22" s="405">
        <f>IF($B20=$F$70,+'8. KW and Non-Weather Sensitive'!$F$30,IF($B20=$F$71,+'8. KW and Non-Weather Sensitive'!$Q$30,IF($B20=$F$72,+'8. KW and Non-Weather Sensitive'!$AA$30,IF($B20=$F$73,+'8. KW and Non-Weather Sensitive'!$AK$30,+IF($B20=$F$74,+'8. KW and Non-Weather Sensitive'!$AU$30,0)))))</f>
        <v>0</v>
      </c>
      <c r="O22" s="405">
        <f>IF($B20=$F$70,+'8. KW and Non-Weather Sensitive'!$J$49,IF($B20=$F$71,+'8. KW and Non-Weather Sensitive'!$U$49,IF($B20=$F$72,+'8. KW and Non-Weather Sensitive'!$AE$49,IF($B20=$F$73,+'8. KW and Non-Weather Sensitive'!$AO$49,+IF($B20=$F$74,+'8. KW and Non-Weather Sensitive'!$AY$49,0)))))</f>
        <v>0</v>
      </c>
      <c r="P22" s="509">
        <f>IF($B20=$F$70,+'8. KW and Non-Weather Sensitive'!$J$50,IF($B20=$F$71,+'8. KW and Non-Weather Sensitive'!$U$50,IF($B20=$F$72,+'8. KW and Non-Weather Sensitive'!$AE$50,IF($B20=$F$73,+'8. KW and Non-Weather Sensitive'!$AO$50,+IF($B20=$F$74,+'8. KW and Non-Weather Sensitive'!$AY$50,0)))))</f>
        <v>0</v>
      </c>
    </row>
    <row r="23" spans="2:16" x14ac:dyDescent="0.2">
      <c r="B23" s="89"/>
      <c r="C23" s="775"/>
      <c r="D23" s="59"/>
      <c r="E23" s="405"/>
      <c r="F23" s="405"/>
      <c r="G23" s="405"/>
      <c r="H23" s="405"/>
      <c r="I23" s="405"/>
      <c r="J23" s="405"/>
      <c r="K23" s="405"/>
      <c r="L23" s="405"/>
      <c r="M23" s="405"/>
      <c r="N23" s="405"/>
      <c r="O23" s="406"/>
      <c r="P23" s="407"/>
    </row>
    <row r="24" spans="2:16" x14ac:dyDescent="0.2">
      <c r="B24" s="759" t="s">
        <v>273</v>
      </c>
      <c r="C24" s="774" t="str">
        <f>IF($B24=$F$65,+$B$65,+IF($B24=$F$66,+$B$66,+IF($B24=$F$67,+$B$67,+IF($B24=$F$67,$B$67,+IF($B24=$F$68,+$B$68,+IF($B24=$F$69,+$B$69,+IF($B24=$F$70,+$B$70,+IF($B24=$F$71,+$B$71,+IF($B24=$F$72,+$B$72,+IF($B24=$F$73,+$B$73,+IF($B24=$F$74,+$B$74)))))))))))</f>
        <v>Unmetered Scattered Load</v>
      </c>
      <c r="D24" s="88" t="s">
        <v>130</v>
      </c>
      <c r="E24" s="507">
        <f>IF($C24='4. Customer Growth'!$C$15,+'4. Customer Growth'!$C$17,+IF($C24='4. Customer Growth'!$E$15,+'4. Customer Growth'!$E$17,+IF($C24='4. Customer Growth'!$G$15,+'4. Customer Growth'!$G$17,+IF($C24='4. Customer Growth'!$I$15,+'4. Customer Growth'!$I$17,+IF($C24='4. Customer Growth'!$K$15,+'4. Customer Growth'!$K$17,+IF($C24='4. Customer Growth'!$M$15,+'4. Customer Growth'!$M$17,IF($C24='4. Customer Growth'!$O$15,+'4. Customer Growth'!$O$17)))))))</f>
        <v>28</v>
      </c>
      <c r="F24" s="507">
        <f>IF($C24='4. Customer Growth'!$C$15,+'4. Customer Growth'!$C$18,+IF($C24='4. Customer Growth'!$E$15,+'4. Customer Growth'!$E$18,+IF($C24='4. Customer Growth'!$G$15,+'4. Customer Growth'!$G$18,+IF($C24='4. Customer Growth'!$I$15,+'4. Customer Growth'!$I$18,+IF($C24='4. Customer Growth'!$K$15,+'4. Customer Growth'!$K$18,+IF($C24='4. Customer Growth'!$M$15,+'4. Customer Growth'!$M$18,IF($C24='4. Customer Growth'!$O$15,+'4. Customer Growth'!$O$18)))))))</f>
        <v>29</v>
      </c>
      <c r="G24" s="507">
        <f>IF($C24='4. Customer Growth'!$C$15,+'4. Customer Growth'!$C$19,+IF($C24='4. Customer Growth'!$E$15,+'4. Customer Growth'!$E$19,+IF($C24='4. Customer Growth'!$G$15,+'4. Customer Growth'!$G$19,+IF($C24='4. Customer Growth'!$I$15,+'4. Customer Growth'!$I$19,+IF($C24='4. Customer Growth'!$K$15,+'4. Customer Growth'!$K$19,+IF($C24='4. Customer Growth'!$M$15,+'4. Customer Growth'!$M$19,IF($C24='4. Customer Growth'!$O$15,+'4. Customer Growth'!$O$19)))))))</f>
        <v>30</v>
      </c>
      <c r="H24" s="507">
        <f>IF($C24='4. Customer Growth'!$C$15,+'4. Customer Growth'!$C$20,+IF($C24='4. Customer Growth'!$E$15,+'4. Customer Growth'!$E$20,+IF($C24='4. Customer Growth'!$G$15,+'4. Customer Growth'!$G$20,+IF($C24='4. Customer Growth'!$I$15,+'4. Customer Growth'!$I$20,+IF($C24='4. Customer Growth'!$K$15,+'4. Customer Growth'!$K$20,+IF($C24='4. Customer Growth'!$M$15,+'4. Customer Growth'!$M$20,IF($C24='4. Customer Growth'!$O$15,+'4. Customer Growth'!$O$20)))))))</f>
        <v>30</v>
      </c>
      <c r="I24" s="507">
        <f>IF($C24='4. Customer Growth'!$C$15,+'4. Customer Growth'!$C$21,+IF($C24='4. Customer Growth'!$E$15,+'4. Customer Growth'!$E$21,+IF($C24='4. Customer Growth'!$G$15,+'4. Customer Growth'!$G$21,+IF($C24='4. Customer Growth'!$I$15,+'4. Customer Growth'!$I$21,+IF($C24='4. Customer Growth'!$K$15,+'4. Customer Growth'!$K$21,+IF($C24='4. Customer Growth'!$M$15,+'4. Customer Growth'!$M$21,IF($C24='4. Customer Growth'!$O$15,+'4. Customer Growth'!$O$21)))))))</f>
        <v>34</v>
      </c>
      <c r="J24" s="507">
        <f>IF($C24='4. Customer Growth'!$C$15,+'4. Customer Growth'!$C$22,+IF($C24='4. Customer Growth'!$E$15,+'4. Customer Growth'!$E$22,+IF($C24='4. Customer Growth'!$G$15,+'4. Customer Growth'!$G$22,+IF($C24='4. Customer Growth'!$I$15,+'4. Customer Growth'!$I$22,+IF($C24='4. Customer Growth'!$K$15,+'4. Customer Growth'!$K$22,+IF($C24='4. Customer Growth'!$M$15,+'4. Customer Growth'!$M$22,IF($C24='4. Customer Growth'!$O$15,+'4. Customer Growth'!$O$22)))))))</f>
        <v>34</v>
      </c>
      <c r="K24" s="507">
        <f>IF($C24='4. Customer Growth'!$C$15,+'4. Customer Growth'!$C$23,+IF($C24='4. Customer Growth'!$E$15,+'4. Customer Growth'!$E$23,+IF($C24='4. Customer Growth'!$G$15,+'4. Customer Growth'!$G$23,+IF($C24='4. Customer Growth'!$I$15,+'4. Customer Growth'!$I$23,+IF($C24='4. Customer Growth'!$K$15,+'4. Customer Growth'!$K$23,+IF($C24='4. Customer Growth'!$M$15,+'4. Customer Growth'!$M$23,IF($C24='4. Customer Growth'!$O$15,+'4. Customer Growth'!$O$23)))))))</f>
        <v>34</v>
      </c>
      <c r="L24" s="507">
        <f>IF($C24='4. Customer Growth'!$C$15,+'4. Customer Growth'!$C$24,+IF($C24='4. Customer Growth'!$E$15,+'4. Customer Growth'!$E$24,+IF($C24='4. Customer Growth'!$G$15,+'4. Customer Growth'!$G$24,+IF($C24='4. Customer Growth'!$I$15,+'4. Customer Growth'!$I$24,+IF($C24='4. Customer Growth'!$K$15,+'4. Customer Growth'!$K$24,+IF($C24='4. Customer Growth'!$M$15,+'4. Customer Growth'!$M$24,IF($C24='4. Customer Growth'!$O$15,+'4. Customer Growth'!$O$24)))))))</f>
        <v>33</v>
      </c>
      <c r="M24" s="507">
        <f>IF($C24='4. Customer Growth'!$C$15,+'4. Customer Growth'!$C$25,+IF($C24='4. Customer Growth'!$E$15,+'4. Customer Growth'!$E$25,+IF($C24='4. Customer Growth'!$G$15,+'4. Customer Growth'!$G$25,+IF($C24='4. Customer Growth'!$I$15,+'4. Customer Growth'!$I$25,+IF($C24='4. Customer Growth'!$K$15,+'4. Customer Growth'!$K$25,+IF($C24='4. Customer Growth'!$M$15,+'4. Customer Growth'!$M$25,IF($C24='4. Customer Growth'!$O$15,+'4. Customer Growth'!$O$25)))))))</f>
        <v>33</v>
      </c>
      <c r="N24" s="507">
        <f>IF($C24='4. Customer Growth'!$C$15,+'4. Customer Growth'!$C$26,+IF($C24='4. Customer Growth'!$E$15,+'4. Customer Growth'!$E$26,+IF($C24='4. Customer Growth'!$G$15,+'4. Customer Growth'!$G$26,+IF($C24='4. Customer Growth'!$I$15,+'4. Customer Growth'!$I$26,+IF($C24='4. Customer Growth'!$K$15,+'4. Customer Growth'!$K$26,+IF($C24='4. Customer Growth'!$M$15,+'4. Customer Growth'!$M$26,IF($C24='4. Customer Growth'!$O$15,+'4. Customer Growth'!$O$26)))))))</f>
        <v>33</v>
      </c>
      <c r="O24" s="507">
        <f>IF($C24='4. Customer Growth'!$C$15,+'4. Customer Growth'!$C$42,+IF($C24='4. Customer Growth'!$E$15,+'4. Customer Growth'!$E$42,+IF($C24='4. Customer Growth'!$G$15,+'4. Customer Growth'!$G$42,+IF($C24='4. Customer Growth'!$I$15,+'4. Customer Growth'!$I$42,+IF($C24='4. Customer Growth'!$K$15,+'4. Customer Growth'!$K$42,+IF($C24='4. Customer Growth'!$M$15,+'4. Customer Growth'!$M$42,IF($C24='4. Customer Growth'!$O$15,+'4. Customer Growth'!$O$42)))))))</f>
        <v>33.607977220079128</v>
      </c>
      <c r="P24" s="508">
        <f>IF($C24='4. Customer Growth'!$C$15,+'4. Customer Growth'!$C$43,+IF($C24='4. Customer Growth'!$E$15,+'4. Customer Growth'!$E$43,+IF($C24='4. Customer Growth'!$G$15,+'4. Customer Growth'!$G$43,+IF($C24='4. Customer Growth'!$I$15,+'4. Customer Growth'!$I$43,+IF($C24='4. Customer Growth'!$K$15,+'4. Customer Growth'!$K$43,+IF($C24='4. Customer Growth'!$M$15,+'4. Customer Growth'!$M$43,IF($C24='4. Customer Growth'!$O$15,+'4. Customer Growth'!$O$43)))))))</f>
        <v>34.227155540162357</v>
      </c>
    </row>
    <row r="25" spans="2:16" x14ac:dyDescent="0.2">
      <c r="B25" s="89"/>
      <c r="C25" s="775"/>
      <c r="D25" s="59" t="s">
        <v>36</v>
      </c>
      <c r="E25" s="507">
        <f>IF($B24=$F$65,+'7. Weather Senstive Class'!$G$21,IF($B24=$F$66,+'7. Weather Senstive Class'!$O$21,IF($B24=$F$67,+'7. Weather Senstive Class'!$W$21,IF($B24=$F$68,+'7. Weather Senstive Class'!$AE$21,IF($B24=$F$69,+'7. Weather Senstive Class'!$AM$21,IF($B24=$F$70,+'8. KW and Non-Weather Sensitive'!$E$21,IF($B24=$F$71,+'8. KW and Non-Weather Sensitive'!$P$21,IF($B24=$F$72,+'8. KW and Non-Weather Sensitive'!$Z$21,IF($B24=$F$73,+'8. KW and Non-Weather Sensitive'!$AJ$21,IF($B24=$F$74,+'8. KW and Non-Weather Sensitive'!$AT$21))))))))))</f>
        <v>160045</v>
      </c>
      <c r="F25" s="507">
        <f>IF($B24=$F$65,+'7. Weather Senstive Class'!$G$22,IF($B24=$F$66,+'7. Weather Senstive Class'!$O$22,IF($B24=$F$67,+'7. Weather Senstive Class'!$W$22,IF($B24=$F$68,+'7. Weather Senstive Class'!$AE$22,IF($B24=$F$69,+'7. Weather Senstive Class'!$AM$22,IF($B24=$F$70,+'8. KW and Non-Weather Sensitive'!$E$22,IF($B24=$F$71,+'8. KW and Non-Weather Sensitive'!$P$22,IF($B24=$F$72,+'8. KW and Non-Weather Sensitive'!$Z$22,IF($B24=$F$73,+'8. KW and Non-Weather Sensitive'!$AJ$22,IF($B24=$F$74,+'8. KW and Non-Weather Sensitive'!$AT$22))))))))))</f>
        <v>142221</v>
      </c>
      <c r="G25" s="507">
        <f>IF($B24=$F$65,+'7. Weather Senstive Class'!$G$23,IF($B24=$F$66,+'7. Weather Senstive Class'!$O$23,IF($B24=$F$67,+'7. Weather Senstive Class'!$W$23,IF($B24=$F$68,+'7. Weather Senstive Class'!$AE$23,IF($B24=$F$69,+'7. Weather Senstive Class'!$AM$23,IF($B24=$F$70,+'8. KW and Non-Weather Sensitive'!$E$23,IF($B24=$F$71,+'8. KW and Non-Weather Sensitive'!$P$23,IF($B24=$F$72,+'8. KW and Non-Weather Sensitive'!$Z$23,IF($B24=$F$73,+'8. KW and Non-Weather Sensitive'!$AJ$23,IF($B24=$F$74,+'8. KW and Non-Weather Sensitive'!$AT$23))))))))))</f>
        <v>140870</v>
      </c>
      <c r="H25" s="507">
        <f>IF($B24=$F$65,+'7. Weather Senstive Class'!$G$24,IF($B24=$F$66,+'7. Weather Senstive Class'!$O$24,IF($B24=$F$67,+'7. Weather Senstive Class'!$W$24,IF($B24=$F$68,+'7. Weather Senstive Class'!$AE$24,IF($B24=$F$69,+'7. Weather Senstive Class'!$AM$24,IF($B24=$F$70,+'8. KW and Non-Weather Sensitive'!$E$24,IF($B24=$F$71,+'8. KW and Non-Weather Sensitive'!$P$24,IF($B24=$F$72,+'8. KW and Non-Weather Sensitive'!$Z$24,IF($B24=$F$73,+'8. KW and Non-Weather Sensitive'!$AJ$24,IF($B24=$F$74,+'8. KW and Non-Weather Sensitive'!$AT$24))))))))))</f>
        <v>140485</v>
      </c>
      <c r="I25" s="507">
        <f>IF($B24=$F$65,+'7. Weather Senstive Class'!$G$25,IF($B24=$F$66,+'7. Weather Senstive Class'!$O$25,IF($B24=$F$67,+'7. Weather Senstive Class'!$W$25,IF($B24=$F$68,+'7. Weather Senstive Class'!$AE$25,IF($B24=$F$69,+'7. Weather Senstive Class'!$AM$25,IF($B24=$F$70,+'8. KW and Non-Weather Sensitive'!$E$25,IF($B24=$F$71,+'8. KW and Non-Weather Sensitive'!$P$25,IF($B24=$F$72,+'8. KW and Non-Weather Sensitive'!$Z$25,IF($B24=$F$73,+'8. KW and Non-Weather Sensitive'!$AJ$25,IF($B24=$F$74,+'8. KW and Non-Weather Sensitive'!$AT$25))))))))))</f>
        <v>150176</v>
      </c>
      <c r="J25" s="507">
        <f>IF($B24=$F$65,+'7. Weather Senstive Class'!$G$26,IF($B24=$F$66,+'7. Weather Senstive Class'!$O$26,IF($B24=$F$67,+'7. Weather Senstive Class'!$M$26,IF($B24=$F$68,+'7. Weather Senstive Class'!$AE$26,IF($B24=$F$69,+'7. Weather Senstive Class'!$AM$26,IF($B24=$F$70,+'8. KW and Non-Weather Sensitive'!$E$26,IF($B24=$F$71,+'8. KW and Non-Weather Sensitive'!$P$26,IF($B24=$F$72,+'8. KW and Non-Weather Sensitive'!$Z$26,IF($B24=$F$73,+'8. KW and Non-Weather Sensitive'!$AJ$26,IF($B24=$F$74,+'8. KW and Non-Weather Sensitive'!$AT$26))))))))))</f>
        <v>158921</v>
      </c>
      <c r="K25" s="507">
        <f>IF($B24=$F$65,+'7. Weather Senstive Class'!$G$27,IF($B24=$F$66,+'7. Weather Senstive Class'!$O$27,IF($B24=$F$67,+'7. Weather Senstive Class'!$W$27,IF($B24=$F$68,+'7. Weather Senstive Class'!$AE$27,IF($B24=$F$69,+'7. Weather Senstive Class'!$AM$27,IF($B24=$F$70,+'8. KW and Non-Weather Sensitive'!$E$27,IF($B24=$F$71,+'8. KW and Non-Weather Sensitive'!$P$27,IF($B24=$F$72,+'8. KW and Non-Weather Sensitive'!$Z$27,IF($B24=$F$73,+'8. KW and Non-Weather Sensitive'!$AJ$27,IF($B24=$F$74,+'8. KW and Non-Weather Sensitive'!$AT$27))))))))))</f>
        <v>158811</v>
      </c>
      <c r="L25" s="507">
        <f>IF($B24=$F$65,+'7. Weather Senstive Class'!$G$28,IF($B24=$F$66,+'7. Weather Senstive Class'!$O$28,IF($B24=$F$67,+'7. Weather Senstive Class'!$W$28,IF($B24=$F$68,+'7. Weather Senstive Class'!$AE$28,IF($B24=$F$69,+'7. Weather Senstive Class'!$AM$28,IF($B24=$F$70,+'8. KW and Non-Weather Sensitive'!$E$28,IF($B24=$F$71,+'8. KW and Non-Weather Sensitive'!$P$28,IF($B24=$F$72,+'8. KW and Non-Weather Sensitive'!$Z$28,IF($B24=$F$73,+'8. KW and Non-Weather Sensitive'!$AJ$28,IF($B24=$F$74,+'8. KW and Non-Weather Sensitive'!$AT$28))))))))))</f>
        <v>155619</v>
      </c>
      <c r="M25" s="507">
        <f>IF($B24=$F$65,+'7. Weather Senstive Class'!$G$29,IF($B24=$F$66,+'7. Weather Senstive Class'!$O$29,IF($B24=$F$67,+'7. Weather Senstive Class'!$W$29,IF($B24=$F$68,+'7. Weather Senstive Class'!$AE$29,IF($B24=$F$69,+'7. Weather Senstive Class'!$AM$29,IF($B24=$F$70,+'8. KW and Non-Weather Sensitive'!$E$29,IF($B24=$F$71,+'8. KW and Non-Weather Sensitive'!$P$29,IF($B24=$F$72,+'8. KW and Non-Weather Sensitive'!$Z$29,IF($B24=$F$73,+'8. KW and Non-Weather Sensitive'!$AJ$29,IF($B24=$F$74,+'8. KW and Non-Weather Sensitive'!$AT$29))))))))))</f>
        <v>155019</v>
      </c>
      <c r="N25" s="507">
        <f>IF($B24=$F$65,+'7. Weather Senstive Class'!$G$30,IF($B24=$F$66,+'7. Weather Senstive Class'!$O$30,IF($B24=$F$67,+'7. Weather Senstive Class'!$W$30,IF($B24=$F$68,+'7. Weather Senstive Class'!$AE$30,IF($B24=$F$69,+'7. Weather Senstive Class'!$AM$30,IF($B24=$F$70,+'8. KW and Non-Weather Sensitive'!$E$30,IF($B24=$F$71,+'8. KW and Non-Weather Sensitive'!$P$30,IF($B24=$F$72,+'8. KW and Non-Weather Sensitive'!$Z$30,IF($B24=$F$73,+'8. KW and Non-Weather Sensitive'!$AJ$30,IF($B24=$F$74,+'8. KW and Non-Weather Sensitive'!$AT$30))))))))))</f>
        <v>155364</v>
      </c>
      <c r="O25" s="507">
        <f>IF($B24=$F$65,+'7. Weather Senstive Class'!$H$42,IF($B24=$F$66,+'7. Weather Senstive Class'!$P$42,IF($B24=$F$67,+'7. Weather Senstive Class'!$X$42,IF($B24=$F$68,+'7. Weather Senstive Class'!$AF$42,IF($B24=$F$69,+'7. Weather Senstive Class'!$AN$42,IF($B24=$F$70,+'8. KW and Non-Weather Sensitive'!$I$49,IF($B24=$F$71,+'8. KW and Non-Weather Sensitive'!$T$49,IF($B24=$F$72,+'8. KW and Non-Weather Sensitive'!$AD$49,IF($B24=$F$73,+'8. KW and Non-Weather Sensitive'!$AN$49,IF($B24=$F$74,+'8. KW and Non-Weather Sensitive'!$AX$49))))))))))</f>
        <v>153077.64183823875</v>
      </c>
      <c r="P25" s="508">
        <f>IF($B24=$F$65,+'7. Weather Senstive Class'!$H$43,IF($B24=$F$66,+'7. Weather Senstive Class'!$P$43,IF($B24=$F$67,+'7. Weather Senstive Class'!$X$43,IF($B24=$F$68,+'7. Weather Senstive Class'!$AF$43,IF($B24=$F$69,+'7. Weather Senstive Class'!$AN$43,IF($B24=$F$70,+'8. KW and Non-Weather Sensitive'!$I$50,IF($B24=$F$71,+'8. KW and Non-Weather Sensitive'!$T$50,IF($B24=$F$72,+'8. KW and Non-Weather Sensitive'!$AD$50,IF($B24=$F$73,+'8. KW and Non-Weather Sensitive'!$AN$50,IF($B24=$F$74,+'8. KW and Non-Weather Sensitive'!$AX$50))))))))))</f>
        <v>151855.87128682504</v>
      </c>
    </row>
    <row r="26" spans="2:16" x14ac:dyDescent="0.2">
      <c r="B26" s="89"/>
      <c r="C26" s="775"/>
      <c r="D26" s="59" t="s">
        <v>37</v>
      </c>
      <c r="E26" s="405">
        <f>IF(B$24=$F$70,+'8. KW and Non-Weather Sensitive'!$F$21,IF($B24=$F$71,+'8. KW and Non-Weather Sensitive'!$Q$21,IF($B24=$F$72,+'8. KW and Non-Weather Sensitive'!$AA$21,IF($B24=$F$73,+'8. KW and Non-Weather Sensitive'!$AK$21,+IF($B24=$F$74,+'8. KW and Non-Weather Sensitive'!$AU$21,0)))))</f>
        <v>0</v>
      </c>
      <c r="F26" s="405">
        <f>IF($B24=$F$70,+'8. KW and Non-Weather Sensitive'!$F$22,IF($B24=$F$71,+'8. KW and Non-Weather Sensitive'!$Q$22,IF($B24=$F$72,+'8. KW and Non-Weather Sensitive'!$AA$22,IF($B24=$F$73,+'8. KW and Non-Weather Sensitive'!$AK$22,+IF($B24=$F$74,+'8. KW and Non-Weather Sensitive'!$AU$22,0)))))</f>
        <v>0</v>
      </c>
      <c r="G26" s="405">
        <f>IF($B24=$F$70,+'8. KW and Non-Weather Sensitive'!$F$23,IF($B24=$F$71,+'8. KW and Non-Weather Sensitive'!$Q$23,IF($B24=$F$72,+'8. KW and Non-Weather Sensitive'!$AA$23,IF($B24=$F$73,+'8. KW and Non-Weather Sensitive'!$AK$23,+IF($B24=$F$74,+'8. KW and Non-Weather Sensitive'!$AU$23,0)))))</f>
        <v>0</v>
      </c>
      <c r="H26" s="405">
        <f>IF($B24=$F$70,+'8. KW and Non-Weather Sensitive'!$F$24,IF($B24=$F$71,+'8. KW and Non-Weather Sensitive'!$Q$24,IF($B24=$F$72,+'8. KW and Non-Weather Sensitive'!$AA$24,IF($B24=$F$73,+'8. KW and Non-Weather Sensitive'!$AK$24,+IF($B24=$F$74,+'8. KW and Non-Weather Sensitive'!$AU$24,0)))))</f>
        <v>0</v>
      </c>
      <c r="I26" s="405">
        <f>IF($B24=$F$70,+'8. KW and Non-Weather Sensitive'!$F$25,IF($B24=$F$71,+'8. KW and Non-Weather Sensitive'!$Q$25,IF($B24=$F$72,+'8. KW and Non-Weather Sensitive'!$AA$25,IF($B24=$F$73,+'8. KW and Non-Weather Sensitive'!$AK$25,+IF($B24=$F$74,+'8. KW and Non-Weather Sensitive'!$AU$25,0)))))</f>
        <v>0</v>
      </c>
      <c r="J26" s="405">
        <f>IF($B24=$F$70,+'8. KW and Non-Weather Sensitive'!$F$26,IF($B24=$F$71,+'8. KW and Non-Weather Sensitive'!$Q$26,IF($B24=$F$72,+'8. KW and Non-Weather Sensitive'!$AA$26,IF($B24=$F$73,+'8. KW and Non-Weather Sensitive'!$AK$26,+IF($B24=$F$74,+'8. KW and Non-Weather Sensitive'!$AU$26,0)))))</f>
        <v>0</v>
      </c>
      <c r="K26" s="405">
        <f>IF($B24=$F$70,+'8. KW and Non-Weather Sensitive'!$F$27,IF($B24=$F$71,+'8. KW and Non-Weather Sensitive'!$Q$27,IF($B24=$F$72,+'8. KW and Non-Weather Sensitive'!$AA$27,IF($B24=$F$73,+'8. KW and Non-Weather Sensitive'!$AK$27,+IF($B24=$F$74,+'8. KW and Non-Weather Sensitive'!$AU$27,0)))))</f>
        <v>0</v>
      </c>
      <c r="L26" s="405">
        <f>IF($B24=$F$70,+'8. KW and Non-Weather Sensitive'!$F$28,IF($B24=$F$71,+'8. KW and Non-Weather Sensitive'!$Q$28,IF($B24=$F$72,+'8. KW and Non-Weather Sensitive'!$AA$28,IF($B24=$F$73,+'8. KW and Non-Weather Sensitive'!$AK$28,+IF($B24=$F$74,+'8. KW and Non-Weather Sensitive'!$AU$28,0)))))</f>
        <v>0</v>
      </c>
      <c r="M26" s="405">
        <f>IF($B24=$F$70,+'8. KW and Non-Weather Sensitive'!$F$29,IF($B24=$F$71,+'8. KW and Non-Weather Sensitive'!$Q$29,IF($B24=$F$72,+'8. KW and Non-Weather Sensitive'!$AA$29,IF($B24=$F$73,+'8. KW and Non-Weather Sensitive'!$AK$29,+IF($B24=$F$74,+'8. KW and Non-Weather Sensitive'!$AU$29,0)))))</f>
        <v>0</v>
      </c>
      <c r="N26" s="405">
        <f>IF($B24=$F$70,+'8. KW and Non-Weather Sensitive'!$F$30,IF($B24=$F$71,+'8. KW and Non-Weather Sensitive'!$Q$30,IF($B24=$F$72,+'8. KW and Non-Weather Sensitive'!$AA$30,IF($B24=$F$73,+'8. KW and Non-Weather Sensitive'!$AK$30,+IF($B24=$F$74,+'8. KW and Non-Weather Sensitive'!$AU$30,0)))))</f>
        <v>0</v>
      </c>
      <c r="O26" s="405">
        <f>IF($B24=$F$70,+'8. KW and Non-Weather Sensitive'!$J$49,IF($B24=$F$71,+'8. KW and Non-Weather Sensitive'!$U$49,IF($B24=$F$72,+'8. KW and Non-Weather Sensitive'!$AE$49,IF($B24=$F$73,+'8. KW and Non-Weather Sensitive'!$AO$49,+IF($B24=$F$74,+'8. KW and Non-Weather Sensitive'!$AY$49,0)))))</f>
        <v>0</v>
      </c>
      <c r="P26" s="509">
        <f>IF($B24=$F$70,+'8. KW and Non-Weather Sensitive'!$J$50,IF($B24=$F$71,+'8. KW and Non-Weather Sensitive'!$U$50,IF($B24=$F$72,+'8. KW and Non-Weather Sensitive'!$AE$50,IF($B24=$F$73,+'8. KW and Non-Weather Sensitive'!$AO$50,+IF($B24=$F$74,+'8. KW and Non-Weather Sensitive'!$AY$50,0)))))</f>
        <v>0</v>
      </c>
    </row>
    <row r="27" spans="2:16" x14ac:dyDescent="0.2">
      <c r="B27" s="89"/>
      <c r="C27" s="775"/>
      <c r="D27" s="59"/>
      <c r="E27" s="405"/>
      <c r="F27" s="405"/>
      <c r="G27" s="405"/>
      <c r="H27" s="405"/>
      <c r="I27" s="405"/>
      <c r="J27" s="405"/>
      <c r="K27" s="405"/>
      <c r="L27" s="405"/>
      <c r="M27" s="405"/>
      <c r="N27" s="405"/>
      <c r="O27" s="406"/>
      <c r="P27" s="407"/>
    </row>
    <row r="28" spans="2:16" x14ac:dyDescent="0.2">
      <c r="B28" s="759" t="s">
        <v>267</v>
      </c>
      <c r="C28" s="774" t="str">
        <f>IF($B28=$F$65,+$B$65,+IF($B28=$F$66,+$B$66,+IF($B28=$F$67,+$B$67,+IF($B28=$F$67,$B$67,+IF($B28=$F$68,+$B$68,+IF($B28=$F$69,+$B$69,+IF($B28=$F$70,+$B$70,+IF($B28=$F$71,+$B$71,+IF($B28=$F$72,+$B$72,+IF($B28=$F$73,+$B$73,+IF($B28=$F$74,+$B$74)))))))))))</f>
        <v>General Service &gt; 50 kW - 4999 kW</v>
      </c>
      <c r="D28" s="59" t="s">
        <v>130</v>
      </c>
      <c r="E28" s="507">
        <f>IF($C28='4. Customer Growth'!$C$15,+'4. Customer Growth'!$C$17,+IF($C28='4. Customer Growth'!$E$15,+'4. Customer Growth'!$E$17,+IF($C28='4. Customer Growth'!$G$15,+'4. Customer Growth'!$G$17,+IF($C28='4. Customer Growth'!$I$15,+'4. Customer Growth'!$I$17,+IF($C28='4. Customer Growth'!$K$15,+'4. Customer Growth'!$K$17,+IF($C28='4. Customer Growth'!$M$15,+'4. Customer Growth'!$M$17,IF($C28='4. Customer Growth'!$O$15,+'4. Customer Growth'!$O$17)))))))</f>
        <v>62</v>
      </c>
      <c r="F28" s="507">
        <f>IF($C28='4. Customer Growth'!$C$15,+'4. Customer Growth'!$C$18,+IF($C28='4. Customer Growth'!$E$15,+'4. Customer Growth'!$E$18,+IF($C28='4. Customer Growth'!$G$15,+'4. Customer Growth'!$G$18,+IF($C28='4. Customer Growth'!$I$15,+'4. Customer Growth'!$I$18,+IF($C28='4. Customer Growth'!$K$15,+'4. Customer Growth'!$K$18,+IF($C28='4. Customer Growth'!$M$15,+'4. Customer Growth'!$M$18,IF($C28='4. Customer Growth'!$O$15,+'4. Customer Growth'!$O$18)))))))</f>
        <v>65</v>
      </c>
      <c r="G28" s="507">
        <f>IF($C28='4. Customer Growth'!$C$15,+'4. Customer Growth'!$C$19,+IF($C28='4. Customer Growth'!$E$15,+'4. Customer Growth'!$E$19,+IF($C28='4. Customer Growth'!$G$15,+'4. Customer Growth'!$G$19,+IF($C28='4. Customer Growth'!$I$15,+'4. Customer Growth'!$I$19,+IF($C28='4. Customer Growth'!$K$15,+'4. Customer Growth'!$K$19,+IF($C28='4. Customer Growth'!$M$15,+'4. Customer Growth'!$M$19,IF($C28='4. Customer Growth'!$O$15,+'4. Customer Growth'!$O$19)))))))</f>
        <v>67</v>
      </c>
      <c r="H28" s="507">
        <f>IF($C28='4. Customer Growth'!$C$15,+'4. Customer Growth'!$C$20,+IF($C28='4. Customer Growth'!$E$15,+'4. Customer Growth'!$E$20,+IF($C28='4. Customer Growth'!$G$15,+'4. Customer Growth'!$G$20,+IF($C28='4. Customer Growth'!$I$15,+'4. Customer Growth'!$I$20,+IF($C28='4. Customer Growth'!$K$15,+'4. Customer Growth'!$K$20,+IF($C28='4. Customer Growth'!$M$15,+'4. Customer Growth'!$M$20,IF($C28='4. Customer Growth'!$O$15,+'4. Customer Growth'!$O$20)))))))</f>
        <v>66</v>
      </c>
      <c r="I28" s="507">
        <f>IF($C28='4. Customer Growth'!$C$15,+'4. Customer Growth'!$C$21,+IF($C28='4. Customer Growth'!$E$15,+'4. Customer Growth'!$E$21,+IF($C28='4. Customer Growth'!$G$15,+'4. Customer Growth'!$G$21,+IF($C28='4. Customer Growth'!$I$15,+'4. Customer Growth'!$I$21,+IF($C28='4. Customer Growth'!$K$15,+'4. Customer Growth'!$K$21,+IF($C28='4. Customer Growth'!$M$15,+'4. Customer Growth'!$M$21,IF($C28='4. Customer Growth'!$O$15,+'4. Customer Growth'!$O$21)))))))</f>
        <v>59</v>
      </c>
      <c r="J28" s="507">
        <f>IF($C28='4. Customer Growth'!$C$15,+'4. Customer Growth'!$C$22,+IF($C28='4. Customer Growth'!$E$15,+'4. Customer Growth'!$E$22,+IF($C28='4. Customer Growth'!$G$15,+'4. Customer Growth'!$G$22,+IF($C28='4. Customer Growth'!$I$15,+'4. Customer Growth'!$I$22,+IF($C28='4. Customer Growth'!$K$15,+'4. Customer Growth'!$K$22,+IF($C28='4. Customer Growth'!$M$15,+'4. Customer Growth'!$M$22,IF($C28='4. Customer Growth'!$O$15,+'4. Customer Growth'!$O$22)))))))</f>
        <v>59</v>
      </c>
      <c r="K28" s="507">
        <f>IF($C28='4. Customer Growth'!$C$15,+'4. Customer Growth'!$C$23,+IF($C28='4. Customer Growth'!$E$15,+'4. Customer Growth'!$E$23,+IF($C28='4. Customer Growth'!$G$15,+'4. Customer Growth'!$G$23,+IF($C28='4. Customer Growth'!$I$15,+'4. Customer Growth'!$I$23,+IF($C28='4. Customer Growth'!$K$15,+'4. Customer Growth'!$K$23,+IF($C28='4. Customer Growth'!$M$15,+'4. Customer Growth'!$M$23,IF($C28='4. Customer Growth'!$O$15,+'4. Customer Growth'!$O$23)))))))</f>
        <v>59</v>
      </c>
      <c r="L28" s="507">
        <f>IF($C28='4. Customer Growth'!$C$15,+'4. Customer Growth'!$C$24,+IF($C28='4. Customer Growth'!$E$15,+'4. Customer Growth'!$E$24,+IF($C28='4. Customer Growth'!$G$15,+'4. Customer Growth'!$G$24,+IF($C28='4. Customer Growth'!$I$15,+'4. Customer Growth'!$I$24,+IF($C28='4. Customer Growth'!$K$15,+'4. Customer Growth'!$K$24,+IF($C28='4. Customer Growth'!$M$15,+'4. Customer Growth'!$M$24,IF($C28='4. Customer Growth'!$O$15,+'4. Customer Growth'!$O$24)))))))</f>
        <v>62</v>
      </c>
      <c r="M28" s="507">
        <f>IF($C28='4. Customer Growth'!$C$15,+'4. Customer Growth'!$C$25,+IF($C28='4. Customer Growth'!$E$15,+'4. Customer Growth'!$E$25,+IF($C28='4. Customer Growth'!$G$15,+'4. Customer Growth'!$G$25,+IF($C28='4. Customer Growth'!$I$15,+'4. Customer Growth'!$I$25,+IF($C28='4. Customer Growth'!$K$15,+'4. Customer Growth'!$K$25,+IF($C28='4. Customer Growth'!$M$15,+'4. Customer Growth'!$M$25,IF($C28='4. Customer Growth'!$O$15,+'4. Customer Growth'!$O$25)))))))</f>
        <v>62</v>
      </c>
      <c r="N28" s="507">
        <f>IF($C28='4. Customer Growth'!$C$15,+'4. Customer Growth'!$C$26,+IF($C28='4. Customer Growth'!$E$15,+'4. Customer Growth'!$E$26,+IF($C28='4. Customer Growth'!$G$15,+'4. Customer Growth'!$G$26,+IF($C28='4. Customer Growth'!$I$15,+'4. Customer Growth'!$I$26,+IF($C28='4. Customer Growth'!$K$15,+'4. Customer Growth'!$K$26,+IF($C28='4. Customer Growth'!$M$15,+'4. Customer Growth'!$M$26,IF($C28='4. Customer Growth'!$O$15,+'4. Customer Growth'!$O$26)))))))</f>
        <v>61</v>
      </c>
      <c r="O28" s="507">
        <f>IF($C28='4. Customer Growth'!$C$15,+'4. Customer Growth'!$C$42,+IF($C28='4. Customer Growth'!$E$15,+'4. Customer Growth'!$E$42,+IF($C28='4. Customer Growth'!$G$15,+'4. Customer Growth'!$G$42,+IF($C28='4. Customer Growth'!$I$15,+'4. Customer Growth'!$I$42,+IF($C28='4. Customer Growth'!$K$15,+'4. Customer Growth'!$K$42,+IF($C28='4. Customer Growth'!$M$15,+'4. Customer Growth'!$M$42,IF($C28='4. Customer Growth'!$O$15,+'4. Customer Growth'!$O$42)))))))</f>
        <v>60.889889302782052</v>
      </c>
      <c r="P28" s="508">
        <f>IF($C28='4. Customer Growth'!$C$15,+'4. Customer Growth'!$C$43,+IF($C28='4. Customer Growth'!$E$15,+'4. Customer Growth'!$E$43,+IF($C28='4. Customer Growth'!$G$15,+'4. Customer Growth'!$G$43,+IF($C28='4. Customer Growth'!$I$15,+'4. Customer Growth'!$I$43,+IF($C28='4. Customer Growth'!$K$15,+'4. Customer Growth'!$K$43,+IF($C28='4. Customer Growth'!$M$15,+'4. Customer Growth'!$M$43,IF($C28='4. Customer Growth'!$O$15,+'4. Customer Growth'!$O$43)))))))</f>
        <v>60.779977365656592</v>
      </c>
    </row>
    <row r="29" spans="2:16" x14ac:dyDescent="0.2">
      <c r="B29" s="89"/>
      <c r="C29" s="775"/>
      <c r="D29" s="59" t="s">
        <v>36</v>
      </c>
      <c r="E29" s="507">
        <f>IF($B28=$F$65,+'7. Weather Senstive Class'!$G$21,IF($B28=$F$66,+'7. Weather Senstive Class'!$O$21,IF($B28=$F$67,+'7. Weather Senstive Class'!$W$21,IF($B28=$F$68,+'7. Weather Senstive Class'!$AE$21,IF($B28=$F$69,+'7. Weather Senstive Class'!$AM$21,IF($B28=$F$70,+'8. KW and Non-Weather Sensitive'!$E$21,IF($B28=$F$71,+'8. KW and Non-Weather Sensitive'!$P$21,IF($B28=$F$72,+'8. KW and Non-Weather Sensitive'!$Z$21,IF($B28=$F$73,+'8. KW and Non-Weather Sensitive'!$AJ$21,IF($B28=$F$74,+'8. KW and Non-Weather Sensitive'!$AT$21))))))))))</f>
        <v>51984380</v>
      </c>
      <c r="F29" s="507">
        <f>IF($B28=$F$65,+'7. Weather Senstive Class'!$G$22,IF($B28=$F$66,+'7. Weather Senstive Class'!$O$22,IF($B28=$F$67,+'7. Weather Senstive Class'!$W$22,IF($B28=$F$68,+'7. Weather Senstive Class'!$AE$22,IF($B28=$F$69,+'7. Weather Senstive Class'!$AM$22,IF($B28=$F$70,+'8. KW and Non-Weather Sensitive'!$E$22,IF($B28=$F$71,+'8. KW and Non-Weather Sensitive'!$P$22,IF($B28=$F$72,+'8. KW and Non-Weather Sensitive'!$Z$22,IF($B28=$F$73,+'8. KW and Non-Weather Sensitive'!$AJ$22,IF($B28=$F$74,+'8. KW and Non-Weather Sensitive'!$AT$22))))))))))</f>
        <v>53203197</v>
      </c>
      <c r="G29" s="507">
        <f>IF($B28=$F$65,+'7. Weather Senstive Class'!$G$23,IF($B28=$F$66,+'7. Weather Senstive Class'!$O$23,IF($B28=$F$67,+'7. Weather Senstive Class'!$W$23,IF($B28=$F$68,+'7. Weather Senstive Class'!$AE$23,IF($B28=$F$69,+'7. Weather Senstive Class'!$AM$23,IF($B28=$F$70,+'8. KW and Non-Weather Sensitive'!$E$23,IF($B28=$F$71,+'8. KW and Non-Weather Sensitive'!$P$23,IF($B28=$F$72,+'8. KW and Non-Weather Sensitive'!$Z$23,IF($B28=$F$73,+'8. KW and Non-Weather Sensitive'!$AJ$23,IF($B28=$F$74,+'8. KW and Non-Weather Sensitive'!$AT$23))))))))))</f>
        <v>55283988</v>
      </c>
      <c r="H29" s="507">
        <f>IF($B28=$F$65,+'7. Weather Senstive Class'!$G$24,IF($B28=$F$66,+'7. Weather Senstive Class'!$O$24,IF($B28=$F$67,+'7. Weather Senstive Class'!$W$24,IF($B28=$F$68,+'7. Weather Senstive Class'!$AE$24,IF($B28=$F$69,+'7. Weather Senstive Class'!$AM$24,IF($B28=$F$70,+'8. KW and Non-Weather Sensitive'!$E$24,IF($B28=$F$71,+'8. KW and Non-Weather Sensitive'!$P$24,IF($B28=$F$72,+'8. KW and Non-Weather Sensitive'!$Z$24,IF($B28=$F$73,+'8. KW and Non-Weather Sensitive'!$AJ$24,IF($B28=$F$74,+'8. KW and Non-Weather Sensitive'!$AT$24))))))))))</f>
        <v>52230300</v>
      </c>
      <c r="I29" s="507">
        <f>IF($B28=$F$65,+'7. Weather Senstive Class'!$G$25,IF($B28=$F$66,+'7. Weather Senstive Class'!$O$25,IF($B28=$F$67,+'7. Weather Senstive Class'!$W$25,IF($B28=$F$68,+'7. Weather Senstive Class'!$AE$25,IF($B28=$F$69,+'7. Weather Senstive Class'!$AM$25,IF($B28=$F$70,+'8. KW and Non-Weather Sensitive'!$E$25,IF($B28=$F$71,+'8. KW and Non-Weather Sensitive'!$P$25,IF($B28=$F$72,+'8. KW and Non-Weather Sensitive'!$Z$25,IF($B28=$F$73,+'8. KW and Non-Weather Sensitive'!$AJ$25,IF($B28=$F$74,+'8. KW and Non-Weather Sensitive'!$AT$25))))))))))</f>
        <v>51703213</v>
      </c>
      <c r="J29" s="507">
        <f>IF($B28=$F$65,+'7. Weather Senstive Class'!$G$26,IF($B28=$F$66,+'7. Weather Senstive Class'!$O$26,IF($B28=$F$67,+'7. Weather Senstive Class'!$M$26,IF($B28=$F$68,+'7. Weather Senstive Class'!$AE$26,IF($B28=$F$69,+'7. Weather Senstive Class'!$AM$26,IF($B28=$F$70,+'8. KW and Non-Weather Sensitive'!$E$26,IF($B28=$F$71,+'8. KW and Non-Weather Sensitive'!$P$26,IF($B28=$F$72,+'8. KW and Non-Weather Sensitive'!$Z$26,IF($B28=$F$73,+'8. KW and Non-Weather Sensitive'!$AJ$26,IF($B28=$F$74,+'8. KW and Non-Weather Sensitive'!$AT$26))))))))))</f>
        <v>46521147</v>
      </c>
      <c r="K29" s="507">
        <f>IF($B28=$F$65,+'7. Weather Senstive Class'!$G$27,IF($B28=$F$66,+'7. Weather Senstive Class'!$O$27,IF($B28=$F$67,+'7. Weather Senstive Class'!$W$27,IF($B28=$F$68,+'7. Weather Senstive Class'!$AE$27,IF($B28=$F$69,+'7. Weather Senstive Class'!$AM$27,IF($B28=$F$70,+'8. KW and Non-Weather Sensitive'!$E$27,IF($B28=$F$71,+'8. KW and Non-Weather Sensitive'!$P$27,IF($B28=$F$72,+'8. KW and Non-Weather Sensitive'!$Z$27,IF($B28=$F$73,+'8. KW and Non-Weather Sensitive'!$AJ$27,IF($B28=$F$74,+'8. KW and Non-Weather Sensitive'!$AT$27))))))))))</f>
        <v>44095781</v>
      </c>
      <c r="L29" s="507">
        <f>IF($B28=$F$65,+'7. Weather Senstive Class'!$G$28,IF($B28=$F$66,+'7. Weather Senstive Class'!$O$28,IF($B28=$F$67,+'7. Weather Senstive Class'!$W$28,IF($B28=$F$68,+'7. Weather Senstive Class'!$AE$28,IF($B28=$F$69,+'7. Weather Senstive Class'!$AM$28,IF($B28=$F$70,+'8. KW and Non-Weather Sensitive'!$E$28,IF($B28=$F$71,+'8. KW and Non-Weather Sensitive'!$P$28,IF($B28=$F$72,+'8. KW and Non-Weather Sensitive'!$Z$28,IF($B28=$F$73,+'8. KW and Non-Weather Sensitive'!$AJ$28,IF($B28=$F$74,+'8. KW and Non-Weather Sensitive'!$AT$28))))))))))</f>
        <v>44119354</v>
      </c>
      <c r="M29" s="507">
        <f>IF($B28=$F$65,+'7. Weather Senstive Class'!$G$29,IF($B28=$F$66,+'7. Weather Senstive Class'!$O$29,IF($B28=$F$67,+'7. Weather Senstive Class'!$W$29,IF($B28=$F$68,+'7. Weather Senstive Class'!$AE$29,IF($B28=$F$69,+'7. Weather Senstive Class'!$AM$29,IF($B28=$F$70,+'8. KW and Non-Weather Sensitive'!$E$29,IF($B28=$F$71,+'8. KW and Non-Weather Sensitive'!$P$29,IF($B28=$F$72,+'8. KW and Non-Weather Sensitive'!$Z$29,IF($B28=$F$73,+'8. KW and Non-Weather Sensitive'!$AJ$29,IF($B28=$F$74,+'8. KW and Non-Weather Sensitive'!$AT$29))))))))))</f>
        <v>43640624</v>
      </c>
      <c r="N29" s="507">
        <f>IF($B28=$F$65,+'7. Weather Senstive Class'!$G$30,IF($B28=$F$66,+'7. Weather Senstive Class'!$O$30,IF($B28=$F$67,+'7. Weather Senstive Class'!$W$30,IF($B28=$F$68,+'7. Weather Senstive Class'!$AE$30,IF($B28=$F$69,+'7. Weather Senstive Class'!$AM$30,IF($B28=$F$70,+'8. KW and Non-Weather Sensitive'!$E$30,IF($B28=$F$71,+'8. KW and Non-Weather Sensitive'!$P$30,IF($B28=$F$72,+'8. KW and Non-Weather Sensitive'!$Z$30,IF($B28=$F$73,+'8. KW and Non-Weather Sensitive'!$AJ$30,IF($B28=$F$74,+'8. KW and Non-Weather Sensitive'!$AT$30))))))))))</f>
        <v>45095566</v>
      </c>
      <c r="O29" s="507">
        <f>IF($B28=$F$65,+'7. Weather Senstive Class'!$H$42,IF($B28=$F$66,+'7. Weather Senstive Class'!$P$42,IF($B28=$F$67,+'7. Weather Senstive Class'!$X$42,IF($B28=$F$68,+'7. Weather Senstive Class'!$AF$42,IF($B28=$F$69,+'7. Weather Senstive Class'!$AN$42,IF($B28=$F$70,+'8. KW and Non-Weather Sensitive'!$I$49,IF($B28=$F$71,+'8. KW and Non-Weather Sensitive'!$T$49,IF($B28=$F$72,+'8. KW and Non-Weather Sensitive'!$AD$49,IF($B28=$F$73,+'8. KW and Non-Weather Sensitive'!$AN$49,IF($B28=$F$74,+'8. KW and Non-Weather Sensitive'!$AX$49))))))))))</f>
        <v>44431933.399247296</v>
      </c>
      <c r="P29" s="508">
        <f>IF($B28=$F$65,+'7. Weather Senstive Class'!$H$43,IF($B28=$F$66,+'7. Weather Senstive Class'!$P$43,IF($B28=$F$67,+'7. Weather Senstive Class'!$X$43,IF($B28=$F$68,+'7. Weather Senstive Class'!$AF$43,IF($B28=$F$69,+'7. Weather Senstive Class'!$AN$43,IF($B28=$F$70,+'8. KW and Non-Weather Sensitive'!$I$50,IF($B28=$F$71,+'8. KW and Non-Weather Sensitive'!$T$50,IF($B28=$F$72,+'8. KW and Non-Weather Sensitive'!$AD$50,IF($B28=$F$73,+'8. KW and Non-Weather Sensitive'!$AN$50,IF($B28=$F$74,+'8. KW and Non-Weather Sensitive'!$AX$50))))))))))</f>
        <v>44077305.335229032</v>
      </c>
    </row>
    <row r="30" spans="2:16" x14ac:dyDescent="0.2">
      <c r="B30" s="89"/>
      <c r="C30" s="775"/>
      <c r="D30" s="59" t="s">
        <v>37</v>
      </c>
      <c r="E30" s="405">
        <f>IF(B$28=$F$70,+'8. KW and Non-Weather Sensitive'!$F$21,IF($B28=$F$71,+'8. KW and Non-Weather Sensitive'!$Q$21,IF($B28=$F$72,+'8. KW and Non-Weather Sensitive'!$AA$21,IF($B28=$F$73,+'8. KW and Non-Weather Sensitive'!$AK$21,+IF($B28=$F$74,+'8. KW and Non-Weather Sensitive'!$AU$21,0)))))</f>
        <v>153660</v>
      </c>
      <c r="F30" s="405">
        <f>IF($B28=$F$70,+'8. KW and Non-Weather Sensitive'!$F$22,IF($B28=$F$71,+'8. KW and Non-Weather Sensitive'!$Q$22,IF($B28=$F$72,+'8. KW and Non-Weather Sensitive'!$AA$22,IF($B28=$F$73,+'8. KW and Non-Weather Sensitive'!$AK$22,+IF($B28=$F$74,+'8. KW and Non-Weather Sensitive'!$AU$22,0)))))</f>
        <v>146521</v>
      </c>
      <c r="G30" s="405">
        <f>IF($B28=$F$70,+'8. KW and Non-Weather Sensitive'!$F$23,IF($B28=$F$71,+'8. KW and Non-Weather Sensitive'!$Q$23,IF($B28=$F$72,+'8. KW and Non-Weather Sensitive'!$AA$23,IF($B28=$F$73,+'8. KW and Non-Weather Sensitive'!$AK$23,+IF($B28=$F$74,+'8. KW and Non-Weather Sensitive'!$AU$23,0)))))</f>
        <v>148947</v>
      </c>
      <c r="H30" s="405">
        <f>IF($B28=$F$70,+'8. KW and Non-Weather Sensitive'!$F$24,IF($B28=$F$71,+'8. KW and Non-Weather Sensitive'!$Q$24,IF($B28=$F$72,+'8. KW and Non-Weather Sensitive'!$AA$24,IF($B28=$F$73,+'8. KW and Non-Weather Sensitive'!$AK$24,+IF($B28=$F$74,+'8. KW and Non-Weather Sensitive'!$AU$24,0)))))</f>
        <v>141729</v>
      </c>
      <c r="I30" s="405">
        <f>IF($B28=$F$70,+'8. KW and Non-Weather Sensitive'!$F$25,IF($B28=$F$71,+'8. KW and Non-Weather Sensitive'!$Q$25,IF($B28=$F$72,+'8. KW and Non-Weather Sensitive'!$AA$25,IF($B28=$F$73,+'8. KW and Non-Weather Sensitive'!$AK$25,+IF($B28=$F$74,+'8. KW and Non-Weather Sensitive'!$AU$25,0)))))</f>
        <v>141797</v>
      </c>
      <c r="J30" s="405">
        <f>IF($B28=$F$70,+'8. KW and Non-Weather Sensitive'!$F$26,IF($B28=$F$71,+'8. KW and Non-Weather Sensitive'!$Q$26,IF($B28=$F$72,+'8. KW and Non-Weather Sensitive'!$AA$26,IF($B28=$F$73,+'8. KW and Non-Weather Sensitive'!$AK$26,+IF($B28=$F$74,+'8. KW and Non-Weather Sensitive'!$AU$26,0)))))</f>
        <v>130980</v>
      </c>
      <c r="K30" s="405">
        <f>IF($B28=$F$70,+'8. KW and Non-Weather Sensitive'!$F$27,IF($B28=$F$71,+'8. KW and Non-Weather Sensitive'!$Q$27,IF($B28=$F$72,+'8. KW and Non-Weather Sensitive'!$AA$27,IF($B28=$F$73,+'8. KW and Non-Weather Sensitive'!$AK$27,+IF($B28=$F$74,+'8. KW and Non-Weather Sensitive'!$AU$27,0)))))</f>
        <v>120379</v>
      </c>
      <c r="L30" s="405">
        <f>IF($B28=$F$70,+'8. KW and Non-Weather Sensitive'!$F$28,IF($B28=$F$71,+'8. KW and Non-Weather Sensitive'!$Q$28,IF($B28=$F$72,+'8. KW and Non-Weather Sensitive'!$AA$28,IF($B28=$F$73,+'8. KW and Non-Weather Sensitive'!$AK$28,+IF($B28=$F$74,+'8. KW and Non-Weather Sensitive'!$AU$28,0)))))</f>
        <v>115813</v>
      </c>
      <c r="M30" s="405">
        <f>IF($B28=$F$70,+'8. KW and Non-Weather Sensitive'!$F$29,IF($B28=$F$71,+'8. KW and Non-Weather Sensitive'!$Q$29,IF($B28=$F$72,+'8. KW and Non-Weather Sensitive'!$AA$29,IF($B28=$F$73,+'8. KW and Non-Weather Sensitive'!$AK$29,+IF($B28=$F$74,+'8. KW and Non-Weather Sensitive'!$AU$29,0)))))</f>
        <v>114180</v>
      </c>
      <c r="N30" s="405">
        <f>IF($B28=$F$70,+'8. KW and Non-Weather Sensitive'!$F$30,IF($B28=$F$71,+'8. KW and Non-Weather Sensitive'!$Q$30,IF($B28=$F$72,+'8. KW and Non-Weather Sensitive'!$AA$30,IF($B28=$F$73,+'8. KW and Non-Weather Sensitive'!$AK$30,+IF($B28=$F$74,+'8. KW and Non-Weather Sensitive'!$AU$30,0)))))</f>
        <v>113922</v>
      </c>
      <c r="O30" s="405">
        <f>IF($B28=$F$70,+'8. KW and Non-Weather Sensitive'!$J$49,IF($B28=$F$71,+'8. KW and Non-Weather Sensitive'!$U$49,IF($B28=$F$72,+'8. KW and Non-Weather Sensitive'!$AE$49,IF($B28=$F$73,+'8. KW and Non-Weather Sensitive'!$AO$49,+IF($B28=$F$74,+'8. KW and Non-Weather Sensitive'!$AY$49,0)))))</f>
        <v>120735.71751411934</v>
      </c>
      <c r="P30" s="509">
        <f>IF($B28=$F$70,+'8. KW and Non-Weather Sensitive'!$J$50,IF($B28=$F$71,+'8. KW and Non-Weather Sensitive'!$U$50,IF($B28=$F$72,+'8. KW and Non-Weather Sensitive'!$AE$50,IF($B28=$F$73,+'8. KW and Non-Weather Sensitive'!$AO$50,+IF($B28=$F$74,+'8. KW and Non-Weather Sensitive'!$AY$50,0)))))</f>
        <v>119772.08009201668</v>
      </c>
    </row>
    <row r="31" spans="2:16" x14ac:dyDescent="0.2">
      <c r="B31" s="89"/>
      <c r="C31" s="775"/>
      <c r="D31" s="59"/>
      <c r="E31" s="405"/>
      <c r="F31" s="405"/>
      <c r="G31" s="405"/>
      <c r="H31" s="405"/>
      <c r="I31" s="405"/>
      <c r="J31" s="405"/>
      <c r="K31" s="405"/>
      <c r="L31" s="405"/>
      <c r="M31" s="405"/>
      <c r="N31" s="405"/>
      <c r="O31" s="406"/>
      <c r="P31" s="407"/>
    </row>
    <row r="32" spans="2:16" x14ac:dyDescent="0.2">
      <c r="B32" s="759" t="s">
        <v>240</v>
      </c>
      <c r="C32" s="774" t="str">
        <f>IF($B32=$F$65,+$B$65,+IF($B32=$F$66,+$B$66,+IF($B32=$F$67,+$B$67,+IF($B32=$F$67,$B$67,+IF($B32=$F$68,+$B$68,+IF($B32=$F$69,+$B$69,+IF($B32=$F$70,+$B$70,+IF($B32=$F$71,+$B$71,+IF($B32=$F$72,+$B$72,+IF($B32=$F$73,+$B$73,+IF($B32=$F$74,+$B$74)))))))))))</f>
        <v>Streetlighting</v>
      </c>
      <c r="D32" s="59" t="s">
        <v>130</v>
      </c>
      <c r="E32" s="507">
        <f>IF($C32='4. Customer Growth'!$C$15,+'4. Customer Growth'!$C$17,+IF($C32='4. Customer Growth'!$E$15,+'4. Customer Growth'!$E$17,+IF($C32='4. Customer Growth'!$G$15,+'4. Customer Growth'!$G$17,+IF($C32='4. Customer Growth'!$I$15,+'4. Customer Growth'!$I$17,+IF($C32='4. Customer Growth'!$K$15,+'4. Customer Growth'!$K$17,+IF($C32='4. Customer Growth'!$M$15,+'4. Customer Growth'!$M$17,IF($C32='4. Customer Growth'!$O$15,+'4. Customer Growth'!$O$17)))))))</f>
        <v>1149</v>
      </c>
      <c r="F32" s="507">
        <f>IF($C32='4. Customer Growth'!$C$15,+'4. Customer Growth'!$C$18,+IF($C32='4. Customer Growth'!$E$15,+'4. Customer Growth'!$E$18,+IF($C32='4. Customer Growth'!$G$15,+'4. Customer Growth'!$G$18,+IF($C32='4. Customer Growth'!$I$15,+'4. Customer Growth'!$I$18,+IF($C32='4. Customer Growth'!$K$15,+'4. Customer Growth'!$K$18,+IF($C32='4. Customer Growth'!$M$15,+'4. Customer Growth'!$M$18,IF($C32='4. Customer Growth'!$O$15,+'4. Customer Growth'!$O$18)))))))</f>
        <v>1151</v>
      </c>
      <c r="G32" s="507">
        <f>IF($C32='4. Customer Growth'!$C$15,+'4. Customer Growth'!$C$19,+IF($C32='4. Customer Growth'!$E$15,+'4. Customer Growth'!$E$19,+IF($C32='4. Customer Growth'!$G$15,+'4. Customer Growth'!$G$19,+IF($C32='4. Customer Growth'!$I$15,+'4. Customer Growth'!$I$19,+IF($C32='4. Customer Growth'!$K$15,+'4. Customer Growth'!$K$19,+IF($C32='4. Customer Growth'!$M$15,+'4. Customer Growth'!$M$19,IF($C32='4. Customer Growth'!$O$15,+'4. Customer Growth'!$O$19)))))))</f>
        <v>1158</v>
      </c>
      <c r="H32" s="507">
        <f>IF($C32='4. Customer Growth'!$C$15,+'4. Customer Growth'!$C$20,+IF($C32='4. Customer Growth'!$E$15,+'4. Customer Growth'!$E$20,+IF($C32='4. Customer Growth'!$G$15,+'4. Customer Growth'!$G$20,+IF($C32='4. Customer Growth'!$I$15,+'4. Customer Growth'!$I$20,+IF($C32='4. Customer Growth'!$K$15,+'4. Customer Growth'!$K$20,+IF($C32='4. Customer Growth'!$M$15,+'4. Customer Growth'!$M$20,IF($C32='4. Customer Growth'!$O$15,+'4. Customer Growth'!$O$20)))))))</f>
        <v>1167</v>
      </c>
      <c r="I32" s="507">
        <f>IF($C32='4. Customer Growth'!$C$15,+'4. Customer Growth'!$C$21,+IF($C32='4. Customer Growth'!$E$15,+'4. Customer Growth'!$E$21,+IF($C32='4. Customer Growth'!$G$15,+'4. Customer Growth'!$G$21,+IF($C32='4. Customer Growth'!$I$15,+'4. Customer Growth'!$I$21,+IF($C32='4. Customer Growth'!$K$15,+'4. Customer Growth'!$K$21,+IF($C32='4. Customer Growth'!$M$15,+'4. Customer Growth'!$M$21,IF($C32='4. Customer Growth'!$O$15,+'4. Customer Growth'!$O$21)))))))</f>
        <v>1174</v>
      </c>
      <c r="J32" s="507">
        <f>IF($C32='4. Customer Growth'!$C$15,+'4. Customer Growth'!$C$22,+IF($C32='4. Customer Growth'!$E$15,+'4. Customer Growth'!$E$22,+IF($C32='4. Customer Growth'!$G$15,+'4. Customer Growth'!$G$22,+IF($C32='4. Customer Growth'!$I$15,+'4. Customer Growth'!$I$22,+IF($C32='4. Customer Growth'!$K$15,+'4. Customer Growth'!$K$22,+IF($C32='4. Customer Growth'!$M$15,+'4. Customer Growth'!$M$22,IF($C32='4. Customer Growth'!$O$15,+'4. Customer Growth'!$O$22)))))))</f>
        <v>1176</v>
      </c>
      <c r="K32" s="507">
        <f>IF($C32='4. Customer Growth'!$C$15,+'4. Customer Growth'!$C$23,+IF($C32='4. Customer Growth'!$E$15,+'4. Customer Growth'!$E$23,+IF($C32='4. Customer Growth'!$G$15,+'4. Customer Growth'!$G$23,+IF($C32='4. Customer Growth'!$I$15,+'4. Customer Growth'!$I$23,+IF($C32='4. Customer Growth'!$K$15,+'4. Customer Growth'!$K$23,+IF($C32='4. Customer Growth'!$M$15,+'4. Customer Growth'!$M$23,IF($C32='4. Customer Growth'!$O$15,+'4. Customer Growth'!$O$23)))))))</f>
        <v>1176</v>
      </c>
      <c r="L32" s="507">
        <f>IF($C32='4. Customer Growth'!$C$15,+'4. Customer Growth'!$C$24,+IF($C32='4. Customer Growth'!$E$15,+'4. Customer Growth'!$E$24,+IF($C32='4. Customer Growth'!$G$15,+'4. Customer Growth'!$G$24,+IF($C32='4. Customer Growth'!$I$15,+'4. Customer Growth'!$I$24,+IF($C32='4. Customer Growth'!$K$15,+'4. Customer Growth'!$K$24,+IF($C32='4. Customer Growth'!$M$15,+'4. Customer Growth'!$M$24,IF($C32='4. Customer Growth'!$O$15,+'4. Customer Growth'!$O$24)))))))</f>
        <v>1190</v>
      </c>
      <c r="M32" s="507">
        <f>IF($C32='4. Customer Growth'!$C$15,+'4. Customer Growth'!$C$25,+IF($C32='4. Customer Growth'!$E$15,+'4. Customer Growth'!$E$25,+IF($C32='4. Customer Growth'!$G$15,+'4. Customer Growth'!$G$25,+IF($C32='4. Customer Growth'!$I$15,+'4. Customer Growth'!$I$25,+IF($C32='4. Customer Growth'!$K$15,+'4. Customer Growth'!$K$25,+IF($C32='4. Customer Growth'!$M$15,+'4. Customer Growth'!$M$25,IF($C32='4. Customer Growth'!$O$15,+'4. Customer Growth'!$O$25)))))))</f>
        <v>1190</v>
      </c>
      <c r="N32" s="507">
        <f>IF($C32='4. Customer Growth'!$C$15,+'4. Customer Growth'!$C$26,+IF($C32='4. Customer Growth'!$E$15,+'4. Customer Growth'!$E$26,+IF($C32='4. Customer Growth'!$G$15,+'4. Customer Growth'!$G$26,+IF($C32='4. Customer Growth'!$I$15,+'4. Customer Growth'!$I$26,+IF($C32='4. Customer Growth'!$K$15,+'4. Customer Growth'!$K$26,+IF($C32='4. Customer Growth'!$M$15,+'4. Customer Growth'!$M$26,IF($C32='4. Customer Growth'!$O$15,+'4. Customer Growth'!$O$26)))))))</f>
        <v>1190</v>
      </c>
      <c r="O32" s="507">
        <f>IF($C32='4. Customer Growth'!$C$15,+'4. Customer Growth'!$C$42,+IF($C32='4. Customer Growth'!$E$15,+'4. Customer Growth'!$E$42,+IF($C32='4. Customer Growth'!$G$15,+'4. Customer Growth'!$G$42,+IF($C32='4. Customer Growth'!$I$15,+'4. Customer Growth'!$I$42,+IF($C32='4. Customer Growth'!$K$15,+'4. Customer Growth'!$K$42,+IF($C32='4. Customer Growth'!$M$15,+'4. Customer Growth'!$M$42,IF($C32='4. Customer Growth'!$O$15,+'4. Customer Growth'!$O$42)))))))</f>
        <v>1194.6449258381904</v>
      </c>
      <c r="P32" s="508">
        <f>IF($C32='4. Customer Growth'!$C$15,+'4. Customer Growth'!$C$43,+IF($C32='4. Customer Growth'!$E$15,+'4. Customer Growth'!$E$43,+IF($C32='4. Customer Growth'!$G$15,+'4. Customer Growth'!$G$43,+IF($C32='4. Customer Growth'!$I$15,+'4. Customer Growth'!$I$43,+IF($C32='4. Customer Growth'!$K$15,+'4. Customer Growth'!$K$43,+IF($C32='4. Customer Growth'!$M$15,+'4. Customer Growth'!$M$43,IF($C32='4. Customer Growth'!$O$15,+'4. Customer Growth'!$O$43)))))))</f>
        <v>1199.30798221087</v>
      </c>
    </row>
    <row r="33" spans="2:16" x14ac:dyDescent="0.2">
      <c r="B33" s="89"/>
      <c r="C33" s="775"/>
      <c r="D33" s="59" t="s">
        <v>36</v>
      </c>
      <c r="E33" s="507">
        <f>IF($B32=$F$65,+'7. Weather Senstive Class'!$G$21,IF($B32=$F$66,+'7. Weather Senstive Class'!$O$21,IF($B32=$F$67,+'7. Weather Senstive Class'!$W$21,IF($B32=$F$68,+'7. Weather Senstive Class'!$AE$21,IF($B32=$F$69,+'7. Weather Senstive Class'!$AM$21,IF($B32=$F$70,+'8. KW and Non-Weather Sensitive'!$E$21,IF($B32=$F$71,+'8. KW and Non-Weather Sensitive'!$P$21,IF($B32=$F$72,+'8. KW and Non-Weather Sensitive'!$Z$21,IF($B32=$F$73,+'8. KW and Non-Weather Sensitive'!$AJ$21,IF($B32=$F$74,+'8. KW and Non-Weather Sensitive'!$AT$21))))))))))</f>
        <v>1095963</v>
      </c>
      <c r="F33" s="507">
        <f>IF($B32=$F$65,+'7. Weather Senstive Class'!$G$22,IF($B32=$F$66,+'7. Weather Senstive Class'!$O$22,IF($B32=$F$67,+'7. Weather Senstive Class'!$W$22,IF($B32=$F$68,+'7. Weather Senstive Class'!$AE$22,IF($B32=$F$69,+'7. Weather Senstive Class'!$AM$22,IF($B32=$F$70,+'8. KW and Non-Weather Sensitive'!$E$22,IF($B32=$F$71,+'8. KW and Non-Weather Sensitive'!$P$22,IF($B32=$F$72,+'8. KW and Non-Weather Sensitive'!$Z$22,IF($B32=$F$73,+'8. KW and Non-Weather Sensitive'!$AJ$22,IF($B32=$F$74,+'8. KW and Non-Weather Sensitive'!$AT$22))))))))))</f>
        <v>1105833</v>
      </c>
      <c r="G33" s="507">
        <f>IF($B32=$F$65,+'7. Weather Senstive Class'!$G$23,IF($B32=$F$66,+'7. Weather Senstive Class'!$O$23,IF($B32=$F$67,+'7. Weather Senstive Class'!$W$23,IF($B32=$F$68,+'7. Weather Senstive Class'!$AE$23,IF($B32=$F$69,+'7. Weather Senstive Class'!$AM$23,IF($B32=$F$70,+'8. KW and Non-Weather Sensitive'!$E$23,IF($B32=$F$71,+'8. KW and Non-Weather Sensitive'!$P$23,IF($B32=$F$72,+'8. KW and Non-Weather Sensitive'!$Z$23,IF($B32=$F$73,+'8. KW and Non-Weather Sensitive'!$AJ$23,IF($B32=$F$74,+'8. KW and Non-Weather Sensitive'!$AT$23))))))))))</f>
        <v>1107983</v>
      </c>
      <c r="H33" s="507">
        <f>IF($B32=$F$65,+'7. Weather Senstive Class'!$G$24,IF($B32=$F$66,+'7. Weather Senstive Class'!$O$24,IF($B32=$F$67,+'7. Weather Senstive Class'!$W$24,IF($B32=$F$68,+'7. Weather Senstive Class'!$AE$24,IF($B32=$F$69,+'7. Weather Senstive Class'!$AM$24,IF($B32=$F$70,+'8. KW and Non-Weather Sensitive'!$E$24,IF($B32=$F$71,+'8. KW and Non-Weather Sensitive'!$P$24,IF($B32=$F$72,+'8. KW and Non-Weather Sensitive'!$Z$24,IF($B32=$F$73,+'8. KW and Non-Weather Sensitive'!$AJ$24,IF($B32=$F$74,+'8. KW and Non-Weather Sensitive'!$AT$24))))))))))</f>
        <v>1114732</v>
      </c>
      <c r="I33" s="507">
        <f>IF($B32=$F$65,+'7. Weather Senstive Class'!$G$25,IF($B32=$F$66,+'7. Weather Senstive Class'!$O$25,IF($B32=$F$67,+'7. Weather Senstive Class'!$W$25,IF($B32=$F$68,+'7. Weather Senstive Class'!$AE$25,IF($B32=$F$69,+'7. Weather Senstive Class'!$AM$25,IF($B32=$F$70,+'8. KW and Non-Weather Sensitive'!$E$25,IF($B32=$F$71,+'8. KW and Non-Weather Sensitive'!$P$25,IF($B32=$F$72,+'8. KW and Non-Weather Sensitive'!$Z$25,IF($B32=$F$73,+'8. KW and Non-Weather Sensitive'!$AJ$25,IF($B32=$F$74,+'8. KW and Non-Weather Sensitive'!$AT$25))))))))))</f>
        <v>1116726</v>
      </c>
      <c r="J33" s="507">
        <f>IF($B32=$F$65,+'7. Weather Senstive Class'!$G$26,IF($B32=$F$66,+'7. Weather Senstive Class'!$O$26,IF($B32=$F$67,+'7. Weather Senstive Class'!$M$26,IF($B32=$F$68,+'7. Weather Senstive Class'!$AE$26,IF($B32=$F$69,+'7. Weather Senstive Class'!$AM$26,IF($B32=$F$70,+'8. KW and Non-Weather Sensitive'!$E$26,IF($B32=$F$71,+'8. KW and Non-Weather Sensitive'!$P$26,IF($B32=$F$72,+'8. KW and Non-Weather Sensitive'!$Z$26,IF($B32=$F$73,+'8. KW and Non-Weather Sensitive'!$AJ$26,IF($B32=$F$74,+'8. KW and Non-Weather Sensitive'!$AT$26))))))))))</f>
        <v>1118574</v>
      </c>
      <c r="K33" s="507">
        <f>IF($B32=$F$65,+'7. Weather Senstive Class'!$G$27,IF($B32=$F$66,+'7. Weather Senstive Class'!$O$27,IF($B32=$F$67,+'7. Weather Senstive Class'!$W$27,IF($B32=$F$68,+'7. Weather Senstive Class'!$AE$27,IF($B32=$F$69,+'7. Weather Senstive Class'!$AM$27,IF($B32=$F$70,+'8. KW and Non-Weather Sensitive'!$E$27,IF($B32=$F$71,+'8. KW and Non-Weather Sensitive'!$P$27,IF($B32=$F$72,+'8. KW and Non-Weather Sensitive'!$Z$27,IF($B32=$F$73,+'8. KW and Non-Weather Sensitive'!$AJ$27,IF($B32=$F$74,+'8. KW and Non-Weather Sensitive'!$AT$27))))))))))</f>
        <v>1121260</v>
      </c>
      <c r="L33" s="507">
        <f>IF($B32=$F$65,+'7. Weather Senstive Class'!$G$28,IF($B32=$F$66,+'7. Weather Senstive Class'!$O$28,IF($B32=$F$67,+'7. Weather Senstive Class'!$W$28,IF($B32=$F$68,+'7. Weather Senstive Class'!$AE$28,IF($B32=$F$69,+'7. Weather Senstive Class'!$AM$28,IF($B32=$F$70,+'8. KW and Non-Weather Sensitive'!$E$28,IF($B32=$F$71,+'8. KW and Non-Weather Sensitive'!$P$28,IF($B32=$F$72,+'8. KW and Non-Weather Sensitive'!$Z$28,IF($B32=$F$73,+'8. KW and Non-Weather Sensitive'!$AJ$28,IF($B32=$F$74,+'8. KW and Non-Weather Sensitive'!$AT$28))))))))))</f>
        <v>1118710</v>
      </c>
      <c r="M33" s="507">
        <f>IF($B32=$F$65,+'7. Weather Senstive Class'!$G$29,IF($B32=$F$66,+'7. Weather Senstive Class'!$O$29,IF($B32=$F$67,+'7. Weather Senstive Class'!$W$29,IF($B32=$F$68,+'7. Weather Senstive Class'!$AE$29,IF($B32=$F$69,+'7. Weather Senstive Class'!$AM$29,IF($B32=$F$70,+'8. KW and Non-Weather Sensitive'!$E$29,IF($B32=$F$71,+'8. KW and Non-Weather Sensitive'!$P$29,IF($B32=$F$72,+'8. KW and Non-Weather Sensitive'!$Z$29,IF($B32=$F$73,+'8. KW and Non-Weather Sensitive'!$AJ$29,IF($B32=$F$74,+'8. KW and Non-Weather Sensitive'!$AT$29))))))))))</f>
        <v>1121519</v>
      </c>
      <c r="N33" s="507">
        <f>IF($B32=$F$65,+'7. Weather Senstive Class'!$G$30,IF($B32=$F$66,+'7. Weather Senstive Class'!$O$30,IF($B32=$F$67,+'7. Weather Senstive Class'!$W$30,IF($B32=$F$68,+'7. Weather Senstive Class'!$AE$30,IF($B32=$F$69,+'7. Weather Senstive Class'!$AM$30,IF($B32=$F$70,+'8. KW and Non-Weather Sensitive'!$E$30,IF($B32=$F$71,+'8. KW and Non-Weather Sensitive'!$P$30,IF($B32=$F$72,+'8. KW and Non-Weather Sensitive'!$Z$30,IF($B32=$F$73,+'8. KW and Non-Weather Sensitive'!$AJ$30,IF($B32=$F$74,+'8. KW and Non-Weather Sensitive'!$AT$30))))))))))</f>
        <v>1123682</v>
      </c>
      <c r="O33" s="507">
        <f>IF($B32=$F$65,+'7. Weather Senstive Class'!$H$42,IF($B32=$F$66,+'7. Weather Senstive Class'!$P$42,IF($B32=$F$67,+'7. Weather Senstive Class'!$X$42,IF($B32=$F$68,+'7. Weather Senstive Class'!$AF$42,IF($B32=$F$69,+'7. Weather Senstive Class'!$AN$42,IF($B32=$F$70,+'8. KW and Non-Weather Sensitive'!$I$49,IF($B32=$F$71,+'8. KW and Non-Weather Sensitive'!$T$49,IF($B32=$F$72,+'8. KW and Non-Weather Sensitive'!$AD$49,IF($B32=$F$73,+'8. KW and Non-Weather Sensitive'!$AN$49,IF($B32=$F$74,+'8. KW and Non-Weather Sensitive'!$AX$49))))))))))</f>
        <v>1107145.7399144964</v>
      </c>
      <c r="P33" s="508">
        <f>IF($B32=$F$65,+'7. Weather Senstive Class'!$H$43,IF($B32=$F$66,+'7. Weather Senstive Class'!$P$43,IF($B32=$F$67,+'7. Weather Senstive Class'!$X$43,IF($B32=$F$68,+'7. Weather Senstive Class'!$AF$43,IF($B32=$F$69,+'7. Weather Senstive Class'!$AN$43,IF($B32=$F$70,+'8. KW and Non-Weather Sensitive'!$I$50,IF($B32=$F$71,+'8. KW and Non-Weather Sensitive'!$T$50,IF($B32=$F$72,+'8. KW and Non-Weather Sensitive'!$AD$50,IF($B32=$F$73,+'8. KW and Non-Weather Sensitive'!$AN$50,IF($B32=$F$74,+'8. KW and Non-Weather Sensitive'!$AX$50))))))))))</f>
        <v>1098309.1910566292</v>
      </c>
    </row>
    <row r="34" spans="2:16" x14ac:dyDescent="0.2">
      <c r="B34" s="89"/>
      <c r="C34" s="775"/>
      <c r="D34" s="59" t="s">
        <v>37</v>
      </c>
      <c r="E34" s="405">
        <f>IF(B$16=$F$70,+'8. KW and Non-Weather Sensitive'!$F$21,IF($B32=$F$71,+'8. KW and Non-Weather Sensitive'!$Q$21,IF($B32=$F$72,+'8. KW and Non-Weather Sensitive'!$AA$21,IF($B32=$F$73,+'8. KW and Non-Weather Sensitive'!$AK$21,+IF($B32=$F$74,+'8. KW and Non-Weather Sensitive'!$AU$21,0)))))</f>
        <v>3053</v>
      </c>
      <c r="F34" s="405">
        <f>IF($B32=$F$70,+'8. KW and Non-Weather Sensitive'!$F$22,IF($B32=$F$71,+'8. KW and Non-Weather Sensitive'!$Q$22,IF($B32=$F$72,+'8. KW and Non-Weather Sensitive'!$AA$22,IF($B32=$F$73,+'8. KW and Non-Weather Sensitive'!$AK$22,+IF($B32=$F$74,+'8. KW and Non-Weather Sensitive'!$AU$22,0)))))</f>
        <v>3095</v>
      </c>
      <c r="G34" s="405">
        <f>IF($B32=$F$70,+'8. KW and Non-Weather Sensitive'!$F$23,IF($B32=$F$71,+'8. KW and Non-Weather Sensitive'!$Q$23,IF($B32=$F$72,+'8. KW and Non-Weather Sensitive'!$AA$23,IF($B32=$F$73,+'8. KW and Non-Weather Sensitive'!$AK$23,+IF($B32=$F$74,+'8. KW and Non-Weather Sensitive'!$AU$23,0)))))</f>
        <v>3100</v>
      </c>
      <c r="H34" s="405">
        <f>IF($B32=$F$70,+'8. KW and Non-Weather Sensitive'!$F$24,IF($B32=$F$71,+'8. KW and Non-Weather Sensitive'!$Q$24,IF($B32=$F$72,+'8. KW and Non-Weather Sensitive'!$AA$24,IF($B32=$F$73,+'8. KW and Non-Weather Sensitive'!$AK$24,+IF($B32=$F$74,+'8. KW and Non-Weather Sensitive'!$AU$24,0)))))</f>
        <v>3092</v>
      </c>
      <c r="I34" s="405">
        <f>IF($B32=$F$70,+'8. KW and Non-Weather Sensitive'!$F$25,IF($B32=$F$71,+'8. KW and Non-Weather Sensitive'!$Q$25,IF($B32=$F$72,+'8. KW and Non-Weather Sensitive'!$AA$25,IF($B32=$F$73,+'8. KW and Non-Weather Sensitive'!$AK$25,+IF($B32=$F$74,+'8. KW and Non-Weather Sensitive'!$AU$25,0)))))</f>
        <v>3098</v>
      </c>
      <c r="J34" s="405">
        <f>IF($B32=$F$70,+'8. KW and Non-Weather Sensitive'!$F$26,IF($B32=$F$71,+'8. KW and Non-Weather Sensitive'!$Q$26,IF($B32=$F$72,+'8. KW and Non-Weather Sensitive'!$AA$26,IF($B32=$F$73,+'8. KW and Non-Weather Sensitive'!$AK$26,+IF($B32=$F$74,+'8. KW and Non-Weather Sensitive'!$AU$26,0)))))</f>
        <v>3099</v>
      </c>
      <c r="K34" s="405">
        <f>IF($B32=$F$70,+'8. KW and Non-Weather Sensitive'!$F$27,IF($B32=$F$71,+'8. KW and Non-Weather Sensitive'!$Q$27,IF($B32=$F$72,+'8. KW and Non-Weather Sensitive'!$AA$27,IF($B32=$F$73,+'8. KW and Non-Weather Sensitive'!$AK$27,+IF($B32=$F$74,+'8. KW and Non-Weather Sensitive'!$AU$27,0)))))</f>
        <v>3100</v>
      </c>
      <c r="L34" s="405">
        <f>IF($B32=$F$70,+'8. KW and Non-Weather Sensitive'!$F$28,IF($B32=$F$71,+'8. KW and Non-Weather Sensitive'!$Q$28,IF($B32=$F$72,+'8. KW and Non-Weather Sensitive'!$AA$28,IF($B32=$F$73,+'8. KW and Non-Weather Sensitive'!$AK$28,+IF($B32=$F$74,+'8. KW and Non-Weather Sensitive'!$AU$28,0)))))</f>
        <v>3104</v>
      </c>
      <c r="M34" s="405">
        <f>IF($B32=$F$70,+'8. KW and Non-Weather Sensitive'!$F$29,IF($B32=$F$71,+'8. KW and Non-Weather Sensitive'!$Q$29,IF($B32=$F$72,+'8. KW and Non-Weather Sensitive'!$AA$29,IF($B32=$F$73,+'8. KW and Non-Weather Sensitive'!$AK$29,+IF($B32=$F$74,+'8. KW and Non-Weather Sensitive'!$AU$29,0)))))</f>
        <v>3110</v>
      </c>
      <c r="N34" s="405">
        <f>IF($B32=$F$70,+'8. KW and Non-Weather Sensitive'!$F$30,IF($B32=$F$71,+'8. KW and Non-Weather Sensitive'!$Q$30,IF($B32=$F$72,+'8. KW and Non-Weather Sensitive'!$AA$30,IF($B32=$F$73,+'8. KW and Non-Weather Sensitive'!$AK$30,+IF($B32=$F$74,+'8. KW and Non-Weather Sensitive'!$AU$30,0)))))</f>
        <v>3117</v>
      </c>
      <c r="O34" s="405">
        <f>IF($B32=$F$70,+'8. KW and Non-Weather Sensitive'!$J$49,IF($B32=$F$71,+'8. KW and Non-Weather Sensitive'!$U$49,IF($B32=$F$72,+'8. KW and Non-Weather Sensitive'!$AE$49,IF($B32=$F$73,+'8. KW and Non-Weather Sensitive'!$AO$49,+IF($B32=$F$74,+'8. KW and Non-Weather Sensitive'!$AY$49,0)))))</f>
        <v>3076.4364861739227</v>
      </c>
      <c r="P34" s="509">
        <f>IF($B32=$F$70,+'8. KW and Non-Weather Sensitive'!$J$50,IF($B32=$F$71,+'8. KW and Non-Weather Sensitive'!$U$50,IF($B32=$F$72,+'8. KW and Non-Weather Sensitive'!$AE$50,IF($B32=$F$73,+'8. KW and Non-Weather Sensitive'!$AO$50,+IF($B32=$F$74,+'8. KW and Non-Weather Sensitive'!$AY$50,0)))))</f>
        <v>3051.8822831109183</v>
      </c>
    </row>
    <row r="35" spans="2:16" x14ac:dyDescent="0.2">
      <c r="B35" s="89"/>
      <c r="C35" s="775"/>
      <c r="D35" s="59"/>
      <c r="E35" s="405"/>
      <c r="F35" s="405"/>
      <c r="G35" s="405"/>
      <c r="H35" s="405"/>
      <c r="I35" s="405"/>
      <c r="J35" s="405"/>
      <c r="K35" s="405"/>
      <c r="L35" s="405"/>
      <c r="M35" s="405"/>
      <c r="N35" s="405"/>
      <c r="O35" s="406"/>
      <c r="P35" s="407"/>
    </row>
    <row r="36" spans="2:16" x14ac:dyDescent="0.2">
      <c r="B36" s="759" t="s">
        <v>268</v>
      </c>
      <c r="C36" s="774">
        <f>IF($B36=$F$65,+$B$65,+IF($B36=$F$66,+$B$66,+IF($B36=$F$67,+$B$67,+IF($B36=$F$67,$B$67,+IF($B36=$F$68,+$B$68,+IF($B36=$F$69,+$B$69,+IF($B36=$F$70,+$B$70,+IF($B36=$F$71,+$B$71,+IF($B36=$F$72,+$B$72,+IF($B36=$F$73,+$B$73,+IF($B36=$F$74,+$B$74)))))))))))</f>
        <v>0</v>
      </c>
      <c r="D36" s="59" t="s">
        <v>130</v>
      </c>
      <c r="E36" s="507">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Growth'!$O$17)))))))</f>
        <v>0</v>
      </c>
      <c r="F36" s="507">
        <f>IF($C36='4. Customer Growth'!$C$15,+'4. Customer Growth'!$C$18,+IF($C36='4. Customer Growth'!$E$15,+'4. Customer Growth'!$E$18,+IF($C36='4. Customer Growth'!$G$15,+'4. Customer Growth'!$G$18,+IF($C36='4. Customer Growth'!$I$15,+'4. Customer Growth'!$I$18,+IF($C36='4. Customer Growth'!$K$15,+'4. Customer Growth'!$K$18,+IF($C36='4. Customer Growth'!$M$15,+'4. Customer Growth'!$M$18,IF($C36='4. Customer Growth'!$O$15,+'4. Customer Growth'!$O$18)))))))</f>
        <v>0</v>
      </c>
      <c r="G36" s="507">
        <f>IF($C36='4. Customer Growth'!$C$15,+'4. Customer Growth'!$C$19,+IF($C36='4. Customer Growth'!$E$15,+'4. Customer Growth'!$E$19,+IF($C36='4. Customer Growth'!$G$15,+'4. Customer Growth'!$G$19,+IF($C36='4. Customer Growth'!$I$15,+'4. Customer Growth'!$I$19,+IF($C36='4. Customer Growth'!$K$15,+'4. Customer Growth'!$K$19,+IF($C36='4. Customer Growth'!$M$15,+'4. Customer Growth'!$M$19,IF($C36='4. Customer Growth'!$O$15,+'4. Customer Growth'!$O$19)))))))</f>
        <v>0</v>
      </c>
      <c r="H36" s="507">
        <f>IF($C36='4. Customer Growth'!$C$15,+'4. Customer Growth'!$C$20,+IF($C36='4. Customer Growth'!$E$15,+'4. Customer Growth'!$E$20,+IF($C36='4. Customer Growth'!$G$15,+'4. Customer Growth'!$G$20,+IF($C36='4. Customer Growth'!$I$15,+'4. Customer Growth'!$I$20,+IF($C36='4. Customer Growth'!$K$15,+'4. Customer Growth'!$K$20,+IF($C36='4. Customer Growth'!$M$15,+'4. Customer Growth'!$M$20,IF($C36='4. Customer Growth'!$O$15,+'4. Customer Growth'!$O$20)))))))</f>
        <v>0</v>
      </c>
      <c r="I36" s="507">
        <f>IF($C36='4. Customer Growth'!$C$15,+'4. Customer Growth'!$C$21,+IF($C36='4. Customer Growth'!$E$15,+'4. Customer Growth'!$E$21,+IF($C36='4. Customer Growth'!$G$15,+'4. Customer Growth'!$G$21,+IF($C36='4. Customer Growth'!$I$15,+'4. Customer Growth'!$I$21,+IF($C36='4. Customer Growth'!$K$15,+'4. Customer Growth'!$K$21,+IF($C36='4. Customer Growth'!$M$15,+'4. Customer Growth'!$M$21,IF($C36='4. Customer Growth'!$O$15,+'4. Customer Growth'!$O$21)))))))</f>
        <v>0</v>
      </c>
      <c r="J36" s="507">
        <f>IF($C36='4. Customer Growth'!$C$15,+'4. Customer Growth'!$C$22,+IF($C36='4. Customer Growth'!$E$15,+'4. Customer Growth'!$E$22,+IF($C36='4. Customer Growth'!$G$15,+'4. Customer Growth'!$G$22,+IF($C36='4. Customer Growth'!$I$15,+'4. Customer Growth'!$I$22,+IF($C36='4. Customer Growth'!$K$15,+'4. Customer Growth'!$K$22,+IF($C36='4. Customer Growth'!$M$15,+'4. Customer Growth'!$M$22,IF($C36='4. Customer Growth'!$O$15,+'4. Customer Growth'!$O$22)))))))</f>
        <v>0</v>
      </c>
      <c r="K36" s="507">
        <f>IF($C36='4. Customer Growth'!$C$15,+'4. Customer Growth'!$C$23,+IF($C36='4. Customer Growth'!$E$15,+'4. Customer Growth'!$E$23,+IF($C36='4. Customer Growth'!$G$15,+'4. Customer Growth'!$G$23,+IF($C36='4. Customer Growth'!$I$15,+'4. Customer Growth'!$I$23,+IF($C36='4. Customer Growth'!$K$15,+'4. Customer Growth'!$K$23,+IF($C36='4. Customer Growth'!$M$15,+'4. Customer Growth'!$M$23,IF($C36='4. Customer Growth'!$O$15,+'4. Customer Growth'!$O$23)))))))</f>
        <v>0</v>
      </c>
      <c r="L36" s="507">
        <f>IF($C36='4. Customer Growth'!$C$15,+'4. Customer Growth'!$C$24,+IF($C36='4. Customer Growth'!$E$15,+'4. Customer Growth'!$E$24,+IF($C36='4. Customer Growth'!$G$15,+'4. Customer Growth'!$G$24,+IF($C36='4. Customer Growth'!$I$15,+'4. Customer Growth'!$I$24,+IF($C36='4. Customer Growth'!$K$15,+'4. Customer Growth'!$K$24,+IF($C36='4. Customer Growth'!$M$15,+'4. Customer Growth'!$M$24,IF($C36='4. Customer Growth'!$O$15,+'4. Customer Growth'!$O$24)))))))</f>
        <v>0</v>
      </c>
      <c r="M36" s="507">
        <f>IF($C36='4. Customer Growth'!$C$15,+'4. Customer Growth'!$C$25,+IF($C36='4. Customer Growth'!$E$15,+'4. Customer Growth'!$E$25,+IF($C36='4. Customer Growth'!$G$15,+'4. Customer Growth'!$G$25,+IF($C36='4. Customer Growth'!$I$15,+'4. Customer Growth'!$I$25,+IF($C36='4. Customer Growth'!$K$15,+'4. Customer Growth'!$K$25,+IF($C36='4. Customer Growth'!$M$15,+'4. Customer Growth'!$M$25,IF($C36='4. Customer Growth'!$O$15,+'4. Customer Growth'!$O$25)))))))</f>
        <v>0</v>
      </c>
      <c r="N36" s="507">
        <f>IF($C36='4. Customer Growth'!$C$15,+'4. Customer Growth'!$C$26,+IF($C36='4. Customer Growth'!$E$15,+'4. Customer Growth'!$E$26,+IF($C36='4. Customer Growth'!$G$15,+'4. Customer Growth'!$G$26,+IF($C36='4. Customer Growth'!$I$15,+'4. Customer Growth'!$I$26,+IF($C36='4. Customer Growth'!$K$15,+'4. Customer Growth'!$K$26,+IF($C36='4. Customer Growth'!$M$15,+'4. Customer Growth'!$M$26,IF($C36='4. Customer Growth'!$O$15,+'4. Customer Growth'!$O$26)))))))</f>
        <v>0</v>
      </c>
      <c r="O36" s="507">
        <f>IF($C36='4. Customer Growth'!$C$15,+'4. Customer Growth'!$C$42,+IF($C36='4. Customer Growth'!$E$15,+'4. Customer Growth'!$E$42,+IF($C36='4. Customer Growth'!$G$15,+'4. Customer Growth'!$G$42,+IF($C36='4. Customer Growth'!$I$15,+'4. Customer Growth'!$I$42,+IF($C36='4. Customer Growth'!$K$15,+'4. Customer Growth'!$K$42,+IF($C36='4. Customer Growth'!$M$15,+'4. Customer Growth'!$M$42,IF($C36='4. Customer Growth'!$O$15,+'4. Customer Growth'!$O$42)))))))</f>
        <v>0</v>
      </c>
      <c r="P36" s="508">
        <f>IF($C36='4. Customer Growth'!$C$15,+'4. Customer Growth'!$C$43,+IF($C36='4. Customer Growth'!$E$15,+'4. Customer Growth'!$E$43,+IF($C36='4. Customer Growth'!$G$15,+'4. Customer Growth'!$G$43,+IF($C36='4. Customer Growth'!$I$15,+'4. Customer Growth'!$I$43,+IF($C36='4. Customer Growth'!$K$15,+'4. Customer Growth'!$K$43,+IF($C36='4. Customer Growth'!$M$15,+'4. Customer Growth'!$M$43,IF($C36='4. Customer Growth'!$O$15,+'4. Customer Growth'!$O$43)))))))</f>
        <v>0</v>
      </c>
    </row>
    <row r="37" spans="2:16" x14ac:dyDescent="0.2">
      <c r="B37" s="89"/>
      <c r="C37" s="775"/>
      <c r="D37" s="59" t="s">
        <v>36</v>
      </c>
      <c r="E37" s="507">
        <f>IF($B36=$F$65,+'7. Weather Senstive Class'!$G$21,IF($B36=$F$66,+'7. Weather Senstive Class'!$O$21,IF($B36=$F$67,+'7. Weather Senstive Class'!$W$21,IF($B36=$F$68,+'7. Weather Senstive Class'!$AE$21,IF($B36=$F$69,+'7. Weather Senstive Class'!$AM$21,IF($B36=$F$70,+'8. KW and Non-Weather Sensitive'!$E$21,IF($B36=$F$71,+'8. KW and Non-Weather Sensitive'!$P$21,IF($B36=$F$72,+'8. KW and Non-Weather Sensitive'!$Z$21,IF($B36=$F$73,+'8. KW and Non-Weather Sensitive'!$AJ$21,IF($B36=$F$74,+'8. KW and Non-Weather Sensitive'!$AT$21))))))))))</f>
        <v>0</v>
      </c>
      <c r="F37" s="507">
        <f>IF($B36=$F$65,+'7. Weather Senstive Class'!$G$22,IF($B36=$F$66,+'7. Weather Senstive Class'!$O$22,IF($B36=$F$67,+'7. Weather Senstive Class'!$W$22,IF($B36=$F$68,+'7. Weather Senstive Class'!$AE$22,IF($B36=$F$69,+'7. Weather Senstive Class'!$AM$22,IF($B36=$F$70,+'8. KW and Non-Weather Sensitive'!$E$22,IF($B36=$F$71,+'8. KW and Non-Weather Sensitive'!$P$22,IF($B36=$F$72,+'8. KW and Non-Weather Sensitive'!$Z$22,IF($B36=$F$73,+'8. KW and Non-Weather Sensitive'!$AJ$22,IF($B36=$F$74,+'8. KW and Non-Weather Sensitive'!$AT$22))))))))))</f>
        <v>0</v>
      </c>
      <c r="G37" s="507">
        <f>IF($B36=$F$65,+'7. Weather Senstive Class'!$G$23,IF($B36=$F$66,+'7. Weather Senstive Class'!$O$23,IF($B36=$F$67,+'7. Weather Senstive Class'!$W$23,IF($B36=$F$68,+'7. Weather Senstive Class'!$AE$23,IF($B36=$F$69,+'7. Weather Senstive Class'!$AM$23,IF($B36=$F$70,+'8. KW and Non-Weather Sensitive'!$E$23,IF($B36=$F$71,+'8. KW and Non-Weather Sensitive'!$P$23,IF($B36=$F$72,+'8. KW and Non-Weather Sensitive'!$Z$23,IF($B36=$F$73,+'8. KW and Non-Weather Sensitive'!$AJ$23,IF($B36=$F$74,+'8. KW and Non-Weather Sensitive'!$AT$23))))))))))</f>
        <v>0</v>
      </c>
      <c r="H37" s="507">
        <f>IF($B36=$F$65,+'7. Weather Senstive Class'!$G$24,IF($B36=$F$66,+'7. Weather Senstive Class'!$O$24,IF($B36=$F$67,+'7. Weather Senstive Class'!$W$24,IF($B36=$F$68,+'7. Weather Senstive Class'!$AE$24,IF($B36=$F$69,+'7. Weather Senstive Class'!$AM$24,IF($B36=$F$70,+'8. KW and Non-Weather Sensitive'!$E$24,IF($B36=$F$71,+'8. KW and Non-Weather Sensitive'!$P$24,IF($B36=$F$72,+'8. KW and Non-Weather Sensitive'!$Z$24,IF($B36=$F$73,+'8. KW and Non-Weather Sensitive'!$AJ$24,IF($B36=$F$74,+'8. KW and Non-Weather Sensitive'!$AT$24))))))))))</f>
        <v>0</v>
      </c>
      <c r="I37" s="507">
        <f>IF($B36=$F$65,+'7. Weather Senstive Class'!$G$25,IF($B36=$F$66,+'7. Weather Senstive Class'!$O$25,IF($B36=$F$67,+'7. Weather Senstive Class'!$W$25,IF($B36=$F$68,+'7. Weather Senstive Class'!$AE$25,IF($B36=$F$69,+'7. Weather Senstive Class'!$AM$25,IF($B36=$F$70,+'8. KW and Non-Weather Sensitive'!$E$25,IF($B36=$F$71,+'8. KW and Non-Weather Sensitive'!$P$25,IF($B36=$F$72,+'8. KW and Non-Weather Sensitive'!$Z$25,IF($B36=$F$73,+'8. KW and Non-Weather Sensitive'!$AJ$25,IF($B36=$F$74,+'8. KW and Non-Weather Sensitive'!$AT$25))))))))))</f>
        <v>0</v>
      </c>
      <c r="J37" s="507">
        <f>IF($B36=$F$65,+'7. Weather Senstive Class'!$G$26,IF($B36=$F$66,+'7. Weather Senstive Class'!$O$26,IF($B36=$F$67,+'7. Weather Senstive Class'!$M$26,IF($B36=$F$68,+'7. Weather Senstive Class'!$AE$26,IF($B36=$F$69,+'7. Weather Senstive Class'!$AM$26,IF($B36=$F$70,+'8. KW and Non-Weather Sensitive'!$E$26,IF($B36=$F$71,+'8. KW and Non-Weather Sensitive'!$P$26,IF($B36=$F$72,+'8. KW and Non-Weather Sensitive'!$Z$26,IF($B36=$F$73,+'8. KW and Non-Weather Sensitive'!$AJ$26,IF($B36=$F$74,+'8. KW and Non-Weather Sensitive'!$AT$26))))))))))</f>
        <v>0</v>
      </c>
      <c r="K37" s="507">
        <f>IF($B36=$F$65,+'7. Weather Senstive Class'!$G$27,IF($B36=$F$66,+'7. Weather Senstive Class'!$O$27,IF($B36=$F$67,+'7. Weather Senstive Class'!$W$27,IF($B36=$F$68,+'7. Weather Senstive Class'!$AE$27,IF($B36=$F$69,+'7. Weather Senstive Class'!$AM$27,IF($B36=$F$70,+'8. KW and Non-Weather Sensitive'!$E$27,IF($B36=$F$71,+'8. KW and Non-Weather Sensitive'!$P$27,IF($B36=$F$72,+'8. KW and Non-Weather Sensitive'!$Z$27,IF($B36=$F$73,+'8. KW and Non-Weather Sensitive'!$AJ$27,IF($B36=$F$74,+'8. KW and Non-Weather Sensitive'!$AT$27))))))))))</f>
        <v>0</v>
      </c>
      <c r="L37" s="507">
        <f>IF($B36=$F$65,+'7. Weather Senstive Class'!$G$28,IF($B36=$F$66,+'7. Weather Senstive Class'!$O$28,IF($B36=$F$67,+'7. Weather Senstive Class'!$W$28,IF($B36=$F$68,+'7. Weather Senstive Class'!$AE$28,IF($B36=$F$69,+'7. Weather Senstive Class'!$AM$28,IF($B36=$F$70,+'8. KW and Non-Weather Sensitive'!$E$28,IF($B36=$F$71,+'8. KW and Non-Weather Sensitive'!$P$28,IF($B36=$F$72,+'8. KW and Non-Weather Sensitive'!$Z$28,IF($B36=$F$73,+'8. KW and Non-Weather Sensitive'!$AJ$28,IF($B36=$F$74,+'8. KW and Non-Weather Sensitive'!$AT$28))))))))))</f>
        <v>0</v>
      </c>
      <c r="M37" s="507">
        <f>IF($B36=$F$65,+'7. Weather Senstive Class'!$G$29,IF($B36=$F$66,+'7. Weather Senstive Class'!$O$29,IF($B36=$F$67,+'7. Weather Senstive Class'!$W$29,IF($B36=$F$68,+'7. Weather Senstive Class'!$AE$29,IF($B36=$F$69,+'7. Weather Senstive Class'!$AM$29,IF($B36=$F$70,+'8. KW and Non-Weather Sensitive'!$E$29,IF($B36=$F$71,+'8. KW and Non-Weather Sensitive'!$P$29,IF($B36=$F$72,+'8. KW and Non-Weather Sensitive'!$Z$29,IF($B36=$F$73,+'8. KW and Non-Weather Sensitive'!$AJ$29,IF($B36=$F$74,+'8. KW and Non-Weather Sensitive'!$AT$29))))))))))</f>
        <v>0</v>
      </c>
      <c r="N37" s="507">
        <f>IF($B36=$F$65,+'7. Weather Senstive Class'!$G$30,IF($B36=$F$66,+'7. Weather Senstive Class'!$O$30,IF($B36=$F$67,+'7. Weather Senstive Class'!$W$30,IF($B36=$F$68,+'7. Weather Senstive Class'!$AE$30,IF($B36=$F$69,+'7. Weather Senstive Class'!$AM$30,IF($B36=$F$70,+'8. KW and Non-Weather Sensitive'!$E$30,IF($B36=$F$71,+'8. KW and Non-Weather Sensitive'!$P$30,IF($B36=$F$72,+'8. KW and Non-Weather Sensitive'!$Z$30,IF($B36=$F$73,+'8. KW and Non-Weather Sensitive'!$AJ$30,IF($B36=$F$74,+'8. KW and Non-Weather Sensitive'!$AT$30))))))))))</f>
        <v>0</v>
      </c>
      <c r="O37" s="507">
        <f>IF($B36=$F$65,+'7. Weather Senstive Class'!$H$42,IF($B36=$F$66,+'7. Weather Senstive Class'!$P$42,IF($B36=$F$67,+'7. Weather Senstive Class'!$X$42,IF($B36=$F$68,+'7. Weather Senstive Class'!$AF$42,IF($B36=$F$69,+'7. Weather Senstive Class'!$AN$42,IF($B36=$F$70,+'8. KW and Non-Weather Sensitive'!$I$49,IF($B36=$F$71,+'8. KW and Non-Weather Sensitive'!$T$49,IF($B36=$F$72,+'8. KW and Non-Weather Sensitive'!$AD$49,IF($B36=$F$73,+'8. KW and Non-Weather Sensitive'!$AN$49,IF($B36=$F$74,+'8. KW and Non-Weather Sensitive'!$AX$49))))))))))</f>
        <v>0</v>
      </c>
      <c r="P37" s="508">
        <f>IF($B36=$F$65,+'7. Weather Senstive Class'!$H$43,IF($B36=$F$66,+'7. Weather Senstive Class'!$P$43,IF($B36=$F$67,+'7. Weather Senstive Class'!$X$43,IF($B36=$F$68,+'7. Weather Senstive Class'!$AF$43,IF($B36=$F$69,+'7. Weather Senstive Class'!$AN$43,IF($B36=$F$70,+'8. KW and Non-Weather Sensitive'!$I$50,IF($B36=$F$71,+'8. KW and Non-Weather Sensitive'!$T$50,IF($B36=$F$72,+'8. KW and Non-Weather Sensitive'!$AD$50,IF($B36=$F$73,+'8. KW and Non-Weather Sensitive'!$AN$50,IF($B36=$F$74,+'8. KW and Non-Weather Sensitive'!$AX$50))))))))))</f>
        <v>0</v>
      </c>
    </row>
    <row r="38" spans="2:16" x14ac:dyDescent="0.2">
      <c r="B38" s="89"/>
      <c r="C38" s="775"/>
      <c r="D38" s="59" t="s">
        <v>37</v>
      </c>
      <c r="E38" s="405">
        <f>IF(B$16=$F$70,+'8. KW and Non-Weather Sensitive'!$F$21,IF($B36=$F$71,+'8. KW and Non-Weather Sensitive'!$Q$21,IF($B36=$F$72,+'8. KW and Non-Weather Sensitive'!$AA$21,IF($B36=$F$73,+'8. KW and Non-Weather Sensitive'!$AK$21,+IF($B36=$F$74,+'8. KW and Non-Weather Sensitive'!$AU$21,0)))))</f>
        <v>0</v>
      </c>
      <c r="F38" s="405">
        <f>IF($B36=$F$70,+'8. KW and Non-Weather Sensitive'!$F$22,IF($B36=$F$71,+'8. KW and Non-Weather Sensitive'!$Q$22,IF($B36=$F$72,+'8. KW and Non-Weather Sensitive'!$AA$22,IF($B36=$F$73,+'8. KW and Non-Weather Sensitive'!$AK$22,+IF($B36=$F$74,+'8. KW and Non-Weather Sensitive'!$AU$22,0)))))</f>
        <v>0</v>
      </c>
      <c r="G38" s="405">
        <f>IF($B36=$F$70,+'8. KW and Non-Weather Sensitive'!$F$23,IF($B36=$F$71,+'8. KW and Non-Weather Sensitive'!$Q$23,IF($B36=$F$72,+'8. KW and Non-Weather Sensitive'!$AA$23,IF($B36=$F$73,+'8. KW and Non-Weather Sensitive'!$AK$23,+IF($B36=$F$74,+'8. KW and Non-Weather Sensitive'!$AU$23,0)))))</f>
        <v>0</v>
      </c>
      <c r="H38" s="405">
        <f>IF($B36=$F$70,+'8. KW and Non-Weather Sensitive'!$F$24,IF($B36=$F$71,+'8. KW and Non-Weather Sensitive'!$Q$24,IF($B36=$F$72,+'8. KW and Non-Weather Sensitive'!$AA$24,IF($B36=$F$73,+'8. KW and Non-Weather Sensitive'!$AK$24,+IF($B36=$F$74,+'8. KW and Non-Weather Sensitive'!$AU$24,0)))))</f>
        <v>0</v>
      </c>
      <c r="I38" s="405">
        <f>IF($B36=$F$70,+'8. KW and Non-Weather Sensitive'!$F$25,IF($B36=$F$71,+'8. KW and Non-Weather Sensitive'!$Q$25,IF($B36=$F$72,+'8. KW and Non-Weather Sensitive'!$AA$25,IF($B36=$F$73,+'8. KW and Non-Weather Sensitive'!$AK$25,+IF($B36=$F$74,+'8. KW and Non-Weather Sensitive'!$AU$25,0)))))</f>
        <v>0</v>
      </c>
      <c r="J38" s="405">
        <f>IF($B36=$F$70,+'8. KW and Non-Weather Sensitive'!$F$26,IF($B36=$F$71,+'8. KW and Non-Weather Sensitive'!$Q$26,IF($B36=$F$72,+'8. KW and Non-Weather Sensitive'!$AA$26,IF($B36=$F$73,+'8. KW and Non-Weather Sensitive'!$AK$26,+IF($B36=$F$74,+'8. KW and Non-Weather Sensitive'!$AU$26,0)))))</f>
        <v>0</v>
      </c>
      <c r="K38" s="405">
        <f>IF($B36=$F$70,+'8. KW and Non-Weather Sensitive'!$F$27,IF($B36=$F$71,+'8. KW and Non-Weather Sensitive'!$Q$27,IF($B36=$F$72,+'8. KW and Non-Weather Sensitive'!$AA$27,IF($B36=$F$73,+'8. KW and Non-Weather Sensitive'!$AK$27,+IF($B36=$F$74,+'8. KW and Non-Weather Sensitive'!$AU$27,0)))))</f>
        <v>0</v>
      </c>
      <c r="L38" s="405">
        <f>IF($B36=$F$70,+'8. KW and Non-Weather Sensitive'!$F$28,IF($B36=$F$71,+'8. KW and Non-Weather Sensitive'!$Q$28,IF($B36=$F$72,+'8. KW and Non-Weather Sensitive'!$AA$28,IF($B36=$F$73,+'8. KW and Non-Weather Sensitive'!$AK$28,+IF($B36=$F$74,+'8. KW and Non-Weather Sensitive'!$AU$28,0)))))</f>
        <v>0</v>
      </c>
      <c r="M38" s="405">
        <f>IF($B36=$F$70,+'8. KW and Non-Weather Sensitive'!$F$29,IF($B36=$F$71,+'8. KW and Non-Weather Sensitive'!$Q$29,IF($B36=$F$72,+'8. KW and Non-Weather Sensitive'!$AA$29,IF($B36=$F$73,+'8. KW and Non-Weather Sensitive'!$AK$29,+IF($B36=$F$74,+'8. KW and Non-Weather Sensitive'!$AU$29,0)))))</f>
        <v>0</v>
      </c>
      <c r="N38" s="405">
        <f>IF($B36=$F$70,+'8. KW and Non-Weather Sensitive'!$F$30,IF($B36=$F$71,+'8. KW and Non-Weather Sensitive'!$Q$30,IF($B36=$F$72,+'8. KW and Non-Weather Sensitive'!$AA$30,IF($B36=$F$73,+'8. KW and Non-Weather Sensitive'!$AK$30,+IF($B36=$F$74,+'8. KW and Non-Weather Sensitive'!$AU$30,0)))))</f>
        <v>0</v>
      </c>
      <c r="O38" s="405">
        <f>IF($B36=$F$70,+'8. KW and Non-Weather Sensitive'!$J$49,IF($B36=$F$71,+'8. KW and Non-Weather Sensitive'!$U$49,IF($B36=$F$72,+'8. KW and Non-Weather Sensitive'!$AE$49,IF($B36=$F$73,+'8. KW and Non-Weather Sensitive'!$AO$49,+IF($B36=$F$74,+'8. KW and Non-Weather Sensitive'!$AY$49,0)))))</f>
        <v>0</v>
      </c>
      <c r="P38" s="509">
        <f>IF($B36=$F$70,+'8. KW and Non-Weather Sensitive'!$J$50,IF($B36=$F$71,+'8. KW and Non-Weather Sensitive'!$U$50,IF($B36=$F$72,+'8. KW and Non-Weather Sensitive'!$AE$50,IF($B36=$F$73,+'8. KW and Non-Weather Sensitive'!$AO$50,+IF($B36=$F$74,+'8. KW and Non-Weather Sensitive'!$AY$50,0)))))</f>
        <v>0</v>
      </c>
    </row>
    <row r="39" spans="2:16" x14ac:dyDescent="0.2">
      <c r="B39" s="89"/>
      <c r="C39" s="775"/>
      <c r="D39" s="59"/>
      <c r="E39" s="405"/>
      <c r="F39" s="405"/>
      <c r="G39" s="405"/>
      <c r="H39" s="405"/>
      <c r="I39" s="405"/>
      <c r="J39" s="405"/>
      <c r="K39" s="405"/>
      <c r="L39" s="405"/>
      <c r="M39" s="405"/>
      <c r="N39" s="405"/>
      <c r="O39" s="406"/>
      <c r="P39" s="407"/>
    </row>
    <row r="40" spans="2:16" x14ac:dyDescent="0.2">
      <c r="B40" s="759" t="s">
        <v>268</v>
      </c>
      <c r="C40" s="774">
        <f>IF($B40=$F$65,+$B$65,+IF($B40=$F$66,+$B$66,+IF($B40=$F$67,+$B$67,+IF($B40=$F$67,$B$67,+IF($B40=$F$68,+$B$68,+IF($B40=$F$69,+$B$69,+IF($B40=$F$70,+$B$70,+IF($B40=$F$71,+$B$71,+IF($B40=$F$72,+$B$72,+IF($B40=$F$73,+$B$73,+IF($B40=$F$74,+$B$74)))))))))))</f>
        <v>0</v>
      </c>
      <c r="D40" s="59" t="s">
        <v>130</v>
      </c>
      <c r="E40" s="510">
        <f>IF($C40='4. Customer Growth'!$C$15,+'4. Customer Growth'!$C$17,+IF($C40='4. Customer Growth'!$E$15,+'4. Customer Growth'!$E$17,+IF($C40='4. Customer Growth'!$G$15,+'4. Customer Growth'!$G$17,+IF($C40='4. Customer Growth'!$I$15,+'4. Customer Growth'!$I$17,+IF($C40='4. Customer Growth'!$K$15,+'4. Customer Growth'!$K$17,+IF($C40='4. Customer Growth'!$M$15,+'4. Customer Growth'!$M$17,IF($C40='4. Customer Growth'!$O$15,+'4. Customer Growth'!$O$17,IF($C40='4. Customer Growth'!$Q$15,+'4. Customer Growth'!$Q$17))))))))</f>
        <v>0</v>
      </c>
      <c r="F40" s="510">
        <f>IF($C40='4. Customer Growth'!$C$15,+'4. Customer Growth'!$C$18,+IF($C40='4. Customer Growth'!$E$15,+'4. Customer Growth'!$E$18,+IF($C40='4. Customer Growth'!$G$15,+'4. Customer Growth'!$G$18,+IF($C40='4. Customer Growth'!$I$15,+'4. Customer Growth'!$I$18,+IF($C40='4. Customer Growth'!$K$15,+'4. Customer Growth'!$K$18,+IF($C40='4. Customer Growth'!$M$15,+'4. Customer Growth'!$M$18,IF($C40='4. Customer Growth'!$O$15,+'4. Customer Growth'!$O$18,IF($C40='4. Customer Growth'!$Q$15,+'4. Customer Growth'!$Q$18))))))))</f>
        <v>0</v>
      </c>
      <c r="G40" s="510">
        <f>IF($C40='4. Customer Growth'!$C$15,+'4. Customer Growth'!$C$19,+IF($C40='4. Customer Growth'!$E$15,+'4. Customer Growth'!$E$19,+IF($C40='4. Customer Growth'!$G$15,+'4. Customer Growth'!$G$19,+IF($C40='4. Customer Growth'!$I$15,+'4. Customer Growth'!$I$19,+IF($C40='4. Customer Growth'!$K$15,+'4. Customer Growth'!$K$19,+IF($C40='4. Customer Growth'!$M$15,+'4. Customer Growth'!$M$19,IF($C40='4. Customer Growth'!$O$15,+'4. Customer Growth'!$O$19,IF($C40='4. Customer Growth'!$Q$15,+'4. Customer Growth'!$Q$19))))))))</f>
        <v>0</v>
      </c>
      <c r="H40" s="510">
        <f>IF($C40='4. Customer Growth'!$C$15,+'4. Customer Growth'!$C$20,+IF($C40='4. Customer Growth'!$E$15,+'4. Customer Growth'!$E$20,+IF($C40='4. Customer Growth'!$G$15,+'4. Customer Growth'!$G$20,+IF($C40='4. Customer Growth'!$I$15,+'4. Customer Growth'!$I$20,+IF($C40='4. Customer Growth'!$K$15,+'4. Customer Growth'!$K$20,+IF($C40='4. Customer Growth'!$M$15,+'4. Customer Growth'!$M$20,IF($C40='4. Customer Growth'!$O$15,+'4. Customer Growth'!$O$20,IF($C40='4. Customer Growth'!$Q$15,+'4. Customer Growth'!$Q$20))))))))</f>
        <v>0</v>
      </c>
      <c r="I40" s="510">
        <f>IF($C40='4. Customer Growth'!$C$15,+'4. Customer Growth'!$C$21,+IF($C40='4. Customer Growth'!$E$15,+'4. Customer Growth'!$E$21,+IF($C40='4. Customer Growth'!$G$15,+'4. Customer Growth'!$G$21,+IF($C40='4. Customer Growth'!$I$15,+'4. Customer Growth'!$I$21,+IF($C40='4. Customer Growth'!$K$15,+'4. Customer Growth'!$K$21,+IF($C40='4. Customer Growth'!$M$15,+'4. Customer Growth'!$M$21,IF($C40='4. Customer Growth'!$O$15,+'4. Customer Growth'!$O$21,IF($C40='4. Customer Growth'!$Q$15,+'4. Customer Growth'!$Q$21))))))))</f>
        <v>0</v>
      </c>
      <c r="J40" s="510">
        <f>IF($C40='4. Customer Growth'!$C$15,+'4. Customer Growth'!$C$22,+IF($C40='4. Customer Growth'!$E$15,+'4. Customer Growth'!$E$22,+IF($C40='4. Customer Growth'!$G$15,+'4. Customer Growth'!$G$22,+IF($C40='4. Customer Growth'!$I$15,+'4. Customer Growth'!$I$22,+IF($C40='4. Customer Growth'!$K$15,+'4. Customer Growth'!$K$22,+IF($C40='4. Customer Growth'!$M$15,+'4. Customer Growth'!$M$22,IF($C40='4. Customer Growth'!$O$15,+'4. Customer Growth'!$O$22,IF($C40='4. Customer Growth'!$Q$15,+'4. Customer Growth'!$Q$22))))))))</f>
        <v>0</v>
      </c>
      <c r="K40" s="510">
        <f>IF($C40='4. Customer Growth'!$C$15,+'4. Customer Growth'!$C$23,+IF($C40='4. Customer Growth'!$E$15,+'4. Customer Growth'!$E$23,+IF($C40='4. Customer Growth'!$G$15,+'4. Customer Growth'!$G$23,+IF($C40='4. Customer Growth'!$I$15,+'4. Customer Growth'!$I$23,+IF($C40='4. Customer Growth'!$K$15,+'4. Customer Growth'!$K$23,+IF($C40='4. Customer Growth'!$M$15,+'4. Customer Growth'!$M$23,IF($C40='4. Customer Growth'!$O$15,+'4. Customer Growth'!$O$23,IF($C40='4. Customer Growth'!$Q$15,+'4. Customer Growth'!$Q$23))))))))</f>
        <v>0</v>
      </c>
      <c r="L40" s="510">
        <f>IF($C40='4. Customer Growth'!$C$15,+'4. Customer Growth'!$C$24,+IF($C40='4. Customer Growth'!$E$15,+'4. Customer Growth'!$E$24,+IF($C40='4. Customer Growth'!$G$15,+'4. Customer Growth'!$G$24,+IF($C40='4. Customer Growth'!$I$15,+'4. Customer Growth'!$I$24,+IF($C40='4. Customer Growth'!$K$15,+'4. Customer Growth'!$K$24,+IF($C40='4. Customer Growth'!$M$15,+'4. Customer Growth'!$M$24,IF($C40='4. Customer Growth'!$O$15,+'4. Customer Growth'!$O$24,IF($C40='4. Customer Growth'!$Q$15,+'4. Customer Growth'!$Q$24))))))))</f>
        <v>0</v>
      </c>
      <c r="M40" s="510">
        <f>IF($C40='4. Customer Growth'!$C$15,+'4. Customer Growth'!$C$25,+IF($C40='4. Customer Growth'!$E$15,+'4. Customer Growth'!$E$25,+IF($C40='4. Customer Growth'!$G$15,+'4. Customer Growth'!$G$25,+IF($C40='4. Customer Growth'!$I$15,+'4. Customer Growth'!$I$25,+IF($C40='4. Customer Growth'!$K$15,+'4. Customer Growth'!$K$25,+IF($C40='4. Customer Growth'!$M$15,+'4. Customer Growth'!$M$25,IF($C40='4. Customer Growth'!$O$15,+'4. Customer Growth'!$O$25,IF($C40='4. Customer Growth'!$Q$15,+'4. Customer Growth'!$Q$25))))))))</f>
        <v>0</v>
      </c>
      <c r="N40" s="510">
        <f>IF($C40='4. Customer Growth'!$C$15,+'4. Customer Growth'!$C$26,+IF($C40='4. Customer Growth'!$E$15,+'4. Customer Growth'!$E$26,+IF($C40='4. Customer Growth'!$G$15,+'4. Customer Growth'!$G$26,+IF($C40='4. Customer Growth'!$I$15,+'4. Customer Growth'!$I$26,+IF($C40='4. Customer Growth'!$K$15,+'4. Customer Growth'!$K$26,+IF($C40='4. Customer Growth'!$M$15,+'4. Customer Growth'!$M$26,IF($C40='4. Customer Growth'!$O$15,+'4. Customer Growth'!$O$26,IF($C40='4. Customer Growth'!$Q$15,+'4. Customer Growth'!$Q$26))))))))</f>
        <v>0</v>
      </c>
      <c r="O40" s="510">
        <f>IF($C40='4. Customer Growth'!$C$15,+'4. Customer Growth'!$C$42,+IF($C40='4. Customer Growth'!$E$15,+'4. Customer Growth'!$E$42,+IF($C40='4. Customer Growth'!$G$15,+'4. Customer Growth'!$G$42,+IF($C40='4. Customer Growth'!$I$15,+'4. Customer Growth'!$I$42,+IF($C40='4. Customer Growth'!$K$15,+'4. Customer Growth'!$K$42,+IF($C40='4. Customer Growth'!$M$15,+'4. Customer Growth'!$M$42,IF($C40='4. Customer Growth'!$O$15,+'4. Customer Growth'!$O$42,IF($C40='4. Customer Growth'!$Q$15,+'4. Customer Growth'!$Q$42))))))))</f>
        <v>0</v>
      </c>
      <c r="P40" s="511">
        <f>IF($C40='4. Customer Growth'!$C$15,+'4. Customer Growth'!$C$43,+IF($C40='4. Customer Growth'!$E$15,+'4. Customer Growth'!$E$43,+IF($C40='4. Customer Growth'!$G$15,+'4. Customer Growth'!$G$43,+IF($C40='4. Customer Growth'!$I$15,+'4. Customer Growth'!$I$43,+IF($C40='4. Customer Growth'!$K$15,+'4. Customer Growth'!$K$43,+IF($C40='4. Customer Growth'!$M$15,+'4. Customer Growth'!$M$43,IF($C40='4. Customer Growth'!$O$15,+'4. Customer Growth'!$O$43,IF($C40='4. Customer Growth'!$Q$15,+'4. Customer Growth'!$Q$43))))))))</f>
        <v>0</v>
      </c>
    </row>
    <row r="41" spans="2:16" x14ac:dyDescent="0.2">
      <c r="B41" s="89"/>
      <c r="C41" s="775"/>
      <c r="D41" s="59" t="s">
        <v>36</v>
      </c>
      <c r="E41" s="507">
        <f>IF($B40=$F$65,+'7. Weather Senstive Class'!$G$21,IF($B40=$F$66,+'7. Weather Senstive Class'!$O$21,IF($B40=$F$67,+'7. Weather Senstive Class'!$W$21,IF($B40=$F$68,+'7. Weather Senstive Class'!$AE$21,IF($B40=$F$69,+'7. Weather Senstive Class'!$AM$21,IF($B40=$F$70,+'8. KW and Non-Weather Sensitive'!$E$21,IF($B40=$F$71,+'8. KW and Non-Weather Sensitive'!$P$21,IF($B40=$F$72,+'8. KW and Non-Weather Sensitive'!$Z$21,IF($B40=$F$73,+'8. KW and Non-Weather Sensitive'!$AJ$21,IF($B40=$F$74,+'8. KW and Non-Weather Sensitive'!$AT$21))))))))))</f>
        <v>0</v>
      </c>
      <c r="F41" s="507">
        <f>IF($B40=$F$65,+'7. Weather Senstive Class'!$G$22,IF($B40=$F$66,+'7. Weather Senstive Class'!$O$22,IF($B40=$F$67,+'7. Weather Senstive Class'!$W$22,IF($B40=$F$68,+'7. Weather Senstive Class'!$AE$22,IF($B40=$F$69,+'7. Weather Senstive Class'!$AM$22,IF($B40=$F$70,+'8. KW and Non-Weather Sensitive'!$E$22,IF($B40=$F$71,+'8. KW and Non-Weather Sensitive'!$P$22,IF($B40=$F$72,+'8. KW and Non-Weather Sensitive'!$Z$22,IF($B40=$F$73,+'8. KW and Non-Weather Sensitive'!$AJ$22,IF($B40=$F$74,+'8. KW and Non-Weather Sensitive'!$AT$22))))))))))</f>
        <v>0</v>
      </c>
      <c r="G41" s="507">
        <f>IF($B40=$F$65,+'7. Weather Senstive Class'!$G$23,IF($B40=$F$66,+'7. Weather Senstive Class'!$O$23,IF($B40=$F$67,+'7. Weather Senstive Class'!$W$23,IF($B40=$F$68,+'7. Weather Senstive Class'!$AE$23,IF($B40=$F$69,+'7. Weather Senstive Class'!$AM$23,IF($B40=$F$70,+'8. KW and Non-Weather Sensitive'!$E$23,IF($B40=$F$71,+'8. KW and Non-Weather Sensitive'!$P$23,IF($B40=$F$72,+'8. KW and Non-Weather Sensitive'!$Z$23,IF($B40=$F$73,+'8. KW and Non-Weather Sensitive'!$AJ$23,IF($B40=$F$74,+'8. KW and Non-Weather Sensitive'!$AT$23))))))))))</f>
        <v>0</v>
      </c>
      <c r="H41" s="507">
        <f>IF($B40=$F$65,+'7. Weather Senstive Class'!$G$24,IF($B40=$F$66,+'7. Weather Senstive Class'!$O$24,IF($B40=$F$67,+'7. Weather Senstive Class'!$W$24,IF($B40=$F$68,+'7. Weather Senstive Class'!$AE$24,IF($B40=$F$69,+'7. Weather Senstive Class'!$AM$24,IF($B40=$F$70,+'8. KW and Non-Weather Sensitive'!$E$24,IF($B40=$F$71,+'8. KW and Non-Weather Sensitive'!$P$24,IF($B40=$F$72,+'8. KW and Non-Weather Sensitive'!$Z$24,IF($B40=$F$73,+'8. KW and Non-Weather Sensitive'!$AJ$24,IF($B40=$F$74,+'8. KW and Non-Weather Sensitive'!$AT$24))))))))))</f>
        <v>0</v>
      </c>
      <c r="I41" s="507">
        <f>IF($B40=$F$65,+'7. Weather Senstive Class'!$G$25,IF($B40=$F$66,+'7. Weather Senstive Class'!$O$25,IF($B40=$F$67,+'7. Weather Senstive Class'!$W$25,IF($B40=$F$68,+'7. Weather Senstive Class'!$AE$25,IF($B40=$F$69,+'7. Weather Senstive Class'!$AM$25,IF($B40=$F$70,+'8. KW and Non-Weather Sensitive'!$E$25,IF($B40=$F$71,+'8. KW and Non-Weather Sensitive'!$P$25,IF($B40=$F$72,+'8. KW and Non-Weather Sensitive'!$Z$25,IF($B40=$F$73,+'8. KW and Non-Weather Sensitive'!$AJ$25,IF($B40=$F$74,+'8. KW and Non-Weather Sensitive'!$AT$25))))))))))</f>
        <v>0</v>
      </c>
      <c r="J41" s="507">
        <f>IF($B40=$F$65,+'7. Weather Senstive Class'!$G$26,IF($B40=$F$66,+'7. Weather Senstive Class'!$O$26,IF($B40=$F$67,+'7. Weather Senstive Class'!$M$26,IF($B40=$F$68,+'7. Weather Senstive Class'!$AE$26,IF($B40=$F$69,+'7. Weather Senstive Class'!$AM$26,IF($B40=$F$70,+'8. KW and Non-Weather Sensitive'!$E$26,IF($B40=$F$71,+'8. KW and Non-Weather Sensitive'!$P$26,IF($B40=$F$72,+'8. KW and Non-Weather Sensitive'!$Z$26,IF($B40=$F$73,+'8. KW and Non-Weather Sensitive'!$AJ$26,IF($B40=$F$74,+'8. KW and Non-Weather Sensitive'!$AT$26))))))))))</f>
        <v>0</v>
      </c>
      <c r="K41" s="507">
        <f>IF($B40=$F$65,+'7. Weather Senstive Class'!$G$27,IF($B40=$F$66,+'7. Weather Senstive Class'!$O$27,IF($B40=$F$67,+'7. Weather Senstive Class'!$W$27,IF($B40=$F$68,+'7. Weather Senstive Class'!$AE$27,IF($B40=$F$69,+'7. Weather Senstive Class'!$AM$27,IF($B40=$F$70,+'8. KW and Non-Weather Sensitive'!$E$27,IF($B40=$F$71,+'8. KW and Non-Weather Sensitive'!$P$27,IF($B40=$F$72,+'8. KW and Non-Weather Sensitive'!$Z$27,IF($B40=$F$73,+'8. KW and Non-Weather Sensitive'!$AJ$27,IF($B40=$F$74,+'8. KW and Non-Weather Sensitive'!$AT$27))))))))))</f>
        <v>0</v>
      </c>
      <c r="L41" s="507">
        <f>IF($B40=$F$65,+'7. Weather Senstive Class'!$G$28,IF($B40=$F$66,+'7. Weather Senstive Class'!$O$28,IF($B40=$F$67,+'7. Weather Senstive Class'!$W$28,IF($B40=$F$68,+'7. Weather Senstive Class'!$AE$28,IF($B40=$F$69,+'7. Weather Senstive Class'!$AM$28,IF($B40=$F$70,+'8. KW and Non-Weather Sensitive'!$E$28,IF($B40=$F$71,+'8. KW and Non-Weather Sensitive'!$P$28,IF($B40=$F$72,+'8. KW and Non-Weather Sensitive'!$Z$28,IF($B40=$F$73,+'8. KW and Non-Weather Sensitive'!$AJ$28,IF($B40=$F$74,+'8. KW and Non-Weather Sensitive'!$AT$28))))))))))</f>
        <v>0</v>
      </c>
      <c r="M41" s="507">
        <f>IF($B40=$F$65,+'7. Weather Senstive Class'!$G$29,IF($B40=$F$66,+'7. Weather Senstive Class'!$O$29,IF($B40=$F$67,+'7. Weather Senstive Class'!$W$29,IF($B40=$F$68,+'7. Weather Senstive Class'!$AE$29,IF($B40=$F$69,+'7. Weather Senstive Class'!$AM$29,IF($B40=$F$70,+'8. KW and Non-Weather Sensitive'!$E$29,IF($B40=$F$71,+'8. KW and Non-Weather Sensitive'!$P$29,IF($B40=$F$72,+'8. KW and Non-Weather Sensitive'!$Z$29,IF($B40=$F$73,+'8. KW and Non-Weather Sensitive'!$AJ$29,IF($B40=$F$74,+'8. KW and Non-Weather Sensitive'!$AT$29))))))))))</f>
        <v>0</v>
      </c>
      <c r="N41" s="507">
        <f>IF($B40=$F$65,+'7. Weather Senstive Class'!$G$30,IF($B40=$F$66,+'7. Weather Senstive Class'!$O$30,IF($B40=$F$67,+'7. Weather Senstive Class'!$W$30,IF($B40=$F$68,+'7. Weather Senstive Class'!$AE$30,IF($B40=$F$69,+'7. Weather Senstive Class'!$AM$30,IF($B40=$F$70,+'8. KW and Non-Weather Sensitive'!$E$30,IF($B40=$F$71,+'8. KW and Non-Weather Sensitive'!$P$30,IF($B40=$F$72,+'8. KW and Non-Weather Sensitive'!$Z$30,IF($B40=$F$73,+'8. KW and Non-Weather Sensitive'!$AJ$30,IF($B40=$F$74,+'8. KW and Non-Weather Sensitive'!$AT$30))))))))))</f>
        <v>0</v>
      </c>
      <c r="O41" s="510">
        <f>IF($B40=$F$65,+'7. Weather Senstive Class'!$H$42,IF($B40=$F$66,+'7. Weather Senstive Class'!$P$42,IF($B40=$F$67,+'7. Weather Senstive Class'!$X$42,IF($B40=$F$68,+'7. Weather Senstive Class'!$AF$42,IF($B40=$F$69,+'7. Weather Senstive Class'!$AN$42,IF($B40=$F$70,+'8. KW and Non-Weather Sensitive'!$I$49,IF($B40=$F$71,+'8. KW and Non-Weather Sensitive'!$T$49,IF($B40=$F$72,+'8. KW and Non-Weather Sensitive'!$AD$49,IF($B40=$F$73,+'8. KW and Non-Weather Sensitive'!$AN$49,IF($B40=$F$74,+'8. KW and Non-Weather Sensitive'!$AX$49))))))))))</f>
        <v>0</v>
      </c>
      <c r="P41" s="511">
        <f>IF($B40=$F$65,+'7. Weather Senstive Class'!$H$43,IF($B40=$F$66,+'7. Weather Senstive Class'!$P$43,IF($B40=$F$67,+'7. Weather Senstive Class'!$X$43,IF($B40=$F$68,+'7. Weather Senstive Class'!$AF$43,IF($B40=$F$69,+'7. Weather Senstive Class'!$AN$43,IF($B40=$F$70,+'8. KW and Non-Weather Sensitive'!$I$50,IF($B40=$F$71,+'8. KW and Non-Weather Sensitive'!$T$50,IF($B40=$F$72,+'8. KW and Non-Weather Sensitive'!$AD$50,IF($B40=$F$73,+'8. KW and Non-Weather Sensitive'!$AN$50,IF($B40=$F$74,+'8. KW and Non-Weather Sensitive'!$AX$50))))))))))</f>
        <v>0</v>
      </c>
    </row>
    <row r="42" spans="2:16" x14ac:dyDescent="0.2">
      <c r="B42" s="89"/>
      <c r="C42" s="775"/>
      <c r="D42" s="59" t="s">
        <v>37</v>
      </c>
      <c r="E42" s="405">
        <f>IF(B$16=$F$70,+'8. KW and Non-Weather Sensitive'!$F$21,IF($B40=$F$71,+'8. KW and Non-Weather Sensitive'!$Q$21,IF($B40=$F$72,+'8. KW and Non-Weather Sensitive'!$AA$21,IF($B40=$F$73,+'8. KW and Non-Weather Sensitive'!$AK$21,+IF($B40=$F$74,+'8. KW and Non-Weather Sensitive'!$AU$21,0)))))</f>
        <v>0</v>
      </c>
      <c r="F42" s="405">
        <f>IF($B40=$F$70,+'8. KW and Non-Weather Sensitive'!$F$22,IF($B40=$F$71,+'8. KW and Non-Weather Sensitive'!$Q$22,IF($B40=$F$72,+'8. KW and Non-Weather Sensitive'!$AA$22,IF($B40=$F$73,+'8. KW and Non-Weather Sensitive'!$AK$22,+IF($B40=$F$74,+'8. KW and Non-Weather Sensitive'!$AU$22,0)))))</f>
        <v>0</v>
      </c>
      <c r="G42" s="405">
        <f>IF($B40=$F$70,+'8. KW and Non-Weather Sensitive'!$F$23,IF($B40=$F$71,+'8. KW and Non-Weather Sensitive'!$Q$23,IF($B40=$F$72,+'8. KW and Non-Weather Sensitive'!$AA$23,IF($B40=$F$73,+'8. KW and Non-Weather Sensitive'!$AK$23,+IF($B40=$F$74,+'8. KW and Non-Weather Sensitive'!$AU$23,0)))))</f>
        <v>0</v>
      </c>
      <c r="H42" s="405">
        <f>IF($B40=$F$70,+'8. KW and Non-Weather Sensitive'!$F$24,IF($B40=$F$71,+'8. KW and Non-Weather Sensitive'!$Q$24,IF($B40=$F$72,+'8. KW and Non-Weather Sensitive'!$AA$24,IF($B40=$F$73,+'8. KW and Non-Weather Sensitive'!$AK$24,+IF($B40=$F$74,+'8. KW and Non-Weather Sensitive'!$AU$24,0)))))</f>
        <v>0</v>
      </c>
      <c r="I42" s="405">
        <f>IF($B40=$F$70,+'8. KW and Non-Weather Sensitive'!$F$25,IF($B40=$F$71,+'8. KW and Non-Weather Sensitive'!$Q$25,IF($B40=$F$72,+'8. KW and Non-Weather Sensitive'!$AA$25,IF($B40=$F$73,+'8. KW and Non-Weather Sensitive'!$AK$25,+IF($B40=$F$74,+'8. KW and Non-Weather Sensitive'!$AU$25,0)))))</f>
        <v>0</v>
      </c>
      <c r="J42" s="405">
        <f>IF($B40=$F$70,+'8. KW and Non-Weather Sensitive'!$F$26,IF($B40=$F$71,+'8. KW and Non-Weather Sensitive'!$Q$26,IF($B40=$F$72,+'8. KW and Non-Weather Sensitive'!$AA$26,IF($B40=$F$73,+'8. KW and Non-Weather Sensitive'!$AK$26,+IF($B40=$F$74,+'8. KW and Non-Weather Sensitive'!$AU$26,0)))))</f>
        <v>0</v>
      </c>
      <c r="K42" s="405">
        <f>IF($B40=$F$70,+'8. KW and Non-Weather Sensitive'!$F$27,IF($B40=$F$71,+'8. KW and Non-Weather Sensitive'!$Q$27,IF($B40=$F$72,+'8. KW and Non-Weather Sensitive'!$AA$27,IF($B40=$F$73,+'8. KW and Non-Weather Sensitive'!$AK$27,+IF($B40=$F$74,+'8. KW and Non-Weather Sensitive'!$AU$27,0)))))</f>
        <v>0</v>
      </c>
      <c r="L42" s="405">
        <f>IF($B40=$F$70,+'8. KW and Non-Weather Sensitive'!$F$28,IF($B40=$F$71,+'8. KW and Non-Weather Sensitive'!$Q$28,IF($B40=$F$72,+'8. KW and Non-Weather Sensitive'!$AA$28,IF($B40=$F$73,+'8. KW and Non-Weather Sensitive'!$AK$28,+IF($B40=$F$74,+'8. KW and Non-Weather Sensitive'!$AU$28,0)))))</f>
        <v>0</v>
      </c>
      <c r="M42" s="405">
        <f>IF($B40=$F$70,+'8. KW and Non-Weather Sensitive'!$F$29,IF($B40=$F$71,+'8. KW and Non-Weather Sensitive'!$Q$29,IF($B40=$F$72,+'8. KW and Non-Weather Sensitive'!$AA$29,IF($B40=$F$73,+'8. KW and Non-Weather Sensitive'!$AK$29,+IF($B40=$F$74,+'8. KW and Non-Weather Sensitive'!$AU$29,0)))))</f>
        <v>0</v>
      </c>
      <c r="N42" s="405">
        <f>IF($B40=$F$70,+'8. KW and Non-Weather Sensitive'!$F$30,IF($B40=$F$71,+'8. KW and Non-Weather Sensitive'!$Q$30,IF($B40=$F$72,+'8. KW and Non-Weather Sensitive'!$AA$30,IF($B40=$F$73,+'8. KW and Non-Weather Sensitive'!$AK$30,+IF($B40=$F$74,+'8. KW and Non-Weather Sensitive'!$AU$30,0)))))</f>
        <v>0</v>
      </c>
      <c r="O42" s="405">
        <f>IF($B40=$F$70,+'8. KW and Non-Weather Sensitive'!$J$49,IF($B40=$F$71,+'8. KW and Non-Weather Sensitive'!$U$49,IF($B40=$F$72,+'8. KW and Non-Weather Sensitive'!$AE$49,IF($B40=$F$73,+'8. KW and Non-Weather Sensitive'!$AO$49,+IF($B40=$F$74,+'8. KW and Non-Weather Sensitive'!$AY$49,0)))))</f>
        <v>0</v>
      </c>
      <c r="P42" s="509">
        <f>IF($B40=$F$70,+'8. KW and Non-Weather Sensitive'!$J$50,IF($B40=$F$71,+'8. KW and Non-Weather Sensitive'!$U$50,IF($B40=$F$72,+'8. KW and Non-Weather Sensitive'!$AE$50,IF($B40=$F$73,+'8. KW and Non-Weather Sensitive'!$AO$50,+IF($B40=$F$74,+'8. KW and Non-Weather Sensitive'!$AY$50,0)))))</f>
        <v>0</v>
      </c>
    </row>
    <row r="43" spans="2:16" x14ac:dyDescent="0.2">
      <c r="B43" s="89"/>
      <c r="C43" s="776"/>
      <c r="D43" s="59"/>
      <c r="E43" s="408"/>
      <c r="F43" s="408"/>
      <c r="G43" s="408"/>
      <c r="H43" s="408"/>
      <c r="I43" s="408"/>
      <c r="J43" s="408"/>
      <c r="K43" s="408"/>
      <c r="L43" s="408"/>
      <c r="M43" s="408"/>
      <c r="N43" s="408"/>
      <c r="O43" s="409"/>
      <c r="P43" s="410"/>
    </row>
    <row r="44" spans="2:16" hidden="1" x14ac:dyDescent="0.2">
      <c r="B44" s="199">
        <f>'2. Customer Classes'!B21</f>
        <v>0</v>
      </c>
      <c r="C44" s="777"/>
      <c r="D44" s="59" t="s">
        <v>130</v>
      </c>
      <c r="E44" s="408"/>
      <c r="F44" s="408"/>
      <c r="G44" s="408"/>
      <c r="H44" s="408"/>
      <c r="I44" s="408"/>
      <c r="J44" s="408"/>
      <c r="K44" s="408"/>
      <c r="L44" s="408"/>
      <c r="M44" s="408"/>
      <c r="N44" s="408"/>
      <c r="O44" s="409"/>
      <c r="P44" s="410"/>
    </row>
    <row r="45" spans="2:16" hidden="1" x14ac:dyDescent="0.2">
      <c r="B45" s="197"/>
      <c r="C45" s="778"/>
      <c r="D45" s="59" t="s">
        <v>36</v>
      </c>
      <c r="E45" s="408"/>
      <c r="F45" s="408"/>
      <c r="G45" s="408"/>
      <c r="H45" s="408"/>
      <c r="I45" s="408"/>
      <c r="J45" s="408"/>
      <c r="K45" s="408"/>
      <c r="L45" s="408"/>
      <c r="M45" s="408"/>
      <c r="N45" s="408"/>
      <c r="O45" s="409"/>
      <c r="P45" s="410"/>
    </row>
    <row r="46" spans="2:16" hidden="1" x14ac:dyDescent="0.2">
      <c r="B46" s="197"/>
      <c r="C46" s="778"/>
      <c r="D46" s="59" t="s">
        <v>37</v>
      </c>
      <c r="E46" s="408"/>
      <c r="F46" s="408"/>
      <c r="G46" s="408"/>
      <c r="H46" s="408"/>
      <c r="I46" s="408"/>
      <c r="J46" s="408"/>
      <c r="K46" s="408"/>
      <c r="L46" s="408"/>
      <c r="M46" s="408"/>
      <c r="N46" s="408"/>
      <c r="O46" s="409"/>
      <c r="P46" s="410"/>
    </row>
    <row r="47" spans="2:16" hidden="1" x14ac:dyDescent="0.2">
      <c r="B47" s="197"/>
      <c r="C47" s="778"/>
      <c r="D47" s="59"/>
      <c r="E47" s="408"/>
      <c r="F47" s="408"/>
      <c r="G47" s="408"/>
      <c r="H47" s="408"/>
      <c r="I47" s="408"/>
      <c r="J47" s="408"/>
      <c r="K47" s="408"/>
      <c r="L47" s="408"/>
      <c r="M47" s="408"/>
      <c r="N47" s="408"/>
      <c r="O47" s="409"/>
      <c r="P47" s="410"/>
    </row>
    <row r="48" spans="2:16" hidden="1" x14ac:dyDescent="0.2">
      <c r="B48" s="199" t="str">
        <f>'2. Customer Classes'!B22</f>
        <v>other</v>
      </c>
      <c r="C48" s="777"/>
      <c r="D48" s="59" t="s">
        <v>130</v>
      </c>
      <c r="E48" s="408"/>
      <c r="F48" s="408"/>
      <c r="G48" s="408"/>
      <c r="H48" s="408"/>
      <c r="I48" s="408"/>
      <c r="J48" s="408"/>
      <c r="K48" s="408"/>
      <c r="L48" s="408"/>
      <c r="M48" s="408"/>
      <c r="N48" s="408"/>
      <c r="O48" s="409"/>
      <c r="P48" s="410"/>
    </row>
    <row r="49" spans="2:16" hidden="1" x14ac:dyDescent="0.2">
      <c r="B49" s="197"/>
      <c r="C49" s="778"/>
      <c r="D49" s="59" t="s">
        <v>36</v>
      </c>
      <c r="E49" s="408"/>
      <c r="F49" s="408"/>
      <c r="G49" s="408"/>
      <c r="H49" s="408"/>
      <c r="I49" s="408"/>
      <c r="J49" s="408"/>
      <c r="K49" s="408"/>
      <c r="L49" s="408"/>
      <c r="M49" s="408"/>
      <c r="N49" s="408"/>
      <c r="O49" s="409"/>
      <c r="P49" s="410"/>
    </row>
    <row r="50" spans="2:16" hidden="1" x14ac:dyDescent="0.2">
      <c r="B50" s="197"/>
      <c r="C50" s="778"/>
      <c r="D50" s="59" t="s">
        <v>37</v>
      </c>
      <c r="E50" s="408"/>
      <c r="F50" s="408"/>
      <c r="G50" s="408"/>
      <c r="H50" s="408"/>
      <c r="I50" s="408"/>
      <c r="J50" s="408"/>
      <c r="K50" s="408"/>
      <c r="L50" s="408"/>
      <c r="M50" s="408"/>
      <c r="N50" s="408"/>
      <c r="O50" s="409"/>
      <c r="P50" s="410"/>
    </row>
    <row r="51" spans="2:16" hidden="1" x14ac:dyDescent="0.2">
      <c r="B51" s="197"/>
      <c r="C51" s="778"/>
      <c r="D51" s="59"/>
      <c r="E51" s="408"/>
      <c r="F51" s="408"/>
      <c r="G51" s="408"/>
      <c r="H51" s="408"/>
      <c r="I51" s="408"/>
      <c r="J51" s="408"/>
      <c r="K51" s="408"/>
      <c r="L51" s="408"/>
      <c r="M51" s="408"/>
      <c r="N51" s="408"/>
      <c r="O51" s="409"/>
      <c r="P51" s="410"/>
    </row>
    <row r="52" spans="2:16" hidden="1" x14ac:dyDescent="0.2">
      <c r="B52" s="199" t="str">
        <f>'2. Customer Classes'!B23</f>
        <v>other</v>
      </c>
      <c r="C52" s="777"/>
      <c r="D52" s="59" t="s">
        <v>130</v>
      </c>
      <c r="E52" s="408"/>
      <c r="F52" s="408"/>
      <c r="G52" s="408"/>
      <c r="H52" s="408"/>
      <c r="I52" s="408"/>
      <c r="J52" s="408"/>
      <c r="K52" s="408"/>
      <c r="L52" s="408"/>
      <c r="M52" s="408"/>
      <c r="N52" s="408"/>
      <c r="O52" s="409"/>
      <c r="P52" s="410"/>
    </row>
    <row r="53" spans="2:16" hidden="1" x14ac:dyDescent="0.2">
      <c r="B53" s="197"/>
      <c r="C53" s="778"/>
      <c r="D53" s="59" t="s">
        <v>36</v>
      </c>
      <c r="E53" s="405"/>
      <c r="F53" s="405"/>
      <c r="G53" s="405"/>
      <c r="H53" s="405"/>
      <c r="I53" s="405"/>
      <c r="J53" s="405"/>
      <c r="K53" s="405"/>
      <c r="L53" s="405"/>
      <c r="M53" s="405"/>
      <c r="N53" s="405"/>
      <c r="O53" s="406"/>
      <c r="P53" s="407"/>
    </row>
    <row r="54" spans="2:16" hidden="1" x14ac:dyDescent="0.2">
      <c r="B54" s="197"/>
      <c r="C54" s="778"/>
      <c r="D54" s="59" t="s">
        <v>37</v>
      </c>
      <c r="E54" s="408"/>
      <c r="F54" s="408"/>
      <c r="G54" s="408"/>
      <c r="H54" s="408"/>
      <c r="I54" s="408"/>
      <c r="J54" s="408"/>
      <c r="K54" s="408"/>
      <c r="L54" s="408"/>
      <c r="M54" s="408"/>
      <c r="N54" s="408"/>
      <c r="O54" s="409"/>
      <c r="P54" s="410"/>
    </row>
    <row r="55" spans="2:16" ht="13.5" thickBot="1" x14ac:dyDescent="0.25">
      <c r="B55" s="90"/>
      <c r="C55" s="779"/>
      <c r="D55" s="91"/>
      <c r="E55" s="479"/>
      <c r="F55" s="479"/>
      <c r="G55" s="479"/>
      <c r="H55" s="479"/>
      <c r="I55" s="479"/>
      <c r="J55" s="479"/>
      <c r="K55" s="479"/>
      <c r="L55" s="479"/>
      <c r="M55" s="479"/>
      <c r="N55" s="479"/>
      <c r="O55" s="480"/>
      <c r="P55" s="481"/>
    </row>
    <row r="56" spans="2:16" x14ac:dyDescent="0.2">
      <c r="B56" s="473" t="s">
        <v>16</v>
      </c>
      <c r="C56" s="474"/>
      <c r="D56" s="475" t="s">
        <v>130</v>
      </c>
      <c r="E56" s="476">
        <f>E16+E20+E24+E28+E32+E36+E40+E44+E48+E52</f>
        <v>5288</v>
      </c>
      <c r="F56" s="476">
        <f>F16+F20+F24+F28+F32+F36+F40+F44+F48+F52</f>
        <v>5293</v>
      </c>
      <c r="G56" s="476">
        <f t="shared" ref="G56:P56" si="0">G16+G20+G24+G28+G32+G36+G40+G44+G48+G52</f>
        <v>5330</v>
      </c>
      <c r="H56" s="476">
        <f t="shared" si="0"/>
        <v>5354</v>
      </c>
      <c r="I56" s="476">
        <f t="shared" si="0"/>
        <v>5363</v>
      </c>
      <c r="J56" s="476">
        <f t="shared" si="0"/>
        <v>5393</v>
      </c>
      <c r="K56" s="476">
        <f t="shared" si="0"/>
        <v>5411</v>
      </c>
      <c r="L56" s="476">
        <f t="shared" si="0"/>
        <v>5443</v>
      </c>
      <c r="M56" s="476">
        <f t="shared" si="0"/>
        <v>5473</v>
      </c>
      <c r="N56" s="476">
        <f t="shared" si="0"/>
        <v>5493</v>
      </c>
      <c r="O56" s="476">
        <f t="shared" si="0"/>
        <v>5517.77491112178</v>
      </c>
      <c r="P56" s="477">
        <f t="shared" si="0"/>
        <v>5542.9438224770811</v>
      </c>
    </row>
    <row r="57" spans="2:16" x14ac:dyDescent="0.2">
      <c r="B57" s="214"/>
      <c r="C57" s="403"/>
      <c r="D57" s="215" t="s">
        <v>36</v>
      </c>
      <c r="E57" s="413">
        <f>E17+E21+E25+E29+E33+E37+E41+E45+E49+E53</f>
        <v>97304543</v>
      </c>
      <c r="F57" s="411">
        <f t="shared" ref="F57:P57" si="1">F17+F21+F25+F29+F33+F37+F41+F45+F49+F53</f>
        <v>99235605</v>
      </c>
      <c r="G57" s="411">
        <f t="shared" si="1"/>
        <v>101925474</v>
      </c>
      <c r="H57" s="411">
        <f t="shared" si="1"/>
        <v>96981360</v>
      </c>
      <c r="I57" s="411">
        <f t="shared" si="1"/>
        <v>95702324</v>
      </c>
      <c r="J57" s="411">
        <f t="shared" si="1"/>
        <v>89846326</v>
      </c>
      <c r="K57" s="411">
        <f t="shared" si="1"/>
        <v>87042318</v>
      </c>
      <c r="L57" s="411">
        <f t="shared" si="1"/>
        <v>87411656</v>
      </c>
      <c r="M57" s="411">
        <f t="shared" si="1"/>
        <v>86248298</v>
      </c>
      <c r="N57" s="411">
        <f t="shared" si="1"/>
        <v>86807086</v>
      </c>
      <c r="O57" s="411">
        <f t="shared" si="1"/>
        <v>87305146.535537943</v>
      </c>
      <c r="P57" s="412">
        <f t="shared" si="1"/>
        <v>86608331.143407091</v>
      </c>
    </row>
    <row r="58" spans="2:16" ht="13.5" thickBot="1" x14ac:dyDescent="0.25">
      <c r="B58" s="216"/>
      <c r="C58" s="404"/>
      <c r="D58" s="217" t="s">
        <v>37</v>
      </c>
      <c r="E58" s="414">
        <f>E18+E22+E26+E30+E34+E38+E42+E46+E50+E54</f>
        <v>156713</v>
      </c>
      <c r="F58" s="414">
        <f t="shared" ref="F58:P58" si="2">F18+F22+F26+F30+F34+F38+F42+F46+F50+F54</f>
        <v>149616</v>
      </c>
      <c r="G58" s="414">
        <f t="shared" si="2"/>
        <v>152047</v>
      </c>
      <c r="H58" s="414">
        <f t="shared" si="2"/>
        <v>144821</v>
      </c>
      <c r="I58" s="414">
        <f t="shared" si="2"/>
        <v>144895</v>
      </c>
      <c r="J58" s="414">
        <f>J18+J22+J26+J30+J34+J38+J42+J46+J50+J54</f>
        <v>134079</v>
      </c>
      <c r="K58" s="414">
        <f t="shared" si="2"/>
        <v>123479</v>
      </c>
      <c r="L58" s="414">
        <f t="shared" si="2"/>
        <v>118917</v>
      </c>
      <c r="M58" s="414">
        <f t="shared" si="2"/>
        <v>117290</v>
      </c>
      <c r="N58" s="414">
        <f t="shared" si="2"/>
        <v>117039</v>
      </c>
      <c r="O58" s="414">
        <f t="shared" si="2"/>
        <v>123812.15400029326</v>
      </c>
      <c r="P58" s="415">
        <f t="shared" si="2"/>
        <v>122823.96237512759</v>
      </c>
    </row>
    <row r="64" spans="2:16" hidden="1" x14ac:dyDescent="0.2">
      <c r="B64" s="1079" t="s">
        <v>192</v>
      </c>
      <c r="C64" s="1080"/>
      <c r="D64" s="1080"/>
      <c r="E64" s="1080"/>
      <c r="F64" s="1080"/>
      <c r="G64" s="1080"/>
      <c r="H64" s="1081"/>
    </row>
    <row r="65" spans="2:8" hidden="1" x14ac:dyDescent="0.2">
      <c r="B65" s="358" t="str">
        <f>+'7. Weather Senstive Class'!B19</f>
        <v>Residential</v>
      </c>
      <c r="C65" s="360"/>
      <c r="D65" s="359" t="s">
        <v>191</v>
      </c>
      <c r="E65" s="360" t="s">
        <v>190</v>
      </c>
      <c r="F65" s="360" t="str">
        <f t="shared" ref="F65:F73" si="3">+CONCATENATE(B65,D65,E65)</f>
        <v>Residential-WN</v>
      </c>
      <c r="G65" s="361"/>
      <c r="H65" s="362"/>
    </row>
    <row r="66" spans="2:8" hidden="1" x14ac:dyDescent="0.2">
      <c r="B66" s="363" t="str">
        <f>+'7. Weather Senstive Class'!J19</f>
        <v>General Service &lt; 50 kW</v>
      </c>
      <c r="C66" s="365"/>
      <c r="D66" s="364" t="s">
        <v>191</v>
      </c>
      <c r="E66" s="365" t="s">
        <v>190</v>
      </c>
      <c r="F66" s="365" t="str">
        <f t="shared" si="3"/>
        <v>General Service &lt; 50 kW-WN</v>
      </c>
      <c r="G66" s="366"/>
      <c r="H66" s="367"/>
    </row>
    <row r="67" spans="2:8" hidden="1" x14ac:dyDescent="0.2">
      <c r="B67" s="363" t="str">
        <f>+'7. Weather Senstive Class'!R19</f>
        <v>General Service &gt; 50 kW - 4999 kW</v>
      </c>
      <c r="C67" s="365"/>
      <c r="D67" s="364" t="s">
        <v>191</v>
      </c>
      <c r="E67" s="365" t="s">
        <v>190</v>
      </c>
      <c r="F67" s="365" t="str">
        <f t="shared" si="3"/>
        <v>General Service &gt; 50 kW - 4999 kW-WN</v>
      </c>
      <c r="G67" s="366"/>
      <c r="H67" s="367"/>
    </row>
    <row r="68" spans="2:8" hidden="1" x14ac:dyDescent="0.2">
      <c r="B68" s="363">
        <f>+'7. Weather Senstive Class'!Z19</f>
        <v>0</v>
      </c>
      <c r="C68" s="365"/>
      <c r="D68" s="364" t="s">
        <v>191</v>
      </c>
      <c r="E68" s="365" t="s">
        <v>190</v>
      </c>
      <c r="F68" s="365" t="str">
        <f t="shared" si="3"/>
        <v>0-WN</v>
      </c>
      <c r="G68" s="366"/>
      <c r="H68" s="367"/>
    </row>
    <row r="69" spans="2:8" hidden="1" x14ac:dyDescent="0.2">
      <c r="B69" s="363">
        <f>+'7. Weather Senstive Class'!AH19</f>
        <v>0</v>
      </c>
      <c r="C69" s="365"/>
      <c r="D69" s="364" t="s">
        <v>191</v>
      </c>
      <c r="E69" s="365" t="s">
        <v>190</v>
      </c>
      <c r="F69" s="365" t="str">
        <f t="shared" si="3"/>
        <v>0-WN</v>
      </c>
      <c r="G69" s="366"/>
      <c r="H69" s="367"/>
    </row>
    <row r="70" spans="2:8" hidden="1" x14ac:dyDescent="0.2">
      <c r="B70" s="363" t="str">
        <f>+'8. KW and Non-Weather Sensitive'!B18</f>
        <v>General Service &gt; 50 kW - 4999 kW</v>
      </c>
      <c r="C70" s="365"/>
      <c r="D70" s="364" t="s">
        <v>191</v>
      </c>
      <c r="E70" s="365" t="s">
        <v>239</v>
      </c>
      <c r="F70" s="365" t="str">
        <f t="shared" si="3"/>
        <v>General Service &gt; 50 kW - 4999 kW-Non-WN/kW</v>
      </c>
      <c r="G70" s="366"/>
      <c r="H70" s="367"/>
    </row>
    <row r="71" spans="2:8" hidden="1" x14ac:dyDescent="0.2">
      <c r="B71" s="363" t="str">
        <f>+'8. KW and Non-Weather Sensitive'!M18</f>
        <v>Streetlighting</v>
      </c>
      <c r="C71" s="365"/>
      <c r="D71" s="364" t="s">
        <v>191</v>
      </c>
      <c r="E71" s="365" t="s">
        <v>239</v>
      </c>
      <c r="F71" s="365" t="str">
        <f t="shared" si="3"/>
        <v>Streetlighting-Non-WN/kW</v>
      </c>
      <c r="G71" s="366"/>
      <c r="H71" s="367"/>
    </row>
    <row r="72" spans="2:8" hidden="1" x14ac:dyDescent="0.2">
      <c r="B72" s="363" t="str">
        <f>+'8. KW and Non-Weather Sensitive'!W18</f>
        <v>Sentinel Lighting</v>
      </c>
      <c r="C72" s="365"/>
      <c r="D72" s="364" t="s">
        <v>191</v>
      </c>
      <c r="E72" s="365" t="s">
        <v>239</v>
      </c>
      <c r="F72" s="365" t="str">
        <f t="shared" si="3"/>
        <v>Sentinel Lighting-Non-WN/kW</v>
      </c>
      <c r="G72" s="366"/>
      <c r="H72" s="367"/>
    </row>
    <row r="73" spans="2:8" hidden="1" x14ac:dyDescent="0.2">
      <c r="B73" s="363" t="str">
        <f>+'8. KW and Non-Weather Sensitive'!AG18</f>
        <v>Unmetered Scattered Load</v>
      </c>
      <c r="C73" s="365"/>
      <c r="D73" s="364" t="s">
        <v>191</v>
      </c>
      <c r="E73" s="365" t="s">
        <v>239</v>
      </c>
      <c r="F73" s="365" t="str">
        <f t="shared" si="3"/>
        <v>Unmetered Scattered Load-Non-WN/kW</v>
      </c>
      <c r="G73" s="366"/>
      <c r="H73" s="367"/>
    </row>
    <row r="74" spans="2:8" hidden="1" x14ac:dyDescent="0.2">
      <c r="B74" s="368">
        <f>+'8. KW and Non-Weather Sensitive'!AQ18</f>
        <v>0</v>
      </c>
      <c r="C74" s="370"/>
      <c r="D74" s="369" t="s">
        <v>191</v>
      </c>
      <c r="E74" s="370" t="s">
        <v>239</v>
      </c>
      <c r="F74" s="370" t="str">
        <f>+CONCATENATE(B74,D74,E74)</f>
        <v>0-Non-WN/kW</v>
      </c>
      <c r="G74" s="371"/>
      <c r="H74" s="372"/>
    </row>
  </sheetData>
  <mergeCells count="1">
    <mergeCell ref="B64:H64"/>
  </mergeCells>
  <dataValidations count="1">
    <dataValidation type="list" allowBlank="1" showInputMessage="1" showErrorMessage="1" sqref="B16 B36 B32 B28 B24 B20 B40">
      <formula1>$F$65:$F$74</formula1>
    </dataValidation>
  </dataValidations>
  <pageMargins left="0.7" right="0.7" top="0.75" bottom="0.75" header="0.3" footer="0.3"/>
  <pageSetup scale="44" orientation="landscape" horizontalDpi="4294967293" r:id="rId1"/>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3"/>
  <sheetViews>
    <sheetView showGridLines="0" topLeftCell="A79" workbookViewId="0">
      <selection activeCell="H17" sqref="H17"/>
    </sheetView>
  </sheetViews>
  <sheetFormatPr defaultColWidth="17.5" defaultRowHeight="12.75" x14ac:dyDescent="0.2"/>
  <cols>
    <col min="1" max="1" width="13.6640625" style="382" customWidth="1"/>
    <col min="2" max="2" width="30.83203125" style="382" bestFit="1" customWidth="1"/>
    <col min="3" max="9" width="19.83203125" style="382" customWidth="1"/>
    <col min="10" max="10" width="13.1640625" style="382" customWidth="1"/>
    <col min="11" max="13" width="17.5" style="382"/>
    <col min="14" max="14" width="21" style="382" bestFit="1" customWidth="1"/>
    <col min="15" max="16384" width="17.5" style="382"/>
  </cols>
  <sheetData>
    <row r="1" spans="1:13" x14ac:dyDescent="0.2">
      <c r="A1" s="755" t="s">
        <v>269</v>
      </c>
    </row>
    <row r="10" spans="1:13" s="102" customFormat="1" x14ac:dyDescent="0.2">
      <c r="H10" s="104"/>
    </row>
    <row r="11" spans="1:13" ht="23.25" x14ac:dyDescent="0.35">
      <c r="B11" s="1082" t="s">
        <v>210</v>
      </c>
      <c r="C11" s="1082"/>
      <c r="D11" s="1082"/>
      <c r="E11" s="1082"/>
      <c r="F11" s="1082"/>
      <c r="G11" s="1082"/>
      <c r="H11" s="1082"/>
      <c r="I11" s="1082"/>
    </row>
    <row r="12" spans="1:13" ht="14.25" x14ac:dyDescent="0.2">
      <c r="B12" s="567"/>
      <c r="C12" s="567"/>
      <c r="D12" s="567"/>
      <c r="E12" s="567"/>
      <c r="F12" s="567"/>
      <c r="G12" s="567"/>
      <c r="H12" s="567"/>
      <c r="I12" s="567"/>
    </row>
    <row r="13" spans="1:13" ht="75" customHeight="1" x14ac:dyDescent="0.2">
      <c r="B13" s="1083" t="s">
        <v>226</v>
      </c>
      <c r="C13" s="1083"/>
      <c r="D13" s="1083"/>
      <c r="E13" s="1083"/>
      <c r="F13" s="1083"/>
      <c r="G13" s="1083"/>
      <c r="H13" s="1083"/>
      <c r="I13" s="1083"/>
      <c r="J13" s="106"/>
      <c r="K13" s="107"/>
      <c r="L13" s="108"/>
      <c r="M13" s="108"/>
    </row>
    <row r="14" spans="1:13" ht="14.25" x14ac:dyDescent="0.2">
      <c r="B14" s="567"/>
      <c r="C14" s="567"/>
      <c r="D14" s="567"/>
      <c r="E14" s="567"/>
      <c r="F14" s="567"/>
      <c r="G14" s="567"/>
      <c r="H14" s="567"/>
      <c r="I14" s="567"/>
      <c r="J14" s="103"/>
      <c r="K14" s="107"/>
      <c r="L14" s="108"/>
      <c r="M14" s="108"/>
    </row>
    <row r="15" spans="1:13" ht="23.25" x14ac:dyDescent="0.2">
      <c r="B15" s="1108" t="s">
        <v>211</v>
      </c>
      <c r="C15" s="1108"/>
      <c r="D15" s="1108"/>
      <c r="E15" s="1108"/>
      <c r="F15" s="1108"/>
      <c r="G15" s="1108"/>
      <c r="H15" s="1108"/>
      <c r="I15" s="1108"/>
    </row>
    <row r="16" spans="1:13" ht="15" thickBot="1" x14ac:dyDescent="0.25">
      <c r="B16" s="568"/>
      <c r="C16" s="569"/>
      <c r="D16" s="569"/>
      <c r="E16" s="569"/>
      <c r="F16" s="569"/>
      <c r="G16" s="569"/>
      <c r="H16" s="567"/>
      <c r="I16" s="567"/>
    </row>
    <row r="17" spans="2:9" ht="15" x14ac:dyDescent="0.25">
      <c r="B17" s="1096" t="s">
        <v>50</v>
      </c>
      <c r="C17" s="1097"/>
      <c r="D17" s="1097"/>
      <c r="E17" s="1097"/>
      <c r="F17" s="1097"/>
      <c r="G17" s="1098"/>
      <c r="H17" s="567"/>
      <c r="I17" s="567"/>
    </row>
    <row r="18" spans="2:9" ht="12.75" customHeight="1" x14ac:dyDescent="0.2">
      <c r="B18" s="1112">
        <v>8970000</v>
      </c>
      <c r="C18" s="1113"/>
      <c r="D18" s="1113"/>
      <c r="E18" s="1113"/>
      <c r="F18" s="1113"/>
      <c r="G18" s="1114"/>
      <c r="H18" s="567"/>
      <c r="I18" s="567"/>
    </row>
    <row r="19" spans="2:9" ht="15" x14ac:dyDescent="0.25">
      <c r="B19" s="570"/>
      <c r="C19" s="571">
        <v>2011</v>
      </c>
      <c r="D19" s="571">
        <v>2012</v>
      </c>
      <c r="E19" s="571">
        <v>2013</v>
      </c>
      <c r="F19" s="571">
        <v>2014</v>
      </c>
      <c r="G19" s="572" t="s">
        <v>16</v>
      </c>
      <c r="H19" s="567"/>
      <c r="I19" s="567"/>
    </row>
    <row r="20" spans="2:9" ht="14.25" x14ac:dyDescent="0.2">
      <c r="B20" s="573" t="s">
        <v>51</v>
      </c>
      <c r="C20" s="744">
        <f>C26/$G$30</f>
        <v>8.8963210702341131E-2</v>
      </c>
      <c r="D20" s="574">
        <f>D26/$G$30</f>
        <v>8.8963210702341131E-2</v>
      </c>
      <c r="E20" s="574">
        <f>E26/$G$30</f>
        <v>8.7959866220735788E-2</v>
      </c>
      <c r="F20" s="575">
        <f>F26/$G$30</f>
        <v>7.8149386845039012E-2</v>
      </c>
      <c r="G20" s="576">
        <f>SUM(C20:F20)</f>
        <v>0.34403567447045708</v>
      </c>
      <c r="H20" s="567"/>
      <c r="I20" s="567"/>
    </row>
    <row r="21" spans="2:9" ht="14.25" x14ac:dyDescent="0.2">
      <c r="B21" s="573" t="s">
        <v>52</v>
      </c>
      <c r="C21" s="577"/>
      <c r="D21" s="574">
        <f>D27/$G$30</f>
        <v>8.6510590858416947E-2</v>
      </c>
      <c r="E21" s="574">
        <f>E27/$G$30</f>
        <v>8.6510590858416947E-2</v>
      </c>
      <c r="F21" s="575">
        <f>F27/$G$30</f>
        <v>8.595317725752509E-2</v>
      </c>
      <c r="G21" s="576">
        <f>SUM(C21:F21)</f>
        <v>0.258974358974359</v>
      </c>
      <c r="H21" s="567"/>
      <c r="I21" s="567"/>
    </row>
    <row r="22" spans="2:9" ht="14.25" x14ac:dyDescent="0.2">
      <c r="B22" s="573" t="s">
        <v>53</v>
      </c>
      <c r="C22" s="577"/>
      <c r="D22" s="577"/>
      <c r="E22" s="574">
        <f>E28/$G$30</f>
        <v>8.0713489409141581E-2</v>
      </c>
      <c r="F22" s="575">
        <f>F28/$G$30</f>
        <v>8.0713489409141581E-2</v>
      </c>
      <c r="G22" s="576">
        <f>SUM(C22:F22)</f>
        <v>0.16142697881828316</v>
      </c>
      <c r="H22" s="567"/>
      <c r="I22" s="567"/>
    </row>
    <row r="23" spans="2:9" ht="15" thickBot="1" x14ac:dyDescent="0.25">
      <c r="B23" s="578" t="s">
        <v>54</v>
      </c>
      <c r="C23" s="579"/>
      <c r="D23" s="579"/>
      <c r="E23" s="579"/>
      <c r="F23" s="580">
        <f>F29/$G$30</f>
        <v>0.22630992196209587</v>
      </c>
      <c r="G23" s="581">
        <f>SUM(C23:F23)</f>
        <v>0.22630992196209587</v>
      </c>
      <c r="H23" s="567"/>
      <c r="I23" s="567"/>
    </row>
    <row r="24" spans="2:9" ht="12.75" customHeight="1" thickTop="1" x14ac:dyDescent="0.25">
      <c r="B24" s="582" t="s">
        <v>55</v>
      </c>
      <c r="C24" s="583">
        <f>SUM(C20:C23)</f>
        <v>8.8963210702341131E-2</v>
      </c>
      <c r="D24" s="583">
        <f>SUM(D20:D23)</f>
        <v>0.17547380156075809</v>
      </c>
      <c r="E24" s="583">
        <f>SUM(E20:E23)</f>
        <v>0.25518394648829434</v>
      </c>
      <c r="F24" s="584">
        <f>SUM(F20:F23)</f>
        <v>0.47112597547380153</v>
      </c>
      <c r="G24" s="585">
        <f>SUM(C24:F24)</f>
        <v>0.99074693422519511</v>
      </c>
      <c r="H24" s="567"/>
      <c r="I24" s="567"/>
    </row>
    <row r="25" spans="2:9" ht="12.75" customHeight="1" x14ac:dyDescent="0.2">
      <c r="B25" s="1091" t="s">
        <v>36</v>
      </c>
      <c r="C25" s="1092"/>
      <c r="D25" s="1092"/>
      <c r="E25" s="1092"/>
      <c r="F25" s="1092"/>
      <c r="G25" s="1093"/>
      <c r="H25" s="567"/>
      <c r="I25" s="567"/>
    </row>
    <row r="26" spans="2:9" ht="14.25" x14ac:dyDescent="0.2">
      <c r="B26" s="573" t="s">
        <v>51</v>
      </c>
      <c r="C26" s="586">
        <v>798000</v>
      </c>
      <c r="D26" s="586">
        <v>798000</v>
      </c>
      <c r="E26" s="586">
        <v>789000</v>
      </c>
      <c r="F26" s="587">
        <v>701000</v>
      </c>
      <c r="G26" s="588">
        <v>3086000</v>
      </c>
      <c r="H26" s="567"/>
      <c r="I26" s="567"/>
    </row>
    <row r="27" spans="2:9" ht="14.25" x14ac:dyDescent="0.2">
      <c r="B27" s="573" t="s">
        <v>52</v>
      </c>
      <c r="C27" s="589">
        <v>-16000</v>
      </c>
      <c r="D27" s="590">
        <v>776000</v>
      </c>
      <c r="E27" s="590">
        <v>776000</v>
      </c>
      <c r="F27" s="591">
        <v>771000</v>
      </c>
      <c r="G27" s="588">
        <v>2307000</v>
      </c>
      <c r="H27" s="567"/>
      <c r="I27" s="567"/>
    </row>
    <row r="28" spans="2:9" ht="14.25" x14ac:dyDescent="0.2">
      <c r="B28" s="573" t="s">
        <v>53</v>
      </c>
      <c r="C28" s="589"/>
      <c r="D28" s="589">
        <v>99000</v>
      </c>
      <c r="E28" s="590">
        <v>724000</v>
      </c>
      <c r="F28" s="591">
        <v>724000</v>
      </c>
      <c r="G28" s="588">
        <v>1547000</v>
      </c>
      <c r="H28" s="567"/>
      <c r="I28" s="567"/>
    </row>
    <row r="29" spans="2:9" ht="15" thickBot="1" x14ac:dyDescent="0.25">
      <c r="B29" s="578" t="s">
        <v>54</v>
      </c>
      <c r="C29" s="592"/>
      <c r="D29" s="592"/>
      <c r="E29" s="592"/>
      <c r="F29" s="593">
        <f>MAX(0,B18-SUM(C26:F28))</f>
        <v>2030000</v>
      </c>
      <c r="G29" s="594">
        <f>SUM(C29:F29)</f>
        <v>2030000</v>
      </c>
      <c r="H29" s="567"/>
      <c r="I29" s="567"/>
    </row>
    <row r="30" spans="2:9" ht="16.5" thickTop="1" thickBot="1" x14ac:dyDescent="0.3">
      <c r="B30" s="595" t="s">
        <v>55</v>
      </c>
      <c r="C30" s="596">
        <f>SUM(C26:C29)</f>
        <v>782000</v>
      </c>
      <c r="D30" s="596">
        <f>SUM(D26:D29)</f>
        <v>1673000</v>
      </c>
      <c r="E30" s="596">
        <f>SUM(E26:E29)</f>
        <v>2289000</v>
      </c>
      <c r="F30" s="597">
        <f>SUM(F26:F29)</f>
        <v>4226000</v>
      </c>
      <c r="G30" s="598">
        <f>SUM(G26:G29)</f>
        <v>8970000</v>
      </c>
      <c r="H30" s="567"/>
      <c r="I30" s="567"/>
    </row>
    <row r="31" spans="2:9" ht="15" x14ac:dyDescent="0.25">
      <c r="B31" s="599"/>
      <c r="C31" s="600"/>
      <c r="D31" s="600"/>
      <c r="E31" s="600"/>
      <c r="F31" s="600"/>
      <c r="G31" s="600"/>
      <c r="H31" s="567"/>
      <c r="I31" s="567"/>
    </row>
    <row r="32" spans="2:9" ht="23.25" x14ac:dyDescent="0.2">
      <c r="B32" s="1108" t="s">
        <v>195</v>
      </c>
      <c r="C32" s="1108"/>
      <c r="D32" s="1108"/>
      <c r="E32" s="1108"/>
      <c r="F32" s="1108"/>
      <c r="G32" s="1108"/>
      <c r="H32" s="567"/>
      <c r="I32" s="567"/>
    </row>
    <row r="33" spans="2:9" ht="15" x14ac:dyDescent="0.25">
      <c r="B33" s="599"/>
      <c r="C33" s="600"/>
      <c r="D33" s="600"/>
      <c r="E33" s="600"/>
      <c r="F33" s="600"/>
      <c r="G33" s="600"/>
      <c r="H33" s="567"/>
      <c r="I33" s="567"/>
    </row>
    <row r="34" spans="2:9" ht="86.25" customHeight="1" x14ac:dyDescent="0.2">
      <c r="B34" s="1087" t="s">
        <v>196</v>
      </c>
      <c r="C34" s="1087"/>
      <c r="D34" s="1087"/>
      <c r="E34" s="1087"/>
      <c r="F34" s="1087"/>
      <c r="G34" s="1087"/>
      <c r="H34" s="1087"/>
      <c r="I34" s="1087"/>
    </row>
    <row r="35" spans="2:9" ht="15.75" thickBot="1" x14ac:dyDescent="0.3">
      <c r="B35" s="599"/>
      <c r="C35" s="600"/>
      <c r="D35" s="600"/>
      <c r="E35" s="600"/>
      <c r="F35" s="600"/>
      <c r="G35" s="600"/>
      <c r="H35" s="567"/>
      <c r="I35" s="567"/>
    </row>
    <row r="36" spans="2:9" ht="15" x14ac:dyDescent="0.2">
      <c r="B36" s="1109" t="s">
        <v>197</v>
      </c>
      <c r="C36" s="1110"/>
      <c r="D36" s="1110"/>
      <c r="E36" s="1110"/>
      <c r="F36" s="1110"/>
      <c r="G36" s="1110"/>
      <c r="H36" s="1110"/>
      <c r="I36" s="1111"/>
    </row>
    <row r="37" spans="2:9" ht="14.25" x14ac:dyDescent="0.2">
      <c r="B37" s="1105">
        <v>10000000</v>
      </c>
      <c r="C37" s="1106"/>
      <c r="D37" s="1106"/>
      <c r="E37" s="1106"/>
      <c r="F37" s="1106"/>
      <c r="G37" s="1106"/>
      <c r="H37" s="1106"/>
      <c r="I37" s="1107"/>
    </row>
    <row r="38" spans="2:9" ht="15" x14ac:dyDescent="0.25">
      <c r="B38" s="601"/>
      <c r="C38" s="602">
        <v>2015</v>
      </c>
      <c r="D38" s="602">
        <v>2016</v>
      </c>
      <c r="E38" s="602">
        <v>2017</v>
      </c>
      <c r="F38" s="602">
        <v>2018</v>
      </c>
      <c r="G38" s="602">
        <v>2019</v>
      </c>
      <c r="H38" s="602">
        <v>2020</v>
      </c>
      <c r="I38" s="603" t="s">
        <v>16</v>
      </c>
    </row>
    <row r="39" spans="2:9" ht="15" customHeight="1" x14ac:dyDescent="0.2">
      <c r="B39" s="1088" t="s">
        <v>198</v>
      </c>
      <c r="C39" s="1089"/>
      <c r="D39" s="1089"/>
      <c r="E39" s="1089"/>
      <c r="F39" s="1089"/>
      <c r="G39" s="1089"/>
      <c r="H39" s="1089"/>
      <c r="I39" s="1090"/>
    </row>
    <row r="40" spans="2:9" ht="14.25" x14ac:dyDescent="0.2">
      <c r="B40" s="573" t="s">
        <v>199</v>
      </c>
      <c r="C40" s="574">
        <f>C48/$I$54</f>
        <v>0.16666666666666666</v>
      </c>
      <c r="D40" s="604"/>
      <c r="E40" s="604"/>
      <c r="F40" s="604"/>
      <c r="G40" s="604"/>
      <c r="H40" s="605"/>
      <c r="I40" s="576">
        <f>SUM(C40:H40)</f>
        <v>0.16666666666666666</v>
      </c>
    </row>
    <row r="41" spans="2:9" ht="15" customHeight="1" x14ac:dyDescent="0.2">
      <c r="B41" s="573" t="s">
        <v>200</v>
      </c>
      <c r="C41" s="577"/>
      <c r="D41" s="574">
        <f>D49/$I$54</f>
        <v>0.16666666666666666</v>
      </c>
      <c r="E41" s="604"/>
      <c r="F41" s="604"/>
      <c r="G41" s="604"/>
      <c r="H41" s="605"/>
      <c r="I41" s="576">
        <f>SUM(C41:H41)</f>
        <v>0.16666666666666666</v>
      </c>
    </row>
    <row r="42" spans="2:9" ht="14.25" x14ac:dyDescent="0.2">
      <c r="B42" s="573" t="s">
        <v>201</v>
      </c>
      <c r="C42" s="577"/>
      <c r="D42" s="577"/>
      <c r="E42" s="574">
        <f>E50/$I$54</f>
        <v>0.16666666666666666</v>
      </c>
      <c r="F42" s="604"/>
      <c r="G42" s="604"/>
      <c r="H42" s="605"/>
      <c r="I42" s="576">
        <f>SUM(C42:H42)</f>
        <v>0.16666666666666666</v>
      </c>
    </row>
    <row r="43" spans="2:9" ht="14.25" x14ac:dyDescent="0.2">
      <c r="B43" s="573" t="s">
        <v>202</v>
      </c>
      <c r="C43" s="577"/>
      <c r="D43" s="577"/>
      <c r="E43" s="574"/>
      <c r="F43" s="574">
        <f>F51/$I$54</f>
        <v>0.16666666666666666</v>
      </c>
      <c r="G43" s="604"/>
      <c r="H43" s="605"/>
      <c r="I43" s="576">
        <f>SUM(F43:H43)</f>
        <v>0.16666666666666666</v>
      </c>
    </row>
    <row r="44" spans="2:9" ht="14.25" x14ac:dyDescent="0.2">
      <c r="B44" s="573" t="s">
        <v>203</v>
      </c>
      <c r="C44" s="577"/>
      <c r="D44" s="577"/>
      <c r="E44" s="574"/>
      <c r="F44" s="574"/>
      <c r="G44" s="574">
        <f>G52/$I$54</f>
        <v>0.16666666666666666</v>
      </c>
      <c r="H44" s="605"/>
      <c r="I44" s="576">
        <f>SUM(G44:H44)</f>
        <v>0.16666666666666666</v>
      </c>
    </row>
    <row r="45" spans="2:9" ht="15" thickBot="1" x14ac:dyDescent="0.25">
      <c r="B45" s="578" t="s">
        <v>204</v>
      </c>
      <c r="C45" s="579"/>
      <c r="D45" s="579"/>
      <c r="E45" s="579"/>
      <c r="F45" s="579"/>
      <c r="G45" s="579"/>
      <c r="H45" s="580">
        <f>H53/$I$54</f>
        <v>0.16666666666666666</v>
      </c>
      <c r="I45" s="581">
        <f>SUM(C45:H45)</f>
        <v>0.16666666666666666</v>
      </c>
    </row>
    <row r="46" spans="2:9" ht="15.75" thickTop="1" x14ac:dyDescent="0.25">
      <c r="B46" s="606" t="s">
        <v>55</v>
      </c>
      <c r="C46" s="607">
        <f>SUM(C40:C45)</f>
        <v>0.16666666666666666</v>
      </c>
      <c r="D46" s="607">
        <f>SUM(D40:D45)</f>
        <v>0.16666666666666666</v>
      </c>
      <c r="E46" s="607">
        <f>SUM(E40:E45)</f>
        <v>0.16666666666666666</v>
      </c>
      <c r="F46" s="607">
        <f>SUM(F40:F43)</f>
        <v>0.16666666666666666</v>
      </c>
      <c r="G46" s="607">
        <f>SUM(G40:G44)</f>
        <v>0.16666666666666666</v>
      </c>
      <c r="H46" s="608">
        <f>SUM(H40:H45)</f>
        <v>0.16666666666666666</v>
      </c>
      <c r="I46" s="609">
        <f>SUM(C46:H46)</f>
        <v>0.99999999999999989</v>
      </c>
    </row>
    <row r="47" spans="2:9" ht="15" x14ac:dyDescent="0.2">
      <c r="B47" s="1091" t="s">
        <v>36</v>
      </c>
      <c r="C47" s="1092"/>
      <c r="D47" s="1092"/>
      <c r="E47" s="1092"/>
      <c r="F47" s="1092"/>
      <c r="G47" s="1092"/>
      <c r="H47" s="1092"/>
      <c r="I47" s="1093"/>
    </row>
    <row r="48" spans="2:9" ht="15" customHeight="1" x14ac:dyDescent="0.2">
      <c r="B48" s="573" t="str">
        <f t="shared" ref="B48:B53" si="0">B40</f>
        <v>2015 CDM Programs</v>
      </c>
      <c r="C48" s="586">
        <f>1/6*B37</f>
        <v>1666666.6666666665</v>
      </c>
      <c r="D48" s="610"/>
      <c r="E48" s="604"/>
      <c r="F48" s="610"/>
      <c r="G48" s="610"/>
      <c r="H48" s="611"/>
      <c r="I48" s="588">
        <f>SUM(C48:H48)</f>
        <v>1666666.6666666665</v>
      </c>
    </row>
    <row r="49" spans="2:9" ht="14.25" x14ac:dyDescent="0.2">
      <c r="B49" s="573" t="str">
        <f t="shared" si="0"/>
        <v>2016 CDM Programs</v>
      </c>
      <c r="C49" s="589"/>
      <c r="D49" s="590">
        <f>C48</f>
        <v>1666666.6666666665</v>
      </c>
      <c r="E49" s="612"/>
      <c r="F49" s="612"/>
      <c r="G49" s="612"/>
      <c r="H49" s="613"/>
      <c r="I49" s="588">
        <f>SUM(C49:H49)</f>
        <v>1666666.6666666665</v>
      </c>
    </row>
    <row r="50" spans="2:9" ht="14.25" x14ac:dyDescent="0.2">
      <c r="B50" s="573" t="str">
        <f t="shared" si="0"/>
        <v>2017 CDM Programs</v>
      </c>
      <c r="C50" s="589"/>
      <c r="D50" s="589"/>
      <c r="E50" s="590">
        <f>D49</f>
        <v>1666666.6666666665</v>
      </c>
      <c r="F50" s="612"/>
      <c r="G50" s="612"/>
      <c r="H50" s="613"/>
      <c r="I50" s="588">
        <f>SUM(C50:H50)</f>
        <v>1666666.6666666665</v>
      </c>
    </row>
    <row r="51" spans="2:9" ht="14.25" x14ac:dyDescent="0.2">
      <c r="B51" s="573" t="str">
        <f t="shared" si="0"/>
        <v>2018 CDM Programs</v>
      </c>
      <c r="C51" s="589"/>
      <c r="D51" s="589"/>
      <c r="E51" s="614"/>
      <c r="F51" s="586">
        <f>E50</f>
        <v>1666666.6666666665</v>
      </c>
      <c r="G51" s="610"/>
      <c r="H51" s="611"/>
      <c r="I51" s="588">
        <f>SUM(F51:H51)</f>
        <v>1666666.6666666665</v>
      </c>
    </row>
    <row r="52" spans="2:9" ht="14.25" x14ac:dyDescent="0.2">
      <c r="B52" s="573" t="str">
        <f t="shared" si="0"/>
        <v>2019 CDM Programs</v>
      </c>
      <c r="C52" s="589"/>
      <c r="D52" s="589"/>
      <c r="E52" s="614"/>
      <c r="F52" s="614"/>
      <c r="G52" s="586">
        <f>F51</f>
        <v>1666666.6666666665</v>
      </c>
      <c r="H52" s="611"/>
      <c r="I52" s="588">
        <f>SUM(G52:H52)</f>
        <v>1666666.6666666665</v>
      </c>
    </row>
    <row r="53" spans="2:9" ht="16.5" customHeight="1" thickBot="1" x14ac:dyDescent="0.25">
      <c r="B53" s="578" t="str">
        <f t="shared" si="0"/>
        <v>2020 CDM Programs</v>
      </c>
      <c r="C53" s="592"/>
      <c r="D53" s="592"/>
      <c r="E53" s="592"/>
      <c r="F53" s="592"/>
      <c r="G53" s="592"/>
      <c r="H53" s="615">
        <f>G52</f>
        <v>1666666.6666666665</v>
      </c>
      <c r="I53" s="594">
        <f>SUM(C53:H53)</f>
        <v>1666666.6666666665</v>
      </c>
    </row>
    <row r="54" spans="2:9" ht="16.5" thickTop="1" thickBot="1" x14ac:dyDescent="0.3">
      <c r="B54" s="595" t="s">
        <v>55</v>
      </c>
      <c r="C54" s="596">
        <f>SUM(C48:C53)</f>
        <v>1666666.6666666665</v>
      </c>
      <c r="D54" s="596">
        <f>SUM(D48:D53)</f>
        <v>1666666.6666666665</v>
      </c>
      <c r="E54" s="596">
        <f>SUM(E48:E53)</f>
        <v>1666666.6666666665</v>
      </c>
      <c r="F54" s="596">
        <f>SUM(F48:F51)</f>
        <v>1666666.6666666665</v>
      </c>
      <c r="G54" s="596">
        <f>SUM(G48:G52)</f>
        <v>1666666.6666666665</v>
      </c>
      <c r="H54" s="597">
        <f>SUM(H48:H53)</f>
        <v>1666666.6666666665</v>
      </c>
      <c r="I54" s="598">
        <f>B37</f>
        <v>10000000</v>
      </c>
    </row>
    <row r="55" spans="2:9" ht="15" x14ac:dyDescent="0.25">
      <c r="B55" s="599"/>
      <c r="C55" s="600"/>
      <c r="D55" s="600"/>
      <c r="E55" s="600"/>
      <c r="F55" s="600"/>
      <c r="G55" s="600"/>
      <c r="H55" s="567"/>
      <c r="I55" s="567"/>
    </row>
    <row r="56" spans="2:9" ht="23.25" x14ac:dyDescent="0.35">
      <c r="B56" s="1094" t="s">
        <v>205</v>
      </c>
      <c r="C56" s="1094"/>
      <c r="D56" s="1094"/>
      <c r="E56" s="1094"/>
      <c r="F56" s="1094"/>
      <c r="G56" s="1094"/>
      <c r="H56" s="1094"/>
      <c r="I56" s="1094"/>
    </row>
    <row r="57" spans="2:9" ht="15" x14ac:dyDescent="0.25">
      <c r="B57" s="599"/>
      <c r="C57" s="600"/>
      <c r="D57" s="600"/>
      <c r="E57" s="600"/>
      <c r="F57" s="600"/>
      <c r="G57" s="600"/>
      <c r="H57" s="567"/>
      <c r="I57" s="567"/>
    </row>
    <row r="58" spans="2:9" ht="60" customHeight="1" x14ac:dyDescent="0.2">
      <c r="B58" s="1087" t="s">
        <v>206</v>
      </c>
      <c r="C58" s="1087"/>
      <c r="D58" s="1087"/>
      <c r="E58" s="1087"/>
      <c r="F58" s="1087"/>
      <c r="G58" s="1087"/>
      <c r="H58" s="1087"/>
      <c r="I58" s="1087"/>
    </row>
    <row r="59" spans="2:9" ht="15" customHeight="1" x14ac:dyDescent="0.2">
      <c r="B59" s="1087" t="s">
        <v>207</v>
      </c>
      <c r="C59" s="1087"/>
      <c r="D59" s="1087"/>
      <c r="E59" s="1087"/>
      <c r="F59" s="1087"/>
      <c r="G59" s="1087"/>
      <c r="H59" s="1087"/>
      <c r="I59" s="1087"/>
    </row>
    <row r="60" spans="2:9" ht="15" thickBot="1" x14ac:dyDescent="0.25">
      <c r="B60" s="616"/>
      <c r="C60" s="617"/>
      <c r="D60" s="617"/>
      <c r="E60" s="617"/>
      <c r="F60" s="617"/>
      <c r="G60" s="617"/>
      <c r="H60" s="567"/>
      <c r="I60" s="567"/>
    </row>
    <row r="61" spans="2:9" ht="15" x14ac:dyDescent="0.25">
      <c r="B61" s="1096" t="s">
        <v>70</v>
      </c>
      <c r="C61" s="1097"/>
      <c r="D61" s="1097"/>
      <c r="E61" s="1097"/>
      <c r="F61" s="1097"/>
      <c r="G61" s="1098"/>
      <c r="H61" s="567"/>
      <c r="I61" s="567"/>
    </row>
    <row r="62" spans="2:9" ht="15" x14ac:dyDescent="0.25">
      <c r="B62" s="618"/>
      <c r="C62" s="619"/>
      <c r="D62" s="619"/>
      <c r="E62" s="619"/>
      <c r="F62" s="619"/>
      <c r="G62" s="620"/>
      <c r="H62" s="567"/>
      <c r="I62" s="567"/>
    </row>
    <row r="63" spans="2:9" ht="15" x14ac:dyDescent="0.25">
      <c r="B63" s="1099" t="s">
        <v>71</v>
      </c>
      <c r="C63" s="1100"/>
      <c r="D63" s="1100"/>
      <c r="E63" s="1100"/>
      <c r="F63" s="1100"/>
      <c r="G63" s="621" t="s">
        <v>72</v>
      </c>
      <c r="H63" s="567"/>
      <c r="I63" s="567"/>
    </row>
    <row r="64" spans="2:9" ht="15" x14ac:dyDescent="0.25">
      <c r="B64" s="622"/>
      <c r="C64" s="623"/>
      <c r="D64" s="623"/>
      <c r="E64" s="623"/>
      <c r="F64" s="623"/>
      <c r="G64" s="624"/>
      <c r="H64" s="567"/>
      <c r="I64" s="567"/>
    </row>
    <row r="65" spans="2:9" ht="45" x14ac:dyDescent="0.25">
      <c r="B65" s="625"/>
      <c r="C65" s="626"/>
      <c r="D65" s="619" t="s">
        <v>56</v>
      </c>
      <c r="E65" s="619" t="s">
        <v>57</v>
      </c>
      <c r="F65" s="619" t="s">
        <v>58</v>
      </c>
      <c r="G65" s="627" t="s">
        <v>73</v>
      </c>
      <c r="H65" s="567"/>
      <c r="I65" s="567"/>
    </row>
    <row r="66" spans="2:9" ht="15" customHeight="1" x14ac:dyDescent="0.2">
      <c r="B66" s="1101" t="s">
        <v>74</v>
      </c>
      <c r="C66" s="1102"/>
      <c r="D66" s="628" t="s">
        <v>36</v>
      </c>
      <c r="E66" s="628" t="s">
        <v>36</v>
      </c>
      <c r="F66" s="628" t="s">
        <v>36</v>
      </c>
      <c r="G66" s="629" t="s">
        <v>75</v>
      </c>
      <c r="H66" s="567"/>
      <c r="I66" s="567"/>
    </row>
    <row r="67" spans="2:9" ht="15" x14ac:dyDescent="0.2">
      <c r="B67" s="630" t="s">
        <v>76</v>
      </c>
      <c r="C67" s="631"/>
      <c r="D67" s="632"/>
      <c r="E67" s="632"/>
      <c r="F67" s="633"/>
      <c r="G67" s="634"/>
      <c r="H67" s="567"/>
      <c r="I67" s="567"/>
    </row>
    <row r="68" spans="2:9" ht="15" x14ac:dyDescent="0.2">
      <c r="B68" s="630" t="s">
        <v>77</v>
      </c>
      <c r="C68" s="631"/>
      <c r="D68" s="632"/>
      <c r="E68" s="632"/>
      <c r="F68" s="633"/>
      <c r="G68" s="634"/>
      <c r="H68" s="567"/>
      <c r="I68" s="567"/>
    </row>
    <row r="69" spans="2:9" ht="15" x14ac:dyDescent="0.2">
      <c r="B69" s="630" t="s">
        <v>78</v>
      </c>
      <c r="C69" s="631"/>
      <c r="D69" s="632"/>
      <c r="E69" s="632"/>
      <c r="F69" s="633"/>
      <c r="G69" s="634"/>
      <c r="H69" s="567"/>
      <c r="I69" s="567"/>
    </row>
    <row r="70" spans="2:9" ht="15.75" thickBot="1" x14ac:dyDescent="0.25">
      <c r="B70" s="635" t="s">
        <v>208</v>
      </c>
      <c r="C70" s="636"/>
      <c r="D70" s="637"/>
      <c r="E70" s="637"/>
      <c r="F70" s="633"/>
      <c r="G70" s="634"/>
      <c r="H70" s="567"/>
      <c r="I70" s="567"/>
    </row>
    <row r="71" spans="2:9" ht="16.5" customHeight="1" thickTop="1" thickBot="1" x14ac:dyDescent="0.25">
      <c r="B71" s="1103" t="s">
        <v>209</v>
      </c>
      <c r="C71" s="1104"/>
      <c r="D71" s="638">
        <f>SUM(D67:D70)</f>
        <v>0</v>
      </c>
      <c r="E71" s="638">
        <f>SUM(E67:E70)</f>
        <v>0</v>
      </c>
      <c r="F71" s="639">
        <f>D71-E71</f>
        <v>0</v>
      </c>
      <c r="G71" s="640">
        <f>IF(E71=0,0,IF(G63="net",0,F71/E71))</f>
        <v>0</v>
      </c>
      <c r="H71" s="567"/>
      <c r="I71" s="567"/>
    </row>
    <row r="72" spans="2:9" ht="15" x14ac:dyDescent="0.2">
      <c r="B72" s="641"/>
      <c r="C72" s="641"/>
      <c r="D72" s="642"/>
      <c r="E72" s="642"/>
      <c r="F72" s="577"/>
      <c r="G72" s="643"/>
      <c r="H72" s="567"/>
      <c r="I72" s="567"/>
    </row>
    <row r="73" spans="2:9" ht="38.25" customHeight="1" x14ac:dyDescent="0.2">
      <c r="B73" s="1087" t="s">
        <v>79</v>
      </c>
      <c r="C73" s="1087"/>
      <c r="D73" s="1087"/>
      <c r="E73" s="1087"/>
      <c r="F73" s="1087"/>
      <c r="G73" s="1087"/>
      <c r="H73" s="1087"/>
      <c r="I73" s="1087"/>
    </row>
    <row r="74" spans="2:9" ht="33.75" customHeight="1" x14ac:dyDescent="0.2">
      <c r="B74" s="1087" t="s">
        <v>80</v>
      </c>
      <c r="C74" s="1087"/>
      <c r="D74" s="1087"/>
      <c r="E74" s="1087"/>
      <c r="F74" s="1087"/>
      <c r="G74" s="1087"/>
      <c r="H74" s="1087"/>
      <c r="I74" s="1087"/>
    </row>
    <row r="75" spans="2:9" ht="15" x14ac:dyDescent="0.2">
      <c r="B75" s="641"/>
      <c r="C75" s="644"/>
      <c r="D75" s="642"/>
      <c r="E75" s="642"/>
      <c r="F75" s="642"/>
      <c r="G75" s="643"/>
      <c r="H75" s="567"/>
      <c r="I75" s="567"/>
    </row>
    <row r="76" spans="2:9" ht="15.75" customHeight="1" thickBot="1" x14ac:dyDescent="0.25">
      <c r="B76" s="1095" t="s">
        <v>81</v>
      </c>
      <c r="C76" s="1095"/>
      <c r="D76" s="1095"/>
      <c r="E76" s="1095"/>
      <c r="F76" s="1095"/>
      <c r="G76" s="1095"/>
      <c r="H76" s="577"/>
      <c r="I76" s="567"/>
    </row>
    <row r="77" spans="2:9" ht="15" x14ac:dyDescent="0.2">
      <c r="B77" s="645"/>
      <c r="C77" s="646">
        <v>2011</v>
      </c>
      <c r="D77" s="646">
        <v>2012</v>
      </c>
      <c r="E77" s="646">
        <v>2013</v>
      </c>
      <c r="F77" s="646">
        <v>2014</v>
      </c>
      <c r="G77" s="647">
        <v>2015</v>
      </c>
      <c r="H77" s="648"/>
      <c r="I77" s="567"/>
    </row>
    <row r="78" spans="2:9" ht="60" x14ac:dyDescent="0.2">
      <c r="B78" s="649" t="s">
        <v>82</v>
      </c>
      <c r="C78" s="650">
        <v>0</v>
      </c>
      <c r="D78" s="650">
        <v>0</v>
      </c>
      <c r="E78" s="650">
        <v>0.5</v>
      </c>
      <c r="F78" s="650">
        <v>1</v>
      </c>
      <c r="G78" s="650">
        <v>0.5</v>
      </c>
      <c r="H78" s="651" t="s">
        <v>212</v>
      </c>
      <c r="I78" s="567"/>
    </row>
    <row r="79" spans="2:9" ht="271.5" thickBot="1" x14ac:dyDescent="0.25">
      <c r="B79" s="652" t="s">
        <v>83</v>
      </c>
      <c r="C79" s="653" t="s">
        <v>213</v>
      </c>
      <c r="D79" s="653" t="s">
        <v>214</v>
      </c>
      <c r="E79" s="653" t="s">
        <v>215</v>
      </c>
      <c r="F79" s="653" t="s">
        <v>216</v>
      </c>
      <c r="G79" s="653" t="s">
        <v>217</v>
      </c>
      <c r="H79" s="640"/>
      <c r="I79" s="567"/>
    </row>
    <row r="80" spans="2:9" ht="14.25" x14ac:dyDescent="0.2">
      <c r="B80" s="654"/>
      <c r="C80" s="655"/>
      <c r="D80" s="655"/>
      <c r="E80" s="655"/>
      <c r="F80" s="655"/>
      <c r="G80" s="655"/>
      <c r="H80" s="643"/>
      <c r="I80" s="567"/>
    </row>
    <row r="81" spans="2:11" ht="23.25" x14ac:dyDescent="0.2">
      <c r="B81" s="1086" t="s">
        <v>218</v>
      </c>
      <c r="C81" s="1086"/>
      <c r="D81" s="1086"/>
      <c r="E81" s="1086"/>
      <c r="F81" s="1086"/>
      <c r="G81" s="1086"/>
      <c r="H81" s="1086"/>
      <c r="I81" s="1086"/>
    </row>
    <row r="82" spans="2:11" ht="18.75" x14ac:dyDescent="0.2">
      <c r="B82" s="656"/>
      <c r="C82" s="656"/>
      <c r="D82" s="656"/>
      <c r="E82" s="656"/>
      <c r="F82" s="656"/>
      <c r="G82" s="656"/>
      <c r="H82" s="656"/>
      <c r="I82" s="656"/>
    </row>
    <row r="83" spans="2:11" ht="34.5" customHeight="1" x14ac:dyDescent="0.2">
      <c r="B83" s="1083" t="s">
        <v>219</v>
      </c>
      <c r="C83" s="1083"/>
      <c r="D83" s="1083"/>
      <c r="E83" s="1083"/>
      <c r="F83" s="1083"/>
      <c r="G83" s="1083"/>
      <c r="H83" s="1083"/>
      <c r="I83" s="1083"/>
    </row>
    <row r="84" spans="2:11" ht="15.75" thickBot="1" x14ac:dyDescent="0.25">
      <c r="B84" s="641"/>
      <c r="C84" s="644"/>
      <c r="D84" s="642"/>
      <c r="E84" s="642"/>
      <c r="F84" s="642"/>
      <c r="G84" s="643"/>
      <c r="H84" s="567"/>
      <c r="I84" s="567"/>
    </row>
    <row r="85" spans="2:11" ht="15" x14ac:dyDescent="0.25">
      <c r="B85" s="657"/>
      <c r="C85" s="658">
        <v>2011</v>
      </c>
      <c r="D85" s="658">
        <v>2012</v>
      </c>
      <c r="E85" s="658">
        <v>2013</v>
      </c>
      <c r="F85" s="658">
        <v>2014</v>
      </c>
      <c r="G85" s="659">
        <v>2015</v>
      </c>
      <c r="H85" s="659" t="s">
        <v>220</v>
      </c>
      <c r="I85" s="660" t="s">
        <v>160</v>
      </c>
    </row>
    <row r="86" spans="2:11" ht="15" x14ac:dyDescent="0.2">
      <c r="B86" s="661"/>
      <c r="C86" s="1084" t="s">
        <v>36</v>
      </c>
      <c r="D86" s="1084"/>
      <c r="E86" s="1084"/>
      <c r="F86" s="1084"/>
      <c r="G86" s="1084"/>
      <c r="H86" s="1084"/>
      <c r="I86" s="1085"/>
    </row>
    <row r="87" spans="2:11" ht="42.75" x14ac:dyDescent="0.2">
      <c r="B87" s="662" t="s">
        <v>84</v>
      </c>
      <c r="C87" s="663">
        <f>F26</f>
        <v>701000</v>
      </c>
      <c r="D87" s="663">
        <f>F27</f>
        <v>771000</v>
      </c>
      <c r="E87" s="663">
        <f>F28</f>
        <v>724000</v>
      </c>
      <c r="F87" s="663">
        <f>F29</f>
        <v>2030000</v>
      </c>
      <c r="G87" s="664"/>
      <c r="H87" s="665">
        <f>SUM(C87:F87)</f>
        <v>4226000</v>
      </c>
      <c r="I87" s="666"/>
    </row>
    <row r="88" spans="2:11" ht="14.25" x14ac:dyDescent="0.2">
      <c r="B88" s="662"/>
      <c r="C88" s="663"/>
      <c r="D88" s="663"/>
      <c r="E88" s="663"/>
      <c r="F88" s="663"/>
      <c r="G88" s="667"/>
      <c r="H88" s="668"/>
      <c r="I88" s="666"/>
    </row>
    <row r="89" spans="2:11" ht="57" x14ac:dyDescent="0.2">
      <c r="B89" s="669" t="s">
        <v>221</v>
      </c>
      <c r="C89" s="670">
        <v>100000</v>
      </c>
      <c r="D89" s="671">
        <f>C89</f>
        <v>100000</v>
      </c>
      <c r="E89" s="671">
        <f>C89</f>
        <v>100000</v>
      </c>
      <c r="F89" s="671">
        <f>C89</f>
        <v>100000</v>
      </c>
      <c r="G89" s="672"/>
      <c r="H89" s="673">
        <f>SUM(C89:F90)</f>
        <v>400000</v>
      </c>
      <c r="I89" s="674"/>
    </row>
    <row r="90" spans="2:11" ht="14.25" x14ac:dyDescent="0.2">
      <c r="B90" s="675"/>
      <c r="C90" s="676"/>
      <c r="D90" s="676"/>
      <c r="E90" s="676"/>
      <c r="F90" s="676"/>
      <c r="G90" s="676"/>
      <c r="H90" s="676"/>
      <c r="I90" s="677"/>
    </row>
    <row r="91" spans="2:11" ht="43.5" thickBot="1" x14ac:dyDescent="0.25">
      <c r="B91" s="678" t="s">
        <v>222</v>
      </c>
      <c r="C91" s="679"/>
      <c r="D91" s="680"/>
      <c r="E91" s="680"/>
      <c r="F91" s="680"/>
      <c r="G91" s="664">
        <f>C48</f>
        <v>1666666.6666666665</v>
      </c>
      <c r="H91" s="681"/>
      <c r="I91" s="682">
        <f>SUM(C91:G91)</f>
        <v>1666666.6666666665</v>
      </c>
    </row>
    <row r="92" spans="2:11" ht="15.75" thickTop="1" thickBot="1" x14ac:dyDescent="0.25">
      <c r="B92" s="683"/>
      <c r="C92" s="684"/>
      <c r="D92" s="685"/>
      <c r="E92" s="685"/>
      <c r="F92" s="685"/>
      <c r="G92" s="684"/>
      <c r="H92" s="685"/>
      <c r="I92" s="686"/>
    </row>
    <row r="93" spans="2:11" ht="43.5" thickTop="1" x14ac:dyDescent="0.2">
      <c r="B93" s="669" t="s">
        <v>223</v>
      </c>
      <c r="C93" s="687">
        <v>0</v>
      </c>
      <c r="D93" s="688">
        <f>D87*(1+G71)*D78</f>
        <v>0</v>
      </c>
      <c r="E93" s="688">
        <f>E87*(1+G71)*E78</f>
        <v>362000</v>
      </c>
      <c r="F93" s="688">
        <f>F87*(1+G71)*F78</f>
        <v>2030000</v>
      </c>
      <c r="G93" s="689">
        <f>G91*(1+G71)*G78</f>
        <v>833333.33333333326</v>
      </c>
      <c r="H93" s="690"/>
      <c r="I93" s="693">
        <f>SUM(C93:G93)</f>
        <v>3225333.333333333</v>
      </c>
      <c r="K93" s="421" t="s">
        <v>225</v>
      </c>
    </row>
    <row r="94" spans="2:11" ht="14.25" x14ac:dyDescent="0.2">
      <c r="B94" s="675"/>
      <c r="C94" s="691"/>
      <c r="D94" s="691"/>
      <c r="E94" s="691"/>
      <c r="F94" s="691"/>
      <c r="G94" s="691"/>
      <c r="H94" s="691"/>
      <c r="I94" s="692"/>
    </row>
    <row r="95" spans="2:11" x14ac:dyDescent="0.2">
      <c r="B95" s="384"/>
      <c r="C95" s="384"/>
      <c r="D95" s="385"/>
      <c r="E95" s="385"/>
      <c r="F95" s="385"/>
      <c r="G95" s="385"/>
      <c r="H95" s="383"/>
    </row>
    <row r="96" spans="2:11" x14ac:dyDescent="0.2">
      <c r="B96" s="384"/>
      <c r="C96" s="384"/>
      <c r="D96" s="385"/>
      <c r="E96" s="385"/>
      <c r="F96" s="385"/>
      <c r="G96" s="385"/>
      <c r="H96" s="383"/>
    </row>
    <row r="97" spans="1:15" ht="15" x14ac:dyDescent="0.25">
      <c r="A97" s="110"/>
    </row>
    <row r="98" spans="1:15" ht="14.25" x14ac:dyDescent="0.2">
      <c r="A98" s="109"/>
    </row>
    <row r="99" spans="1:15" ht="14.25" x14ac:dyDescent="0.2">
      <c r="A99" s="109"/>
    </row>
    <row r="100" spans="1:15" ht="14.25" x14ac:dyDescent="0.2">
      <c r="A100" s="109"/>
    </row>
    <row r="101" spans="1:15" ht="14.25" x14ac:dyDescent="0.2">
      <c r="A101" s="109"/>
      <c r="N101" s="227"/>
      <c r="O101" s="234"/>
    </row>
    <row r="102" spans="1:15" ht="14.25" x14ac:dyDescent="0.2">
      <c r="A102" s="109"/>
    </row>
    <row r="103" spans="1:15" ht="14.25" x14ac:dyDescent="0.2">
      <c r="A103" s="109"/>
    </row>
    <row r="104" spans="1:15" ht="14.25" x14ac:dyDescent="0.2">
      <c r="A104" s="109"/>
    </row>
    <row r="105" spans="1:15" ht="14.25" x14ac:dyDescent="0.2">
      <c r="A105" s="109"/>
    </row>
    <row r="106" spans="1:15" ht="14.25" x14ac:dyDescent="0.2">
      <c r="A106" s="109"/>
    </row>
    <row r="107" spans="1:15" ht="14.25" x14ac:dyDescent="0.2">
      <c r="A107" s="109"/>
    </row>
    <row r="108" spans="1:15" ht="14.25" x14ac:dyDescent="0.2">
      <c r="A108" s="109"/>
    </row>
    <row r="109" spans="1:15" ht="14.25" x14ac:dyDescent="0.2">
      <c r="A109" s="109"/>
    </row>
    <row r="110" spans="1:15" ht="14.25" x14ac:dyDescent="0.2">
      <c r="A110" s="109"/>
    </row>
    <row r="111" spans="1:15" ht="14.25" x14ac:dyDescent="0.2">
      <c r="A111" s="109"/>
    </row>
    <row r="113" spans="14:14" x14ac:dyDescent="0.2">
      <c r="N113" s="226"/>
    </row>
  </sheetData>
  <mergeCells count="25">
    <mergeCell ref="B58:I58"/>
    <mergeCell ref="B59:I59"/>
    <mergeCell ref="B32:G32"/>
    <mergeCell ref="B15:I15"/>
    <mergeCell ref="B36:I36"/>
    <mergeCell ref="B34:I34"/>
    <mergeCell ref="B18:G18"/>
    <mergeCell ref="B17:G17"/>
    <mergeCell ref="B25:G25"/>
    <mergeCell ref="B11:I11"/>
    <mergeCell ref="B13:I13"/>
    <mergeCell ref="B83:I83"/>
    <mergeCell ref="C86:I86"/>
    <mergeCell ref="B81:I81"/>
    <mergeCell ref="B74:I74"/>
    <mergeCell ref="B39:I39"/>
    <mergeCell ref="B47:I47"/>
    <mergeCell ref="B56:I56"/>
    <mergeCell ref="B76:G76"/>
    <mergeCell ref="B61:G61"/>
    <mergeCell ref="B63:F63"/>
    <mergeCell ref="B66:C66"/>
    <mergeCell ref="B71:C71"/>
    <mergeCell ref="B73:I73"/>
    <mergeCell ref="B37:I37"/>
  </mergeCells>
  <dataValidations count="2">
    <dataValidation type="list" allowBlank="1" showInputMessage="1" showErrorMessage="1" sqref="G63">
      <formula1>"net,gross"</formula1>
    </dataValidation>
    <dataValidation type="list" allowBlank="1" showInputMessage="1" showErrorMessage="1" sqref="C78:G78">
      <formula1>"0, 0.5, 1"</formula1>
    </dataValidation>
  </dataValidations>
  <pageMargins left="0.25" right="0.25" top="0.75" bottom="0.75" header="0.3" footer="0.3"/>
  <pageSetup scale="41"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pageSetUpPr fitToPage="1"/>
  </sheetPr>
  <dimension ref="A1:O140"/>
  <sheetViews>
    <sheetView showGridLines="0" zoomScale="90" zoomScaleNormal="90" workbookViewId="0">
      <selection activeCell="AF64" sqref="AF64"/>
    </sheetView>
  </sheetViews>
  <sheetFormatPr defaultRowHeight="15" x14ac:dyDescent="0.25"/>
  <cols>
    <col min="1" max="1" width="36" style="804" customWidth="1"/>
    <col min="2" max="8" width="17.6640625" style="804" customWidth="1"/>
    <col min="9" max="9" width="14.5" style="804" customWidth="1"/>
    <col min="10" max="12" width="10.6640625" style="804" hidden="1" customWidth="1"/>
    <col min="13" max="14" width="0" style="804" hidden="1" customWidth="1"/>
    <col min="15" max="15" width="9.33203125" style="804"/>
    <col min="16" max="22" width="10" style="804" customWidth="1"/>
    <col min="23" max="16384" width="9.33203125" style="804"/>
  </cols>
  <sheetData>
    <row r="1" spans="1:8" s="803" customFormat="1" ht="12.75" x14ac:dyDescent="0.2">
      <c r="G1" s="805"/>
    </row>
    <row r="2" spans="1:8" s="803" customFormat="1" ht="18" x14ac:dyDescent="0.25">
      <c r="A2" s="1116" t="s">
        <v>446</v>
      </c>
      <c r="B2" s="1116"/>
      <c r="C2" s="1116"/>
      <c r="D2" s="1116"/>
      <c r="E2" s="1116"/>
      <c r="F2" s="1116"/>
      <c r="G2" s="1116"/>
      <c r="H2" s="1116"/>
    </row>
    <row r="3" spans="1:8" s="803" customFormat="1" ht="18" x14ac:dyDescent="0.25">
      <c r="A3" s="1116" t="s">
        <v>410</v>
      </c>
      <c r="B3" s="1116"/>
      <c r="C3" s="1116"/>
      <c r="D3" s="1116"/>
      <c r="E3" s="1116"/>
      <c r="F3" s="1116"/>
      <c r="G3" s="1116"/>
      <c r="H3" s="1116"/>
    </row>
    <row r="4" spans="1:8" ht="12" hidden="1" customHeight="1" x14ac:dyDescent="0.25"/>
    <row r="5" spans="1:8" ht="57" hidden="1" customHeight="1" x14ac:dyDescent="0.25">
      <c r="A5" s="1117" t="s">
        <v>411</v>
      </c>
      <c r="B5" s="1117"/>
      <c r="C5" s="1117"/>
      <c r="D5" s="1117"/>
      <c r="E5" s="1117"/>
      <c r="F5" s="1117"/>
      <c r="G5" s="1117"/>
      <c r="H5" s="1117"/>
    </row>
    <row r="6" spans="1:8" ht="12" hidden="1" customHeight="1" x14ac:dyDescent="0.25"/>
    <row r="7" spans="1:8" ht="77.25" hidden="1" customHeight="1" x14ac:dyDescent="0.25">
      <c r="A7" s="1117" t="s">
        <v>412</v>
      </c>
      <c r="B7" s="1117"/>
      <c r="C7" s="1117"/>
      <c r="D7" s="1117"/>
      <c r="E7" s="1117"/>
      <c r="F7" s="1117"/>
      <c r="G7" s="1117"/>
      <c r="H7" s="1117"/>
    </row>
    <row r="8" spans="1:8" ht="12" hidden="1" customHeight="1" x14ac:dyDescent="0.25"/>
    <row r="9" spans="1:8" ht="77.25" hidden="1" customHeight="1" x14ac:dyDescent="0.25">
      <c r="A9" s="1117" t="s">
        <v>413</v>
      </c>
      <c r="B9" s="1117"/>
      <c r="C9" s="1117"/>
      <c r="D9" s="1117"/>
      <c r="E9" s="1117"/>
      <c r="F9" s="1117"/>
      <c r="G9" s="1117"/>
      <c r="H9" s="1117"/>
    </row>
    <row r="10" spans="1:8" ht="12" hidden="1" customHeight="1" x14ac:dyDescent="0.25"/>
    <row r="11" spans="1:8" ht="61.5" hidden="1" customHeight="1" x14ac:dyDescent="0.25">
      <c r="A11" s="1117" t="s">
        <v>414</v>
      </c>
      <c r="B11" s="1117"/>
      <c r="C11" s="1117"/>
      <c r="D11" s="1117"/>
      <c r="E11" s="1117"/>
      <c r="F11" s="1117"/>
      <c r="G11" s="1117"/>
      <c r="H11" s="1117"/>
    </row>
    <row r="12" spans="1:8" ht="12" hidden="1" customHeight="1" x14ac:dyDescent="0.25"/>
    <row r="13" spans="1:8" ht="18.75" hidden="1" x14ac:dyDescent="0.25">
      <c r="A13" s="1118" t="s">
        <v>211</v>
      </c>
      <c r="B13" s="1118"/>
      <c r="C13" s="1118"/>
      <c r="D13" s="1118"/>
      <c r="E13" s="1118"/>
      <c r="F13" s="1118"/>
      <c r="G13" s="1118"/>
      <c r="H13" s="1118"/>
    </row>
    <row r="14" spans="1:8" ht="12" hidden="1" customHeight="1" x14ac:dyDescent="0.25"/>
    <row r="15" spans="1:8" hidden="1" x14ac:dyDescent="0.25">
      <c r="A15" s="1119" t="s">
        <v>415</v>
      </c>
      <c r="B15" s="1119"/>
      <c r="C15" s="1119"/>
      <c r="D15" s="1119"/>
      <c r="E15" s="1119"/>
      <c r="F15" s="1119"/>
      <c r="G15" s="1119"/>
      <c r="H15" s="1119"/>
    </row>
    <row r="16" spans="1:8" hidden="1" x14ac:dyDescent="0.25">
      <c r="A16" s="806"/>
      <c r="B16" s="806"/>
      <c r="C16" s="806"/>
      <c r="D16" s="806"/>
      <c r="E16" s="806"/>
      <c r="F16" s="806"/>
    </row>
    <row r="17" spans="1:14" ht="28.5" hidden="1" customHeight="1" x14ac:dyDescent="0.25">
      <c r="A17" s="1115" t="s">
        <v>416</v>
      </c>
      <c r="B17" s="1115"/>
      <c r="C17" s="1115"/>
      <c r="D17" s="1115"/>
      <c r="E17" s="1115"/>
      <c r="F17" s="1115"/>
      <c r="G17" s="1115"/>
      <c r="H17" s="1115"/>
    </row>
    <row r="18" spans="1:14" ht="12" hidden="1" customHeight="1" x14ac:dyDescent="0.25">
      <c r="A18" s="806"/>
      <c r="B18" s="806"/>
      <c r="C18" s="806"/>
      <c r="D18" s="806"/>
      <c r="E18" s="806"/>
      <c r="F18" s="806"/>
    </row>
    <row r="19" spans="1:14" ht="28.5" hidden="1" customHeight="1" x14ac:dyDescent="0.25">
      <c r="A19" s="1115" t="s">
        <v>417</v>
      </c>
      <c r="B19" s="1115"/>
      <c r="C19" s="1115"/>
      <c r="D19" s="1115"/>
      <c r="E19" s="1115"/>
      <c r="F19" s="1115"/>
      <c r="G19" s="1115"/>
      <c r="H19" s="1115"/>
    </row>
    <row r="20" spans="1:14" ht="12" hidden="1" customHeight="1" x14ac:dyDescent="0.25">
      <c r="A20" s="807"/>
      <c r="B20" s="808"/>
      <c r="C20" s="808"/>
      <c r="D20" s="808"/>
      <c r="E20" s="808"/>
      <c r="F20" s="808"/>
    </row>
    <row r="21" spans="1:14" ht="46.5" hidden="1" customHeight="1" x14ac:dyDescent="0.25">
      <c r="A21" s="1115" t="s">
        <v>418</v>
      </c>
      <c r="B21" s="1115"/>
      <c r="C21" s="1115"/>
      <c r="D21" s="1115"/>
      <c r="E21" s="1115"/>
      <c r="F21" s="1115"/>
      <c r="G21" s="1115"/>
      <c r="H21" s="1115"/>
    </row>
    <row r="22" spans="1:14" ht="12" hidden="1" customHeight="1" x14ac:dyDescent="0.25">
      <c r="A22" s="807"/>
      <c r="B22" s="808"/>
      <c r="C22" s="808"/>
      <c r="D22" s="808"/>
      <c r="E22" s="808"/>
      <c r="F22" s="808"/>
    </row>
    <row r="23" spans="1:14" ht="57.75" hidden="1" customHeight="1" x14ac:dyDescent="0.25">
      <c r="A23" s="1115" t="s">
        <v>419</v>
      </c>
      <c r="B23" s="1115"/>
      <c r="C23" s="1115"/>
      <c r="D23" s="1115"/>
      <c r="E23" s="1115"/>
      <c r="F23" s="1115"/>
      <c r="G23" s="1115"/>
      <c r="H23" s="1115"/>
    </row>
    <row r="24" spans="1:14" ht="12" customHeight="1" x14ac:dyDescent="0.25">
      <c r="A24" s="1115"/>
      <c r="B24" s="1115"/>
      <c r="C24" s="1115"/>
      <c r="D24" s="1115"/>
      <c r="E24" s="1115"/>
      <c r="F24" s="1115"/>
      <c r="G24" s="1115"/>
      <c r="H24" s="1115"/>
    </row>
    <row r="25" spans="1:14" ht="12" customHeight="1" thickBot="1" x14ac:dyDescent="0.3">
      <c r="A25" s="809"/>
      <c r="B25" s="808"/>
      <c r="C25" s="808"/>
      <c r="D25" s="808"/>
      <c r="E25" s="808"/>
      <c r="F25" s="808"/>
    </row>
    <row r="26" spans="1:14" x14ac:dyDescent="0.25">
      <c r="A26" s="1121" t="s">
        <v>50</v>
      </c>
      <c r="B26" s="1122"/>
      <c r="C26" s="1122"/>
      <c r="D26" s="1122"/>
      <c r="E26" s="1122"/>
      <c r="F26" s="1123"/>
      <c r="G26" s="1124" t="s">
        <v>420</v>
      </c>
      <c r="H26" s="1125"/>
    </row>
    <row r="27" spans="1:14" x14ac:dyDescent="0.25">
      <c r="A27" s="1128">
        <v>4860000</v>
      </c>
      <c r="B27" s="1129"/>
      <c r="C27" s="1129"/>
      <c r="D27" s="1129"/>
      <c r="E27" s="1129"/>
      <c r="F27" s="1130"/>
      <c r="G27" s="1126"/>
      <c r="H27" s="1127"/>
    </row>
    <row r="28" spans="1:14" x14ac:dyDescent="0.25">
      <c r="A28" s="810"/>
      <c r="B28" s="811">
        <v>2011</v>
      </c>
      <c r="C28" s="811">
        <v>2012</v>
      </c>
      <c r="D28" s="811">
        <v>2013</v>
      </c>
      <c r="E28" s="811">
        <v>2014</v>
      </c>
      <c r="F28" s="812" t="s">
        <v>16</v>
      </c>
      <c r="G28" s="813">
        <v>2015</v>
      </c>
      <c r="H28" s="814">
        <v>2016</v>
      </c>
      <c r="K28" s="804">
        <f>B28</f>
        <v>2011</v>
      </c>
      <c r="L28" s="804">
        <f>C28</f>
        <v>2012</v>
      </c>
      <c r="M28" s="804">
        <f>D28</f>
        <v>2013</v>
      </c>
      <c r="N28" s="804">
        <f>E28</f>
        <v>2014</v>
      </c>
    </row>
    <row r="29" spans="1:14" x14ac:dyDescent="0.25">
      <c r="A29" s="815" t="s">
        <v>51</v>
      </c>
      <c r="B29" s="816">
        <f>B35/$F$39</f>
        <v>0.11152093729659363</v>
      </c>
      <c r="C29" s="816">
        <f t="shared" ref="C29:E32" si="0">C35/$F$39</f>
        <v>0.11152093729659363</v>
      </c>
      <c r="D29" s="816">
        <f t="shared" si="0"/>
        <v>0.11152093729659363</v>
      </c>
      <c r="E29" s="817">
        <f t="shared" si="0"/>
        <v>0.11152093729659363</v>
      </c>
      <c r="F29" s="818">
        <f>SUM(B29:E29)</f>
        <v>0.4460837491863745</v>
      </c>
      <c r="G29" s="819"/>
      <c r="H29" s="820"/>
      <c r="J29" s="804" t="str">
        <f>A29</f>
        <v>2011 CDM Programs</v>
      </c>
      <c r="K29" s="821">
        <f>50%</f>
        <v>0.5</v>
      </c>
      <c r="L29" s="822">
        <v>1</v>
      </c>
      <c r="M29" s="823">
        <v>1</v>
      </c>
      <c r="N29" s="823">
        <v>1</v>
      </c>
    </row>
    <row r="30" spans="1:14" x14ac:dyDescent="0.25">
      <c r="A30" s="815" t="s">
        <v>52</v>
      </c>
      <c r="B30" s="824"/>
      <c r="C30" s="816">
        <f t="shared" si="0"/>
        <v>9.5682360598828384E-2</v>
      </c>
      <c r="D30" s="816">
        <f t="shared" si="0"/>
        <v>9.5465393794749401E-2</v>
      </c>
      <c r="E30" s="817">
        <f t="shared" si="0"/>
        <v>9.5465393794749401E-2</v>
      </c>
      <c r="F30" s="818">
        <f>SUM(B30:E30)</f>
        <v>0.28661314818832717</v>
      </c>
      <c r="G30" s="819"/>
      <c r="H30" s="820"/>
      <c r="N30" s="823">
        <v>1</v>
      </c>
    </row>
    <row r="31" spans="1:14" x14ac:dyDescent="0.25">
      <c r="A31" s="815" t="s">
        <v>53</v>
      </c>
      <c r="B31" s="824"/>
      <c r="C31" s="824"/>
      <c r="D31" s="816">
        <f t="shared" si="0"/>
        <v>5.4675634627901933E-2</v>
      </c>
      <c r="E31" s="817">
        <f t="shared" si="0"/>
        <v>5.4458667823822957E-2</v>
      </c>
      <c r="F31" s="818">
        <f>SUM(B31:E31)</f>
        <v>0.1091343024517249</v>
      </c>
      <c r="G31" s="819"/>
      <c r="H31" s="820"/>
      <c r="N31" s="823">
        <v>1</v>
      </c>
    </row>
    <row r="32" spans="1:14" ht="15.75" thickBot="1" x14ac:dyDescent="0.3">
      <c r="A32" s="825" t="s">
        <v>54</v>
      </c>
      <c r="B32" s="826"/>
      <c r="C32" s="826"/>
      <c r="D32" s="826"/>
      <c r="E32" s="827">
        <f t="shared" si="0"/>
        <v>0.13582121935343891</v>
      </c>
      <c r="F32" s="828">
        <f>SUM(B32:E32)</f>
        <v>0.13582121935343891</v>
      </c>
      <c r="G32" s="819"/>
      <c r="H32" s="820"/>
      <c r="N32" s="823">
        <v>0.5</v>
      </c>
    </row>
    <row r="33" spans="1:8" ht="15.75" thickTop="1" x14ac:dyDescent="0.25">
      <c r="A33" s="813" t="s">
        <v>55</v>
      </c>
      <c r="B33" s="829">
        <f>SUM(B29:B32)</f>
        <v>0.11152093729659363</v>
      </c>
      <c r="C33" s="829">
        <f>SUM(C29:C32)</f>
        <v>0.20720329789542202</v>
      </c>
      <c r="D33" s="829">
        <f>SUM(D29:D32)</f>
        <v>0.26166196571924494</v>
      </c>
      <c r="E33" s="830">
        <f>SUM(E29:E32)</f>
        <v>0.39726621826860486</v>
      </c>
      <c r="F33" s="831">
        <f>SUM(B33:E33)</f>
        <v>0.97765241917986545</v>
      </c>
      <c r="G33" s="819"/>
      <c r="H33" s="820"/>
    </row>
    <row r="34" spans="1:8" ht="12" customHeight="1" x14ac:dyDescent="0.25">
      <c r="A34" s="1131" t="s">
        <v>36</v>
      </c>
      <c r="B34" s="1132"/>
      <c r="C34" s="1132"/>
      <c r="D34" s="1132"/>
      <c r="E34" s="1132"/>
      <c r="F34" s="1133"/>
      <c r="G34" s="819"/>
      <c r="H34" s="820"/>
    </row>
    <row r="35" spans="1:8" x14ac:dyDescent="0.25">
      <c r="A35" s="815" t="s">
        <v>51</v>
      </c>
      <c r="B35" s="832">
        <v>514000</v>
      </c>
      <c r="C35" s="832">
        <v>514000</v>
      </c>
      <c r="D35" s="832">
        <v>514000</v>
      </c>
      <c r="E35" s="832">
        <v>514000</v>
      </c>
      <c r="F35" s="833">
        <f>SUM(B35:E35)</f>
        <v>2056000</v>
      </c>
      <c r="G35" s="819"/>
      <c r="H35" s="820"/>
    </row>
    <row r="36" spans="1:8" x14ac:dyDescent="0.25">
      <c r="A36" s="815" t="s">
        <v>52</v>
      </c>
      <c r="B36" s="834">
        <v>-90000</v>
      </c>
      <c r="C36" s="835">
        <v>441000</v>
      </c>
      <c r="D36" s="835">
        <v>440000</v>
      </c>
      <c r="E36" s="835">
        <v>440000</v>
      </c>
      <c r="F36" s="833">
        <f>SUM(B36:E36)</f>
        <v>1231000</v>
      </c>
      <c r="G36" s="819"/>
      <c r="H36" s="820"/>
    </row>
    <row r="37" spans="1:8" x14ac:dyDescent="0.25">
      <c r="A37" s="815" t="s">
        <v>53</v>
      </c>
      <c r="B37" s="834"/>
      <c r="C37" s="834">
        <v>10000</v>
      </c>
      <c r="D37" s="835">
        <v>252000</v>
      </c>
      <c r="E37" s="836">
        <v>251000</v>
      </c>
      <c r="F37" s="833">
        <f>SUM(B37:E37)</f>
        <v>513000</v>
      </c>
      <c r="G37" s="819"/>
      <c r="H37" s="820"/>
    </row>
    <row r="38" spans="1:8" ht="15.75" thickBot="1" x14ac:dyDescent="0.3">
      <c r="A38" s="825" t="s">
        <v>54</v>
      </c>
      <c r="B38" s="837"/>
      <c r="C38" s="837"/>
      <c r="D38" s="837">
        <v>183000</v>
      </c>
      <c r="E38" s="838">
        <v>626000</v>
      </c>
      <c r="F38" s="839">
        <f>SUM(B38:E38)</f>
        <v>809000</v>
      </c>
      <c r="G38" s="963">
        <f>E38*0.99</f>
        <v>619740</v>
      </c>
      <c r="H38" s="964">
        <f>E38*0.88</f>
        <v>550880</v>
      </c>
    </row>
    <row r="39" spans="1:8" ht="16.5" thickTop="1" thickBot="1" x14ac:dyDescent="0.3">
      <c r="A39" s="840" t="s">
        <v>55</v>
      </c>
      <c r="B39" s="841">
        <f>SUM(B35:B38)</f>
        <v>424000</v>
      </c>
      <c r="C39" s="841">
        <f>SUM(C35:C38)</f>
        <v>965000</v>
      </c>
      <c r="D39" s="841">
        <f>SUM(D35:D38)</f>
        <v>1389000</v>
      </c>
      <c r="E39" s="842">
        <f>SUM(E35:E38)</f>
        <v>1831000</v>
      </c>
      <c r="F39" s="843">
        <f>SUM(F35:F38)</f>
        <v>4609000</v>
      </c>
      <c r="G39" s="844"/>
      <c r="H39" s="845"/>
    </row>
    <row r="40" spans="1:8" ht="12" customHeight="1" x14ac:dyDescent="0.25">
      <c r="A40" s="846"/>
      <c r="B40" s="847"/>
      <c r="C40" s="847"/>
      <c r="D40" s="847"/>
      <c r="E40" s="847"/>
      <c r="F40" s="847"/>
    </row>
    <row r="41" spans="1:8" ht="12" customHeight="1" x14ac:dyDescent="0.25">
      <c r="A41" s="846"/>
      <c r="B41" s="962"/>
      <c r="C41" s="960"/>
      <c r="D41" s="960" t="s">
        <v>445</v>
      </c>
      <c r="E41" s="960"/>
      <c r="F41" s="961"/>
    </row>
    <row r="42" spans="1:8" ht="12" customHeight="1" x14ac:dyDescent="0.25">
      <c r="A42" s="846"/>
      <c r="B42" s="951">
        <v>2011</v>
      </c>
      <c r="C42" s="952"/>
      <c r="D42" s="953">
        <f>C35/B35</f>
        <v>1</v>
      </c>
      <c r="E42" s="953">
        <f>D35/B35</f>
        <v>1</v>
      </c>
      <c r="F42" s="954">
        <f>E35/B35</f>
        <v>1</v>
      </c>
    </row>
    <row r="43" spans="1:8" ht="12" customHeight="1" x14ac:dyDescent="0.25">
      <c r="A43" s="846"/>
      <c r="B43" s="951">
        <v>2012</v>
      </c>
      <c r="C43" s="952"/>
      <c r="D43" s="955"/>
      <c r="E43" s="953">
        <f>D36/C36</f>
        <v>0.99773242630385484</v>
      </c>
      <c r="F43" s="954">
        <f>E36/C36</f>
        <v>0.99773242630385484</v>
      </c>
    </row>
    <row r="44" spans="1:8" ht="12" customHeight="1" x14ac:dyDescent="0.25">
      <c r="A44" s="846"/>
      <c r="B44" s="956">
        <v>2013</v>
      </c>
      <c r="C44" s="957"/>
      <c r="D44" s="957"/>
      <c r="E44" s="958"/>
      <c r="F44" s="959">
        <f>E37/D37</f>
        <v>0.99603174603174605</v>
      </c>
    </row>
    <row r="45" spans="1:8" ht="12" customHeight="1" x14ac:dyDescent="0.25">
      <c r="A45" s="846"/>
      <c r="B45" s="965"/>
      <c r="C45" s="966"/>
      <c r="D45" s="966"/>
      <c r="E45" s="967"/>
      <c r="F45" s="953"/>
    </row>
    <row r="46" spans="1:8" ht="18.75" x14ac:dyDescent="0.25">
      <c r="A46" s="1118" t="s">
        <v>421</v>
      </c>
      <c r="B46" s="1118"/>
      <c r="C46" s="1118"/>
      <c r="D46" s="1118"/>
      <c r="E46" s="1118"/>
      <c r="F46" s="1118"/>
    </row>
    <row r="47" spans="1:8" x14ac:dyDescent="0.25">
      <c r="A47" s="846"/>
      <c r="B47" s="847"/>
      <c r="C47" s="847"/>
      <c r="D47" s="847"/>
      <c r="E47" s="847"/>
      <c r="F47" s="847"/>
    </row>
    <row r="48" spans="1:8" ht="96.75" customHeight="1" x14ac:dyDescent="0.25">
      <c r="A48" s="1134" t="s">
        <v>422</v>
      </c>
      <c r="B48" s="1134"/>
      <c r="C48" s="1134"/>
      <c r="D48" s="1134"/>
      <c r="E48" s="1134"/>
      <c r="F48" s="1134"/>
      <c r="G48" s="1134"/>
      <c r="H48" s="1134"/>
    </row>
    <row r="49" spans="1:8" ht="15.75" thickBot="1" x14ac:dyDescent="0.3">
      <c r="A49" s="846"/>
      <c r="B49" s="847"/>
      <c r="C49" s="847"/>
      <c r="D49" s="847"/>
      <c r="E49" s="847"/>
      <c r="F49" s="847"/>
    </row>
    <row r="50" spans="1:8" x14ac:dyDescent="0.25">
      <c r="A50" s="1135" t="s">
        <v>197</v>
      </c>
      <c r="B50" s="1136"/>
      <c r="C50" s="1136"/>
      <c r="D50" s="1136"/>
      <c r="E50" s="1136"/>
      <c r="F50" s="1136"/>
      <c r="G50" s="1136"/>
      <c r="H50" s="1137"/>
    </row>
    <row r="51" spans="1:8" x14ac:dyDescent="0.25">
      <c r="A51" s="1138">
        <v>4170000</v>
      </c>
      <c r="B51" s="1139"/>
      <c r="C51" s="1139"/>
      <c r="D51" s="1139"/>
      <c r="E51" s="1139"/>
      <c r="F51" s="1139"/>
      <c r="G51" s="1139"/>
      <c r="H51" s="1140"/>
    </row>
    <row r="52" spans="1:8" x14ac:dyDescent="0.25">
      <c r="A52" s="848"/>
      <c r="B52" s="849">
        <v>2015</v>
      </c>
      <c r="C52" s="849">
        <v>2016</v>
      </c>
      <c r="D52" s="849">
        <v>2017</v>
      </c>
      <c r="E52" s="849">
        <v>2018</v>
      </c>
      <c r="F52" s="849">
        <v>2019</v>
      </c>
      <c r="G52" s="849">
        <v>2020</v>
      </c>
      <c r="H52" s="850" t="s">
        <v>16</v>
      </c>
    </row>
    <row r="53" spans="1:8" x14ac:dyDescent="0.25">
      <c r="A53" s="1141" t="s">
        <v>198</v>
      </c>
      <c r="B53" s="1142"/>
      <c r="C53" s="1142"/>
      <c r="D53" s="1142"/>
      <c r="E53" s="1142"/>
      <c r="F53" s="1142"/>
      <c r="G53" s="1142"/>
      <c r="H53" s="1143"/>
    </row>
    <row r="54" spans="1:8" x14ac:dyDescent="0.25">
      <c r="A54" s="815" t="s">
        <v>199</v>
      </c>
      <c r="B54" s="816">
        <f>B62/$H$68</f>
        <v>0.16666666666666666</v>
      </c>
      <c r="C54" s="851"/>
      <c r="D54" s="851"/>
      <c r="E54" s="851"/>
      <c r="F54" s="851"/>
      <c r="G54" s="852"/>
      <c r="H54" s="818">
        <f>SUM(B54:G54)</f>
        <v>0.16666666666666666</v>
      </c>
    </row>
    <row r="55" spans="1:8" x14ac:dyDescent="0.25">
      <c r="A55" s="815" t="s">
        <v>200</v>
      </c>
      <c r="B55" s="824"/>
      <c r="C55" s="816">
        <f>C63/$H$68</f>
        <v>0.16666666666666666</v>
      </c>
      <c r="D55" s="851"/>
      <c r="E55" s="851"/>
      <c r="F55" s="851"/>
      <c r="G55" s="852"/>
      <c r="H55" s="818">
        <f>SUM(B55:G55)</f>
        <v>0.16666666666666666</v>
      </c>
    </row>
    <row r="56" spans="1:8" x14ac:dyDescent="0.25">
      <c r="A56" s="815" t="s">
        <v>201</v>
      </c>
      <c r="B56" s="824"/>
      <c r="C56" s="824"/>
      <c r="D56" s="816">
        <f>D64/$H$68</f>
        <v>0.16666666666666666</v>
      </c>
      <c r="E56" s="851"/>
      <c r="F56" s="851"/>
      <c r="G56" s="852"/>
      <c r="H56" s="818">
        <f>SUM(B56:G56)</f>
        <v>0.16666666666666666</v>
      </c>
    </row>
    <row r="57" spans="1:8" x14ac:dyDescent="0.25">
      <c r="A57" s="815" t="s">
        <v>202</v>
      </c>
      <c r="B57" s="824"/>
      <c r="C57" s="824"/>
      <c r="D57" s="816"/>
      <c r="E57" s="816">
        <f>E65/$H$68</f>
        <v>0.16666666666666666</v>
      </c>
      <c r="F57" s="851"/>
      <c r="G57" s="852"/>
      <c r="H57" s="818">
        <f>SUM(E57:G57)</f>
        <v>0.16666666666666666</v>
      </c>
    </row>
    <row r="58" spans="1:8" x14ac:dyDescent="0.25">
      <c r="A58" s="815" t="s">
        <v>203</v>
      </c>
      <c r="B58" s="824"/>
      <c r="C58" s="824"/>
      <c r="D58" s="816"/>
      <c r="E58" s="816"/>
      <c r="F58" s="816">
        <f>F66/$H$68</f>
        <v>0.16666666666666666</v>
      </c>
      <c r="G58" s="852"/>
      <c r="H58" s="818">
        <f>SUM(F58:G58)</f>
        <v>0.16666666666666666</v>
      </c>
    </row>
    <row r="59" spans="1:8" ht="15.75" thickBot="1" x14ac:dyDescent="0.3">
      <c r="A59" s="825" t="s">
        <v>204</v>
      </c>
      <c r="B59" s="826"/>
      <c r="C59" s="826"/>
      <c r="D59" s="826"/>
      <c r="E59" s="826"/>
      <c r="F59" s="826"/>
      <c r="G59" s="827">
        <f>G67/$H$68</f>
        <v>0.16666666666666666</v>
      </c>
      <c r="H59" s="828">
        <f>SUM(B59:G59)</f>
        <v>0.16666666666666666</v>
      </c>
    </row>
    <row r="60" spans="1:8" ht="15.75" thickTop="1" x14ac:dyDescent="0.25">
      <c r="A60" s="853" t="s">
        <v>55</v>
      </c>
      <c r="B60" s="854">
        <f>SUM(B54:B59)</f>
        <v>0.16666666666666666</v>
      </c>
      <c r="C60" s="854">
        <f>SUM(C54:C59)</f>
        <v>0.16666666666666666</v>
      </c>
      <c r="D60" s="854">
        <f>SUM(D54:D59)</f>
        <v>0.16666666666666666</v>
      </c>
      <c r="E60" s="854">
        <f>SUM(E54:E57)</f>
        <v>0.16666666666666666</v>
      </c>
      <c r="F60" s="854">
        <f>SUM(F54:F58)</f>
        <v>0.16666666666666666</v>
      </c>
      <c r="G60" s="855">
        <f>SUM(G54:G59)</f>
        <v>0.16666666666666666</v>
      </c>
      <c r="H60" s="856">
        <f>SUM(B60:G60)</f>
        <v>0.99999999999999989</v>
      </c>
    </row>
    <row r="61" spans="1:8" ht="12" customHeight="1" x14ac:dyDescent="0.25">
      <c r="A61" s="1131" t="s">
        <v>36</v>
      </c>
      <c r="B61" s="1132"/>
      <c r="C61" s="1132"/>
      <c r="D61" s="1132"/>
      <c r="E61" s="1132"/>
      <c r="F61" s="1132"/>
      <c r="G61" s="1132"/>
      <c r="H61" s="1133"/>
    </row>
    <row r="62" spans="1:8" x14ac:dyDescent="0.25">
      <c r="A62" s="815" t="str">
        <f t="shared" ref="A62:A67" si="1">A54</f>
        <v>2015 CDM Programs</v>
      </c>
      <c r="B62" s="832">
        <f>1/6*A51</f>
        <v>695000</v>
      </c>
      <c r="C62" s="832">
        <f>B62</f>
        <v>695000</v>
      </c>
      <c r="D62" s="851"/>
      <c r="E62" s="857"/>
      <c r="F62" s="857"/>
      <c r="G62" s="858"/>
      <c r="H62" s="833">
        <f>SUM(B62:G62)</f>
        <v>1390000</v>
      </c>
    </row>
    <row r="63" spans="1:8" x14ac:dyDescent="0.25">
      <c r="A63" s="815" t="str">
        <f t="shared" si="1"/>
        <v>2016 CDM Programs</v>
      </c>
      <c r="B63" s="834"/>
      <c r="C63" s="835">
        <f>B62</f>
        <v>695000</v>
      </c>
      <c r="D63" s="859"/>
      <c r="E63" s="859"/>
      <c r="F63" s="859"/>
      <c r="G63" s="860"/>
      <c r="H63" s="833">
        <f>SUM(B63:G63)</f>
        <v>695000</v>
      </c>
    </row>
    <row r="64" spans="1:8" x14ac:dyDescent="0.25">
      <c r="A64" s="815" t="str">
        <f t="shared" si="1"/>
        <v>2017 CDM Programs</v>
      </c>
      <c r="B64" s="834"/>
      <c r="C64" s="834"/>
      <c r="D64" s="835">
        <f>C63</f>
        <v>695000</v>
      </c>
      <c r="E64" s="859"/>
      <c r="F64" s="859"/>
      <c r="G64" s="860"/>
      <c r="H64" s="833">
        <f>SUM(B64:G64)</f>
        <v>695000</v>
      </c>
    </row>
    <row r="65" spans="1:8" x14ac:dyDescent="0.25">
      <c r="A65" s="815" t="str">
        <f t="shared" si="1"/>
        <v>2018 CDM Programs</v>
      </c>
      <c r="B65" s="834"/>
      <c r="C65" s="834"/>
      <c r="D65" s="861"/>
      <c r="E65" s="832">
        <f>D64</f>
        <v>695000</v>
      </c>
      <c r="F65" s="857"/>
      <c r="G65" s="858"/>
      <c r="H65" s="833">
        <f>SUM(E65:G65)</f>
        <v>695000</v>
      </c>
    </row>
    <row r="66" spans="1:8" x14ac:dyDescent="0.25">
      <c r="A66" s="815" t="str">
        <f t="shared" si="1"/>
        <v>2019 CDM Programs</v>
      </c>
      <c r="B66" s="834"/>
      <c r="C66" s="834"/>
      <c r="D66" s="861"/>
      <c r="E66" s="861"/>
      <c r="F66" s="832">
        <f>E65</f>
        <v>695000</v>
      </c>
      <c r="G66" s="858"/>
      <c r="H66" s="833">
        <f>SUM(F66:G66)</f>
        <v>695000</v>
      </c>
    </row>
    <row r="67" spans="1:8" ht="15.75" thickBot="1" x14ac:dyDescent="0.3">
      <c r="A67" s="825" t="str">
        <f t="shared" si="1"/>
        <v>2020 CDM Programs</v>
      </c>
      <c r="B67" s="837"/>
      <c r="C67" s="837"/>
      <c r="D67" s="837"/>
      <c r="E67" s="837"/>
      <c r="F67" s="837"/>
      <c r="G67" s="838">
        <f>F66</f>
        <v>695000</v>
      </c>
      <c r="H67" s="839">
        <f>SUM(B67:G67)</f>
        <v>695000</v>
      </c>
    </row>
    <row r="68" spans="1:8" ht="16.5" thickTop="1" thickBot="1" x14ac:dyDescent="0.3">
      <c r="A68" s="840" t="s">
        <v>55</v>
      </c>
      <c r="B68" s="841">
        <f>SUM(B62:B67)</f>
        <v>695000</v>
      </c>
      <c r="C68" s="841">
        <f>SUM(C62:C67)</f>
        <v>1390000</v>
      </c>
      <c r="D68" s="841">
        <f>SUM(D62:D67)</f>
        <v>695000</v>
      </c>
      <c r="E68" s="841">
        <f>SUM(E62:E65)</f>
        <v>695000</v>
      </c>
      <c r="F68" s="841">
        <f>SUM(F62:F66)</f>
        <v>695000</v>
      </c>
      <c r="G68" s="842">
        <f>SUM(G62:G67)</f>
        <v>695000</v>
      </c>
      <c r="H68" s="843">
        <f>A51</f>
        <v>4170000</v>
      </c>
    </row>
    <row r="69" spans="1:8" ht="12" customHeight="1" x14ac:dyDescent="0.25">
      <c r="A69" s="846"/>
      <c r="B69" s="847"/>
      <c r="C69" s="847"/>
      <c r="D69" s="847"/>
      <c r="E69" s="847"/>
      <c r="F69" s="847"/>
    </row>
    <row r="70" spans="1:8" ht="12" customHeight="1" x14ac:dyDescent="0.25">
      <c r="A70" s="846"/>
      <c r="B70" s="847"/>
      <c r="C70" s="847"/>
      <c r="D70" s="847"/>
      <c r="E70" s="847"/>
      <c r="F70" s="847"/>
    </row>
    <row r="71" spans="1:8" ht="18.75" x14ac:dyDescent="0.3">
      <c r="A71" s="1120" t="s">
        <v>423</v>
      </c>
      <c r="B71" s="1120"/>
      <c r="C71" s="1120"/>
      <c r="D71" s="1120"/>
      <c r="E71" s="1120"/>
      <c r="F71" s="1120"/>
      <c r="G71" s="1120"/>
      <c r="H71" s="1120"/>
    </row>
    <row r="72" spans="1:8" ht="12" customHeight="1" x14ac:dyDescent="0.25">
      <c r="A72" s="846"/>
      <c r="B72" s="847"/>
      <c r="C72" s="847"/>
      <c r="D72" s="847"/>
      <c r="E72" s="847"/>
      <c r="F72" s="847"/>
    </row>
    <row r="73" spans="1:8" ht="75" customHeight="1" x14ac:dyDescent="0.25">
      <c r="A73" s="1134" t="s">
        <v>206</v>
      </c>
      <c r="B73" s="1134"/>
      <c r="C73" s="1134"/>
      <c r="D73" s="1134"/>
      <c r="E73" s="1134"/>
      <c r="F73" s="1134"/>
      <c r="G73" s="1134"/>
      <c r="H73" s="1134"/>
    </row>
    <row r="74" spans="1:8" ht="12" customHeight="1" x14ac:dyDescent="0.25">
      <c r="A74" s="846"/>
      <c r="B74" s="847"/>
      <c r="C74" s="847"/>
      <c r="D74" s="847"/>
      <c r="E74" s="847"/>
      <c r="F74" s="847"/>
    </row>
    <row r="75" spans="1:8" ht="47.25" customHeight="1" x14ac:dyDescent="0.25">
      <c r="A75" s="1134" t="s">
        <v>424</v>
      </c>
      <c r="B75" s="1134"/>
      <c r="C75" s="1134"/>
      <c r="D75" s="1134"/>
      <c r="E75" s="1134"/>
      <c r="F75" s="1134"/>
      <c r="G75" s="1134"/>
      <c r="H75" s="1134"/>
    </row>
    <row r="76" spans="1:8" ht="12" customHeight="1" thickBot="1" x14ac:dyDescent="0.3">
      <c r="A76" s="862"/>
      <c r="B76" s="863"/>
      <c r="C76" s="863"/>
      <c r="D76" s="863"/>
      <c r="E76" s="863"/>
      <c r="F76" s="863"/>
    </row>
    <row r="77" spans="1:8" x14ac:dyDescent="0.25">
      <c r="A77" s="1121" t="s">
        <v>70</v>
      </c>
      <c r="B77" s="1122"/>
      <c r="C77" s="1122"/>
      <c r="D77" s="1122"/>
      <c r="E77" s="1122"/>
      <c r="F77" s="1123"/>
    </row>
    <row r="78" spans="1:8" ht="12" customHeight="1" x14ac:dyDescent="0.25">
      <c r="A78" s="864"/>
      <c r="B78" s="865"/>
      <c r="C78" s="865"/>
      <c r="D78" s="865"/>
      <c r="E78" s="865"/>
      <c r="F78" s="866"/>
    </row>
    <row r="79" spans="1:8" x14ac:dyDescent="0.25">
      <c r="A79" s="1144" t="s">
        <v>71</v>
      </c>
      <c r="B79" s="1145"/>
      <c r="C79" s="1145"/>
      <c r="D79" s="1145"/>
      <c r="E79" s="1145"/>
      <c r="F79" s="867" t="s">
        <v>72</v>
      </c>
    </row>
    <row r="80" spans="1:8" ht="12" customHeight="1" x14ac:dyDescent="0.25">
      <c r="A80" s="868"/>
      <c r="B80" s="869"/>
      <c r="C80" s="869"/>
      <c r="D80" s="869"/>
      <c r="E80" s="869"/>
      <c r="F80" s="870"/>
    </row>
    <row r="81" spans="1:8" ht="32.25" customHeight="1" x14ac:dyDescent="0.25">
      <c r="A81" s="871"/>
      <c r="B81" s="872"/>
      <c r="C81" s="865" t="s">
        <v>56</v>
      </c>
      <c r="D81" s="865" t="s">
        <v>57</v>
      </c>
      <c r="E81" s="865" t="s">
        <v>58</v>
      </c>
      <c r="F81" s="873" t="s">
        <v>73</v>
      </c>
    </row>
    <row r="82" spans="1:8" ht="15" customHeight="1" x14ac:dyDescent="0.25">
      <c r="A82" s="1146" t="s">
        <v>74</v>
      </c>
      <c r="B82" s="1147"/>
      <c r="C82" s="874" t="s">
        <v>36</v>
      </c>
      <c r="D82" s="874" t="s">
        <v>36</v>
      </c>
      <c r="E82" s="874" t="s">
        <v>36</v>
      </c>
      <c r="F82" s="875" t="s">
        <v>75</v>
      </c>
    </row>
    <row r="83" spans="1:8" x14ac:dyDescent="0.25">
      <c r="A83" s="876" t="s">
        <v>76</v>
      </c>
      <c r="B83" s="877"/>
      <c r="C83" s="878"/>
      <c r="D83" s="878"/>
      <c r="E83" s="879"/>
      <c r="F83" s="880"/>
    </row>
    <row r="84" spans="1:8" x14ac:dyDescent="0.25">
      <c r="A84" s="876" t="s">
        <v>77</v>
      </c>
      <c r="B84" s="877"/>
      <c r="C84" s="881">
        <v>787087</v>
      </c>
      <c r="D84" s="881">
        <v>514073</v>
      </c>
      <c r="E84" s="879"/>
      <c r="F84" s="880"/>
    </row>
    <row r="85" spans="1:8" x14ac:dyDescent="0.25">
      <c r="A85" s="876" t="s">
        <v>78</v>
      </c>
      <c r="B85" s="877"/>
      <c r="C85" s="878">
        <v>487911</v>
      </c>
      <c r="D85" s="878">
        <v>440648</v>
      </c>
      <c r="E85" s="879"/>
      <c r="F85" s="880"/>
    </row>
    <row r="86" spans="1:8" x14ac:dyDescent="0.25">
      <c r="A86" s="876" t="s">
        <v>208</v>
      </c>
      <c r="B86" s="877"/>
      <c r="C86" s="878">
        <v>352175</v>
      </c>
      <c r="D86" s="878">
        <v>252369</v>
      </c>
      <c r="E86" s="879"/>
      <c r="F86" s="880"/>
    </row>
    <row r="87" spans="1:8" ht="15.75" thickBot="1" x14ac:dyDescent="0.3">
      <c r="A87" s="882" t="s">
        <v>425</v>
      </c>
      <c r="B87" s="883"/>
      <c r="C87" s="884">
        <v>814978</v>
      </c>
      <c r="D87" s="884">
        <v>626488</v>
      </c>
      <c r="E87" s="879"/>
      <c r="F87" s="880"/>
    </row>
    <row r="88" spans="1:8" ht="29.25" customHeight="1" thickTop="1" thickBot="1" x14ac:dyDescent="0.3">
      <c r="A88" s="1148" t="s">
        <v>426</v>
      </c>
      <c r="B88" s="1149"/>
      <c r="C88" s="885">
        <f>SUM(C83:C87)</f>
        <v>2442151</v>
      </c>
      <c r="D88" s="885">
        <f>SUM(D83:D87)</f>
        <v>1833578</v>
      </c>
      <c r="E88" s="886">
        <f>C88-D88</f>
        <v>608573</v>
      </c>
      <c r="F88" s="887">
        <f>IF(D88=0,0,IF(F79="net",0,E88/D88))</f>
        <v>0</v>
      </c>
    </row>
    <row r="89" spans="1:8" ht="13.5" customHeight="1" x14ac:dyDescent="0.25">
      <c r="A89" s="888"/>
      <c r="B89" s="888"/>
      <c r="C89" s="889"/>
      <c r="D89" s="889"/>
      <c r="E89" s="824"/>
      <c r="F89" s="890"/>
    </row>
    <row r="90" spans="1:8" ht="29.25" customHeight="1" x14ac:dyDescent="0.25">
      <c r="A90" s="1134" t="s">
        <v>79</v>
      </c>
      <c r="B90" s="1134"/>
      <c r="C90" s="1134"/>
      <c r="D90" s="1134"/>
      <c r="E90" s="1134"/>
      <c r="F90" s="1134"/>
      <c r="G90" s="1134"/>
      <c r="H90" s="1134"/>
    </row>
    <row r="91" spans="1:8" ht="12" customHeight="1" x14ac:dyDescent="0.25">
      <c r="A91" s="891"/>
      <c r="B91" s="891"/>
      <c r="C91" s="891"/>
      <c r="D91" s="891"/>
      <c r="E91" s="891"/>
      <c r="F91" s="891"/>
      <c r="G91" s="891"/>
      <c r="H91" s="891"/>
    </row>
    <row r="92" spans="1:8" ht="41.25" customHeight="1" x14ac:dyDescent="0.25">
      <c r="A92" s="1134" t="s">
        <v>427</v>
      </c>
      <c r="B92" s="1134"/>
      <c r="C92" s="1134"/>
      <c r="D92" s="1134"/>
      <c r="E92" s="1134"/>
      <c r="F92" s="1134"/>
      <c r="G92" s="1134"/>
      <c r="H92" s="1134"/>
    </row>
    <row r="93" spans="1:8" ht="12" customHeight="1" x14ac:dyDescent="0.25">
      <c r="A93" s="888"/>
      <c r="B93" s="892"/>
      <c r="C93" s="889"/>
      <c r="D93" s="889"/>
      <c r="E93" s="889"/>
      <c r="F93" s="890"/>
    </row>
    <row r="94" spans="1:8" ht="15.75" customHeight="1" thickBot="1" x14ac:dyDescent="0.3">
      <c r="A94" s="1150" t="s">
        <v>81</v>
      </c>
      <c r="B94" s="1150"/>
      <c r="C94" s="1150"/>
      <c r="D94" s="1150"/>
      <c r="E94" s="1150"/>
      <c r="F94" s="1150"/>
      <c r="G94" s="893"/>
    </row>
    <row r="95" spans="1:8" ht="16.5" customHeight="1" x14ac:dyDescent="0.25">
      <c r="A95" s="894"/>
      <c r="B95" s="895">
        <v>2011</v>
      </c>
      <c r="C95" s="895">
        <v>2012</v>
      </c>
      <c r="D95" s="895">
        <v>2013</v>
      </c>
      <c r="E95" s="895">
        <v>2014</v>
      </c>
      <c r="F95" s="896">
        <v>2015</v>
      </c>
      <c r="G95" s="896">
        <v>2016</v>
      </c>
      <c r="H95" s="897"/>
    </row>
    <row r="96" spans="1:8" ht="62.25" customHeight="1" x14ac:dyDescent="0.25">
      <c r="A96" s="898" t="s">
        <v>82</v>
      </c>
      <c r="B96" s="899">
        <v>0</v>
      </c>
      <c r="C96" s="899">
        <v>0</v>
      </c>
      <c r="D96" s="899">
        <v>0</v>
      </c>
      <c r="E96" s="899">
        <v>0.5</v>
      </c>
      <c r="F96" s="899">
        <v>1</v>
      </c>
      <c r="G96" s="899">
        <v>0.5</v>
      </c>
      <c r="H96" s="900" t="s">
        <v>212</v>
      </c>
    </row>
    <row r="97" spans="1:8" ht="288.75" customHeight="1" thickBot="1" x14ac:dyDescent="0.3">
      <c r="A97" s="901" t="s">
        <v>83</v>
      </c>
      <c r="B97" s="902" t="s">
        <v>213</v>
      </c>
      <c r="C97" s="902" t="s">
        <v>214</v>
      </c>
      <c r="D97" s="903" t="s">
        <v>428</v>
      </c>
      <c r="E97" s="903" t="s">
        <v>429</v>
      </c>
      <c r="F97" s="902" t="s">
        <v>430</v>
      </c>
      <c r="G97" s="902" t="s">
        <v>431</v>
      </c>
      <c r="H97" s="887"/>
    </row>
    <row r="98" spans="1:8" ht="12" customHeight="1" x14ac:dyDescent="0.25">
      <c r="A98" s="904"/>
      <c r="B98" s="905"/>
      <c r="C98" s="905"/>
      <c r="D98" s="905"/>
      <c r="E98" s="905"/>
      <c r="F98" s="905"/>
      <c r="G98" s="890"/>
    </row>
    <row r="99" spans="1:8" ht="19.5" customHeight="1" x14ac:dyDescent="0.25">
      <c r="A99" s="1151" t="s">
        <v>218</v>
      </c>
      <c r="B99" s="1151"/>
      <c r="C99" s="1151"/>
      <c r="D99" s="1151"/>
      <c r="E99" s="1151"/>
      <c r="F99" s="1151"/>
      <c r="G99" s="1151"/>
      <c r="H99" s="1151"/>
    </row>
    <row r="100" spans="1:8" ht="13.5" customHeight="1" x14ac:dyDescent="0.25">
      <c r="A100" s="906"/>
      <c r="B100" s="906"/>
      <c r="C100" s="906"/>
      <c r="D100" s="906"/>
      <c r="E100" s="906"/>
      <c r="F100" s="906"/>
      <c r="G100" s="906"/>
      <c r="H100" s="906"/>
    </row>
    <row r="101" spans="1:8" ht="75.75" customHeight="1" x14ac:dyDescent="0.25">
      <c r="A101" s="1117" t="s">
        <v>432</v>
      </c>
      <c r="B101" s="1117"/>
      <c r="C101" s="1117"/>
      <c r="D101" s="1117"/>
      <c r="E101" s="1117"/>
      <c r="F101" s="1117"/>
      <c r="G101" s="1117"/>
      <c r="H101" s="1117"/>
    </row>
    <row r="102" spans="1:8" ht="12" customHeight="1" x14ac:dyDescent="0.25">
      <c r="A102" s="888"/>
      <c r="B102" s="905"/>
      <c r="C102" s="905"/>
      <c r="D102" s="905"/>
      <c r="E102" s="905"/>
      <c r="F102" s="890"/>
    </row>
    <row r="103" spans="1:8" ht="57.75" customHeight="1" x14ac:dyDescent="0.25">
      <c r="A103" s="1117" t="s">
        <v>433</v>
      </c>
      <c r="B103" s="1117"/>
      <c r="C103" s="1117"/>
      <c r="D103" s="1117"/>
      <c r="E103" s="1117"/>
      <c r="F103" s="1117"/>
      <c r="G103" s="1117"/>
      <c r="H103" s="1117"/>
    </row>
    <row r="104" spans="1:8" ht="12" customHeight="1" x14ac:dyDescent="0.25">
      <c r="A104" s="806"/>
      <c r="B104" s="806"/>
      <c r="C104" s="806"/>
      <c r="D104" s="806"/>
      <c r="E104" s="806"/>
      <c r="F104" s="806"/>
    </row>
    <row r="105" spans="1:8" x14ac:dyDescent="0.25">
      <c r="A105" s="1152" t="s">
        <v>434</v>
      </c>
      <c r="B105" s="1152"/>
      <c r="C105" s="1152"/>
      <c r="D105" s="1152"/>
      <c r="E105" s="1152"/>
      <c r="F105" s="1152"/>
      <c r="G105" s="1152"/>
      <c r="H105" s="1152"/>
    </row>
    <row r="106" spans="1:8" x14ac:dyDescent="0.25">
      <c r="A106" s="806"/>
      <c r="B106" s="806"/>
      <c r="C106" s="806"/>
      <c r="D106" s="806"/>
      <c r="E106" s="806"/>
      <c r="F106" s="806"/>
    </row>
    <row r="107" spans="1:8" ht="29.25" customHeight="1" x14ac:dyDescent="0.25">
      <c r="A107" s="1117" t="s">
        <v>435</v>
      </c>
      <c r="B107" s="1117"/>
      <c r="C107" s="1117"/>
      <c r="D107" s="1117"/>
      <c r="E107" s="1117"/>
      <c r="F107" s="1117"/>
      <c r="G107" s="1117"/>
      <c r="H107" s="1117"/>
    </row>
    <row r="108" spans="1:8" ht="12" customHeight="1" x14ac:dyDescent="0.25">
      <c r="A108" s="806"/>
      <c r="B108" s="806"/>
      <c r="C108" s="806"/>
      <c r="D108" s="806"/>
      <c r="E108" s="806"/>
      <c r="F108" s="806"/>
    </row>
    <row r="109" spans="1:8" ht="46.5" customHeight="1" x14ac:dyDescent="0.25">
      <c r="A109" s="1117" t="s">
        <v>436</v>
      </c>
      <c r="B109" s="1117"/>
      <c r="C109" s="1117"/>
      <c r="D109" s="1117"/>
      <c r="E109" s="1117"/>
      <c r="F109" s="1117"/>
      <c r="G109" s="1117"/>
      <c r="H109" s="1117"/>
    </row>
    <row r="110" spans="1:8" ht="12" customHeight="1" x14ac:dyDescent="0.25">
      <c r="A110" s="806"/>
      <c r="B110" s="806"/>
      <c r="C110" s="806"/>
      <c r="D110" s="806"/>
      <c r="E110" s="806"/>
      <c r="F110" s="806"/>
    </row>
    <row r="111" spans="1:8" ht="30" customHeight="1" x14ac:dyDescent="0.25">
      <c r="A111" s="1117" t="s">
        <v>219</v>
      </c>
      <c r="B111" s="1117"/>
      <c r="C111" s="1117"/>
      <c r="D111" s="1117"/>
      <c r="E111" s="1117"/>
      <c r="F111" s="1117"/>
      <c r="G111" s="1117"/>
      <c r="H111" s="1117"/>
    </row>
    <row r="112" spans="1:8" ht="13.5" customHeight="1" thickBot="1" x14ac:dyDescent="0.3">
      <c r="A112" s="888"/>
      <c r="B112" s="892"/>
      <c r="C112" s="889"/>
      <c r="D112" s="889"/>
      <c r="E112" s="889"/>
      <c r="F112" s="890"/>
    </row>
    <row r="113" spans="1:15" x14ac:dyDescent="0.25">
      <c r="A113" s="907"/>
      <c r="B113" s="908">
        <v>2011</v>
      </c>
      <c r="C113" s="908">
        <v>2012</v>
      </c>
      <c r="D113" s="908">
        <v>2013</v>
      </c>
      <c r="E113" s="908">
        <v>2014</v>
      </c>
      <c r="F113" s="908">
        <v>2015</v>
      </c>
      <c r="G113" s="909">
        <v>2016</v>
      </c>
      <c r="H113" s="910" t="s">
        <v>437</v>
      </c>
    </row>
    <row r="114" spans="1:15" x14ac:dyDescent="0.25">
      <c r="A114" s="911"/>
      <c r="B114" s="912" t="s">
        <v>36</v>
      </c>
      <c r="C114" s="913"/>
      <c r="D114" s="913"/>
      <c r="E114" s="913"/>
      <c r="F114" s="913"/>
      <c r="G114" s="913"/>
      <c r="H114" s="914"/>
    </row>
    <row r="115" spans="1:15" ht="30" x14ac:dyDescent="0.25">
      <c r="A115" s="915" t="s">
        <v>84</v>
      </c>
      <c r="B115" s="916">
        <f>E35</f>
        <v>514000</v>
      </c>
      <c r="C115" s="916">
        <f>E36</f>
        <v>440000</v>
      </c>
      <c r="D115" s="916">
        <f>E37</f>
        <v>251000</v>
      </c>
      <c r="E115" s="978">
        <v>443111.01199999999</v>
      </c>
      <c r="F115" s="916"/>
      <c r="G115" s="917"/>
      <c r="H115" s="918"/>
    </row>
    <row r="116" spans="1:15" ht="12" customHeight="1" x14ac:dyDescent="0.25">
      <c r="A116" s="915"/>
      <c r="B116" s="916"/>
      <c r="C116" s="916"/>
      <c r="D116" s="916"/>
      <c r="E116" s="916"/>
      <c r="F116" s="916"/>
      <c r="G116" s="919"/>
      <c r="H116" s="918"/>
    </row>
    <row r="117" spans="1:15" ht="63" customHeight="1" x14ac:dyDescent="0.25">
      <c r="A117" s="920" t="s">
        <v>438</v>
      </c>
      <c r="B117" s="921">
        <v>0</v>
      </c>
      <c r="C117" s="922">
        <f>B117</f>
        <v>0</v>
      </c>
      <c r="D117" s="923">
        <f>B117</f>
        <v>0</v>
      </c>
      <c r="E117" s="923">
        <f>B117</f>
        <v>0</v>
      </c>
      <c r="F117" s="923"/>
      <c r="G117" s="924"/>
      <c r="H117" s="925"/>
    </row>
    <row r="118" spans="1:15" ht="12" customHeight="1" x14ac:dyDescent="0.25">
      <c r="A118" s="926"/>
      <c r="B118" s="927"/>
      <c r="C118" s="927"/>
      <c r="D118" s="927"/>
      <c r="E118" s="927"/>
      <c r="F118" s="927"/>
      <c r="G118" s="927"/>
      <c r="H118" s="928"/>
    </row>
    <row r="119" spans="1:15" ht="30.75" thickBot="1" x14ac:dyDescent="0.3">
      <c r="A119" s="1010" t="s">
        <v>439</v>
      </c>
      <c r="B119" s="929"/>
      <c r="C119" s="930"/>
      <c r="D119" s="930"/>
      <c r="E119" s="968">
        <v>0</v>
      </c>
      <c r="F119" s="969">
        <f>C62</f>
        <v>695000</v>
      </c>
      <c r="G119" s="970">
        <f>C63</f>
        <v>695000</v>
      </c>
      <c r="H119" s="971">
        <f>SUM(B119:G119)</f>
        <v>1390000</v>
      </c>
    </row>
    <row r="120" spans="1:15" ht="12" customHeight="1" thickTop="1" thickBot="1" x14ac:dyDescent="0.3">
      <c r="A120" s="931"/>
      <c r="B120" s="932"/>
      <c r="C120" s="933"/>
      <c r="D120" s="933"/>
      <c r="E120" s="933"/>
      <c r="F120" s="972"/>
      <c r="G120" s="972"/>
      <c r="H120" s="973"/>
    </row>
    <row r="121" spans="1:15" ht="30.75" thickTop="1" x14ac:dyDescent="0.25">
      <c r="A121" s="920" t="s">
        <v>440</v>
      </c>
      <c r="B121" s="934">
        <f>B115*(1+F88)*B96</f>
        <v>0</v>
      </c>
      <c r="C121" s="935">
        <f>C115*(1+F88)*C96</f>
        <v>0</v>
      </c>
      <c r="D121" s="935">
        <f>D115*(1+F88)*D96</f>
        <v>0</v>
      </c>
      <c r="E121" s="935">
        <f>E115*(1+F88)*E96</f>
        <v>221555.50599999999</v>
      </c>
      <c r="F121" s="935">
        <f>F119*(1+F88)*F96</f>
        <v>695000</v>
      </c>
      <c r="G121" s="936">
        <f>G119*(1+F88)*G96</f>
        <v>347500</v>
      </c>
      <c r="H121" s="937">
        <f>SUM(B121:G121)</f>
        <v>1264055.5060000001</v>
      </c>
    </row>
    <row r="122" spans="1:15" ht="12" customHeight="1" x14ac:dyDescent="0.25">
      <c r="A122" s="926"/>
      <c r="B122" s="938"/>
      <c r="C122" s="938"/>
      <c r="D122" s="938"/>
      <c r="E122" s="938"/>
      <c r="F122" s="939"/>
      <c r="G122" s="938"/>
      <c r="H122" s="940"/>
    </row>
    <row r="123" spans="1:15" x14ac:dyDescent="0.25">
      <c r="A123" s="915" t="s">
        <v>441</v>
      </c>
      <c r="B123" s="988">
        <v>8.1000000000000003E-2</v>
      </c>
      <c r="C123" s="941" t="s">
        <v>442</v>
      </c>
      <c r="D123" s="942"/>
      <c r="E123" s="941"/>
      <c r="F123" s="941"/>
      <c r="G123" s="943"/>
      <c r="H123" s="944"/>
    </row>
    <row r="124" spans="1:15" ht="45.75" thickBot="1" x14ac:dyDescent="0.3">
      <c r="A124" s="945" t="s">
        <v>443</v>
      </c>
      <c r="B124" s="946">
        <f t="shared" ref="B124:G124" si="2">B121*(1+$B123)</f>
        <v>0</v>
      </c>
      <c r="C124" s="946">
        <f t="shared" si="2"/>
        <v>0</v>
      </c>
      <c r="D124" s="946">
        <f t="shared" si="2"/>
        <v>0</v>
      </c>
      <c r="E124" s="946">
        <f t="shared" si="2"/>
        <v>239501.50198599999</v>
      </c>
      <c r="F124" s="946">
        <f t="shared" si="2"/>
        <v>751295</v>
      </c>
      <c r="G124" s="947">
        <f t="shared" si="2"/>
        <v>375647.5</v>
      </c>
      <c r="H124" s="948">
        <f>SUM(B124:G124)</f>
        <v>1366444.001986</v>
      </c>
      <c r="I124" s="819"/>
      <c r="J124" s="893"/>
      <c r="O124" s="893"/>
    </row>
    <row r="125" spans="1:15" ht="12" customHeight="1" x14ac:dyDescent="0.25">
      <c r="A125" s="949"/>
      <c r="B125" s="941"/>
      <c r="C125" s="941"/>
      <c r="D125" s="941"/>
      <c r="E125" s="941"/>
      <c r="F125" s="941"/>
      <c r="G125" s="941"/>
      <c r="H125" s="941"/>
    </row>
    <row r="126" spans="1:15" ht="31.5" customHeight="1" x14ac:dyDescent="0.25">
      <c r="A126" s="1153" t="s">
        <v>444</v>
      </c>
      <c r="B126" s="1153"/>
      <c r="C126" s="1153"/>
      <c r="D126" s="1153"/>
      <c r="E126" s="1153"/>
      <c r="F126" s="1153"/>
      <c r="G126" s="1153"/>
      <c r="H126" s="1153"/>
    </row>
    <row r="127" spans="1:15" x14ac:dyDescent="0.25">
      <c r="A127" s="806"/>
      <c r="B127" s="806"/>
      <c r="C127" s="806"/>
      <c r="D127" s="806"/>
      <c r="E127" s="806"/>
      <c r="F127" s="806"/>
    </row>
    <row r="128" spans="1:15" x14ac:dyDescent="0.25">
      <c r="A128" s="950"/>
      <c r="B128" s="806"/>
      <c r="C128" s="806"/>
      <c r="D128" s="806"/>
      <c r="E128" s="806"/>
      <c r="F128" s="806"/>
    </row>
    <row r="129" spans="1:6" x14ac:dyDescent="0.25">
      <c r="A129" s="806"/>
      <c r="B129" s="806"/>
      <c r="C129" s="806"/>
      <c r="D129" s="806"/>
      <c r="E129" s="806"/>
      <c r="F129" s="806"/>
    </row>
    <row r="130" spans="1:6" x14ac:dyDescent="0.25">
      <c r="A130" s="806"/>
      <c r="B130" s="806"/>
      <c r="C130" s="806"/>
      <c r="D130" s="806"/>
      <c r="E130" s="806"/>
      <c r="F130" s="806"/>
    </row>
    <row r="131" spans="1:6" x14ac:dyDescent="0.25">
      <c r="A131" s="806"/>
      <c r="B131" s="806"/>
      <c r="C131" s="806"/>
      <c r="D131" s="806"/>
      <c r="E131" s="806"/>
      <c r="F131" s="806"/>
    </row>
    <row r="132" spans="1:6" x14ac:dyDescent="0.25">
      <c r="A132" s="806"/>
      <c r="B132" s="806"/>
      <c r="C132" s="806"/>
      <c r="D132" s="806"/>
      <c r="E132" s="806"/>
      <c r="F132" s="806"/>
    </row>
    <row r="133" spans="1:6" x14ac:dyDescent="0.25">
      <c r="A133" s="806"/>
      <c r="B133" s="806"/>
      <c r="C133" s="806"/>
      <c r="D133" s="806"/>
      <c r="E133" s="806"/>
      <c r="F133" s="806"/>
    </row>
    <row r="134" spans="1:6" x14ac:dyDescent="0.25">
      <c r="A134" s="806"/>
      <c r="B134" s="806"/>
      <c r="C134" s="806"/>
      <c r="D134" s="806"/>
      <c r="E134" s="806"/>
      <c r="F134" s="806"/>
    </row>
    <row r="135" spans="1:6" x14ac:dyDescent="0.25">
      <c r="A135" s="806"/>
      <c r="B135" s="806"/>
      <c r="C135" s="806"/>
      <c r="D135" s="806"/>
      <c r="E135" s="806"/>
      <c r="F135" s="806"/>
    </row>
    <row r="136" spans="1:6" x14ac:dyDescent="0.25">
      <c r="A136" s="806"/>
      <c r="B136" s="806"/>
      <c r="C136" s="806"/>
      <c r="D136" s="806"/>
      <c r="E136" s="806"/>
      <c r="F136" s="806"/>
    </row>
    <row r="137" spans="1:6" x14ac:dyDescent="0.25">
      <c r="A137" s="806"/>
      <c r="B137" s="806"/>
      <c r="C137" s="806"/>
      <c r="D137" s="806"/>
      <c r="E137" s="806"/>
      <c r="F137" s="806"/>
    </row>
    <row r="138" spans="1:6" x14ac:dyDescent="0.25">
      <c r="A138" s="806"/>
      <c r="B138" s="806"/>
      <c r="C138" s="806"/>
      <c r="D138" s="806"/>
      <c r="E138" s="806"/>
      <c r="F138" s="806"/>
    </row>
    <row r="139" spans="1:6" x14ac:dyDescent="0.25">
      <c r="A139" s="806"/>
      <c r="B139" s="806"/>
      <c r="C139" s="806"/>
      <c r="D139" s="806"/>
      <c r="E139" s="806"/>
      <c r="F139" s="806"/>
    </row>
    <row r="140" spans="1:6" x14ac:dyDescent="0.25">
      <c r="A140" s="806"/>
      <c r="B140" s="806"/>
      <c r="C140" s="806"/>
      <c r="D140" s="806"/>
      <c r="E140" s="806"/>
      <c r="F140" s="806"/>
    </row>
  </sheetData>
  <mergeCells count="41">
    <mergeCell ref="A105:H105"/>
    <mergeCell ref="A107:H107"/>
    <mergeCell ref="A109:H109"/>
    <mergeCell ref="A111:H111"/>
    <mergeCell ref="A126:H126"/>
    <mergeCell ref="A103:H103"/>
    <mergeCell ref="A73:H73"/>
    <mergeCell ref="A75:H75"/>
    <mergeCell ref="A77:F77"/>
    <mergeCell ref="A79:E79"/>
    <mergeCell ref="A82:B82"/>
    <mergeCell ref="A88:B88"/>
    <mergeCell ref="A90:H90"/>
    <mergeCell ref="A92:H92"/>
    <mergeCell ref="A94:F94"/>
    <mergeCell ref="A99:H99"/>
    <mergeCell ref="A101:H101"/>
    <mergeCell ref="A71:H71"/>
    <mergeCell ref="A24:H24"/>
    <mergeCell ref="A26:F26"/>
    <mergeCell ref="G26:H27"/>
    <mergeCell ref="A27:F27"/>
    <mergeCell ref="A34:F34"/>
    <mergeCell ref="A46:F46"/>
    <mergeCell ref="A48:H48"/>
    <mergeCell ref="A50:H50"/>
    <mergeCell ref="A51:H51"/>
    <mergeCell ref="A53:H53"/>
    <mergeCell ref="A61:H61"/>
    <mergeCell ref="A23:H23"/>
    <mergeCell ref="A2:H2"/>
    <mergeCell ref="A3:H3"/>
    <mergeCell ref="A5:H5"/>
    <mergeCell ref="A7:H7"/>
    <mergeCell ref="A9:H9"/>
    <mergeCell ref="A11:H11"/>
    <mergeCell ref="A13:H13"/>
    <mergeCell ref="A15:H15"/>
    <mergeCell ref="A17:H17"/>
    <mergeCell ref="A19:H19"/>
    <mergeCell ref="A21:H21"/>
  </mergeCells>
  <conditionalFormatting sqref="F39">
    <cfRule type="expression" dxfId="0" priority="1">
      <formula>$F$39&lt;$A$27</formula>
    </cfRule>
  </conditionalFormatting>
  <dataValidations count="2">
    <dataValidation type="list" allowBlank="1" showInputMessage="1" showErrorMessage="1" sqref="B96:G96">
      <formula1>"0, 0.5, 1"</formula1>
    </dataValidation>
    <dataValidation type="list" allowBlank="1" showInputMessage="1" showErrorMessage="1" sqref="F79">
      <formula1>"net,gross"</formula1>
    </dataValidation>
  </dataValidations>
  <pageMargins left="0.7" right="0.7" top="0.75" bottom="0.75" header="0.3" footer="0.3"/>
  <pageSetup paperSize="9" scale="55" fitToHeight="0" orientation="portrait" horizontalDpi="4294967292" verticalDpi="0" r:id="rId1"/>
  <rowBreaks count="1" manualBreakCount="1">
    <brk id="92"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workbookViewId="0">
      <selection activeCell="A11" sqref="A11"/>
    </sheetView>
  </sheetViews>
  <sheetFormatPr defaultRowHeight="12.75" x14ac:dyDescent="0.2"/>
  <cols>
    <col min="1" max="1" width="13.6640625" customWidth="1"/>
    <col min="2" max="2" width="54.83203125" bestFit="1" customWidth="1"/>
    <col min="4" max="4" width="5.6640625" bestFit="1" customWidth="1"/>
    <col min="5" max="9" width="17.6640625" bestFit="1" customWidth="1"/>
    <col min="10" max="10" width="5.5" customWidth="1"/>
    <col min="11" max="15" width="17.33203125" customWidth="1"/>
  </cols>
  <sheetData>
    <row r="1" spans="1:2" x14ac:dyDescent="0.2">
      <c r="A1" s="755" t="s">
        <v>269</v>
      </c>
    </row>
    <row r="11" spans="1:2" ht="23.25" x14ac:dyDescent="0.2">
      <c r="B11" s="133" t="s">
        <v>224</v>
      </c>
    </row>
    <row r="12" spans="1:2" ht="15" x14ac:dyDescent="0.2">
      <c r="B12" s="63" t="s">
        <v>64</v>
      </c>
    </row>
    <row r="13" spans="1:2" ht="14.25" x14ac:dyDescent="0.2">
      <c r="B13" s="100" t="s">
        <v>261</v>
      </c>
    </row>
    <row r="14" spans="1:2" ht="14.25" x14ac:dyDescent="0.2">
      <c r="B14" s="100" t="s">
        <v>262</v>
      </c>
    </row>
    <row r="15" spans="1:2" ht="14.25" x14ac:dyDescent="0.2">
      <c r="B15" s="100" t="s">
        <v>263</v>
      </c>
    </row>
    <row r="17" spans="2:15" x14ac:dyDescent="0.2">
      <c r="B17" s="128" t="s">
        <v>227</v>
      </c>
      <c r="C17" s="128"/>
      <c r="D17" s="102"/>
      <c r="E17" s="102"/>
      <c r="F17" s="102"/>
      <c r="G17" s="102"/>
      <c r="H17" s="102"/>
      <c r="I17" s="102"/>
      <c r="J17" s="102"/>
      <c r="K17" s="102"/>
      <c r="L17" s="102"/>
      <c r="M17" s="102"/>
    </row>
    <row r="18" spans="2:15" ht="13.5" thickBot="1" x14ac:dyDescent="0.25">
      <c r="B18" s="102"/>
      <c r="C18" s="102"/>
      <c r="D18" s="102"/>
      <c r="E18" s="102"/>
      <c r="F18" s="102"/>
      <c r="G18" s="102"/>
      <c r="H18" s="102"/>
      <c r="I18" s="102"/>
      <c r="J18" s="102"/>
      <c r="K18" s="102"/>
      <c r="L18" s="102"/>
      <c r="M18" s="102"/>
    </row>
    <row r="19" spans="2:15" ht="27.75" customHeight="1" thickBot="1" x14ac:dyDescent="0.25">
      <c r="B19" s="111" t="s">
        <v>36</v>
      </c>
      <c r="C19" s="228"/>
      <c r="D19" s="112" t="s">
        <v>33</v>
      </c>
      <c r="E19" s="210">
        <f>'1. LDC Info'!$F$25-3</f>
        <v>2013</v>
      </c>
      <c r="F19" s="210">
        <f>'1. LDC Info'!$F$25-2</f>
        <v>2014</v>
      </c>
      <c r="G19" s="213">
        <f>'1. LDC Info'!$F$25-1</f>
        <v>2015</v>
      </c>
      <c r="H19" s="211" t="str">
        <f>'1. LDC Info'!F25</f>
        <v>2016</v>
      </c>
      <c r="I19" s="212" t="str">
        <f>'1. LDC Info'!F27</f>
        <v>2017</v>
      </c>
      <c r="J19" s="102"/>
      <c r="K19" s="438" t="s">
        <v>60</v>
      </c>
      <c r="L19" s="439" t="s">
        <v>61</v>
      </c>
      <c r="M19" s="440" t="s">
        <v>228</v>
      </c>
      <c r="N19" s="443" t="s">
        <v>230</v>
      </c>
      <c r="O19" s="444" t="s">
        <v>231</v>
      </c>
    </row>
    <row r="20" spans="2:15" x14ac:dyDescent="0.2">
      <c r="B20" s="426" t="str">
        <f>+'9. Weather Adj LF'!C16</f>
        <v>Residential</v>
      </c>
      <c r="C20" s="427"/>
      <c r="D20" s="428" t="s">
        <v>36</v>
      </c>
      <c r="E20" s="461">
        <f>+'9. Weather Adj LF'!L17</f>
        <v>30486731</v>
      </c>
      <c r="F20" s="461">
        <f>+'9. Weather Adj LF'!M17</f>
        <v>30037011</v>
      </c>
      <c r="G20" s="461">
        <f>+'9. Weather Adj LF'!N17</f>
        <v>29589162</v>
      </c>
      <c r="H20" s="461">
        <f>+'9. Weather Adj LF'!O17</f>
        <v>29593740.40872103</v>
      </c>
      <c r="I20" s="462">
        <f>+'9. Weather Adj LF'!P17</f>
        <v>29357541.574564926</v>
      </c>
      <c r="J20" s="102"/>
      <c r="K20" s="446">
        <f>I20/$I$34</f>
        <v>0.33896902511554416</v>
      </c>
      <c r="L20" s="447">
        <f>K20*$L$34</f>
        <v>428475.66256075591</v>
      </c>
      <c r="M20" s="448">
        <f>I20-L20</f>
        <v>28929065.912004169</v>
      </c>
      <c r="N20" s="455"/>
      <c r="O20" s="449">
        <f>+M20-N20</f>
        <v>28929065.912004169</v>
      </c>
    </row>
    <row r="21" spans="2:15" x14ac:dyDescent="0.2">
      <c r="B21" s="114"/>
      <c r="C21" s="230"/>
      <c r="D21" s="129"/>
      <c r="E21" s="388"/>
      <c r="F21" s="388"/>
      <c r="G21" s="388"/>
      <c r="H21" s="388"/>
      <c r="I21" s="389"/>
      <c r="J21" s="102"/>
      <c r="K21" s="116"/>
      <c r="L21" s="435"/>
      <c r="M21" s="441"/>
      <c r="N21" s="456"/>
      <c r="O21" s="242"/>
    </row>
    <row r="22" spans="2:15" x14ac:dyDescent="0.2">
      <c r="B22" s="423" t="str">
        <f>+'9. Weather Adj LF'!C20</f>
        <v>General Service &lt; 50 kW</v>
      </c>
      <c r="C22" s="230"/>
      <c r="D22" s="129" t="s">
        <v>36</v>
      </c>
      <c r="E22" s="388">
        <f>+'9. Weather Adj LF'!L21</f>
        <v>11531242</v>
      </c>
      <c r="F22" s="388">
        <f>+'9. Weather Adj LF'!M21</f>
        <v>11294125</v>
      </c>
      <c r="G22" s="388">
        <f>+'9. Weather Adj LF'!N21</f>
        <v>10843312</v>
      </c>
      <c r="H22" s="388">
        <f>+'9. Weather Adj LF'!O21</f>
        <v>12019249.345816894</v>
      </c>
      <c r="I22" s="389">
        <f>+'9. Weather Adj LF'!P21</f>
        <v>11923319.171269683</v>
      </c>
      <c r="J22" s="102"/>
      <c r="K22" s="117">
        <f>I22/$I$34</f>
        <v>0.13766942526033565</v>
      </c>
      <c r="L22" s="436">
        <f>K22*$L$34</f>
        <v>174021.79500818279</v>
      </c>
      <c r="M22" s="441">
        <f>I22-L22</f>
        <v>11749297.376261501</v>
      </c>
      <c r="N22" s="456"/>
      <c r="O22" s="450">
        <f>+M22-N22</f>
        <v>11749297.376261501</v>
      </c>
    </row>
    <row r="23" spans="2:15" x14ac:dyDescent="0.2">
      <c r="B23" s="114"/>
      <c r="C23" s="230"/>
      <c r="D23" s="129"/>
      <c r="E23" s="388"/>
      <c r="F23" s="388"/>
      <c r="G23" s="388"/>
      <c r="H23" s="388"/>
      <c r="I23" s="389"/>
      <c r="J23" s="102"/>
      <c r="K23" s="117"/>
      <c r="L23" s="435"/>
      <c r="M23" s="441"/>
      <c r="N23" s="456"/>
      <c r="O23" s="242"/>
    </row>
    <row r="24" spans="2:15" x14ac:dyDescent="0.2">
      <c r="B24" s="423" t="str">
        <f>+'9. Weather Adj LF'!C24</f>
        <v>Unmetered Scattered Load</v>
      </c>
      <c r="C24" s="230"/>
      <c r="D24" s="129" t="s">
        <v>36</v>
      </c>
      <c r="E24" s="388">
        <f>+'9. Weather Adj LF'!L25</f>
        <v>155619</v>
      </c>
      <c r="F24" s="388">
        <f>+'9. Weather Adj LF'!M25</f>
        <v>155019</v>
      </c>
      <c r="G24" s="388">
        <f>+'9. Weather Adj LF'!N25</f>
        <v>155364</v>
      </c>
      <c r="H24" s="388">
        <f>+'9. Weather Adj LF'!O25</f>
        <v>153077.64183823875</v>
      </c>
      <c r="I24" s="389">
        <f>+'9. Weather Adj LF'!P25</f>
        <v>151855.87128682504</v>
      </c>
      <c r="J24" s="102"/>
      <c r="K24" s="117">
        <f>I24/$I$34</f>
        <v>1.7533633229276789E-3</v>
      </c>
      <c r="L24" s="436">
        <f>K24*$L$34</f>
        <v>2216.3485623651886</v>
      </c>
      <c r="M24" s="441">
        <f>I24-L24</f>
        <v>149639.52272445985</v>
      </c>
      <c r="N24" s="456"/>
      <c r="O24" s="450">
        <f>+M24-N24</f>
        <v>149639.52272445985</v>
      </c>
    </row>
    <row r="25" spans="2:15" x14ac:dyDescent="0.2">
      <c r="B25" s="114"/>
      <c r="C25" s="230"/>
      <c r="D25" s="129"/>
      <c r="E25" s="388"/>
      <c r="F25" s="388"/>
      <c r="G25" s="388"/>
      <c r="H25" s="388"/>
      <c r="I25" s="389"/>
      <c r="J25" s="102"/>
      <c r="K25" s="117"/>
      <c r="L25" s="436"/>
      <c r="M25" s="441"/>
      <c r="N25" s="456"/>
      <c r="O25" s="242"/>
    </row>
    <row r="26" spans="2:15" x14ac:dyDescent="0.2">
      <c r="B26" s="423" t="str">
        <f>+'9. Weather Adj LF'!C28</f>
        <v>General Service &gt; 50 kW - 4999 kW</v>
      </c>
      <c r="C26" s="230"/>
      <c r="D26" s="129" t="s">
        <v>36</v>
      </c>
      <c r="E26" s="388">
        <f>+'9. Weather Adj LF'!L29</f>
        <v>44119354</v>
      </c>
      <c r="F26" s="388">
        <f>+'9. Weather Adj LF'!M29</f>
        <v>43640624</v>
      </c>
      <c r="G26" s="388">
        <f>+'9. Weather Adj LF'!N29</f>
        <v>45095566</v>
      </c>
      <c r="H26" s="388">
        <f>+'9. Weather Adj LF'!O29</f>
        <v>44431933.399247296</v>
      </c>
      <c r="I26" s="389">
        <f>+'9. Weather Adj LF'!P29</f>
        <v>44077305.335229032</v>
      </c>
      <c r="J26" s="102"/>
      <c r="K26" s="117">
        <f>I26/$I$34</f>
        <v>0.50892685210901145</v>
      </c>
      <c r="L26" s="436">
        <f>K26*$L$34</f>
        <v>643311.78955964372</v>
      </c>
      <c r="M26" s="441">
        <f>I26-L26</f>
        <v>43433993.545669392</v>
      </c>
      <c r="N26" s="456"/>
      <c r="O26" s="450">
        <f>+M26+N26</f>
        <v>43433993.545669392</v>
      </c>
    </row>
    <row r="27" spans="2:15" x14ac:dyDescent="0.2">
      <c r="B27" s="114"/>
      <c r="C27" s="230"/>
      <c r="D27" s="129"/>
      <c r="E27" s="388"/>
      <c r="F27" s="388"/>
      <c r="G27" s="388"/>
      <c r="H27" s="388"/>
      <c r="I27" s="389"/>
      <c r="J27" s="102"/>
      <c r="K27" s="117"/>
      <c r="L27" s="436"/>
      <c r="M27" s="441"/>
      <c r="N27" s="456"/>
      <c r="O27" s="242"/>
    </row>
    <row r="28" spans="2:15" x14ac:dyDescent="0.2">
      <c r="B28" s="423" t="str">
        <f>+'9. Weather Adj LF'!C32</f>
        <v>Streetlighting</v>
      </c>
      <c r="C28" s="230"/>
      <c r="D28" s="129" t="s">
        <v>36</v>
      </c>
      <c r="E28" s="388">
        <f>+'9. Weather Adj LF'!L33</f>
        <v>1118710</v>
      </c>
      <c r="F28" s="388">
        <f>+'9. Weather Adj LF'!M33</f>
        <v>1121519</v>
      </c>
      <c r="G28" s="388">
        <f>+'9. Weather Adj LF'!N33</f>
        <v>1123682</v>
      </c>
      <c r="H28" s="388">
        <f>+'9. Weather Adj LF'!O33</f>
        <v>1107145.7399144964</v>
      </c>
      <c r="I28" s="389">
        <f>+'9. Weather Adj LF'!P33</f>
        <v>1098309.1910566292</v>
      </c>
      <c r="J28" s="102"/>
      <c r="K28" s="117">
        <f>I28/$I$34</f>
        <v>1.2681334192181072E-2</v>
      </c>
      <c r="L28" s="436">
        <f>K28*$L$34</f>
        <v>16029.910309052548</v>
      </c>
      <c r="M28" s="441">
        <f>I28-L28</f>
        <v>1082279.2807475766</v>
      </c>
      <c r="N28" s="456"/>
      <c r="O28" s="450">
        <f>+M28-N28</f>
        <v>1082279.2807475766</v>
      </c>
    </row>
    <row r="29" spans="2:15" x14ac:dyDescent="0.2">
      <c r="B29" s="114"/>
      <c r="C29" s="230"/>
      <c r="D29" s="129"/>
      <c r="E29" s="388"/>
      <c r="F29" s="388"/>
      <c r="G29" s="388"/>
      <c r="H29" s="388"/>
      <c r="I29" s="389"/>
      <c r="J29" s="102"/>
      <c r="K29" s="117"/>
      <c r="L29" s="435"/>
      <c r="M29" s="441"/>
      <c r="N29" s="456"/>
      <c r="O29" s="242"/>
    </row>
    <row r="30" spans="2:15" x14ac:dyDescent="0.2">
      <c r="B30" s="423">
        <f>'9. Weather Adj LF'!C36</f>
        <v>0</v>
      </c>
      <c r="C30" s="231"/>
      <c r="D30" s="129" t="s">
        <v>36</v>
      </c>
      <c r="E30" s="388">
        <f>+'9. Weather Adj LF'!L37</f>
        <v>0</v>
      </c>
      <c r="F30" s="388">
        <f>+'9. Weather Adj LF'!M37</f>
        <v>0</v>
      </c>
      <c r="G30" s="388">
        <f>+'9. Weather Adj LF'!N37</f>
        <v>0</v>
      </c>
      <c r="H30" s="388">
        <f>+'9. Weather Adj LF'!O37</f>
        <v>0</v>
      </c>
      <c r="I30" s="389">
        <f>+'9. Weather Adj LF'!P37</f>
        <v>0</v>
      </c>
      <c r="J30" s="102"/>
      <c r="K30" s="117">
        <f>I30/$I$35</f>
        <v>0</v>
      </c>
      <c r="L30" s="436">
        <f>K30*$L$34</f>
        <v>0</v>
      </c>
      <c r="M30" s="441">
        <f>I30-L30</f>
        <v>0</v>
      </c>
      <c r="N30" s="456"/>
      <c r="O30" s="450">
        <f>+M30-N30</f>
        <v>0</v>
      </c>
    </row>
    <row r="31" spans="2:15" x14ac:dyDescent="0.2">
      <c r="B31" s="118"/>
      <c r="C31" s="232"/>
      <c r="D31" s="207"/>
      <c r="E31" s="391"/>
      <c r="F31" s="391"/>
      <c r="G31" s="391"/>
      <c r="H31" s="391"/>
      <c r="I31" s="429"/>
      <c r="J31" s="102"/>
      <c r="K31" s="117"/>
      <c r="L31" s="435"/>
      <c r="M31" s="441"/>
      <c r="N31" s="456"/>
      <c r="O31" s="242"/>
    </row>
    <row r="32" spans="2:15" x14ac:dyDescent="0.2">
      <c r="B32" s="424">
        <f>+'9. Weather Adj LF'!C40</f>
        <v>0</v>
      </c>
      <c r="C32" s="232"/>
      <c r="D32" s="129" t="s">
        <v>36</v>
      </c>
      <c r="E32" s="391">
        <f>+'9. Weather Adj LF'!L41</f>
        <v>0</v>
      </c>
      <c r="F32" s="391">
        <f>+'9. Weather Adj LF'!M41</f>
        <v>0</v>
      </c>
      <c r="G32" s="391">
        <f>+'9. Weather Adj LF'!N41</f>
        <v>0</v>
      </c>
      <c r="H32" s="391">
        <f>+'9. Weather Adj LF'!O41</f>
        <v>0</v>
      </c>
      <c r="I32" s="429">
        <f>+'9. Weather Adj LF'!P41</f>
        <v>0</v>
      </c>
      <c r="J32" s="102"/>
      <c r="K32" s="117">
        <f>I32/$I$34</f>
        <v>0</v>
      </c>
      <c r="L32" s="436">
        <f>K32*$L$34</f>
        <v>0</v>
      </c>
      <c r="M32" s="441">
        <f>I32-L32</f>
        <v>0</v>
      </c>
      <c r="N32" s="456"/>
      <c r="O32" s="450">
        <f>+M32-N32</f>
        <v>0</v>
      </c>
    </row>
    <row r="33" spans="2:18" ht="13.5" thickBot="1" x14ac:dyDescent="0.25">
      <c r="B33" s="119"/>
      <c r="C33" s="233"/>
      <c r="D33" s="208"/>
      <c r="E33" s="294"/>
      <c r="F33" s="294"/>
      <c r="G33" s="294"/>
      <c r="H33" s="294"/>
      <c r="I33" s="434"/>
      <c r="J33" s="102"/>
      <c r="K33" s="120"/>
      <c r="L33" s="437"/>
      <c r="M33" s="442"/>
      <c r="N33" s="468"/>
      <c r="O33" s="194"/>
    </row>
    <row r="34" spans="2:18" ht="20.25" thickTop="1" thickBot="1" x14ac:dyDescent="0.25">
      <c r="B34" s="790" t="s">
        <v>16</v>
      </c>
      <c r="C34" s="791"/>
      <c r="D34" s="792"/>
      <c r="E34" s="793">
        <f>SUM(E20:E33)</f>
        <v>87411656</v>
      </c>
      <c r="F34" s="793">
        <f>SUM(F20:F33)</f>
        <v>86248298</v>
      </c>
      <c r="G34" s="793">
        <f>SUM(G20:G33)</f>
        <v>86807086</v>
      </c>
      <c r="H34" s="793">
        <f>SUM(H20:H33)</f>
        <v>87305146.535537943</v>
      </c>
      <c r="I34" s="794">
        <f>SUM(I20:I33)</f>
        <v>86608331.143407091</v>
      </c>
      <c r="J34" s="795"/>
      <c r="K34" s="796">
        <f>I34/$I$34</f>
        <v>1</v>
      </c>
      <c r="L34" s="789">
        <f>'10. CDM Adjustment V2'!H121</f>
        <v>1264055.5060000001</v>
      </c>
      <c r="M34" s="797">
        <f>I34-L34</f>
        <v>85344275.637407094</v>
      </c>
      <c r="N34" s="798">
        <f>SUM(N20:N33)</f>
        <v>0</v>
      </c>
      <c r="O34" s="799">
        <f>SUM(O20:O33)</f>
        <v>85344275.637407094</v>
      </c>
      <c r="Q34" s="457">
        <f>+M34-O34</f>
        <v>0</v>
      </c>
      <c r="R34" s="458" t="s">
        <v>232</v>
      </c>
    </row>
    <row r="35" spans="2:18" x14ac:dyDescent="0.2">
      <c r="B35" s="121"/>
      <c r="C35" s="121"/>
      <c r="D35" s="125"/>
      <c r="E35" s="122"/>
      <c r="F35" s="122"/>
      <c r="G35" s="122"/>
      <c r="H35" s="123"/>
      <c r="I35" s="974">
        <f>I20+I22+I24+I26+I30</f>
        <v>85510021.952350467</v>
      </c>
      <c r="J35" s="124"/>
      <c r="K35" s="124"/>
      <c r="L35" s="124"/>
      <c r="M35" s="124"/>
    </row>
    <row r="36" spans="2:18" ht="13.5" thickBot="1" x14ac:dyDescent="0.25">
      <c r="B36" s="102"/>
      <c r="C36" s="102"/>
      <c r="D36" s="209"/>
      <c r="E36" s="102"/>
      <c r="F36" s="102"/>
      <c r="G36" s="102"/>
      <c r="H36" s="102"/>
      <c r="I36" s="102"/>
      <c r="J36" s="102"/>
      <c r="K36" s="102"/>
      <c r="L36" s="102"/>
      <c r="M36" s="124"/>
    </row>
    <row r="37" spans="2:18" ht="26.25" thickBot="1" x14ac:dyDescent="0.25">
      <c r="B37" s="111"/>
      <c r="C37" s="228"/>
      <c r="D37" s="112" t="s">
        <v>33</v>
      </c>
      <c r="E37" s="210">
        <f>E19</f>
        <v>2013</v>
      </c>
      <c r="F37" s="210">
        <f>F19</f>
        <v>2014</v>
      </c>
      <c r="G37" s="210">
        <f>G19</f>
        <v>2015</v>
      </c>
      <c r="H37" s="210" t="str">
        <f>H19</f>
        <v>2016</v>
      </c>
      <c r="I37" s="425" t="str">
        <f>I19</f>
        <v>2017</v>
      </c>
      <c r="J37" s="102"/>
      <c r="K37" s="125"/>
      <c r="L37" s="125"/>
      <c r="M37" s="460" t="s">
        <v>229</v>
      </c>
      <c r="N37" s="445" t="s">
        <v>230</v>
      </c>
      <c r="O37" s="451" t="s">
        <v>231</v>
      </c>
    </row>
    <row r="38" spans="2:18" x14ac:dyDescent="0.2">
      <c r="B38" s="426" t="str">
        <f>+B20</f>
        <v>Residential</v>
      </c>
      <c r="C38" s="427"/>
      <c r="D38" s="428" t="s">
        <v>37</v>
      </c>
      <c r="E38" s="430">
        <f>+'9. Weather Adj LF'!L18</f>
        <v>0</v>
      </c>
      <c r="F38" s="430">
        <f>+'9. Weather Adj LF'!M18</f>
        <v>0</v>
      </c>
      <c r="G38" s="430">
        <f>+'9. Weather Adj LF'!N18</f>
        <v>0</v>
      </c>
      <c r="H38" s="430">
        <f>+'9. Weather Adj LF'!O18</f>
        <v>0</v>
      </c>
      <c r="I38" s="431">
        <f>+'9. Weather Adj LF'!P18</f>
        <v>0</v>
      </c>
      <c r="J38" s="102"/>
      <c r="K38" s="126"/>
      <c r="L38" s="127"/>
      <c r="M38" s="452">
        <f>IF(I38&gt;0,+M20/I20*I38,0)</f>
        <v>0</v>
      </c>
      <c r="N38" s="459">
        <f>IF(I38&gt;0,+N20/I20*I38,0)</f>
        <v>0</v>
      </c>
      <c r="O38" s="449">
        <f>+M38-N38</f>
        <v>0</v>
      </c>
    </row>
    <row r="39" spans="2:18" x14ac:dyDescent="0.2">
      <c r="B39" s="113" t="s">
        <v>30</v>
      </c>
      <c r="C39" s="229"/>
      <c r="D39" s="129"/>
      <c r="E39" s="432"/>
      <c r="F39" s="432"/>
      <c r="G39" s="432"/>
      <c r="H39" s="432"/>
      <c r="I39" s="433"/>
      <c r="J39" s="102"/>
      <c r="K39" s="126"/>
      <c r="L39" s="127"/>
      <c r="M39" s="453"/>
      <c r="N39" s="59"/>
      <c r="O39" s="242"/>
    </row>
    <row r="40" spans="2:18" x14ac:dyDescent="0.2">
      <c r="B40" s="422" t="str">
        <f>+B22</f>
        <v>General Service &lt; 50 kW</v>
      </c>
      <c r="C40" s="229"/>
      <c r="D40" s="130" t="s">
        <v>37</v>
      </c>
      <c r="E40" s="432">
        <f>+'9. Weather Adj LF'!L22</f>
        <v>0</v>
      </c>
      <c r="F40" s="432">
        <f>+'9. Weather Adj LF'!M22</f>
        <v>0</v>
      </c>
      <c r="G40" s="432">
        <f>+'9. Weather Adj LF'!N22</f>
        <v>0</v>
      </c>
      <c r="H40" s="432">
        <f>+'9. Weather Adj LF'!O22</f>
        <v>0</v>
      </c>
      <c r="I40" s="433">
        <f>+'9. Weather Adj LF'!P22</f>
        <v>0</v>
      </c>
      <c r="J40" s="102"/>
      <c r="K40" s="126"/>
      <c r="L40" s="127"/>
      <c r="M40" s="453">
        <f>IF(I40&gt;0,+M22/I22*I40,0)</f>
        <v>0</v>
      </c>
      <c r="N40" s="115">
        <f>IF(I40&gt;0,+N22/I22*I40,0)</f>
        <v>0</v>
      </c>
      <c r="O40" s="450">
        <f>+M40-N40</f>
        <v>0</v>
      </c>
    </row>
    <row r="41" spans="2:18" x14ac:dyDescent="0.2">
      <c r="B41" s="113" t="s">
        <v>30</v>
      </c>
      <c r="C41" s="229"/>
      <c r="D41" s="129"/>
      <c r="E41" s="432"/>
      <c r="F41" s="432"/>
      <c r="G41" s="432"/>
      <c r="H41" s="432"/>
      <c r="I41" s="433"/>
      <c r="J41" s="102"/>
      <c r="K41" s="126"/>
      <c r="L41" s="127"/>
      <c r="M41" s="453"/>
      <c r="N41" s="59"/>
      <c r="O41" s="242"/>
    </row>
    <row r="42" spans="2:18" x14ac:dyDescent="0.2">
      <c r="B42" s="422" t="str">
        <f>+B24</f>
        <v>Unmetered Scattered Load</v>
      </c>
      <c r="C42" s="229"/>
      <c r="D42" s="130" t="s">
        <v>37</v>
      </c>
      <c r="E42" s="386">
        <f>+'9. Weather Adj LF'!L26</f>
        <v>0</v>
      </c>
      <c r="F42" s="386">
        <f>+'9. Weather Adj LF'!M26</f>
        <v>0</v>
      </c>
      <c r="G42" s="386">
        <f>+'9. Weather Adj LF'!N26</f>
        <v>0</v>
      </c>
      <c r="H42" s="386">
        <f>+'9. Weather Adj LF'!O26</f>
        <v>0</v>
      </c>
      <c r="I42" s="387">
        <f>+'9. Weather Adj LF'!P26</f>
        <v>0</v>
      </c>
      <c r="J42" s="102"/>
      <c r="K42" s="126"/>
      <c r="L42" s="127"/>
      <c r="M42" s="453">
        <f>IF(I42&gt;0,+M24/I24*I42,0)</f>
        <v>0</v>
      </c>
      <c r="N42" s="115">
        <f>IF(I42&gt;0,+N24/I24*I42,0)</f>
        <v>0</v>
      </c>
      <c r="O42" s="450">
        <f>+M42-N42</f>
        <v>0</v>
      </c>
    </row>
    <row r="43" spans="2:18" x14ac:dyDescent="0.2">
      <c r="B43" s="113" t="s">
        <v>30</v>
      </c>
      <c r="C43" s="229"/>
      <c r="D43" s="129"/>
      <c r="E43" s="388"/>
      <c r="F43" s="388"/>
      <c r="G43" s="388"/>
      <c r="H43" s="388"/>
      <c r="I43" s="389"/>
      <c r="J43" s="102"/>
      <c r="K43" s="126"/>
      <c r="L43" s="127"/>
      <c r="M43" s="453"/>
      <c r="N43" s="59"/>
      <c r="O43" s="242"/>
    </row>
    <row r="44" spans="2:18" x14ac:dyDescent="0.2">
      <c r="B44" s="422" t="str">
        <f>+B26</f>
        <v>General Service &gt; 50 kW - 4999 kW</v>
      </c>
      <c r="C44" s="229"/>
      <c r="D44" s="130" t="s">
        <v>37</v>
      </c>
      <c r="E44" s="388">
        <f>+'9. Weather Adj LF'!L30</f>
        <v>115813</v>
      </c>
      <c r="F44" s="388">
        <f>+'9. Weather Adj LF'!M30</f>
        <v>114180</v>
      </c>
      <c r="G44" s="388">
        <f>+'9. Weather Adj LF'!N30</f>
        <v>113922</v>
      </c>
      <c r="H44" s="388">
        <f>+'9. Weather Adj LF'!O30</f>
        <v>120735.71751411934</v>
      </c>
      <c r="I44" s="389">
        <f>+'9. Weather Adj LF'!P30</f>
        <v>119772.08009201668</v>
      </c>
      <c r="J44" s="102"/>
      <c r="K44" s="126"/>
      <c r="L44" s="127"/>
      <c r="M44" s="453">
        <f>IF(I44&gt;0,+M26/I26*I44,0)</f>
        <v>118023.99702302532</v>
      </c>
      <c r="N44" s="115">
        <f>IF(I44&gt;0,+N26/I26*I44,0)</f>
        <v>0</v>
      </c>
      <c r="O44" s="450">
        <f>+M44-N44</f>
        <v>118023.99702302532</v>
      </c>
    </row>
    <row r="45" spans="2:18" x14ac:dyDescent="0.2">
      <c r="B45" s="113" t="s">
        <v>30</v>
      </c>
      <c r="C45" s="229"/>
      <c r="D45" s="129"/>
      <c r="E45" s="388"/>
      <c r="F45" s="388"/>
      <c r="G45" s="388"/>
      <c r="H45" s="388"/>
      <c r="I45" s="389"/>
      <c r="J45" s="102"/>
      <c r="K45" s="126"/>
      <c r="L45" s="127"/>
      <c r="M45" s="453"/>
      <c r="N45" s="59"/>
      <c r="O45" s="242"/>
    </row>
    <row r="46" spans="2:18" x14ac:dyDescent="0.2">
      <c r="B46" s="422" t="str">
        <f>+B28</f>
        <v>Streetlighting</v>
      </c>
      <c r="C46" s="229"/>
      <c r="D46" s="130" t="s">
        <v>37</v>
      </c>
      <c r="E46" s="388">
        <f>+'9. Weather Adj LF'!L34</f>
        <v>3104</v>
      </c>
      <c r="F46" s="388">
        <f>+'9. Weather Adj LF'!M34</f>
        <v>3110</v>
      </c>
      <c r="G46" s="388">
        <f>+'9. Weather Adj LF'!N34</f>
        <v>3117</v>
      </c>
      <c r="H46" s="388">
        <f>+'9. Weather Adj LF'!O34</f>
        <v>3076.4364861739227</v>
      </c>
      <c r="I46" s="389">
        <f>+'9. Weather Adj LF'!P34</f>
        <v>3051.8822831109183</v>
      </c>
      <c r="J46" s="102"/>
      <c r="K46" s="126"/>
      <c r="L46" s="127"/>
      <c r="M46" s="453">
        <f>IF(I46&gt;0,+M28/I28*I46,0)</f>
        <v>3007.3398175917232</v>
      </c>
      <c r="N46" s="115">
        <f>IF(I46&gt;0,+N28/I28*I46,0)</f>
        <v>0</v>
      </c>
      <c r="O46" s="450">
        <f>+M46-N46</f>
        <v>3007.3398175917232</v>
      </c>
    </row>
    <row r="47" spans="2:18" x14ac:dyDescent="0.2">
      <c r="B47" s="113" t="s">
        <v>30</v>
      </c>
      <c r="C47" s="229"/>
      <c r="D47" s="129"/>
      <c r="E47" s="388"/>
      <c r="F47" s="388"/>
      <c r="G47" s="388"/>
      <c r="H47" s="388"/>
      <c r="I47" s="389"/>
      <c r="J47" s="102"/>
      <c r="K47" s="126"/>
      <c r="L47" s="127"/>
      <c r="M47" s="453"/>
      <c r="N47" s="59"/>
      <c r="O47" s="242"/>
    </row>
    <row r="48" spans="2:18" x14ac:dyDescent="0.2">
      <c r="B48" s="422">
        <f>+B30</f>
        <v>0</v>
      </c>
      <c r="C48" s="229"/>
      <c r="D48" s="130" t="s">
        <v>37</v>
      </c>
      <c r="E48" s="388">
        <f>+'9. Weather Adj LF'!L38</f>
        <v>0</v>
      </c>
      <c r="F48" s="388">
        <f>+'9. Weather Adj LF'!M38</f>
        <v>0</v>
      </c>
      <c r="G48" s="388">
        <f>+'9. Weather Adj LF'!N38</f>
        <v>0</v>
      </c>
      <c r="H48" s="388">
        <f>+'9. Weather Adj LF'!O38</f>
        <v>0</v>
      </c>
      <c r="I48" s="389">
        <f>+'9. Weather Adj LF'!P38</f>
        <v>0</v>
      </c>
      <c r="J48" s="102"/>
      <c r="K48" s="126"/>
      <c r="L48" s="127"/>
      <c r="M48" s="453">
        <f>IF(I48&gt;0,+M30/I30*I48,0)</f>
        <v>0</v>
      </c>
      <c r="N48" s="115">
        <f>IF(I48&gt;0,+N30/I30*I48,0)</f>
        <v>0</v>
      </c>
      <c r="O48" s="450">
        <f>+M48-N48</f>
        <v>0</v>
      </c>
    </row>
    <row r="49" spans="2:15" x14ac:dyDescent="0.2">
      <c r="B49" s="422"/>
      <c r="C49" s="229"/>
      <c r="D49" s="130"/>
      <c r="E49" s="388"/>
      <c r="F49" s="388"/>
      <c r="G49" s="388"/>
      <c r="H49" s="388"/>
      <c r="I49" s="389"/>
      <c r="J49" s="102"/>
      <c r="K49" s="126"/>
      <c r="L49" s="127"/>
      <c r="M49" s="453"/>
      <c r="N49" s="59"/>
      <c r="O49" s="242"/>
    </row>
    <row r="50" spans="2:15" x14ac:dyDescent="0.2">
      <c r="B50" s="422">
        <f>+B32</f>
        <v>0</v>
      </c>
      <c r="C50" s="229"/>
      <c r="D50" s="130" t="s">
        <v>37</v>
      </c>
      <c r="E50" s="388">
        <f>+'9. Weather Adj LF'!L42</f>
        <v>0</v>
      </c>
      <c r="F50" s="388">
        <f>+'9. Weather Adj LF'!M42</f>
        <v>0</v>
      </c>
      <c r="G50" s="388">
        <f>+'9. Weather Adj LF'!N42</f>
        <v>0</v>
      </c>
      <c r="H50" s="388">
        <f>+'9. Weather Adj LF'!O42</f>
        <v>0</v>
      </c>
      <c r="I50" s="389">
        <f>+'9. Weather Adj LF'!P42</f>
        <v>0</v>
      </c>
      <c r="J50" s="102"/>
      <c r="K50" s="126"/>
      <c r="L50" s="127"/>
      <c r="M50" s="453">
        <f>IF(I50&gt;0,+M32/I32*I50,0)</f>
        <v>0</v>
      </c>
      <c r="N50" s="115">
        <f>IF(I50&gt;0,+N32/I32*I50,0)</f>
        <v>0</v>
      </c>
      <c r="O50" s="450">
        <f>+M50-N50</f>
        <v>0</v>
      </c>
    </row>
    <row r="51" spans="2:15" ht="13.5" thickBot="1" x14ac:dyDescent="0.25">
      <c r="B51" s="119" t="s">
        <v>30</v>
      </c>
      <c r="C51" s="233"/>
      <c r="D51" s="208"/>
      <c r="E51" s="294"/>
      <c r="F51" s="294"/>
      <c r="G51" s="294"/>
      <c r="H51" s="294"/>
      <c r="I51" s="434"/>
      <c r="J51" s="102"/>
      <c r="K51" s="126"/>
      <c r="L51" s="127"/>
      <c r="M51" s="454"/>
      <c r="N51" s="91"/>
      <c r="O51" s="194"/>
    </row>
    <row r="52" spans="2:15" ht="13.5" thickBot="1" x14ac:dyDescent="0.25">
      <c r="B52" s="463" t="s">
        <v>16</v>
      </c>
      <c r="C52" s="466"/>
      <c r="D52" s="467" t="s">
        <v>30</v>
      </c>
      <c r="E52" s="464">
        <f>SUM(E38:E51)</f>
        <v>118917</v>
      </c>
      <c r="F52" s="464">
        <f>SUM(F38:F51)</f>
        <v>117290</v>
      </c>
      <c r="G52" s="464">
        <f>SUM(G38:G51)</f>
        <v>117039</v>
      </c>
      <c r="H52" s="464">
        <f>SUM(H38:H51)</f>
        <v>123812.15400029326</v>
      </c>
      <c r="I52" s="465">
        <f>SUM(I38:I51)</f>
        <v>122823.96237512759</v>
      </c>
      <c r="J52" s="102"/>
      <c r="K52" s="126"/>
      <c r="L52" s="127"/>
      <c r="M52" s="469">
        <f>SUM(M38:M51)</f>
        <v>121031.33684061705</v>
      </c>
      <c r="N52" s="467">
        <f>SUM(N38:N51)</f>
        <v>0</v>
      </c>
      <c r="O52" s="470">
        <f>SUM(O38:O51)</f>
        <v>121031.33684061705</v>
      </c>
    </row>
    <row r="53" spans="2:15" x14ac:dyDescent="0.2">
      <c r="B53" s="105"/>
      <c r="C53" s="105"/>
      <c r="D53" s="105"/>
      <c r="E53" s="105"/>
      <c r="F53" s="105"/>
      <c r="G53" s="105"/>
      <c r="H53" s="105"/>
      <c r="I53" s="105"/>
      <c r="J53" s="105"/>
      <c r="K53" s="105"/>
      <c r="L53" s="105"/>
      <c r="M53" s="105"/>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election activeCell="A11" sqref="A11"/>
    </sheetView>
  </sheetViews>
  <sheetFormatPr defaultRowHeight="12.75" x14ac:dyDescent="0.2"/>
  <cols>
    <col min="1" max="1" width="13.6640625" customWidth="1"/>
    <col min="2" max="2" width="54.83203125" bestFit="1" customWidth="1"/>
    <col min="4" max="4" width="5.6640625" bestFit="1" customWidth="1"/>
    <col min="5" max="5" width="17.6640625" bestFit="1" customWidth="1"/>
    <col min="6" max="6" width="5.5" customWidth="1"/>
    <col min="7" max="8" width="17.33203125" customWidth="1"/>
    <col min="10" max="10" width="0" hidden="1" customWidth="1"/>
  </cols>
  <sheetData>
    <row r="1" spans="1:2" x14ac:dyDescent="0.2">
      <c r="A1" s="755" t="s">
        <v>269</v>
      </c>
    </row>
    <row r="11" spans="1:2" ht="23.25" x14ac:dyDescent="0.2">
      <c r="B11" s="133" t="s">
        <v>472</v>
      </c>
    </row>
    <row r="12" spans="1:2" ht="15" x14ac:dyDescent="0.2">
      <c r="B12" s="63" t="s">
        <v>64</v>
      </c>
    </row>
    <row r="13" spans="1:2" ht="14.25" x14ac:dyDescent="0.2">
      <c r="B13" s="100"/>
    </row>
    <row r="14" spans="1:2" ht="14.25" x14ac:dyDescent="0.2">
      <c r="B14" s="100"/>
    </row>
    <row r="15" spans="1:2" ht="14.25" x14ac:dyDescent="0.2">
      <c r="B15" s="100"/>
    </row>
    <row r="17" spans="2:8" x14ac:dyDescent="0.2">
      <c r="B17" s="128" t="s">
        <v>471</v>
      </c>
      <c r="C17" s="128"/>
      <c r="D17" s="102"/>
      <c r="E17" s="102"/>
      <c r="F17" s="102"/>
      <c r="G17" s="102"/>
      <c r="H17" s="102"/>
    </row>
    <row r="18" spans="2:8" ht="13.5" thickBot="1" x14ac:dyDescent="0.25">
      <c r="B18" s="102"/>
      <c r="C18" s="102"/>
      <c r="D18" s="102"/>
      <c r="E18" s="102"/>
      <c r="F18" s="102"/>
      <c r="G18" s="102"/>
      <c r="H18" s="102"/>
    </row>
    <row r="19" spans="2:8" ht="27.75" customHeight="1" thickBot="1" x14ac:dyDescent="0.25">
      <c r="B19" s="111" t="s">
        <v>36</v>
      </c>
      <c r="C19" s="228"/>
      <c r="D19" s="112" t="s">
        <v>33</v>
      </c>
      <c r="E19" s="212" t="str">
        <f>'1. LDC Info'!F27</f>
        <v>2017</v>
      </c>
      <c r="F19" s="102"/>
      <c r="G19" s="438" t="s">
        <v>60</v>
      </c>
      <c r="H19" s="439" t="s">
        <v>61</v>
      </c>
    </row>
    <row r="20" spans="2:8" x14ac:dyDescent="0.2">
      <c r="B20" s="426" t="str">
        <f>+'9. Weather Adj LF'!C16</f>
        <v>Residential</v>
      </c>
      <c r="C20" s="427"/>
      <c r="D20" s="428" t="s">
        <v>36</v>
      </c>
      <c r="E20" s="462">
        <f>+'9. Weather Adj LF'!P17</f>
        <v>29357541.574564926</v>
      </c>
      <c r="F20" s="102"/>
      <c r="G20" s="446">
        <f>E20/$E$34</f>
        <v>0.33896902511554416</v>
      </c>
      <c r="H20" s="447">
        <f>G20*$H$34</f>
        <v>471166.94491060637</v>
      </c>
    </row>
    <row r="21" spans="2:8" x14ac:dyDescent="0.2">
      <c r="B21" s="114"/>
      <c r="C21" s="230"/>
      <c r="D21" s="129"/>
      <c r="E21" s="389"/>
      <c r="F21" s="102"/>
      <c r="G21" s="116"/>
      <c r="H21" s="435"/>
    </row>
    <row r="22" spans="2:8" x14ac:dyDescent="0.2">
      <c r="B22" s="423" t="str">
        <f>+'9. Weather Adj LF'!C20</f>
        <v>General Service &lt; 50 kW</v>
      </c>
      <c r="C22" s="230"/>
      <c r="D22" s="129" t="s">
        <v>36</v>
      </c>
      <c r="E22" s="389">
        <f>+'9. Weather Adj LF'!P21</f>
        <v>11923319.171269683</v>
      </c>
      <c r="F22" s="102"/>
      <c r="G22" s="117">
        <f>E22/$E$34</f>
        <v>0.13766942526033565</v>
      </c>
      <c r="H22" s="436">
        <f>G22*$H$34</f>
        <v>191360.50111186656</v>
      </c>
    </row>
    <row r="23" spans="2:8" x14ac:dyDescent="0.2">
      <c r="B23" s="114"/>
      <c r="C23" s="230"/>
      <c r="D23" s="129"/>
      <c r="E23" s="389"/>
      <c r="F23" s="102"/>
      <c r="G23" s="117"/>
      <c r="H23" s="435"/>
    </row>
    <row r="24" spans="2:8" x14ac:dyDescent="0.2">
      <c r="B24" s="423" t="str">
        <f>+'9. Weather Adj LF'!C24</f>
        <v>Unmetered Scattered Load</v>
      </c>
      <c r="C24" s="230"/>
      <c r="D24" s="129" t="s">
        <v>36</v>
      </c>
      <c r="E24" s="389">
        <f>+'9. Weather Adj LF'!P25</f>
        <v>151855.87128682504</v>
      </c>
      <c r="F24" s="102"/>
      <c r="G24" s="117">
        <f>E24/$E$34</f>
        <v>1.7533633229276789E-3</v>
      </c>
      <c r="H24" s="436">
        <f>G24*$H$34</f>
        <v>2437.1750188694737</v>
      </c>
    </row>
    <row r="25" spans="2:8" x14ac:dyDescent="0.2">
      <c r="B25" s="114"/>
      <c r="C25" s="230"/>
      <c r="D25" s="129"/>
      <c r="E25" s="389"/>
      <c r="F25" s="102"/>
      <c r="G25" s="117"/>
      <c r="H25" s="436"/>
    </row>
    <row r="26" spans="2:8" x14ac:dyDescent="0.2">
      <c r="B26" s="423" t="str">
        <f>+'9. Weather Adj LF'!C28</f>
        <v>General Service &gt; 50 kW - 4999 kW</v>
      </c>
      <c r="C26" s="230"/>
      <c r="D26" s="129" t="s">
        <v>36</v>
      </c>
      <c r="E26" s="389">
        <f>+'9. Weather Adj LF'!P29</f>
        <v>44077305.335229032</v>
      </c>
      <c r="F26" s="102"/>
      <c r="G26" s="117">
        <f>E26/$E$34</f>
        <v>0.50892685210901145</v>
      </c>
      <c r="H26" s="436">
        <f>G26*$H$34</f>
        <v>707408.32443152589</v>
      </c>
    </row>
    <row r="27" spans="2:8" x14ac:dyDescent="0.2">
      <c r="B27" s="114"/>
      <c r="C27" s="230"/>
      <c r="D27" s="129"/>
      <c r="E27" s="389"/>
      <c r="F27" s="102"/>
      <c r="G27" s="117"/>
      <c r="H27" s="436"/>
    </row>
    <row r="28" spans="2:8" x14ac:dyDescent="0.2">
      <c r="B28" s="423" t="str">
        <f>+'9. Weather Adj LF'!C32</f>
        <v>Streetlighting</v>
      </c>
      <c r="C28" s="230"/>
      <c r="D28" s="129" t="s">
        <v>36</v>
      </c>
      <c r="E28" s="389">
        <f>+'9. Weather Adj LF'!P33</f>
        <v>1098309.1910566292</v>
      </c>
      <c r="F28" s="102"/>
      <c r="G28" s="117">
        <f>E28/$E$34</f>
        <v>1.2681334192181072E-2</v>
      </c>
      <c r="H28" s="436">
        <f>G28*$H$34</f>
        <v>17627.054527131691</v>
      </c>
    </row>
    <row r="29" spans="2:8" x14ac:dyDescent="0.2">
      <c r="B29" s="114"/>
      <c r="C29" s="230"/>
      <c r="D29" s="129"/>
      <c r="E29" s="389"/>
      <c r="F29" s="102"/>
      <c r="G29" s="117"/>
      <c r="H29" s="435"/>
    </row>
    <row r="30" spans="2:8" x14ac:dyDescent="0.2">
      <c r="B30" s="423">
        <f>'9. Weather Adj LF'!C36</f>
        <v>0</v>
      </c>
      <c r="C30" s="231"/>
      <c r="D30" s="129" t="s">
        <v>36</v>
      </c>
      <c r="E30" s="389">
        <f>+'9. Weather Adj LF'!P37</f>
        <v>0</v>
      </c>
      <c r="F30" s="102"/>
      <c r="G30" s="117">
        <f>E30/$E$35</f>
        <v>0</v>
      </c>
      <c r="H30" s="436">
        <f>G30*$H$34</f>
        <v>0</v>
      </c>
    </row>
    <row r="31" spans="2:8" x14ac:dyDescent="0.2">
      <c r="B31" s="118"/>
      <c r="C31" s="232"/>
      <c r="D31" s="207"/>
      <c r="E31" s="429"/>
      <c r="F31" s="102"/>
      <c r="G31" s="117"/>
      <c r="H31" s="435"/>
    </row>
    <row r="32" spans="2:8" x14ac:dyDescent="0.2">
      <c r="B32" s="424">
        <f>+'9. Weather Adj LF'!C40</f>
        <v>0</v>
      </c>
      <c r="C32" s="232"/>
      <c r="D32" s="129" t="s">
        <v>36</v>
      </c>
      <c r="E32" s="429">
        <f>+'9. Weather Adj LF'!P41</f>
        <v>0</v>
      </c>
      <c r="F32" s="102"/>
      <c r="G32" s="117">
        <f>E32/$E$34</f>
        <v>0</v>
      </c>
      <c r="H32" s="436">
        <f>G32*$H$34</f>
        <v>0</v>
      </c>
    </row>
    <row r="33" spans="2:10" ht="13.5" thickBot="1" x14ac:dyDescent="0.25">
      <c r="B33" s="119"/>
      <c r="C33" s="233"/>
      <c r="D33" s="208"/>
      <c r="E33" s="434"/>
      <c r="F33" s="102"/>
      <c r="G33" s="120"/>
      <c r="H33" s="437"/>
    </row>
    <row r="34" spans="2:10" ht="20.25" thickTop="1" thickBot="1" x14ac:dyDescent="0.25">
      <c r="B34" s="790" t="s">
        <v>16</v>
      </c>
      <c r="C34" s="791"/>
      <c r="D34" s="792"/>
      <c r="E34" s="794">
        <f>SUM(E20:E33)</f>
        <v>86608331.143407091</v>
      </c>
      <c r="F34" s="795"/>
      <c r="G34" s="796">
        <f>E34/$E$34</f>
        <v>1</v>
      </c>
      <c r="H34" s="789">
        <f>'10. CDM Adjustment V2'!H119</f>
        <v>1390000</v>
      </c>
      <c r="J34" s="457" t="e">
        <f>+#REF!-#REF!</f>
        <v>#REF!</v>
      </c>
    </row>
    <row r="35" spans="2:10" x14ac:dyDescent="0.2">
      <c r="B35" s="121"/>
      <c r="C35" s="121"/>
      <c r="D35" s="125"/>
      <c r="E35" s="974">
        <f>E20+E22+E24+E26+E30</f>
        <v>85510021.952350467</v>
      </c>
      <c r="F35" s="124"/>
      <c r="G35" s="124"/>
      <c r="H35" s="124"/>
    </row>
    <row r="36" spans="2:10" x14ac:dyDescent="0.2">
      <c r="B36" s="102"/>
      <c r="C36" s="102"/>
      <c r="D36" s="209"/>
      <c r="E36" s="102"/>
      <c r="F36" s="102"/>
      <c r="G36" s="102"/>
      <c r="H36" s="102"/>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O61"/>
  <sheetViews>
    <sheetView showGridLines="0" zoomScaleNormal="100" workbookViewId="0">
      <selection activeCell="A11" sqref="A11"/>
    </sheetView>
  </sheetViews>
  <sheetFormatPr defaultColWidth="10.5" defaultRowHeight="12.75" x14ac:dyDescent="0.2"/>
  <cols>
    <col min="1" max="1" width="13.6640625" style="1" customWidth="1"/>
    <col min="2" max="2" width="35.83203125" style="1" customWidth="1"/>
    <col min="3" max="14" width="17.1640625" style="1" customWidth="1"/>
    <col min="15" max="15" width="17.1640625" style="206" customWidth="1"/>
    <col min="16" max="17" width="10.5" style="1"/>
    <col min="18" max="19" width="1.83203125" style="1" bestFit="1" customWidth="1"/>
    <col min="20" max="16384" width="10.5" style="1"/>
  </cols>
  <sheetData>
    <row r="1" spans="1:15" s="534" customFormat="1" x14ac:dyDescent="0.2">
      <c r="A1" s="755" t="s">
        <v>269</v>
      </c>
      <c r="O1" s="206"/>
    </row>
    <row r="2" spans="1:15" s="534" customFormat="1" x14ac:dyDescent="0.2">
      <c r="O2" s="206"/>
    </row>
    <row r="3" spans="1:15" s="534" customFormat="1" x14ac:dyDescent="0.2">
      <c r="O3" s="206"/>
    </row>
    <row r="4" spans="1:15" s="534" customFormat="1" x14ac:dyDescent="0.2">
      <c r="O4" s="206"/>
    </row>
    <row r="5" spans="1:15" s="534" customFormat="1" x14ac:dyDescent="0.2">
      <c r="O5" s="206"/>
    </row>
    <row r="6" spans="1:15" s="534" customFormat="1" x14ac:dyDescent="0.2">
      <c r="O6" s="206"/>
    </row>
    <row r="7" spans="1:15" s="534" customFormat="1" x14ac:dyDescent="0.2">
      <c r="O7" s="206"/>
    </row>
    <row r="8" spans="1:15" s="534" customFormat="1" x14ac:dyDescent="0.2">
      <c r="O8" s="206"/>
    </row>
    <row r="9" spans="1:15" s="534" customFormat="1" x14ac:dyDescent="0.2">
      <c r="O9" s="206"/>
    </row>
    <row r="11" spans="1:15" ht="23.25" x14ac:dyDescent="0.2">
      <c r="B11" s="133" t="s">
        <v>233</v>
      </c>
      <c r="O11" s="315"/>
    </row>
    <row r="12" spans="1:15" ht="13.5" thickBot="1" x14ac:dyDescent="0.25">
      <c r="F12" s="780"/>
      <c r="G12" s="780"/>
      <c r="H12" s="780"/>
      <c r="I12" s="780"/>
      <c r="J12" s="780"/>
      <c r="K12" s="780"/>
      <c r="L12" s="780"/>
      <c r="M12" s="780"/>
      <c r="N12" s="780"/>
      <c r="O12" s="780"/>
    </row>
    <row r="13" spans="1:15" ht="13.5" thickBot="1" x14ac:dyDescent="0.25">
      <c r="B13" s="87"/>
      <c r="C13" s="305" t="s">
        <v>33</v>
      </c>
      <c r="D13" s="196">
        <f>'4. Customer Growth'!B17</f>
        <v>2006</v>
      </c>
      <c r="E13" s="196">
        <f>'4. Customer Growth'!B18</f>
        <v>2007</v>
      </c>
      <c r="F13" s="196">
        <f>'4. Customer Growth'!B19</f>
        <v>2008</v>
      </c>
      <c r="G13" s="196">
        <f>'4. Customer Growth'!B20</f>
        <v>2009</v>
      </c>
      <c r="H13" s="196">
        <f>'4. Customer Growth'!B21</f>
        <v>2010</v>
      </c>
      <c r="I13" s="196">
        <f>'4. Customer Growth'!B22</f>
        <v>2011</v>
      </c>
      <c r="J13" s="196">
        <f>'4. Customer Growth'!B23</f>
        <v>2012</v>
      </c>
      <c r="K13" s="196">
        <f>'4. Customer Growth'!B24</f>
        <v>2013</v>
      </c>
      <c r="L13" s="196">
        <f>'4. Customer Growth'!B25</f>
        <v>2014</v>
      </c>
      <c r="M13" s="196">
        <f>'4. Customer Growth'!B26</f>
        <v>2015</v>
      </c>
      <c r="N13" s="196" t="str">
        <f>'4. Customer Growth'!B30</f>
        <v>2016</v>
      </c>
      <c r="O13" s="195" t="str">
        <f>'4. Customer Growth'!B31</f>
        <v>2017</v>
      </c>
    </row>
    <row r="14" spans="1:15" x14ac:dyDescent="0.2">
      <c r="B14" s="419" t="str">
        <f>+'9. Weather Adj LF'!C16</f>
        <v>Residential</v>
      </c>
      <c r="C14" s="88" t="s">
        <v>130</v>
      </c>
      <c r="D14" s="386">
        <f>+'9. Weather Adj LF'!E16</f>
        <v>3537</v>
      </c>
      <c r="E14" s="386">
        <f>+'9. Weather Adj LF'!F16</f>
        <v>3551</v>
      </c>
      <c r="F14" s="386">
        <f>+'9. Weather Adj LF'!G16</f>
        <v>3581</v>
      </c>
      <c r="G14" s="386">
        <f>+'9. Weather Adj LF'!H16</f>
        <v>3608</v>
      </c>
      <c r="H14" s="386">
        <f>+'9. Weather Adj LF'!I16</f>
        <v>3654</v>
      </c>
      <c r="I14" s="386">
        <f>+'9. Weather Adj LF'!J16</f>
        <v>3687</v>
      </c>
      <c r="J14" s="386">
        <f>+'9. Weather Adj LF'!K16</f>
        <v>3707</v>
      </c>
      <c r="K14" s="386">
        <f>+'9. Weather Adj LF'!L16</f>
        <v>3730</v>
      </c>
      <c r="L14" s="386">
        <f>+'9. Weather Adj LF'!M16</f>
        <v>3760</v>
      </c>
      <c r="M14" s="386">
        <f>+'9. Weather Adj LF'!N16</f>
        <v>3779</v>
      </c>
      <c r="N14" s="386">
        <f>+'9. Weather Adj LF'!O16</f>
        <v>3806.8908831500453</v>
      </c>
      <c r="O14" s="387">
        <f>+'9. Weather Adj LF'!P16</f>
        <v>3834.9876147687037</v>
      </c>
    </row>
    <row r="15" spans="1:15" x14ac:dyDescent="0.2">
      <c r="B15" s="89"/>
      <c r="C15" s="59" t="s">
        <v>36</v>
      </c>
      <c r="D15" s="386">
        <f>+'9. Weather Adj LF'!E17</f>
        <v>30640106</v>
      </c>
      <c r="E15" s="386">
        <f>+'9. Weather Adj LF'!F17</f>
        <v>31007901</v>
      </c>
      <c r="F15" s="386">
        <f>+'9. Weather Adj LF'!G17</f>
        <v>31465398</v>
      </c>
      <c r="G15" s="386">
        <f>+'9. Weather Adj LF'!H17</f>
        <v>30635928</v>
      </c>
      <c r="H15" s="386">
        <f>+'9. Weather Adj LF'!I17</f>
        <v>30305144</v>
      </c>
      <c r="I15" s="386">
        <f>+'9. Weather Adj LF'!J17</f>
        <v>30085520</v>
      </c>
      <c r="J15" s="386">
        <f>+'9. Weather Adj LF'!K17</f>
        <v>29994156</v>
      </c>
      <c r="K15" s="386">
        <f>+'9. Weather Adj LF'!L17</f>
        <v>30486731</v>
      </c>
      <c r="L15" s="386">
        <f>+'9. Weather Adj LF'!M17</f>
        <v>30037011</v>
      </c>
      <c r="M15" s="386">
        <f>+'9. Weather Adj LF'!N17</f>
        <v>29589162</v>
      </c>
      <c r="N15" s="386">
        <f>+'9. Weather Adj LF'!O17</f>
        <v>29593740.40872103</v>
      </c>
      <c r="O15" s="387">
        <f>+'10.1 CDM Allocation'!O20</f>
        <v>28929065.912004169</v>
      </c>
    </row>
    <row r="16" spans="1:15" x14ac:dyDescent="0.2">
      <c r="B16" s="89"/>
      <c r="C16" s="59" t="s">
        <v>37</v>
      </c>
      <c r="D16" s="388">
        <f>+'9. Weather Adj LF'!E18</f>
        <v>0</v>
      </c>
      <c r="E16" s="388">
        <f>+'9. Weather Adj LF'!F18</f>
        <v>0</v>
      </c>
      <c r="F16" s="388">
        <f>+'9. Weather Adj LF'!G18</f>
        <v>0</v>
      </c>
      <c r="G16" s="388">
        <f>+'9. Weather Adj LF'!H18</f>
        <v>0</v>
      </c>
      <c r="H16" s="388">
        <f>+'9. Weather Adj LF'!I18</f>
        <v>0</v>
      </c>
      <c r="I16" s="388">
        <f>+'9. Weather Adj LF'!J18</f>
        <v>0</v>
      </c>
      <c r="J16" s="388">
        <f>+'9. Weather Adj LF'!K18</f>
        <v>0</v>
      </c>
      <c r="K16" s="388">
        <f>+'9. Weather Adj LF'!L18</f>
        <v>0</v>
      </c>
      <c r="L16" s="388">
        <f>+'9. Weather Adj LF'!M18</f>
        <v>0</v>
      </c>
      <c r="M16" s="388">
        <f>+'9. Weather Adj LF'!N18</f>
        <v>0</v>
      </c>
      <c r="N16" s="388">
        <f>+'9. Weather Adj LF'!O18</f>
        <v>0</v>
      </c>
      <c r="O16" s="389">
        <f>+'10.1 CDM Allocation'!O38</f>
        <v>0</v>
      </c>
    </row>
    <row r="17" spans="2:15" x14ac:dyDescent="0.2">
      <c r="B17" s="89"/>
      <c r="C17" s="59"/>
      <c r="D17" s="388"/>
      <c r="E17" s="388"/>
      <c r="F17" s="388"/>
      <c r="G17" s="388"/>
      <c r="H17" s="388"/>
      <c r="I17" s="388"/>
      <c r="J17" s="388"/>
      <c r="K17" s="388"/>
      <c r="L17" s="388"/>
      <c r="M17" s="388"/>
      <c r="N17" s="388"/>
      <c r="O17" s="389"/>
    </row>
    <row r="18" spans="2:15" x14ac:dyDescent="0.2">
      <c r="B18" s="420" t="str">
        <f>+'9. Weather Adj LF'!C20</f>
        <v>General Service &lt; 50 kW</v>
      </c>
      <c r="C18" s="88" t="s">
        <v>130</v>
      </c>
      <c r="D18" s="386">
        <f>+'9. Weather Adj LF'!E20</f>
        <v>512</v>
      </c>
      <c r="E18" s="386">
        <f>+'9. Weather Adj LF'!F20</f>
        <v>497</v>
      </c>
      <c r="F18" s="386">
        <f>+'9. Weather Adj LF'!G20</f>
        <v>494</v>
      </c>
      <c r="G18" s="386">
        <f>+'9. Weather Adj LF'!H20</f>
        <v>483</v>
      </c>
      <c r="H18" s="386">
        <f>+'9. Weather Adj LF'!I20</f>
        <v>442</v>
      </c>
      <c r="I18" s="386">
        <f>+'9. Weather Adj LF'!J20</f>
        <v>437</v>
      </c>
      <c r="J18" s="386">
        <f>+'9. Weather Adj LF'!K20</f>
        <v>435</v>
      </c>
      <c r="K18" s="386">
        <f>+'9. Weather Adj LF'!L20</f>
        <v>428</v>
      </c>
      <c r="L18" s="386">
        <f>+'9. Weather Adj LF'!M20</f>
        <v>428</v>
      </c>
      <c r="M18" s="386">
        <f>+'9. Weather Adj LF'!N20</f>
        <v>430</v>
      </c>
      <c r="N18" s="386">
        <f>+'9. Weather Adj LF'!O20</f>
        <v>421.7412356106833</v>
      </c>
      <c r="O18" s="387">
        <f>+'9. Weather Adj LF'!P20</f>
        <v>413.64109259168811</v>
      </c>
    </row>
    <row r="19" spans="2:15" x14ac:dyDescent="0.2">
      <c r="B19" s="89"/>
      <c r="C19" s="59" t="s">
        <v>36</v>
      </c>
      <c r="D19" s="386">
        <f>+'9. Weather Adj LF'!E21</f>
        <v>13424049</v>
      </c>
      <c r="E19" s="386">
        <f>+'9. Weather Adj LF'!F21</f>
        <v>13776453</v>
      </c>
      <c r="F19" s="386">
        <f>+'9. Weather Adj LF'!G21</f>
        <v>13927235</v>
      </c>
      <c r="G19" s="386">
        <f>+'9. Weather Adj LF'!H21</f>
        <v>12859915</v>
      </c>
      <c r="H19" s="386">
        <f>+'9. Weather Adj LF'!I21</f>
        <v>12427065</v>
      </c>
      <c r="I19" s="386">
        <f>+'9. Weather Adj LF'!J21</f>
        <v>11962164</v>
      </c>
      <c r="J19" s="386">
        <f>+'9. Weather Adj LF'!K21</f>
        <v>11672310</v>
      </c>
      <c r="K19" s="386">
        <f>+'9. Weather Adj LF'!L21</f>
        <v>11531242</v>
      </c>
      <c r="L19" s="386">
        <f>+'9. Weather Adj LF'!M21</f>
        <v>11294125</v>
      </c>
      <c r="M19" s="386">
        <f>+'9. Weather Adj LF'!N21</f>
        <v>10843312</v>
      </c>
      <c r="N19" s="386">
        <f>+'9. Weather Adj LF'!O21</f>
        <v>12019249.345816894</v>
      </c>
      <c r="O19" s="387">
        <f>+'10.1 CDM Allocation'!O22</f>
        <v>11749297.376261501</v>
      </c>
    </row>
    <row r="20" spans="2:15" x14ac:dyDescent="0.2">
      <c r="B20" s="89"/>
      <c r="C20" s="59" t="s">
        <v>37</v>
      </c>
      <c r="D20" s="388">
        <f>+'9. Weather Adj LF'!E22</f>
        <v>0</v>
      </c>
      <c r="E20" s="388">
        <f>+'9. Weather Adj LF'!F22</f>
        <v>0</v>
      </c>
      <c r="F20" s="388">
        <f>+'9. Weather Adj LF'!G22</f>
        <v>0</v>
      </c>
      <c r="G20" s="388">
        <f>+'9. Weather Adj LF'!H22</f>
        <v>0</v>
      </c>
      <c r="H20" s="388">
        <f>+'9. Weather Adj LF'!I22</f>
        <v>0</v>
      </c>
      <c r="I20" s="388">
        <f>+'9. Weather Adj LF'!J22</f>
        <v>0</v>
      </c>
      <c r="J20" s="388">
        <f>+'9. Weather Adj LF'!K22</f>
        <v>0</v>
      </c>
      <c r="K20" s="388">
        <f>+'9. Weather Adj LF'!L22</f>
        <v>0</v>
      </c>
      <c r="L20" s="388">
        <f>+'9. Weather Adj LF'!M22</f>
        <v>0</v>
      </c>
      <c r="M20" s="388">
        <f>+'9. Weather Adj LF'!N22</f>
        <v>0</v>
      </c>
      <c r="N20" s="388">
        <f>+'9. Weather Adj LF'!O22</f>
        <v>0</v>
      </c>
      <c r="O20" s="389">
        <f>+'10.1 CDM Allocation'!O40</f>
        <v>0</v>
      </c>
    </row>
    <row r="21" spans="2:15" x14ac:dyDescent="0.2">
      <c r="B21" s="89"/>
      <c r="C21" s="59"/>
      <c r="D21" s="388"/>
      <c r="E21" s="388"/>
      <c r="F21" s="388"/>
      <c r="G21" s="388"/>
      <c r="H21" s="388"/>
      <c r="I21" s="388"/>
      <c r="J21" s="388"/>
      <c r="K21" s="388"/>
      <c r="L21" s="388"/>
      <c r="M21" s="388"/>
      <c r="N21" s="388"/>
      <c r="O21" s="389"/>
    </row>
    <row r="22" spans="2:15" x14ac:dyDescent="0.2">
      <c r="B22" s="420" t="str">
        <f>+'9. Weather Adj LF'!C24</f>
        <v>Unmetered Scattered Load</v>
      </c>
      <c r="C22" s="88" t="s">
        <v>130</v>
      </c>
      <c r="D22" s="386">
        <f>+'9. Weather Adj LF'!E24</f>
        <v>28</v>
      </c>
      <c r="E22" s="386">
        <f>+'9. Weather Adj LF'!F24</f>
        <v>29</v>
      </c>
      <c r="F22" s="386">
        <f>+'9. Weather Adj LF'!G24</f>
        <v>30</v>
      </c>
      <c r="G22" s="386">
        <f>+'9. Weather Adj LF'!H24</f>
        <v>30</v>
      </c>
      <c r="H22" s="386">
        <f>+'9. Weather Adj LF'!I24</f>
        <v>34</v>
      </c>
      <c r="I22" s="386">
        <f>+'9. Weather Adj LF'!J24</f>
        <v>34</v>
      </c>
      <c r="J22" s="386">
        <f>+'9. Weather Adj LF'!K24</f>
        <v>34</v>
      </c>
      <c r="K22" s="386">
        <f>+'9. Weather Adj LF'!L24</f>
        <v>33</v>
      </c>
      <c r="L22" s="386">
        <f>+'9. Weather Adj LF'!M24</f>
        <v>33</v>
      </c>
      <c r="M22" s="386">
        <f>+'9. Weather Adj LF'!N24</f>
        <v>33</v>
      </c>
      <c r="N22" s="386">
        <f>+'9. Weather Adj LF'!O24</f>
        <v>33.607977220079128</v>
      </c>
      <c r="O22" s="387">
        <f>+'9. Weather Adj LF'!P24</f>
        <v>34.227155540162357</v>
      </c>
    </row>
    <row r="23" spans="2:15" x14ac:dyDescent="0.2">
      <c r="B23" s="89"/>
      <c r="C23" s="59" t="s">
        <v>36</v>
      </c>
      <c r="D23" s="386">
        <f>+'9. Weather Adj LF'!E25</f>
        <v>160045</v>
      </c>
      <c r="E23" s="386">
        <f>+'9. Weather Adj LF'!F25</f>
        <v>142221</v>
      </c>
      <c r="F23" s="386">
        <f>+'9. Weather Adj LF'!G25</f>
        <v>140870</v>
      </c>
      <c r="G23" s="386">
        <f>+'9. Weather Adj LF'!H25</f>
        <v>140485</v>
      </c>
      <c r="H23" s="386">
        <f>+'9. Weather Adj LF'!I25</f>
        <v>150176</v>
      </c>
      <c r="I23" s="386">
        <f>+'9. Weather Adj LF'!J25</f>
        <v>158921</v>
      </c>
      <c r="J23" s="386">
        <f>+'9. Weather Adj LF'!K25</f>
        <v>158811</v>
      </c>
      <c r="K23" s="386">
        <f>+'9. Weather Adj LF'!L25</f>
        <v>155619</v>
      </c>
      <c r="L23" s="386">
        <f>+'9. Weather Adj LF'!M25</f>
        <v>155019</v>
      </c>
      <c r="M23" s="386">
        <f>+'9. Weather Adj LF'!N25</f>
        <v>155364</v>
      </c>
      <c r="N23" s="386">
        <f>+'9. Weather Adj LF'!O25</f>
        <v>153077.64183823875</v>
      </c>
      <c r="O23" s="387">
        <f>+'10.1 CDM Allocation'!O24</f>
        <v>149639.52272445985</v>
      </c>
    </row>
    <row r="24" spans="2:15" x14ac:dyDescent="0.2">
      <c r="B24" s="89"/>
      <c r="C24" s="59" t="s">
        <v>37</v>
      </c>
      <c r="D24" s="388">
        <f>+'9. Weather Adj LF'!E26</f>
        <v>0</v>
      </c>
      <c r="E24" s="388">
        <f>+'9. Weather Adj LF'!F26</f>
        <v>0</v>
      </c>
      <c r="F24" s="388">
        <f>+'9. Weather Adj LF'!G26</f>
        <v>0</v>
      </c>
      <c r="G24" s="388">
        <f>+'9. Weather Adj LF'!H26</f>
        <v>0</v>
      </c>
      <c r="H24" s="388">
        <f>+'9. Weather Adj LF'!I26</f>
        <v>0</v>
      </c>
      <c r="I24" s="388">
        <f>+'9. Weather Adj LF'!J26</f>
        <v>0</v>
      </c>
      <c r="J24" s="388">
        <f>+'9. Weather Adj LF'!K26</f>
        <v>0</v>
      </c>
      <c r="K24" s="388">
        <f>+'9. Weather Adj LF'!L26</f>
        <v>0</v>
      </c>
      <c r="L24" s="388">
        <f>+'9. Weather Adj LF'!M26</f>
        <v>0</v>
      </c>
      <c r="M24" s="388">
        <f>+'9. Weather Adj LF'!N26</f>
        <v>0</v>
      </c>
      <c r="N24" s="388">
        <f>+'9. Weather Adj LF'!O26</f>
        <v>0</v>
      </c>
      <c r="O24" s="389">
        <f>+'10.1 CDM Allocation'!O42</f>
        <v>0</v>
      </c>
    </row>
    <row r="25" spans="2:15" x14ac:dyDescent="0.2">
      <c r="B25" s="89"/>
      <c r="C25" s="59"/>
      <c r="D25" s="388"/>
      <c r="E25" s="388"/>
      <c r="F25" s="388"/>
      <c r="G25" s="388"/>
      <c r="H25" s="388"/>
      <c r="I25" s="388"/>
      <c r="J25" s="388"/>
      <c r="K25" s="388"/>
      <c r="L25" s="388"/>
      <c r="M25" s="388"/>
      <c r="N25" s="388"/>
      <c r="O25" s="389"/>
    </row>
    <row r="26" spans="2:15" x14ac:dyDescent="0.2">
      <c r="B26" s="420" t="str">
        <f>+'9. Weather Adj LF'!C28</f>
        <v>General Service &gt; 50 kW - 4999 kW</v>
      </c>
      <c r="C26" s="88" t="s">
        <v>130</v>
      </c>
      <c r="D26" s="386">
        <f>+'9. Weather Adj LF'!E28</f>
        <v>62</v>
      </c>
      <c r="E26" s="386">
        <f>+'9. Weather Adj LF'!F28</f>
        <v>65</v>
      </c>
      <c r="F26" s="386">
        <f>+'9. Weather Adj LF'!G28</f>
        <v>67</v>
      </c>
      <c r="G26" s="386">
        <f>+'9. Weather Adj LF'!H28</f>
        <v>66</v>
      </c>
      <c r="H26" s="386">
        <f>+'9. Weather Adj LF'!I28</f>
        <v>59</v>
      </c>
      <c r="I26" s="386">
        <f>+'9. Weather Adj LF'!J28</f>
        <v>59</v>
      </c>
      <c r="J26" s="386">
        <f>+'9. Weather Adj LF'!K28</f>
        <v>59</v>
      </c>
      <c r="K26" s="386">
        <f>+'9. Weather Adj LF'!L28</f>
        <v>62</v>
      </c>
      <c r="L26" s="386">
        <f>+'9. Weather Adj LF'!M28</f>
        <v>62</v>
      </c>
      <c r="M26" s="386">
        <f>+'9. Weather Adj LF'!N28</f>
        <v>61</v>
      </c>
      <c r="N26" s="386">
        <f>+'9. Weather Adj LF'!O28</f>
        <v>60.889889302782052</v>
      </c>
      <c r="O26" s="387">
        <f>+'9. Weather Adj LF'!P28</f>
        <v>60.779977365656592</v>
      </c>
    </row>
    <row r="27" spans="2:15" x14ac:dyDescent="0.2">
      <c r="B27" s="89"/>
      <c r="C27" s="59" t="s">
        <v>36</v>
      </c>
      <c r="D27" s="386">
        <f>+'9. Weather Adj LF'!E29</f>
        <v>51984380</v>
      </c>
      <c r="E27" s="386">
        <f>+'9. Weather Adj LF'!F29</f>
        <v>53203197</v>
      </c>
      <c r="F27" s="386">
        <f>+'9. Weather Adj LF'!G29</f>
        <v>55283988</v>
      </c>
      <c r="G27" s="386">
        <f>+'9. Weather Adj LF'!H29</f>
        <v>52230300</v>
      </c>
      <c r="H27" s="386">
        <f>+'9. Weather Adj LF'!I29</f>
        <v>51703213</v>
      </c>
      <c r="I27" s="386">
        <f>+'9. Weather Adj LF'!J29</f>
        <v>46521147</v>
      </c>
      <c r="J27" s="386">
        <f>+'9. Weather Adj LF'!K29</f>
        <v>44095781</v>
      </c>
      <c r="K27" s="386">
        <f>+'9. Weather Adj LF'!L29</f>
        <v>44119354</v>
      </c>
      <c r="L27" s="386">
        <f>+'9. Weather Adj LF'!M29</f>
        <v>43640624</v>
      </c>
      <c r="M27" s="386">
        <f>+'9. Weather Adj LF'!N29</f>
        <v>45095566</v>
      </c>
      <c r="N27" s="386">
        <f>+'9. Weather Adj LF'!O29</f>
        <v>44431933.399247296</v>
      </c>
      <c r="O27" s="387">
        <f>+'10.1 CDM Allocation'!O26</f>
        <v>43433993.545669392</v>
      </c>
    </row>
    <row r="28" spans="2:15" x14ac:dyDescent="0.2">
      <c r="B28" s="89"/>
      <c r="C28" s="59" t="s">
        <v>37</v>
      </c>
      <c r="D28" s="388">
        <f>+'9. Weather Adj LF'!E30</f>
        <v>153660</v>
      </c>
      <c r="E28" s="388">
        <f>+'9. Weather Adj LF'!F30</f>
        <v>146521</v>
      </c>
      <c r="F28" s="388">
        <f>+'9. Weather Adj LF'!G30</f>
        <v>148947</v>
      </c>
      <c r="G28" s="388">
        <f>+'9. Weather Adj LF'!H30</f>
        <v>141729</v>
      </c>
      <c r="H28" s="388">
        <f>+'9. Weather Adj LF'!I30</f>
        <v>141797</v>
      </c>
      <c r="I28" s="388">
        <f>+'9. Weather Adj LF'!J30</f>
        <v>130980</v>
      </c>
      <c r="J28" s="388">
        <f>+'9. Weather Adj LF'!K30</f>
        <v>120379</v>
      </c>
      <c r="K28" s="388">
        <f>+'9. Weather Adj LF'!L30</f>
        <v>115813</v>
      </c>
      <c r="L28" s="388">
        <f>+'9. Weather Adj LF'!M30</f>
        <v>114180</v>
      </c>
      <c r="M28" s="388">
        <f>+'9. Weather Adj LF'!N30</f>
        <v>113922</v>
      </c>
      <c r="N28" s="388">
        <f>+'9. Weather Adj LF'!O30</f>
        <v>120735.71751411934</v>
      </c>
      <c r="O28" s="389">
        <f>+'10.1 CDM Allocation'!O44</f>
        <v>118023.99702302532</v>
      </c>
    </row>
    <row r="29" spans="2:15" x14ac:dyDescent="0.2">
      <c r="B29" s="89"/>
      <c r="C29" s="59"/>
      <c r="D29" s="388"/>
      <c r="E29" s="388"/>
      <c r="F29" s="388"/>
      <c r="G29" s="388"/>
      <c r="H29" s="388"/>
      <c r="I29" s="388"/>
      <c r="J29" s="388"/>
      <c r="K29" s="388"/>
      <c r="L29" s="388"/>
      <c r="M29" s="388"/>
      <c r="N29" s="388"/>
      <c r="O29" s="389"/>
    </row>
    <row r="30" spans="2:15" x14ac:dyDescent="0.2">
      <c r="B30" s="420" t="str">
        <f>+'9. Weather Adj LF'!C32</f>
        <v>Streetlighting</v>
      </c>
      <c r="C30" s="88" t="s">
        <v>130</v>
      </c>
      <c r="D30" s="386">
        <f>+'9. Weather Adj LF'!E32</f>
        <v>1149</v>
      </c>
      <c r="E30" s="386">
        <f>+'9. Weather Adj LF'!F32</f>
        <v>1151</v>
      </c>
      <c r="F30" s="386">
        <f>+'9. Weather Adj LF'!G32</f>
        <v>1158</v>
      </c>
      <c r="G30" s="386">
        <f>+'9. Weather Adj LF'!H32</f>
        <v>1167</v>
      </c>
      <c r="H30" s="386">
        <f>+'9. Weather Adj LF'!I32</f>
        <v>1174</v>
      </c>
      <c r="I30" s="386">
        <f>+'9. Weather Adj LF'!J32</f>
        <v>1176</v>
      </c>
      <c r="J30" s="386">
        <f>+'9. Weather Adj LF'!K32</f>
        <v>1176</v>
      </c>
      <c r="K30" s="386">
        <f>+'9. Weather Adj LF'!L32</f>
        <v>1190</v>
      </c>
      <c r="L30" s="386">
        <f>+'9. Weather Adj LF'!M32</f>
        <v>1190</v>
      </c>
      <c r="M30" s="386">
        <f>+'9. Weather Adj LF'!N32</f>
        <v>1190</v>
      </c>
      <c r="N30" s="386">
        <f>+'9. Weather Adj LF'!O32</f>
        <v>1194.6449258381904</v>
      </c>
      <c r="O30" s="387">
        <f>+'9. Weather Adj LF'!P32</f>
        <v>1199.30798221087</v>
      </c>
    </row>
    <row r="31" spans="2:15" x14ac:dyDescent="0.2">
      <c r="B31" s="89"/>
      <c r="C31" s="59" t="s">
        <v>36</v>
      </c>
      <c r="D31" s="386">
        <f>+'9. Weather Adj LF'!E33</f>
        <v>1095963</v>
      </c>
      <c r="E31" s="386">
        <f>+'9. Weather Adj LF'!F33</f>
        <v>1105833</v>
      </c>
      <c r="F31" s="386">
        <f>+'9. Weather Adj LF'!G33</f>
        <v>1107983</v>
      </c>
      <c r="G31" s="386">
        <f>+'9. Weather Adj LF'!H33</f>
        <v>1114732</v>
      </c>
      <c r="H31" s="386">
        <f>+'9. Weather Adj LF'!I33</f>
        <v>1116726</v>
      </c>
      <c r="I31" s="386">
        <f>+'9. Weather Adj LF'!J33</f>
        <v>1118574</v>
      </c>
      <c r="J31" s="386">
        <f>+'9. Weather Adj LF'!K33</f>
        <v>1121260</v>
      </c>
      <c r="K31" s="386">
        <f>+'9. Weather Adj LF'!L33</f>
        <v>1118710</v>
      </c>
      <c r="L31" s="386">
        <f>+'9. Weather Adj LF'!M33</f>
        <v>1121519</v>
      </c>
      <c r="M31" s="386">
        <f>+'9. Weather Adj LF'!N33</f>
        <v>1123682</v>
      </c>
      <c r="N31" s="386">
        <f>+'9. Weather Adj LF'!O33</f>
        <v>1107145.7399144964</v>
      </c>
      <c r="O31" s="387">
        <f>+'10.1 CDM Allocation'!O28</f>
        <v>1082279.2807475766</v>
      </c>
    </row>
    <row r="32" spans="2:15" x14ac:dyDescent="0.2">
      <c r="B32" s="89"/>
      <c r="C32" s="59" t="s">
        <v>37</v>
      </c>
      <c r="D32" s="388">
        <f>+'9. Weather Adj LF'!E34</f>
        <v>3053</v>
      </c>
      <c r="E32" s="388">
        <f>+'9. Weather Adj LF'!F34</f>
        <v>3095</v>
      </c>
      <c r="F32" s="388">
        <f>+'9. Weather Adj LF'!G34</f>
        <v>3100</v>
      </c>
      <c r="G32" s="388">
        <f>+'9. Weather Adj LF'!H34</f>
        <v>3092</v>
      </c>
      <c r="H32" s="388">
        <f>+'9. Weather Adj LF'!I34</f>
        <v>3098</v>
      </c>
      <c r="I32" s="388">
        <f>+'9. Weather Adj LF'!J34</f>
        <v>3099</v>
      </c>
      <c r="J32" s="388">
        <f>+'9. Weather Adj LF'!K34</f>
        <v>3100</v>
      </c>
      <c r="K32" s="388">
        <f>+'9. Weather Adj LF'!L34</f>
        <v>3104</v>
      </c>
      <c r="L32" s="388">
        <f>+'9. Weather Adj LF'!M34</f>
        <v>3110</v>
      </c>
      <c r="M32" s="388">
        <f>+'9. Weather Adj LF'!N34</f>
        <v>3117</v>
      </c>
      <c r="N32" s="388">
        <f>+'9. Weather Adj LF'!O34</f>
        <v>3076.4364861739227</v>
      </c>
      <c r="O32" s="389">
        <f>+'10.1 CDM Allocation'!O46</f>
        <v>3007.3398175917232</v>
      </c>
    </row>
    <row r="33" spans="2:15" x14ac:dyDescent="0.2">
      <c r="B33" s="89"/>
      <c r="C33" s="59"/>
      <c r="D33" s="388"/>
      <c r="E33" s="388"/>
      <c r="F33" s="388"/>
      <c r="G33" s="388"/>
      <c r="H33" s="388"/>
      <c r="I33" s="388"/>
      <c r="J33" s="388"/>
      <c r="K33" s="388"/>
      <c r="L33" s="388"/>
      <c r="M33" s="388"/>
      <c r="N33" s="388"/>
      <c r="O33" s="389"/>
    </row>
    <row r="34" spans="2:15" x14ac:dyDescent="0.2">
      <c r="B34" s="420">
        <f>+'9. Weather Adj LF'!C36</f>
        <v>0</v>
      </c>
      <c r="C34" s="88" t="s">
        <v>130</v>
      </c>
      <c r="D34" s="388">
        <f>+'9. Weather Adj LF'!E36</f>
        <v>0</v>
      </c>
      <c r="E34" s="388">
        <f>+'9. Weather Adj LF'!F36</f>
        <v>0</v>
      </c>
      <c r="F34" s="388">
        <f>+'9. Weather Adj LF'!G36</f>
        <v>0</v>
      </c>
      <c r="G34" s="388">
        <f>+'9. Weather Adj LF'!H36</f>
        <v>0</v>
      </c>
      <c r="H34" s="388">
        <f>+'9. Weather Adj LF'!I36</f>
        <v>0</v>
      </c>
      <c r="I34" s="388">
        <f>+'9. Weather Adj LF'!J36</f>
        <v>0</v>
      </c>
      <c r="J34" s="388">
        <f>+'9. Weather Adj LF'!K36</f>
        <v>0</v>
      </c>
      <c r="K34" s="388">
        <f>+'9. Weather Adj LF'!L36</f>
        <v>0</v>
      </c>
      <c r="L34" s="388">
        <f>+'9. Weather Adj LF'!M36</f>
        <v>0</v>
      </c>
      <c r="M34" s="388">
        <f>+'9. Weather Adj LF'!N36</f>
        <v>0</v>
      </c>
      <c r="N34" s="388">
        <f>+'9. Weather Adj LF'!O36</f>
        <v>0</v>
      </c>
      <c r="O34" s="389">
        <f>+'9. Weather Adj LF'!P36</f>
        <v>0</v>
      </c>
    </row>
    <row r="35" spans="2:15" x14ac:dyDescent="0.2">
      <c r="B35" s="197"/>
      <c r="C35" s="59" t="s">
        <v>36</v>
      </c>
      <c r="D35" s="386">
        <f>+'9. Weather Adj LF'!E37</f>
        <v>0</v>
      </c>
      <c r="E35" s="386">
        <f>+'9. Weather Adj LF'!F37</f>
        <v>0</v>
      </c>
      <c r="F35" s="386">
        <f>+'9. Weather Adj LF'!G37</f>
        <v>0</v>
      </c>
      <c r="G35" s="386">
        <f>+'9. Weather Adj LF'!H37</f>
        <v>0</v>
      </c>
      <c r="H35" s="386">
        <f>+'9. Weather Adj LF'!I37</f>
        <v>0</v>
      </c>
      <c r="I35" s="386">
        <f>+'9. Weather Adj LF'!J37</f>
        <v>0</v>
      </c>
      <c r="J35" s="386">
        <f>+'9. Weather Adj LF'!K37</f>
        <v>0</v>
      </c>
      <c r="K35" s="386">
        <f>+'9. Weather Adj LF'!L37</f>
        <v>0</v>
      </c>
      <c r="L35" s="386">
        <f>+'9. Weather Adj LF'!M37</f>
        <v>0</v>
      </c>
      <c r="M35" s="386">
        <f>+'9. Weather Adj LF'!N37</f>
        <v>0</v>
      </c>
      <c r="N35" s="386">
        <f>+'9. Weather Adj LF'!O37</f>
        <v>0</v>
      </c>
      <c r="O35" s="387">
        <f>+'10.1 CDM Allocation'!O30</f>
        <v>0</v>
      </c>
    </row>
    <row r="36" spans="2:15" x14ac:dyDescent="0.2">
      <c r="B36" s="197"/>
      <c r="C36" s="59" t="s">
        <v>37</v>
      </c>
      <c r="D36" s="390">
        <f>+'9. Weather Adj LF'!E38</f>
        <v>0</v>
      </c>
      <c r="E36" s="390">
        <f>+'9. Weather Adj LF'!F38</f>
        <v>0</v>
      </c>
      <c r="F36" s="390">
        <f>+'9. Weather Adj LF'!G38</f>
        <v>0</v>
      </c>
      <c r="G36" s="390">
        <f>+'9. Weather Adj LF'!H38</f>
        <v>0</v>
      </c>
      <c r="H36" s="390">
        <f>+'9. Weather Adj LF'!I38</f>
        <v>0</v>
      </c>
      <c r="I36" s="390">
        <f>+'9. Weather Adj LF'!J38</f>
        <v>0</v>
      </c>
      <c r="J36" s="390">
        <f>+'9. Weather Adj LF'!K38</f>
        <v>0</v>
      </c>
      <c r="K36" s="390">
        <f>+'9. Weather Adj LF'!L38</f>
        <v>0</v>
      </c>
      <c r="L36" s="390">
        <f>+'9. Weather Adj LF'!M38</f>
        <v>0</v>
      </c>
      <c r="M36" s="390">
        <f>+'9. Weather Adj LF'!N38</f>
        <v>0</v>
      </c>
      <c r="N36" s="390">
        <f>+'9. Weather Adj LF'!O38</f>
        <v>0</v>
      </c>
      <c r="O36" s="487">
        <f>+'10.1 CDM Allocation'!O48</f>
        <v>0</v>
      </c>
    </row>
    <row r="37" spans="2:15" x14ac:dyDescent="0.2">
      <c r="B37" s="197"/>
      <c r="C37" s="59"/>
      <c r="D37" s="391"/>
      <c r="E37" s="391"/>
      <c r="F37" s="391"/>
      <c r="G37" s="391"/>
      <c r="H37" s="391"/>
      <c r="I37" s="391"/>
      <c r="J37" s="391"/>
      <c r="K37" s="391"/>
      <c r="L37" s="391"/>
      <c r="M37" s="391"/>
      <c r="N37" s="391"/>
      <c r="O37" s="429"/>
    </row>
    <row r="38" spans="2:15" x14ac:dyDescent="0.2">
      <c r="B38" s="486"/>
      <c r="C38" s="59" t="s">
        <v>130</v>
      </c>
      <c r="D38" s="391">
        <f>+'9. Weather Adj LF'!E40</f>
        <v>0</v>
      </c>
      <c r="E38" s="391">
        <f>+'9. Weather Adj LF'!F40</f>
        <v>0</v>
      </c>
      <c r="F38" s="391">
        <f>+'9. Weather Adj LF'!G40</f>
        <v>0</v>
      </c>
      <c r="G38" s="391">
        <f>+'9. Weather Adj LF'!H40</f>
        <v>0</v>
      </c>
      <c r="H38" s="391">
        <f>+'9. Weather Adj LF'!I40</f>
        <v>0</v>
      </c>
      <c r="I38" s="391">
        <f>+'9. Weather Adj LF'!J40</f>
        <v>0</v>
      </c>
      <c r="J38" s="391">
        <f>+'9. Weather Adj LF'!K40</f>
        <v>0</v>
      </c>
      <c r="K38" s="391">
        <f>+'9. Weather Adj LF'!L40</f>
        <v>0</v>
      </c>
      <c r="L38" s="391">
        <f>+'9. Weather Adj LF'!M40</f>
        <v>0</v>
      </c>
      <c r="M38" s="391">
        <f>+'9. Weather Adj LF'!N40</f>
        <v>0</v>
      </c>
      <c r="N38" s="391">
        <f>+'9. Weather Adj LF'!O40</f>
        <v>0</v>
      </c>
      <c r="O38" s="429">
        <f>+'9. Weather Adj LF'!P40</f>
        <v>0</v>
      </c>
    </row>
    <row r="39" spans="2:15" x14ac:dyDescent="0.2">
      <c r="B39" s="197"/>
      <c r="C39" s="59" t="s">
        <v>36</v>
      </c>
      <c r="D39" s="391">
        <f>+'9. Weather Adj LF'!E41</f>
        <v>0</v>
      </c>
      <c r="E39" s="391">
        <f>+'9. Weather Adj LF'!F41</f>
        <v>0</v>
      </c>
      <c r="F39" s="391">
        <f>+'9. Weather Adj LF'!G41</f>
        <v>0</v>
      </c>
      <c r="G39" s="391">
        <f>+'9. Weather Adj LF'!H41</f>
        <v>0</v>
      </c>
      <c r="H39" s="391">
        <f>+'9. Weather Adj LF'!I41</f>
        <v>0</v>
      </c>
      <c r="I39" s="391">
        <f>+'9. Weather Adj LF'!J41</f>
        <v>0</v>
      </c>
      <c r="J39" s="391">
        <f>+'9. Weather Adj LF'!K41</f>
        <v>0</v>
      </c>
      <c r="K39" s="391">
        <f>+'9. Weather Adj LF'!L41</f>
        <v>0</v>
      </c>
      <c r="L39" s="391">
        <f>+'9. Weather Adj LF'!M41</f>
        <v>0</v>
      </c>
      <c r="M39" s="391">
        <f>+'9. Weather Adj LF'!N41</f>
        <v>0</v>
      </c>
      <c r="N39" s="391">
        <f>+'9. Weather Adj LF'!O41</f>
        <v>0</v>
      </c>
      <c r="O39" s="429">
        <f>+'10.1 CDM Allocation'!O32</f>
        <v>0</v>
      </c>
    </row>
    <row r="40" spans="2:15" x14ac:dyDescent="0.2">
      <c r="B40" s="197"/>
      <c r="C40" s="59" t="s">
        <v>37</v>
      </c>
      <c r="D40" s="391">
        <f>+'9. Weather Adj LF'!E42</f>
        <v>0</v>
      </c>
      <c r="E40" s="391">
        <f>+'9. Weather Adj LF'!F42</f>
        <v>0</v>
      </c>
      <c r="F40" s="391">
        <f>+'9. Weather Adj LF'!G42</f>
        <v>0</v>
      </c>
      <c r="G40" s="391">
        <f>+'9. Weather Adj LF'!H42</f>
        <v>0</v>
      </c>
      <c r="H40" s="391">
        <f>+'9. Weather Adj LF'!I42</f>
        <v>0</v>
      </c>
      <c r="I40" s="391">
        <f>+'9. Weather Adj LF'!J42</f>
        <v>0</v>
      </c>
      <c r="J40" s="391">
        <f>+'9. Weather Adj LF'!K42</f>
        <v>0</v>
      </c>
      <c r="K40" s="391">
        <f>+'9. Weather Adj LF'!L42</f>
        <v>0</v>
      </c>
      <c r="L40" s="391">
        <f>+'9. Weather Adj LF'!M42</f>
        <v>0</v>
      </c>
      <c r="M40" s="391">
        <f>+'9. Weather Adj LF'!N42</f>
        <v>0</v>
      </c>
      <c r="N40" s="391">
        <f>+'9. Weather Adj LF'!O42</f>
        <v>0</v>
      </c>
      <c r="O40" s="429">
        <f>+'10.1 CDM Allocation'!O50</f>
        <v>0</v>
      </c>
    </row>
    <row r="41" spans="2:15" ht="13.5" thickBot="1" x14ac:dyDescent="0.25">
      <c r="B41" s="90"/>
      <c r="C41" s="91"/>
      <c r="D41" s="294"/>
      <c r="E41" s="294"/>
      <c r="F41" s="294"/>
      <c r="G41" s="294"/>
      <c r="H41" s="294"/>
      <c r="I41" s="294"/>
      <c r="J41" s="294"/>
      <c r="K41" s="294"/>
      <c r="L41" s="294"/>
      <c r="M41" s="294"/>
      <c r="N41" s="485"/>
      <c r="O41" s="434"/>
    </row>
    <row r="42" spans="2:15" hidden="1" x14ac:dyDescent="0.2">
      <c r="B42" s="482">
        <f>'2. Customer Classes'!B21</f>
        <v>0</v>
      </c>
      <c r="C42" s="483"/>
      <c r="D42" s="390"/>
      <c r="E42" s="390"/>
      <c r="F42" s="390"/>
      <c r="G42" s="390"/>
      <c r="H42" s="390"/>
      <c r="I42" s="390"/>
      <c r="J42" s="390"/>
      <c r="K42" s="390"/>
      <c r="L42" s="390"/>
      <c r="M42" s="390"/>
      <c r="N42" s="484"/>
      <c r="O42" s="487"/>
    </row>
    <row r="43" spans="2:15" hidden="1" x14ac:dyDescent="0.2">
      <c r="B43" s="197"/>
      <c r="C43" s="198"/>
      <c r="D43" s="391"/>
      <c r="E43" s="391"/>
      <c r="F43" s="391"/>
      <c r="G43" s="391"/>
      <c r="H43" s="391"/>
      <c r="I43" s="391"/>
      <c r="J43" s="391"/>
      <c r="K43" s="391"/>
      <c r="L43" s="391"/>
      <c r="M43" s="391"/>
      <c r="N43" s="392"/>
      <c r="O43" s="429"/>
    </row>
    <row r="44" spans="2:15" hidden="1" x14ac:dyDescent="0.2">
      <c r="B44" s="197"/>
      <c r="C44" s="198"/>
      <c r="D44" s="391"/>
      <c r="E44" s="391"/>
      <c r="F44" s="391"/>
      <c r="G44" s="391"/>
      <c r="H44" s="391"/>
      <c r="I44" s="391"/>
      <c r="J44" s="391"/>
      <c r="K44" s="391"/>
      <c r="L44" s="391"/>
      <c r="M44" s="391"/>
      <c r="N44" s="392"/>
      <c r="O44" s="429"/>
    </row>
    <row r="45" spans="2:15" hidden="1" x14ac:dyDescent="0.2">
      <c r="B45" s="197"/>
      <c r="C45" s="198"/>
      <c r="D45" s="391"/>
      <c r="E45" s="391"/>
      <c r="F45" s="391"/>
      <c r="G45" s="391"/>
      <c r="H45" s="391"/>
      <c r="I45" s="391"/>
      <c r="J45" s="391"/>
      <c r="K45" s="391"/>
      <c r="L45" s="391"/>
      <c r="M45" s="391"/>
      <c r="N45" s="392"/>
      <c r="O45" s="429"/>
    </row>
    <row r="46" spans="2:15" hidden="1" x14ac:dyDescent="0.2">
      <c r="B46" s="199" t="str">
        <f>'2. Customer Classes'!B22</f>
        <v>other</v>
      </c>
      <c r="C46" s="198"/>
      <c r="D46" s="391"/>
      <c r="E46" s="391"/>
      <c r="F46" s="391"/>
      <c r="G46" s="391"/>
      <c r="H46" s="391"/>
      <c r="I46" s="391"/>
      <c r="J46" s="391"/>
      <c r="K46" s="391"/>
      <c r="L46" s="391"/>
      <c r="M46" s="391"/>
      <c r="N46" s="392"/>
      <c r="O46" s="429"/>
    </row>
    <row r="47" spans="2:15" hidden="1" x14ac:dyDescent="0.2">
      <c r="B47" s="197"/>
      <c r="C47" s="198"/>
      <c r="D47" s="391"/>
      <c r="E47" s="391"/>
      <c r="F47" s="391"/>
      <c r="G47" s="391"/>
      <c r="H47" s="391"/>
      <c r="I47" s="391"/>
      <c r="J47" s="391"/>
      <c r="K47" s="391"/>
      <c r="L47" s="391"/>
      <c r="M47" s="391"/>
      <c r="N47" s="392"/>
      <c r="O47" s="429"/>
    </row>
    <row r="48" spans="2:15" hidden="1" x14ac:dyDescent="0.2">
      <c r="B48" s="197"/>
      <c r="C48" s="198"/>
      <c r="D48" s="391"/>
      <c r="E48" s="391"/>
      <c r="F48" s="391"/>
      <c r="G48" s="391"/>
      <c r="H48" s="391"/>
      <c r="I48" s="391"/>
      <c r="J48" s="391"/>
      <c r="K48" s="391"/>
      <c r="L48" s="391"/>
      <c r="M48" s="391"/>
      <c r="N48" s="392"/>
      <c r="O48" s="429"/>
    </row>
    <row r="49" spans="2:15" hidden="1" x14ac:dyDescent="0.2">
      <c r="B49" s="197"/>
      <c r="C49" s="198"/>
      <c r="D49" s="391"/>
      <c r="E49" s="391"/>
      <c r="F49" s="391"/>
      <c r="G49" s="391"/>
      <c r="H49" s="391"/>
      <c r="I49" s="391"/>
      <c r="J49" s="391"/>
      <c r="K49" s="391"/>
      <c r="L49" s="391"/>
      <c r="M49" s="391"/>
      <c r="N49" s="392"/>
      <c r="O49" s="429"/>
    </row>
    <row r="50" spans="2:15" hidden="1" x14ac:dyDescent="0.2">
      <c r="B50" s="199" t="str">
        <f>'2. Customer Classes'!B23</f>
        <v>other</v>
      </c>
      <c r="C50" s="198"/>
      <c r="D50" s="391"/>
      <c r="E50" s="391"/>
      <c r="F50" s="391"/>
      <c r="G50" s="391"/>
      <c r="H50" s="391"/>
      <c r="I50" s="391"/>
      <c r="J50" s="391"/>
      <c r="K50" s="391"/>
      <c r="L50" s="391"/>
      <c r="M50" s="391"/>
      <c r="N50" s="392"/>
      <c r="O50" s="429"/>
    </row>
    <row r="51" spans="2:15" hidden="1" x14ac:dyDescent="0.2">
      <c r="B51" s="199"/>
      <c r="C51" s="198"/>
      <c r="D51" s="391"/>
      <c r="E51" s="391"/>
      <c r="F51" s="391"/>
      <c r="G51" s="391"/>
      <c r="H51" s="391"/>
      <c r="I51" s="391"/>
      <c r="J51" s="391"/>
      <c r="K51" s="391"/>
      <c r="L51" s="391"/>
      <c r="M51" s="391"/>
      <c r="N51" s="392"/>
      <c r="O51" s="429"/>
    </row>
    <row r="52" spans="2:15" hidden="1" x14ac:dyDescent="0.2">
      <c r="B52" s="199"/>
      <c r="C52" s="198"/>
      <c r="D52" s="391"/>
      <c r="E52" s="391"/>
      <c r="F52" s="391"/>
      <c r="G52" s="391"/>
      <c r="H52" s="391"/>
      <c r="I52" s="391"/>
      <c r="J52" s="391"/>
      <c r="K52" s="391"/>
      <c r="L52" s="391"/>
      <c r="M52" s="391"/>
      <c r="N52" s="392"/>
      <c r="O52" s="429"/>
    </row>
    <row r="53" spans="2:15" hidden="1" x14ac:dyDescent="0.2">
      <c r="B53" s="199"/>
      <c r="C53" s="198"/>
      <c r="D53" s="391"/>
      <c r="E53" s="391"/>
      <c r="F53" s="391"/>
      <c r="G53" s="391"/>
      <c r="H53" s="391"/>
      <c r="I53" s="391"/>
      <c r="J53" s="391"/>
      <c r="K53" s="391"/>
      <c r="L53" s="391"/>
      <c r="M53" s="391"/>
      <c r="N53" s="392"/>
      <c r="O53" s="429"/>
    </row>
    <row r="54" spans="2:15" x14ac:dyDescent="0.2">
      <c r="B54" s="214" t="s">
        <v>16</v>
      </c>
      <c r="C54" s="215" t="s">
        <v>130</v>
      </c>
      <c r="D54" s="393">
        <f>D14+D18+D22+D26+D30+D34+D38+D42+D46+D50</f>
        <v>5288</v>
      </c>
      <c r="E54" s="393">
        <f t="shared" ref="E54:O56" si="0">E14+E18+E22+E26+E30+E34+E38+E42+E46+E50</f>
        <v>5293</v>
      </c>
      <c r="F54" s="393">
        <f t="shared" si="0"/>
        <v>5330</v>
      </c>
      <c r="G54" s="393">
        <f t="shared" si="0"/>
        <v>5354</v>
      </c>
      <c r="H54" s="393">
        <f t="shared" si="0"/>
        <v>5363</v>
      </c>
      <c r="I54" s="393">
        <f t="shared" si="0"/>
        <v>5393</v>
      </c>
      <c r="J54" s="393">
        <f t="shared" si="0"/>
        <v>5411</v>
      </c>
      <c r="K54" s="393">
        <f t="shared" si="0"/>
        <v>5443</v>
      </c>
      <c r="L54" s="393">
        <f t="shared" si="0"/>
        <v>5473</v>
      </c>
      <c r="M54" s="393">
        <f t="shared" si="0"/>
        <v>5493</v>
      </c>
      <c r="N54" s="393">
        <f t="shared" si="0"/>
        <v>5517.77491112178</v>
      </c>
      <c r="O54" s="394">
        <f t="shared" si="0"/>
        <v>5542.9438224770811</v>
      </c>
    </row>
    <row r="55" spans="2:15" x14ac:dyDescent="0.2">
      <c r="B55" s="214"/>
      <c r="C55" s="215" t="s">
        <v>36</v>
      </c>
      <c r="D55" s="393">
        <f>D15+D19+D23+D27+D31+D35+D39+D43+D47+D51</f>
        <v>97304543</v>
      </c>
      <c r="E55" s="393">
        <f t="shared" si="0"/>
        <v>99235605</v>
      </c>
      <c r="F55" s="393">
        <f t="shared" si="0"/>
        <v>101925474</v>
      </c>
      <c r="G55" s="393">
        <f t="shared" si="0"/>
        <v>96981360</v>
      </c>
      <c r="H55" s="393">
        <f t="shared" si="0"/>
        <v>95702324</v>
      </c>
      <c r="I55" s="393">
        <f t="shared" si="0"/>
        <v>89846326</v>
      </c>
      <c r="J55" s="393">
        <f t="shared" si="0"/>
        <v>87042318</v>
      </c>
      <c r="K55" s="393">
        <f t="shared" si="0"/>
        <v>87411656</v>
      </c>
      <c r="L55" s="393">
        <f t="shared" si="0"/>
        <v>86248298</v>
      </c>
      <c r="M55" s="393">
        <f t="shared" si="0"/>
        <v>86807086</v>
      </c>
      <c r="N55" s="393">
        <f t="shared" si="0"/>
        <v>87305146.535537943</v>
      </c>
      <c r="O55" s="394">
        <f t="shared" si="0"/>
        <v>85344275.637407094</v>
      </c>
    </row>
    <row r="56" spans="2:15" ht="13.5" thickBot="1" x14ac:dyDescent="0.25">
      <c r="B56" s="216"/>
      <c r="C56" s="217" t="s">
        <v>37</v>
      </c>
      <c r="D56" s="395">
        <f>D16+D20+D24+D28+D32+D36+D40+D44+D48+D52</f>
        <v>156713</v>
      </c>
      <c r="E56" s="395">
        <f t="shared" si="0"/>
        <v>149616</v>
      </c>
      <c r="F56" s="395">
        <f t="shared" si="0"/>
        <v>152047</v>
      </c>
      <c r="G56" s="395">
        <f t="shared" si="0"/>
        <v>144821</v>
      </c>
      <c r="H56" s="395">
        <f t="shared" si="0"/>
        <v>144895</v>
      </c>
      <c r="I56" s="395">
        <f t="shared" si="0"/>
        <v>134079</v>
      </c>
      <c r="J56" s="395">
        <f t="shared" si="0"/>
        <v>123479</v>
      </c>
      <c r="K56" s="395">
        <f t="shared" si="0"/>
        <v>118917</v>
      </c>
      <c r="L56" s="395">
        <f t="shared" si="0"/>
        <v>117290</v>
      </c>
      <c r="M56" s="395">
        <f t="shared" si="0"/>
        <v>117039</v>
      </c>
      <c r="N56" s="395">
        <f t="shared" si="0"/>
        <v>123812.15400029326</v>
      </c>
      <c r="O56" s="396">
        <f t="shared" si="0"/>
        <v>121031.33684061705</v>
      </c>
    </row>
    <row r="57" spans="2:15" x14ac:dyDescent="0.2">
      <c r="O57" s="1"/>
    </row>
    <row r="60" spans="2:15" x14ac:dyDescent="0.2">
      <c r="O60" s="1"/>
    </row>
    <row r="61" spans="2:15" x14ac:dyDescent="0.2">
      <c r="O61" s="1"/>
    </row>
  </sheetData>
  <pageMargins left="0.70866141732283472" right="0.70866141732283472" top="0.74803149606299213" bottom="0.74803149606299213" header="0.31496062992125984" footer="0.31496062992125984"/>
  <pageSetup scale="5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workbookViewId="0">
      <selection activeCell="A11" sqref="A11"/>
    </sheetView>
  </sheetViews>
  <sheetFormatPr defaultColWidth="10.5" defaultRowHeight="12.75" x14ac:dyDescent="0.2"/>
  <cols>
    <col min="1" max="1" width="13.6640625" style="62" customWidth="1"/>
    <col min="2" max="2" width="24.5" style="62" customWidth="1"/>
    <col min="3" max="16" width="14.1640625" style="62" customWidth="1"/>
    <col min="17" max="17" width="10.83203125" style="62" customWidth="1"/>
    <col min="18" max="18" width="8.5" style="62" bestFit="1" customWidth="1"/>
    <col min="19" max="19" width="10.6640625" style="62" bestFit="1" customWidth="1"/>
    <col min="20" max="20" width="8.33203125" style="62" bestFit="1" customWidth="1"/>
    <col min="21" max="22" width="9" style="62" bestFit="1" customWidth="1"/>
    <col min="23" max="23" width="10.83203125" style="62" customWidth="1"/>
    <col min="24" max="24" width="9.6640625" style="62" bestFit="1" customWidth="1"/>
    <col min="25" max="25" width="8.5" style="62" bestFit="1" customWidth="1"/>
    <col min="26" max="26" width="9.5" style="62" bestFit="1" customWidth="1"/>
    <col min="27" max="27" width="8.33203125" style="62" bestFit="1" customWidth="1"/>
    <col min="28" max="29" width="9" style="62" bestFit="1" customWidth="1"/>
    <col min="30" max="30" width="10.83203125" style="62" bestFit="1" customWidth="1"/>
    <col min="31" max="31" width="8" style="62" bestFit="1" customWidth="1"/>
    <col min="32" max="32" width="9" style="62" bestFit="1" customWidth="1"/>
    <col min="33" max="16384" width="10.5" style="62"/>
  </cols>
  <sheetData>
    <row r="1" spans="1:16" x14ac:dyDescent="0.2">
      <c r="A1" s="755" t="s">
        <v>269</v>
      </c>
    </row>
    <row r="11" spans="1:16" ht="23.25" x14ac:dyDescent="0.2">
      <c r="B11" s="154" t="s">
        <v>59</v>
      </c>
    </row>
    <row r="12" spans="1:16" ht="13.5" thickBot="1" x14ac:dyDescent="0.25"/>
    <row r="13" spans="1:16" ht="40.5" customHeight="1" x14ac:dyDescent="0.2">
      <c r="B13" s="202"/>
      <c r="C13" s="1154" t="str">
        <f>+'11. Final Load Forecast'!B14</f>
        <v>Residential</v>
      </c>
      <c r="D13" s="1155"/>
      <c r="E13" s="1154" t="str">
        <f>+'11. Final Load Forecast'!B18</f>
        <v>General Service &lt; 50 kW</v>
      </c>
      <c r="F13" s="1155"/>
      <c r="G13" s="1157" t="str">
        <f>+'11. Final Load Forecast'!B22</f>
        <v>Unmetered Scattered Load</v>
      </c>
      <c r="H13" s="1158"/>
      <c r="I13" s="1157" t="str">
        <f>+'11. Final Load Forecast'!B26</f>
        <v>General Service &gt; 50 kW - 4999 kW</v>
      </c>
      <c r="J13" s="1158"/>
      <c r="K13" s="1157" t="str">
        <f>+'11. Final Load Forecast'!B30</f>
        <v>Streetlighting</v>
      </c>
      <c r="L13" s="1158"/>
      <c r="M13" s="1154">
        <f>+'11. Final Load Forecast'!B34</f>
        <v>0</v>
      </c>
      <c r="N13" s="1155"/>
      <c r="O13" s="1154">
        <f>+'11. Final Load Forecast'!B38</f>
        <v>0</v>
      </c>
      <c r="P13" s="1156"/>
    </row>
    <row r="14" spans="1:16" ht="25.5" x14ac:dyDescent="0.2">
      <c r="B14" s="92" t="s">
        <v>33</v>
      </c>
      <c r="C14" s="93" t="s">
        <v>48</v>
      </c>
      <c r="D14" s="93" t="s">
        <v>131</v>
      </c>
      <c r="E14" s="93" t="s">
        <v>48</v>
      </c>
      <c r="F14" s="93" t="s">
        <v>131</v>
      </c>
      <c r="G14" s="93" t="s">
        <v>48</v>
      </c>
      <c r="H14" s="93" t="s">
        <v>131</v>
      </c>
      <c r="I14" s="93" t="s">
        <v>48</v>
      </c>
      <c r="J14" s="93" t="s">
        <v>131</v>
      </c>
      <c r="K14" s="93" t="s">
        <v>48</v>
      </c>
      <c r="L14" s="93" t="s">
        <v>131</v>
      </c>
      <c r="M14" s="93" t="s">
        <v>48</v>
      </c>
      <c r="N14" s="93" t="s">
        <v>131</v>
      </c>
      <c r="O14" s="93" t="s">
        <v>48</v>
      </c>
      <c r="P14" s="94" t="s">
        <v>131</v>
      </c>
    </row>
    <row r="15" spans="1:16" x14ac:dyDescent="0.2">
      <c r="B15" s="203">
        <f>'4. Customer Growth'!B17</f>
        <v>2006</v>
      </c>
      <c r="C15" s="95">
        <f>+'11. Final Load Forecast'!$D$15/'11. Final Load Forecast'!$D$14</f>
        <v>8662.7384789369517</v>
      </c>
      <c r="D15" s="95">
        <f>+'11. Final Load Forecast'!$D$16/'11. Final Load Forecast'!$D$14</f>
        <v>0</v>
      </c>
      <c r="E15" s="95">
        <f>+'11. Final Load Forecast'!$D$19/'11. Final Load Forecast'!$D$18</f>
        <v>26218.845703125</v>
      </c>
      <c r="F15" s="95">
        <f>+'11. Final Load Forecast'!$D$20/'11. Final Load Forecast'!$D$18</f>
        <v>0</v>
      </c>
      <c r="G15" s="95">
        <f>+'11. Final Load Forecast'!$D$23/'11. Final Load Forecast'!$D$22</f>
        <v>5715.8928571428569</v>
      </c>
      <c r="H15" s="95">
        <f>+'11. Final Load Forecast'!$D$24/'11. Final Load Forecast'!$D$22</f>
        <v>0</v>
      </c>
      <c r="I15" s="95">
        <f>+'11. Final Load Forecast'!$D$27/'11. Final Load Forecast'!$D$26</f>
        <v>838457.74193548388</v>
      </c>
      <c r="J15" s="95">
        <f>+'11. Final Load Forecast'!$D$28/'11. Final Load Forecast'!$D$26</f>
        <v>2478.3870967741937</v>
      </c>
      <c r="K15" s="95">
        <f>+'11. Final Load Forecast'!$D$31/'11. Final Load Forecast'!$D$30</f>
        <v>953.84073107049608</v>
      </c>
      <c r="L15" s="95">
        <f>+'11. Final Load Forecast'!$D$32/'11. Final Load Forecast'!$D$30</f>
        <v>2.6570931244560487</v>
      </c>
      <c r="M15" s="95" t="e">
        <f>+'11. Final Load Forecast'!$D$35/'11. Final Load Forecast'!$D$34</f>
        <v>#DIV/0!</v>
      </c>
      <c r="N15" s="95" t="e">
        <f>+'11. Final Load Forecast'!$D$36/'11. Final Load Forecast'!$D$34</f>
        <v>#DIV/0!</v>
      </c>
      <c r="O15" s="95" t="e">
        <f>+'11. Final Load Forecast'!$D$39/'11. Final Load Forecast'!$D$39</f>
        <v>#DIV/0!</v>
      </c>
      <c r="P15" s="96" t="e">
        <f>+'11. Final Load Forecast'!$D$40/'11. Final Load Forecast'!$D$39</f>
        <v>#DIV/0!</v>
      </c>
    </row>
    <row r="16" spans="1:16" x14ac:dyDescent="0.2">
      <c r="B16" s="203">
        <f>'4. Customer Growth'!B18</f>
        <v>2007</v>
      </c>
      <c r="C16" s="95">
        <f>+'11. Final Load Forecast'!$E$15/'11. Final Load Forecast'!$E$14</f>
        <v>8732.1602365530835</v>
      </c>
      <c r="D16" s="95">
        <f>+'11. Final Load Forecast'!$E$16/'11. Final Load Forecast'!$E$14</f>
        <v>0</v>
      </c>
      <c r="E16" s="95">
        <f>+'11. Final Load Forecast'!$E$19/'11. Final Load Forecast'!$E$18</f>
        <v>27719.221327967807</v>
      </c>
      <c r="F16" s="95">
        <f>+'11. Final Load Forecast'!$E$20/'11. Final Load Forecast'!$E$18</f>
        <v>0</v>
      </c>
      <c r="G16" s="95">
        <f>+'11. Final Load Forecast'!$E$23/'11. Final Load Forecast'!$E$22</f>
        <v>4904.1724137931033</v>
      </c>
      <c r="H16" s="95">
        <f>+'11. Final Load Forecast'!$E$24/'11. Final Load Forecast'!$E$22</f>
        <v>0</v>
      </c>
      <c r="I16" s="95">
        <f>+'11. Final Load Forecast'!$E$27/'11. Final Load Forecast'!$E$26</f>
        <v>818510.72307692305</v>
      </c>
      <c r="J16" s="95">
        <f>+'11. Final Load Forecast'!$E$28/'11. Final Load Forecast'!$E$26</f>
        <v>2254.1692307692306</v>
      </c>
      <c r="K16" s="95">
        <f>+'11. Final Load Forecast'!$E$31/'11. Final Load Forecast'!$E$30</f>
        <v>960.75847089487399</v>
      </c>
      <c r="L16" s="95">
        <f>+'11. Final Load Forecast'!$E$32/'11. Final Load Forecast'!$E$30</f>
        <v>2.6889661164205041</v>
      </c>
      <c r="M16" s="95" t="e">
        <f>+'11. Final Load Forecast'!$E$35/'11. Final Load Forecast'!$E$34</f>
        <v>#DIV/0!</v>
      </c>
      <c r="N16" s="95" t="e">
        <f>+'11. Final Load Forecast'!$E$36/'11. Final Load Forecast'!$E$34</f>
        <v>#DIV/0!</v>
      </c>
      <c r="O16" s="95" t="e">
        <f>+'11. Final Load Forecast'!$E$39/'11. Final Load Forecast'!$E$38</f>
        <v>#DIV/0!</v>
      </c>
      <c r="P16" s="96" t="e">
        <f>+'11. Final Load Forecast'!$E$40/'11. Final Load Forecast'!$E$38</f>
        <v>#DIV/0!</v>
      </c>
    </row>
    <row r="17" spans="2:16" x14ac:dyDescent="0.2">
      <c r="B17" s="203">
        <f>'4. Customer Growth'!B19</f>
        <v>2008</v>
      </c>
      <c r="C17" s="95">
        <f>+'11. Final Load Forecast'!$F$15/'11. Final Load Forecast'!$F$14</f>
        <v>8786.7629153867638</v>
      </c>
      <c r="D17" s="95">
        <f>+'11. Final Load Forecast'!$F$16/'11. Final Load Forecast'!$F$14</f>
        <v>0</v>
      </c>
      <c r="E17" s="95">
        <f>+'11. Final Load Forecast'!$F$19/'11. Final Load Forecast'!$F$18</f>
        <v>28192.783400809716</v>
      </c>
      <c r="F17" s="95">
        <f>+'11. Final Load Forecast'!$F$20/'11. Final Load Forecast'!$F$18</f>
        <v>0</v>
      </c>
      <c r="G17" s="95">
        <f>+'11. Final Load Forecast'!$F$23/'11. Final Load Forecast'!$F$22</f>
        <v>4695.666666666667</v>
      </c>
      <c r="H17" s="95">
        <f>+'11. Final Load Forecast'!$F$24/'11. Final Load Forecast'!$F$22</f>
        <v>0</v>
      </c>
      <c r="I17" s="95">
        <f>+'11. Final Load Forecast'!$F$27/'11. Final Load Forecast'!$F$26</f>
        <v>825134.14925373136</v>
      </c>
      <c r="J17" s="95">
        <f>+'11. Final Load Forecast'!$F$28/'11. Final Load Forecast'!$F$26</f>
        <v>2223.0895522388059</v>
      </c>
      <c r="K17" s="95">
        <f>+'11. Final Load Forecast'!$F$31/'11. Final Load Forecast'!$F$30</f>
        <v>956.80742659758209</v>
      </c>
      <c r="L17" s="95">
        <f>+'11. Final Load Forecast'!$F$32/'11. Final Load Forecast'!$F$30</f>
        <v>2.6770293609671847</v>
      </c>
      <c r="M17" s="95" t="e">
        <f>+'11. Final Load Forecast'!$F$35/'11. Final Load Forecast'!$F$34</f>
        <v>#DIV/0!</v>
      </c>
      <c r="N17" s="95" t="e">
        <f>+'11. Final Load Forecast'!$F$36/'11. Final Load Forecast'!$F$34</f>
        <v>#DIV/0!</v>
      </c>
      <c r="O17" s="95" t="e">
        <f>+'11. Final Load Forecast'!$F$39/'11. Final Load Forecast'!$F$38</f>
        <v>#DIV/0!</v>
      </c>
      <c r="P17" s="96" t="e">
        <f>+'11. Final Load Forecast'!$F$40/'11. Final Load Forecast'!$F$38</f>
        <v>#DIV/0!</v>
      </c>
    </row>
    <row r="18" spans="2:16" x14ac:dyDescent="0.2">
      <c r="B18" s="203">
        <f>'4. Customer Growth'!B20</f>
        <v>2009</v>
      </c>
      <c r="C18" s="95">
        <f>+'11. Final Load Forecast'!$G$15/'11. Final Load Forecast'!$G$14</f>
        <v>8491.110864745011</v>
      </c>
      <c r="D18" s="95">
        <f>+'11. Final Load Forecast'!$G$16/'11. Final Load Forecast'!$G$14</f>
        <v>0</v>
      </c>
      <c r="E18" s="95">
        <f>+'11. Final Load Forecast'!$G$19/'11. Final Load Forecast'!$G$18</f>
        <v>26625.08281573499</v>
      </c>
      <c r="F18" s="95">
        <f>+'11. Final Load Forecast'!$G$20/'11. Final Load Forecast'!$G$18</f>
        <v>0</v>
      </c>
      <c r="G18" s="95">
        <f>+'11. Final Load Forecast'!$G$23/'11. Final Load Forecast'!$G$22</f>
        <v>4682.833333333333</v>
      </c>
      <c r="H18" s="95">
        <f>+'11. Final Load Forecast'!$G$24/'11. Final Load Forecast'!$G$22</f>
        <v>0</v>
      </c>
      <c r="I18" s="95">
        <f>+'11. Final Load Forecast'!$G$27/'11. Final Load Forecast'!$G$26</f>
        <v>791368.18181818177</v>
      </c>
      <c r="J18" s="95">
        <f>+'11. Final Load Forecast'!$G$28/'11. Final Load Forecast'!$G$26</f>
        <v>2147.409090909091</v>
      </c>
      <c r="K18" s="95">
        <f>+'11. Final Load Forecast'!$G$31/'11. Final Load Forecast'!$G$30</f>
        <v>955.21165381319622</v>
      </c>
      <c r="L18" s="95">
        <f>+'11. Final Load Forecast'!$G$32/'11. Final Load Forecast'!$G$30</f>
        <v>2.6495287060839758</v>
      </c>
      <c r="M18" s="95" t="e">
        <f>+'11. Final Load Forecast'!$G$35/'11. Final Load Forecast'!$G$34</f>
        <v>#DIV/0!</v>
      </c>
      <c r="N18" s="95" t="e">
        <f>+'11. Final Load Forecast'!$G$36/'11. Final Load Forecast'!$G$34</f>
        <v>#DIV/0!</v>
      </c>
      <c r="O18" s="95" t="e">
        <f>+'11. Final Load Forecast'!$G$39/'11. Final Load Forecast'!$G$38</f>
        <v>#DIV/0!</v>
      </c>
      <c r="P18" s="96" t="e">
        <f>+'11. Final Load Forecast'!$G$40/'11. Final Load Forecast'!$G$38</f>
        <v>#DIV/0!</v>
      </c>
    </row>
    <row r="19" spans="2:16" x14ac:dyDescent="0.2">
      <c r="B19" s="203">
        <f>'4. Customer Growth'!B21</f>
        <v>2010</v>
      </c>
      <c r="C19" s="95">
        <f>+'11. Final Load Forecast'!$H$15/'11. Final Load Forecast'!$H$14</f>
        <v>8293.6902025177878</v>
      </c>
      <c r="D19" s="95">
        <f>+'11. Final Load Forecast'!$H$16/'11. Final Load Forecast'!$H$14</f>
        <v>0</v>
      </c>
      <c r="E19" s="95">
        <f>+'11. Final Load Forecast'!$H$19/'11. Final Load Forecast'!$H$18</f>
        <v>28115.531674208145</v>
      </c>
      <c r="F19" s="95">
        <f>+'11. Final Load Forecast'!$H$20/'11. Final Load Forecast'!$H$18</f>
        <v>0</v>
      </c>
      <c r="G19" s="95">
        <f>+'11. Final Load Forecast'!$H$23/'11. Final Load Forecast'!$H$22</f>
        <v>4416.9411764705883</v>
      </c>
      <c r="H19" s="95">
        <f>+'11. Final Load Forecast'!$H$24/'11. Final Load Forecast'!$H$22</f>
        <v>0</v>
      </c>
      <c r="I19" s="95">
        <f>+'11. Final Load Forecast'!$H$27/'11. Final Load Forecast'!$H$26</f>
        <v>876325.64406779665</v>
      </c>
      <c r="J19" s="95">
        <f>+'11. Final Load Forecast'!$H$28/'11. Final Load Forecast'!$H$26</f>
        <v>2403.3389830508477</v>
      </c>
      <c r="K19" s="95">
        <f>+'11. Final Load Forecast'!$H$31/'11. Final Load Forecast'!$H$30</f>
        <v>951.21465076660991</v>
      </c>
      <c r="L19" s="95">
        <f>+'11. Final Load Forecast'!$H$32/'11. Final Load Forecast'!$H$30</f>
        <v>2.6388415672913119</v>
      </c>
      <c r="M19" s="95" t="e">
        <f>+'11. Final Load Forecast'!$H$35/'11. Final Load Forecast'!$H$34</f>
        <v>#DIV/0!</v>
      </c>
      <c r="N19" s="95" t="e">
        <f>+'11. Final Load Forecast'!$H$36/'11. Final Load Forecast'!$H$34</f>
        <v>#DIV/0!</v>
      </c>
      <c r="O19" s="95" t="e">
        <f>+'11. Final Load Forecast'!$H$39/'11. Final Load Forecast'!$H$38</f>
        <v>#DIV/0!</v>
      </c>
      <c r="P19" s="96" t="e">
        <f>+'11. Final Load Forecast'!$H$40/'11. Final Load Forecast'!$H$38</f>
        <v>#DIV/0!</v>
      </c>
    </row>
    <row r="20" spans="2:16" x14ac:dyDescent="0.2">
      <c r="B20" s="203">
        <f>'4. Customer Growth'!B22</f>
        <v>2011</v>
      </c>
      <c r="C20" s="95">
        <f>+'11. Final Load Forecast'!$I$15/'11. Final Load Forecast'!$I$14</f>
        <v>8159.8915107133171</v>
      </c>
      <c r="D20" s="95">
        <f>+'11. Final Load Forecast'!$I$16/'11. Final Load Forecast'!$I$14</f>
        <v>0</v>
      </c>
      <c r="E20" s="95">
        <f>+'11. Final Load Forecast'!$I$19/'11. Final Load Forecast'!$I$18</f>
        <v>27373.372997711671</v>
      </c>
      <c r="F20" s="95">
        <f>+'11. Final Load Forecast'!$I$20/'11. Final Load Forecast'!$I$18</f>
        <v>0</v>
      </c>
      <c r="G20" s="95">
        <f>+'11. Final Load Forecast'!$I$23/'11. Final Load Forecast'!$I$22</f>
        <v>4674.1470588235297</v>
      </c>
      <c r="H20" s="95">
        <f>+'11. Final Load Forecast'!$I$24/'11. Final Load Forecast'!$I$22</f>
        <v>0</v>
      </c>
      <c r="I20" s="95">
        <f>+'11. Final Load Forecast'!$I$27/'11. Final Load Forecast'!$I$26</f>
        <v>788494.01694915257</v>
      </c>
      <c r="J20" s="95">
        <f>+'11. Final Load Forecast'!$I$28/'11. Final Load Forecast'!$I$26</f>
        <v>2220</v>
      </c>
      <c r="K20" s="95">
        <f>+'11. Final Load Forecast'!$I$31/'11. Final Load Forecast'!$I$30</f>
        <v>951.16836734693879</v>
      </c>
      <c r="L20" s="95">
        <f>+'11. Final Load Forecast'!$I$32/'11. Final Load Forecast'!$I$30</f>
        <v>2.635204081632653</v>
      </c>
      <c r="M20" s="95" t="e">
        <f>+'11. Final Load Forecast'!$I$35/'11. Final Load Forecast'!$I$34</f>
        <v>#DIV/0!</v>
      </c>
      <c r="N20" s="95" t="e">
        <f>+'11. Final Load Forecast'!$I$36/'11. Final Load Forecast'!$I$34</f>
        <v>#DIV/0!</v>
      </c>
      <c r="O20" s="95" t="e">
        <f>+'11. Final Load Forecast'!$I$39/'11. Final Load Forecast'!$I$38</f>
        <v>#DIV/0!</v>
      </c>
      <c r="P20" s="96" t="e">
        <f>+'11. Final Load Forecast'!$I$40/'11. Final Load Forecast'!$I$38</f>
        <v>#DIV/0!</v>
      </c>
    </row>
    <row r="21" spans="2:16" x14ac:dyDescent="0.2">
      <c r="B21" s="203">
        <f>'4. Customer Growth'!B23</f>
        <v>2012</v>
      </c>
      <c r="C21" s="95">
        <f>+'11. Final Load Forecast'!$J$15/'11. Final Load Forecast'!$J$14</f>
        <v>8091.2209333693017</v>
      </c>
      <c r="D21" s="95">
        <f>+'11. Final Load Forecast'!$J$16/'11. Final Load Forecast'!$J$14</f>
        <v>0</v>
      </c>
      <c r="E21" s="95">
        <f>+'11. Final Load Forecast'!$J$19/'11. Final Load Forecast'!$J$18</f>
        <v>26832.896551724138</v>
      </c>
      <c r="F21" s="95">
        <f>+'11. Final Load Forecast'!$J$20/'11. Final Load Forecast'!$J$18</f>
        <v>0</v>
      </c>
      <c r="G21" s="95">
        <f>+'11. Final Load Forecast'!$J$23/'11. Final Load Forecast'!$J$22</f>
        <v>4670.911764705882</v>
      </c>
      <c r="H21" s="95">
        <f>+'11. Final Load Forecast'!$J$24/'11. Final Load Forecast'!$J$22</f>
        <v>0</v>
      </c>
      <c r="I21" s="95">
        <f>+'11. Final Load Forecast'!$J$27/'11. Final Load Forecast'!$J$26</f>
        <v>747386.11864406778</v>
      </c>
      <c r="J21" s="95">
        <f>+'11. Final Load Forecast'!$J$28/'11. Final Load Forecast'!$J$26</f>
        <v>2040.3220338983051</v>
      </c>
      <c r="K21" s="95">
        <f>+'11. Final Load Forecast'!$J$31/'11. Final Load Forecast'!$J$30</f>
        <v>953.45238095238096</v>
      </c>
      <c r="L21" s="95">
        <f>+'11. Final Load Forecast'!$J$32/'11. Final Load Forecast'!$J$30</f>
        <v>2.6360544217687076</v>
      </c>
      <c r="M21" s="95" t="e">
        <f>+'11. Final Load Forecast'!$J$35/'11. Final Load Forecast'!$J$34</f>
        <v>#DIV/0!</v>
      </c>
      <c r="N21" s="95" t="e">
        <f>+'11. Final Load Forecast'!$J$36/'11. Final Load Forecast'!$J$34</f>
        <v>#DIV/0!</v>
      </c>
      <c r="O21" s="95" t="e">
        <f>+'11. Final Load Forecast'!$J$39/'11. Final Load Forecast'!$J$38</f>
        <v>#DIV/0!</v>
      </c>
      <c r="P21" s="96" t="e">
        <f>+'11. Final Load Forecast'!$J$40/'11. Final Load Forecast'!$J$38</f>
        <v>#DIV/0!</v>
      </c>
    </row>
    <row r="22" spans="2:16" x14ac:dyDescent="0.2">
      <c r="B22" s="203">
        <f>'4. Customer Growth'!B24</f>
        <v>2013</v>
      </c>
      <c r="C22" s="95">
        <f>+'11. Final Load Forecast'!$K$15/'11. Final Load Forecast'!$K$14</f>
        <v>8173.3863270777483</v>
      </c>
      <c r="D22" s="95">
        <f>+'11. Final Load Forecast'!$K$16/'11. Final Load Forecast'!$K$14</f>
        <v>0</v>
      </c>
      <c r="E22" s="95">
        <f>+'11. Final Load Forecast'!$K$19/'11. Final Load Forecast'!$K$18</f>
        <v>26942.154205607476</v>
      </c>
      <c r="F22" s="95">
        <f>+'11. Final Load Forecast'!$K$20/'11. Final Load Forecast'!$K$18</f>
        <v>0</v>
      </c>
      <c r="G22" s="95">
        <f>+'11. Final Load Forecast'!$K$23/'11. Final Load Forecast'!$K$22</f>
        <v>4715.727272727273</v>
      </c>
      <c r="H22" s="95">
        <f>+'11. Final Load Forecast'!$K$24/'11. Final Load Forecast'!$K$22</f>
        <v>0</v>
      </c>
      <c r="I22" s="95">
        <f>+'11. Final Load Forecast'!$K$27/'11. Final Load Forecast'!$K$26</f>
        <v>711602.48387096776</v>
      </c>
      <c r="J22" s="95">
        <f>+'11. Final Load Forecast'!$K$28/'11. Final Load Forecast'!$K$26</f>
        <v>1867.9516129032259</v>
      </c>
      <c r="K22" s="95">
        <f>+'11. Final Load Forecast'!$K$31/'11. Final Load Forecast'!$K$30</f>
        <v>940.09243697478996</v>
      </c>
      <c r="L22" s="95">
        <f>+'11. Final Load Forecast'!$K$32/'11. Final Load Forecast'!$K$30</f>
        <v>2.6084033613445379</v>
      </c>
      <c r="M22" s="95" t="e">
        <f>+'11. Final Load Forecast'!$K$35/'11. Final Load Forecast'!$K$34</f>
        <v>#DIV/0!</v>
      </c>
      <c r="N22" s="95" t="e">
        <f>+'11. Final Load Forecast'!$K$36/'11. Final Load Forecast'!$K$34</f>
        <v>#DIV/0!</v>
      </c>
      <c r="O22" s="95" t="e">
        <f>+'11. Final Load Forecast'!$K$39/'11. Final Load Forecast'!$K$38</f>
        <v>#DIV/0!</v>
      </c>
      <c r="P22" s="96" t="e">
        <f>+'11. Final Load Forecast'!$K$40/'11. Final Load Forecast'!$K$38</f>
        <v>#DIV/0!</v>
      </c>
    </row>
    <row r="23" spans="2:16" x14ac:dyDescent="0.2">
      <c r="B23" s="203">
        <f>'4. Customer Growth'!B25</f>
        <v>2014</v>
      </c>
      <c r="C23" s="95">
        <f>+'11. Final Load Forecast'!$L$15/'11. Final Load Forecast'!$L$14</f>
        <v>7988.5667553191488</v>
      </c>
      <c r="D23" s="95">
        <f>+'11. Final Load Forecast'!$L$16/'11. Final Load Forecast'!$L$14</f>
        <v>0</v>
      </c>
      <c r="E23" s="95">
        <f>+'11. Final Load Forecast'!$L$19/'11. Final Load Forecast'!$L$18</f>
        <v>26388.142523364488</v>
      </c>
      <c r="F23" s="95">
        <f>+'11. Final Load Forecast'!$L$20/'11. Final Load Forecast'!$L$18</f>
        <v>0</v>
      </c>
      <c r="G23" s="95">
        <f>+'11. Final Load Forecast'!$L$23/'11. Final Load Forecast'!$L$22</f>
        <v>4697.545454545455</v>
      </c>
      <c r="H23" s="95">
        <f>+'11. Final Load Forecast'!$L$24/'11. Final Load Forecast'!$L$22</f>
        <v>0</v>
      </c>
      <c r="I23" s="95">
        <f>+'11. Final Load Forecast'!$L$27/'11. Final Load Forecast'!$L$26</f>
        <v>703881.03225806449</v>
      </c>
      <c r="J23" s="95">
        <f>+'11. Final Load Forecast'!$L$28/'11. Final Load Forecast'!$L$26</f>
        <v>1841.6129032258063</v>
      </c>
      <c r="K23" s="95">
        <f>+'11. Final Load Forecast'!$L$31/'11. Final Load Forecast'!$L$30</f>
        <v>942.45294117647063</v>
      </c>
      <c r="L23" s="95">
        <f>+'11. Final Load Forecast'!$L$32/'11. Final Load Forecast'!$L$30</f>
        <v>2.6134453781512605</v>
      </c>
      <c r="M23" s="95" t="e">
        <f>+'11. Final Load Forecast'!$L$35/'11. Final Load Forecast'!$L$34</f>
        <v>#DIV/0!</v>
      </c>
      <c r="N23" s="95" t="e">
        <f>+'11. Final Load Forecast'!$L$36/'11. Final Load Forecast'!$L$34</f>
        <v>#DIV/0!</v>
      </c>
      <c r="O23" s="95" t="e">
        <f>+'11. Final Load Forecast'!$L$39/'11. Final Load Forecast'!$L$38</f>
        <v>#DIV/0!</v>
      </c>
      <c r="P23" s="96" t="e">
        <f>+'11. Final Load Forecast'!$L$40/'11. Final Load Forecast'!$L$38</f>
        <v>#DIV/0!</v>
      </c>
    </row>
    <row r="24" spans="2:16" x14ac:dyDescent="0.2">
      <c r="B24" s="203">
        <f>'4. Customer Growth'!B26</f>
        <v>2015</v>
      </c>
      <c r="C24" s="95">
        <f>+'11. Final Load Forecast'!$M$15/'11. Final Load Forecast'!$M$14</f>
        <v>7829.892034929876</v>
      </c>
      <c r="D24" s="95">
        <f>+'11. Final Load Forecast'!$M$16/'11. Final Load Forecast'!$M$14</f>
        <v>0</v>
      </c>
      <c r="E24" s="95">
        <f>+'11. Final Load Forecast'!$M$19/'11. Final Load Forecast'!$M$18</f>
        <v>25217.004651162792</v>
      </c>
      <c r="F24" s="95">
        <f>+'11. Final Load Forecast'!$M$20/'11. Final Load Forecast'!$M$18</f>
        <v>0</v>
      </c>
      <c r="G24" s="95">
        <f>+'11. Final Load Forecast'!$M$23/'11. Final Load Forecast'!$M$22</f>
        <v>4708</v>
      </c>
      <c r="H24" s="95">
        <f>+'11. Final Load Forecast'!$M$24/'11. Final Load Forecast'!$M$22</f>
        <v>0</v>
      </c>
      <c r="I24" s="95">
        <f>+'11. Final Load Forecast'!$M$27/'11. Final Load Forecast'!$M$26</f>
        <v>739271.57377049176</v>
      </c>
      <c r="J24" s="95">
        <f>+'11. Final Load Forecast'!$M$28/'11. Final Load Forecast'!$M$26</f>
        <v>1867.5737704918033</v>
      </c>
      <c r="K24" s="95">
        <f>+'11. Final Load Forecast'!$M$31/'11. Final Load Forecast'!$M$30</f>
        <v>944.2705882352941</v>
      </c>
      <c r="L24" s="95">
        <f>+'11. Final Load Forecast'!$M$32/'11. Final Load Forecast'!$M$30</f>
        <v>2.619327731092437</v>
      </c>
      <c r="M24" s="95" t="e">
        <f>+'11. Final Load Forecast'!$M$35/'11. Final Load Forecast'!$M$34</f>
        <v>#DIV/0!</v>
      </c>
      <c r="N24" s="95" t="e">
        <f>+'11. Final Load Forecast'!$M$36/'11. Final Load Forecast'!$M$34</f>
        <v>#DIV/0!</v>
      </c>
      <c r="O24" s="95" t="e">
        <f>+'11. Final Load Forecast'!$M$39/'11. Final Load Forecast'!$M$38</f>
        <v>#DIV/0!</v>
      </c>
      <c r="P24" s="96" t="e">
        <f>+'11. Final Load Forecast'!$M$40/'11. Final Load Forecast'!$M$38</f>
        <v>#DIV/0!</v>
      </c>
    </row>
    <row r="25" spans="2:16" x14ac:dyDescent="0.2">
      <c r="B25" s="204" t="str">
        <f>'4. Customer Growth'!B30</f>
        <v>2016</v>
      </c>
      <c r="C25" s="95">
        <f>+'11. Final Load Forecast'!$N$15/'11. Final Load Forecast'!$N$14</f>
        <v>7773.7296174439944</v>
      </c>
      <c r="D25" s="95">
        <f>+'11. Final Load Forecast'!$N$16/'11. Final Load Forecast'!$N$14</f>
        <v>0</v>
      </c>
      <c r="E25" s="95">
        <f>+'11. Final Load Forecast'!$N$19/'11. Final Load Forecast'!$N$18</f>
        <v>28499.108768467857</v>
      </c>
      <c r="F25" s="95">
        <f>+'11. Final Load Forecast'!$N$20/'11. Final Load Forecast'!$N$18</f>
        <v>0</v>
      </c>
      <c r="G25" s="95">
        <f>+'11. Final Load Forecast'!$N$23/'11. Final Load Forecast'!$N$22</f>
        <v>4554.8008092192567</v>
      </c>
      <c r="H25" s="95">
        <f>+'11. Final Load Forecast'!$N$24/'11. Final Load Forecast'!$N$22</f>
        <v>0</v>
      </c>
      <c r="I25" s="95">
        <f>+'11. Final Load Forecast'!$N$27/'11. Final Load Forecast'!$N$26</f>
        <v>729709.54468818859</v>
      </c>
      <c r="J25" s="95">
        <f>+'11. Final Load Forecast'!$N$28/'11. Final Load Forecast'!$N$26</f>
        <v>1982.8532929949495</v>
      </c>
      <c r="K25" s="95">
        <f>+'11. Final Load Forecast'!$N$31/'11. Final Load Forecast'!$N$30</f>
        <v>926.75716103485513</v>
      </c>
      <c r="L25" s="95">
        <f>+'11. Final Load Forecast'!$N$32/'11. Final Load Forecast'!$N$30</f>
        <v>2.5751890119278951</v>
      </c>
      <c r="M25" s="95" t="e">
        <f>+'11. Final Load Forecast'!$N$35/'11. Final Load Forecast'!$N$34</f>
        <v>#DIV/0!</v>
      </c>
      <c r="N25" s="95" t="e">
        <f>+'11. Final Load Forecast'!$N$36/'11. Final Load Forecast'!$N$34</f>
        <v>#DIV/0!</v>
      </c>
      <c r="O25" s="95" t="e">
        <f>+'11. Final Load Forecast'!$N$39/'11. Final Load Forecast'!$N$38</f>
        <v>#DIV/0!</v>
      </c>
      <c r="P25" s="96" t="e">
        <f>+'11. Final Load Forecast'!$N$40/'11. Final Load Forecast'!$N$38</f>
        <v>#DIV/0!</v>
      </c>
    </row>
    <row r="26" spans="2:16" ht="13.5" thickBot="1" x14ac:dyDescent="0.25">
      <c r="B26" s="205" t="str">
        <f>'4. Customer Growth'!B31</f>
        <v>2017</v>
      </c>
      <c r="C26" s="97">
        <f>+'11. Final Load Forecast'!$O$15/'11. Final Load Forecast'!$O$14</f>
        <v>7543.4574548812316</v>
      </c>
      <c r="D26" s="97">
        <f>+'11. Final Load Forecast'!$O$16/'11. Final Load Forecast'!$O$14</f>
        <v>0</v>
      </c>
      <c r="E26" s="97">
        <f>+'11. Final Load Forecast'!$O$19/'11. Final Load Forecast'!$O$18</f>
        <v>28404.570016595098</v>
      </c>
      <c r="F26" s="97">
        <f>+'11. Final Load Forecast'!$O$20/'11. Final Load Forecast'!$O$18</f>
        <v>0</v>
      </c>
      <c r="G26" s="97">
        <f>+'11. Final Load Forecast'!$O$23/'11. Final Load Forecast'!$O$22</f>
        <v>4371.9532155943225</v>
      </c>
      <c r="H26" s="97">
        <f>+'11. Final Load Forecast'!$O$24/'11. Final Load Forecast'!$O$22</f>
        <v>0</v>
      </c>
      <c r="I26" s="97">
        <f>+'11. Final Load Forecast'!$O$27/'11. Final Load Forecast'!$O$26</f>
        <v>714610.22902933066</v>
      </c>
      <c r="J26" s="97">
        <f>+'11. Final Load Forecast'!$O$28/'11. Final Load Forecast'!$O$26</f>
        <v>1941.8236422331108</v>
      </c>
      <c r="K26" s="97">
        <f>+'11. Final Load Forecast'!$O$31/'11. Final Load Forecast'!$O$30</f>
        <v>902.41980942413454</v>
      </c>
      <c r="L26" s="97">
        <f>+'11. Final Load Forecast'!$O$32/'11. Final Load Forecast'!$O$30</f>
        <v>2.5075625795867951</v>
      </c>
      <c r="M26" s="97" t="e">
        <f>+'11. Final Load Forecast'!$O$35/'11. Final Load Forecast'!$O$34</f>
        <v>#DIV/0!</v>
      </c>
      <c r="N26" s="97" t="e">
        <f>+'11. Final Load Forecast'!$O$36/'11. Final Load Forecast'!$O$34</f>
        <v>#DIV/0!</v>
      </c>
      <c r="O26" s="97" t="e">
        <f>+'11. Final Load Forecast'!$O$39/'11. Final Load Forecast'!$O$38</f>
        <v>#DIV/0!</v>
      </c>
      <c r="P26" s="98" t="e">
        <f>+'11. Final Load Forecast'!$O$40/'11. Final Load Forecast'!$O$38</f>
        <v>#DIV/0!</v>
      </c>
    </row>
  </sheetData>
  <mergeCells count="7">
    <mergeCell ref="C13:D13"/>
    <mergeCell ref="E13:F13"/>
    <mergeCell ref="O13:P13"/>
    <mergeCell ref="M13:N13"/>
    <mergeCell ref="G13:H13"/>
    <mergeCell ref="K13:L13"/>
    <mergeCell ref="I13:J1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topLeftCell="A10" workbookViewId="0">
      <selection activeCell="S54" sqref="S54"/>
    </sheetView>
  </sheetViews>
  <sheetFormatPr defaultRowHeight="12.75" x14ac:dyDescent="0.2"/>
  <cols>
    <col min="1" max="1" width="13.1640625" customWidth="1"/>
    <col min="2" max="2" width="23.1640625" customWidth="1"/>
    <col min="3" max="3" width="18.83203125" bestFit="1" customWidth="1"/>
    <col min="4" max="4" width="19.83203125" bestFit="1" customWidth="1"/>
    <col min="5" max="5" width="18.83203125" bestFit="1" customWidth="1"/>
    <col min="6" max="6" width="19.83203125" bestFit="1" customWidth="1"/>
    <col min="7" max="7" width="18.83203125" bestFit="1" customWidth="1"/>
    <col min="8" max="8" width="19.83203125" bestFit="1" customWidth="1"/>
    <col min="9" max="9" width="18.83203125" bestFit="1" customWidth="1"/>
  </cols>
  <sheetData>
    <row r="1" spans="1:10" s="534" customFormat="1" x14ac:dyDescent="0.2">
      <c r="A1" s="755" t="s">
        <v>269</v>
      </c>
    </row>
    <row r="2" spans="1:10" s="534" customFormat="1" x14ac:dyDescent="0.2"/>
    <row r="3" spans="1:10" s="534" customFormat="1" x14ac:dyDescent="0.2"/>
    <row r="4" spans="1:10" s="534" customFormat="1" x14ac:dyDescent="0.2"/>
    <row r="5" spans="1:10" s="534" customFormat="1" x14ac:dyDescent="0.2"/>
    <row r="6" spans="1:10" s="534" customFormat="1" x14ac:dyDescent="0.2"/>
    <row r="7" spans="1:10" s="534" customFormat="1" x14ac:dyDescent="0.2"/>
    <row r="8" spans="1:10" s="534" customFormat="1" x14ac:dyDescent="0.2"/>
    <row r="9" spans="1:10" s="534" customFormat="1" x14ac:dyDescent="0.2"/>
    <row r="10" spans="1:10" s="534" customFormat="1" x14ac:dyDescent="0.2"/>
    <row r="11" spans="1:10" s="534" customFormat="1" ht="23.25" x14ac:dyDescent="0.2">
      <c r="B11" s="133" t="s">
        <v>102</v>
      </c>
    </row>
    <row r="12" spans="1:10" s="534" customFormat="1" ht="12.75" customHeight="1" x14ac:dyDescent="0.2">
      <c r="B12" s="133"/>
    </row>
    <row r="13" spans="1:10" s="534" customFormat="1" x14ac:dyDescent="0.2">
      <c r="B13" s="781" t="s">
        <v>277</v>
      </c>
      <c r="C13" s="782" t="s">
        <v>278</v>
      </c>
      <c r="D13" s="781" t="s">
        <v>277</v>
      </c>
      <c r="E13" s="782" t="s">
        <v>278</v>
      </c>
      <c r="F13" s="781" t="s">
        <v>277</v>
      </c>
      <c r="G13" s="782" t="s">
        <v>278</v>
      </c>
      <c r="H13" s="781" t="s">
        <v>277</v>
      </c>
      <c r="I13" s="782" t="s">
        <v>278</v>
      </c>
    </row>
    <row r="14" spans="1:10" s="534" customFormat="1" x14ac:dyDescent="0.2">
      <c r="B14" s="783" t="s">
        <v>279</v>
      </c>
      <c r="C14" s="784">
        <v>13142570.375399999</v>
      </c>
      <c r="D14" s="783" t="s">
        <v>280</v>
      </c>
      <c r="E14" s="784">
        <v>14771571.713964712</v>
      </c>
      <c r="F14" s="783" t="s">
        <v>281</v>
      </c>
      <c r="G14" s="784">
        <v>16076421.379999999</v>
      </c>
      <c r="H14" s="785" t="s">
        <v>282</v>
      </c>
      <c r="I14" s="784">
        <v>18286019</v>
      </c>
    </row>
    <row r="15" spans="1:10" x14ac:dyDescent="0.2">
      <c r="B15" s="783" t="s">
        <v>283</v>
      </c>
      <c r="C15" s="784">
        <v>13197164.210000001</v>
      </c>
      <c r="D15" s="786" t="s">
        <v>284</v>
      </c>
      <c r="E15" s="784">
        <v>14773248.220000001</v>
      </c>
      <c r="F15" s="783" t="s">
        <v>285</v>
      </c>
      <c r="G15" s="784">
        <v>16145185.029999999</v>
      </c>
      <c r="H15" s="787" t="s">
        <v>286</v>
      </c>
      <c r="I15" s="784">
        <v>18353283.109999999</v>
      </c>
      <c r="J15" s="513"/>
    </row>
    <row r="16" spans="1:10" x14ac:dyDescent="0.2">
      <c r="B16" s="787" t="s">
        <v>287</v>
      </c>
      <c r="C16" s="784">
        <v>13231223.890000001</v>
      </c>
      <c r="D16" s="783" t="s">
        <v>288</v>
      </c>
      <c r="E16" s="784">
        <v>14838362.260899998</v>
      </c>
      <c r="F16" s="786" t="s">
        <v>289</v>
      </c>
      <c r="G16" s="784">
        <v>16259992.859999999</v>
      </c>
      <c r="H16" s="785" t="s">
        <v>290</v>
      </c>
      <c r="I16" s="784">
        <v>18549948.033</v>
      </c>
      <c r="J16" s="513"/>
    </row>
    <row r="17" spans="2:10" x14ac:dyDescent="0.2">
      <c r="B17" s="783" t="s">
        <v>291</v>
      </c>
      <c r="C17" s="784">
        <v>13562494.850000001</v>
      </c>
      <c r="D17" s="787" t="s">
        <v>292</v>
      </c>
      <c r="E17" s="784">
        <v>14896602.02</v>
      </c>
      <c r="F17" s="787" t="s">
        <v>293</v>
      </c>
      <c r="G17" s="784">
        <v>16320059.470000001</v>
      </c>
      <c r="H17" s="787" t="s">
        <v>294</v>
      </c>
      <c r="I17" s="784">
        <v>18569676.210000001</v>
      </c>
      <c r="J17" s="513"/>
    </row>
    <row r="18" spans="2:10" x14ac:dyDescent="0.2">
      <c r="B18" s="783" t="s">
        <v>295</v>
      </c>
      <c r="C18" s="784">
        <v>13562663.460000001</v>
      </c>
      <c r="D18" s="786" t="s">
        <v>296</v>
      </c>
      <c r="E18" s="784">
        <v>14962494.51</v>
      </c>
      <c r="F18" s="787" t="s">
        <v>297</v>
      </c>
      <c r="G18" s="784">
        <v>16336448.780000001</v>
      </c>
      <c r="H18" s="787" t="s">
        <v>298</v>
      </c>
      <c r="I18" s="784">
        <v>18576054.222617</v>
      </c>
      <c r="J18" s="513"/>
    </row>
    <row r="19" spans="2:10" x14ac:dyDescent="0.2">
      <c r="B19" s="787" t="s">
        <v>299</v>
      </c>
      <c r="C19" s="784">
        <v>13621301.949999999</v>
      </c>
      <c r="D19" s="783" t="s">
        <v>300</v>
      </c>
      <c r="E19" s="784">
        <v>14969028.680756001</v>
      </c>
      <c r="F19" s="786" t="s">
        <v>301</v>
      </c>
      <c r="G19" s="784">
        <v>16379523.159999998</v>
      </c>
      <c r="H19" s="785" t="s">
        <v>302</v>
      </c>
      <c r="I19" s="784">
        <v>18577263.48</v>
      </c>
      <c r="J19" s="513"/>
    </row>
    <row r="20" spans="2:10" x14ac:dyDescent="0.2">
      <c r="B20" s="787" t="s">
        <v>303</v>
      </c>
      <c r="C20" s="784">
        <v>13925725.6516</v>
      </c>
      <c r="D20" s="783" t="s">
        <v>304</v>
      </c>
      <c r="E20" s="784">
        <v>15016413.851820258</v>
      </c>
      <c r="F20" s="786" t="s">
        <v>305</v>
      </c>
      <c r="G20" s="784">
        <v>16553181.857891716</v>
      </c>
      <c r="H20" s="787" t="s">
        <v>306</v>
      </c>
      <c r="I20" s="784">
        <v>18728375.258694019</v>
      </c>
      <c r="J20" s="513"/>
    </row>
    <row r="21" spans="2:10" x14ac:dyDescent="0.2">
      <c r="B21" s="786" t="s">
        <v>307</v>
      </c>
      <c r="C21" s="784">
        <v>14032949.92</v>
      </c>
      <c r="D21" s="786" t="s">
        <v>308</v>
      </c>
      <c r="E21" s="784">
        <v>15077804.041620001</v>
      </c>
      <c r="F21" s="787" t="s">
        <v>309</v>
      </c>
      <c r="G21" s="784">
        <v>16590760.577996613</v>
      </c>
      <c r="H21" s="785" t="s">
        <v>310</v>
      </c>
      <c r="I21" s="784">
        <v>19353299.849999998</v>
      </c>
      <c r="J21" s="513"/>
    </row>
    <row r="22" spans="2:10" x14ac:dyDescent="0.2">
      <c r="B22" s="786" t="s">
        <v>311</v>
      </c>
      <c r="C22" s="784">
        <v>14189419.83</v>
      </c>
      <c r="D22" s="786" t="s">
        <v>312</v>
      </c>
      <c r="E22" s="784">
        <v>15176419.100000001</v>
      </c>
      <c r="F22" s="783" t="s">
        <v>313</v>
      </c>
      <c r="G22" s="784">
        <v>16686329.729999999</v>
      </c>
      <c r="H22" s="785" t="s">
        <v>314</v>
      </c>
      <c r="I22" s="784">
        <v>19481450.321269371</v>
      </c>
      <c r="J22" s="513"/>
    </row>
    <row r="23" spans="2:10" x14ac:dyDescent="0.2">
      <c r="B23" s="783" t="s">
        <v>315</v>
      </c>
      <c r="C23" s="784">
        <v>14231044.66</v>
      </c>
      <c r="D23" s="783" t="s">
        <v>316</v>
      </c>
      <c r="E23" s="784">
        <v>15187168.289077807</v>
      </c>
      <c r="F23" s="787" t="s">
        <v>317</v>
      </c>
      <c r="G23" s="784">
        <v>16701386.796254</v>
      </c>
      <c r="H23" s="785" t="s">
        <v>318</v>
      </c>
      <c r="I23" s="784">
        <v>19661405.159099996</v>
      </c>
      <c r="J23" s="513"/>
    </row>
    <row r="24" spans="2:10" x14ac:dyDescent="0.2">
      <c r="B24" s="786" t="s">
        <v>319</v>
      </c>
      <c r="C24" s="784">
        <v>14261991.7149</v>
      </c>
      <c r="D24" s="787" t="s">
        <v>320</v>
      </c>
      <c r="E24" s="784">
        <v>15269362.011053002</v>
      </c>
      <c r="F24" s="783" t="s">
        <v>321</v>
      </c>
      <c r="G24" s="784">
        <v>16708052.818849999</v>
      </c>
      <c r="H24" s="785" t="s">
        <v>322</v>
      </c>
      <c r="I24" s="784">
        <v>19664058.609999999</v>
      </c>
      <c r="J24" s="513"/>
    </row>
    <row r="25" spans="2:10" x14ac:dyDescent="0.2">
      <c r="B25" s="783" t="s">
        <v>323</v>
      </c>
      <c r="C25" s="784">
        <v>14275293.41</v>
      </c>
      <c r="D25" s="787" t="s">
        <v>324</v>
      </c>
      <c r="E25" s="784">
        <v>15285765.959005743</v>
      </c>
      <c r="F25" s="783" t="s">
        <v>325</v>
      </c>
      <c r="G25" s="784">
        <v>16708349.158282166</v>
      </c>
      <c r="H25" s="785" t="s">
        <v>326</v>
      </c>
      <c r="I25" s="784">
        <v>19667098.419999998</v>
      </c>
      <c r="J25" s="513"/>
    </row>
    <row r="26" spans="2:10" x14ac:dyDescent="0.2">
      <c r="B26" s="783" t="s">
        <v>327</v>
      </c>
      <c r="C26" s="784">
        <v>14315020.859999999</v>
      </c>
      <c r="D26" s="786" t="s">
        <v>328</v>
      </c>
      <c r="E26" s="784">
        <v>15301048.23</v>
      </c>
      <c r="F26" s="783" t="s">
        <v>329</v>
      </c>
      <c r="G26" s="784">
        <v>16710915.369999999</v>
      </c>
      <c r="H26" s="785" t="s">
        <v>330</v>
      </c>
      <c r="I26" s="784">
        <v>19878921.599999998</v>
      </c>
      <c r="J26" s="513"/>
    </row>
    <row r="27" spans="2:10" x14ac:dyDescent="0.2">
      <c r="B27" s="786" t="s">
        <v>331</v>
      </c>
      <c r="C27" s="784">
        <v>14325029.304391</v>
      </c>
      <c r="D27" s="786" t="s">
        <v>332</v>
      </c>
      <c r="E27" s="784">
        <v>15381044.64521</v>
      </c>
      <c r="F27" s="786" t="s">
        <v>333</v>
      </c>
      <c r="G27" s="784">
        <v>16774606.08</v>
      </c>
      <c r="H27" s="785" t="s">
        <v>334</v>
      </c>
      <c r="I27" s="784">
        <v>20050342.48</v>
      </c>
      <c r="J27" s="513"/>
    </row>
    <row r="28" spans="2:10" x14ac:dyDescent="0.2">
      <c r="B28" s="783" t="s">
        <v>335</v>
      </c>
      <c r="C28" s="784">
        <v>14379977.777999999</v>
      </c>
      <c r="D28" s="786" t="s">
        <v>336</v>
      </c>
      <c r="E28" s="784">
        <v>15401820.369999999</v>
      </c>
      <c r="F28" s="783" t="s">
        <v>337</v>
      </c>
      <c r="G28" s="784">
        <v>16804953.34</v>
      </c>
      <c r="H28" s="785" t="s">
        <v>338</v>
      </c>
      <c r="I28" s="784">
        <v>20077998.356498003</v>
      </c>
      <c r="J28" s="513"/>
    </row>
    <row r="29" spans="2:10" x14ac:dyDescent="0.2">
      <c r="B29" s="786" t="s">
        <v>339</v>
      </c>
      <c r="C29" s="784">
        <v>14397153.609999999</v>
      </c>
      <c r="D29" s="783" t="s">
        <v>340</v>
      </c>
      <c r="E29" s="784">
        <v>15412186.68</v>
      </c>
      <c r="F29" s="786" t="s">
        <v>341</v>
      </c>
      <c r="G29" s="784">
        <v>17264814.59</v>
      </c>
      <c r="H29" s="785" t="s">
        <v>342</v>
      </c>
      <c r="I29" s="784">
        <v>20103852.542633999</v>
      </c>
      <c r="J29" s="513"/>
    </row>
    <row r="30" spans="2:10" x14ac:dyDescent="0.2">
      <c r="B30" s="786" t="s">
        <v>343</v>
      </c>
      <c r="C30" s="784">
        <v>14401253.280000001</v>
      </c>
      <c r="D30" s="783" t="s">
        <v>344</v>
      </c>
      <c r="E30" s="784">
        <v>15495250.050000001</v>
      </c>
      <c r="F30" s="787" t="s">
        <v>345</v>
      </c>
      <c r="G30" s="784">
        <v>17309380.59</v>
      </c>
      <c r="H30" s="785" t="s">
        <v>346</v>
      </c>
      <c r="I30" s="784">
        <v>20156456.619999997</v>
      </c>
      <c r="J30" s="513"/>
    </row>
    <row r="31" spans="2:10" x14ac:dyDescent="0.2">
      <c r="B31" s="786" t="s">
        <v>347</v>
      </c>
      <c r="C31" s="784">
        <v>14452668.02</v>
      </c>
      <c r="D31" s="786" t="s">
        <v>348</v>
      </c>
      <c r="E31" s="784">
        <v>15547543.850000001</v>
      </c>
      <c r="F31" s="786" t="s">
        <v>349</v>
      </c>
      <c r="G31" s="784">
        <v>17326611.672388487</v>
      </c>
      <c r="H31" s="785" t="s">
        <v>350</v>
      </c>
      <c r="I31" s="784">
        <v>20219113.609999999</v>
      </c>
      <c r="J31" s="513"/>
    </row>
    <row r="32" spans="2:10" x14ac:dyDescent="0.2">
      <c r="B32" s="787" t="s">
        <v>351</v>
      </c>
      <c r="C32" s="784">
        <v>14463639.93</v>
      </c>
      <c r="D32" s="783" t="s">
        <v>352</v>
      </c>
      <c r="E32" s="784">
        <v>15622868.66</v>
      </c>
      <c r="F32" s="787" t="s">
        <v>353</v>
      </c>
      <c r="G32" s="784">
        <v>17502908.710000001</v>
      </c>
      <c r="H32" s="785" t="s">
        <v>354</v>
      </c>
      <c r="I32" s="784">
        <v>20238954.513</v>
      </c>
      <c r="J32" s="513"/>
    </row>
    <row r="33" spans="2:10" x14ac:dyDescent="0.2">
      <c r="B33" s="787" t="s">
        <v>355</v>
      </c>
      <c r="C33" s="784">
        <v>14470448.540000001</v>
      </c>
      <c r="D33" s="786" t="s">
        <v>356</v>
      </c>
      <c r="E33" s="784">
        <v>15636274.029739005</v>
      </c>
      <c r="F33" s="783" t="s">
        <v>357</v>
      </c>
      <c r="G33" s="784">
        <v>17567835.690000001</v>
      </c>
      <c r="H33" s="785" t="s">
        <v>358</v>
      </c>
      <c r="I33" s="784">
        <v>20437551.590970002</v>
      </c>
      <c r="J33" s="513"/>
    </row>
    <row r="34" spans="2:10" x14ac:dyDescent="0.2">
      <c r="B34" s="787" t="s">
        <v>359</v>
      </c>
      <c r="C34" s="784">
        <v>14497262.369999999</v>
      </c>
      <c r="D34" s="786" t="s">
        <v>360</v>
      </c>
      <c r="E34" s="784">
        <v>15683038.34</v>
      </c>
      <c r="F34" s="786" t="s">
        <v>361</v>
      </c>
      <c r="G34" s="784">
        <v>17609345.43</v>
      </c>
      <c r="H34" s="785" t="s">
        <v>362</v>
      </c>
      <c r="I34" s="784">
        <v>20524877.23</v>
      </c>
      <c r="J34" s="513"/>
    </row>
    <row r="35" spans="2:10" x14ac:dyDescent="0.2">
      <c r="B35" s="783" t="s">
        <v>363</v>
      </c>
      <c r="C35" s="784">
        <v>14550142.923020002</v>
      </c>
      <c r="D35" s="786" t="s">
        <v>364</v>
      </c>
      <c r="E35" s="784">
        <v>15748089.349450001</v>
      </c>
      <c r="F35" s="787" t="s">
        <v>365</v>
      </c>
      <c r="G35" s="784">
        <v>17633486.812399998</v>
      </c>
      <c r="H35" s="785" t="s">
        <v>366</v>
      </c>
      <c r="I35" s="784">
        <v>20811741.748199999</v>
      </c>
      <c r="J35" s="513"/>
    </row>
    <row r="36" spans="2:10" x14ac:dyDescent="0.2">
      <c r="B36" s="787" t="s">
        <v>367</v>
      </c>
      <c r="C36" s="784">
        <v>14561831.641099997</v>
      </c>
      <c r="D36" s="786" t="s">
        <v>368</v>
      </c>
      <c r="E36" s="784">
        <v>15758011.33</v>
      </c>
      <c r="F36" s="787" t="s">
        <v>369</v>
      </c>
      <c r="G36" s="784">
        <v>17771679.620000001</v>
      </c>
      <c r="H36" s="785" t="s">
        <v>370</v>
      </c>
      <c r="I36" s="784">
        <v>21239545.866999999</v>
      </c>
      <c r="J36" s="513"/>
    </row>
    <row r="37" spans="2:10" x14ac:dyDescent="0.2">
      <c r="B37" s="786" t="s">
        <v>371</v>
      </c>
      <c r="C37" s="784">
        <v>14607590.370000001</v>
      </c>
      <c r="D37" s="787" t="s">
        <v>372</v>
      </c>
      <c r="E37" s="784">
        <v>15774969.868452001</v>
      </c>
      <c r="F37" s="785" t="s">
        <v>373</v>
      </c>
      <c r="G37" s="784">
        <v>17805492.899999999</v>
      </c>
      <c r="H37" s="785" t="s">
        <v>374</v>
      </c>
      <c r="I37" s="784">
        <v>21744464.640000001</v>
      </c>
      <c r="J37" s="513"/>
    </row>
    <row r="38" spans="2:10" x14ac:dyDescent="0.2">
      <c r="B38" s="787" t="s">
        <v>375</v>
      </c>
      <c r="C38" s="784">
        <v>14608518.360000001</v>
      </c>
      <c r="D38" s="786" t="s">
        <v>376</v>
      </c>
      <c r="E38" s="784">
        <v>15810906.49</v>
      </c>
      <c r="F38" s="787" t="s">
        <v>377</v>
      </c>
      <c r="G38" s="784">
        <v>17959423.102491997</v>
      </c>
      <c r="H38" s="785" t="s">
        <v>378</v>
      </c>
      <c r="I38" s="784">
        <v>21764978.050000001</v>
      </c>
      <c r="J38" s="513"/>
    </row>
    <row r="39" spans="2:10" x14ac:dyDescent="0.2">
      <c r="B39" s="787" t="s">
        <v>379</v>
      </c>
      <c r="C39" s="784">
        <v>14621069.789999999</v>
      </c>
      <c r="D39" s="783" t="s">
        <v>380</v>
      </c>
      <c r="E39" s="784">
        <v>15831167.129999999</v>
      </c>
      <c r="F39" s="785" t="s">
        <v>381</v>
      </c>
      <c r="G39" s="784">
        <v>18046844.399999999</v>
      </c>
      <c r="H39" s="785" t="s">
        <v>382</v>
      </c>
      <c r="I39" s="784">
        <v>21851520.649999999</v>
      </c>
      <c r="J39" s="513"/>
    </row>
    <row r="40" spans="2:10" x14ac:dyDescent="0.2">
      <c r="B40" s="783" t="s">
        <v>383</v>
      </c>
      <c r="C40" s="784">
        <v>14622897.859999999</v>
      </c>
      <c r="D40" s="786" t="s">
        <v>384</v>
      </c>
      <c r="E40" s="784">
        <v>15840370.5626</v>
      </c>
      <c r="F40" s="787" t="s">
        <v>385</v>
      </c>
      <c r="G40" s="784">
        <v>18117945.16894</v>
      </c>
      <c r="H40" s="785" t="s">
        <v>386</v>
      </c>
      <c r="I40" s="784">
        <v>21962594.901799999</v>
      </c>
      <c r="J40" s="513"/>
    </row>
    <row r="41" spans="2:10" x14ac:dyDescent="0.2">
      <c r="B41" s="787" t="s">
        <v>387</v>
      </c>
      <c r="C41" s="784">
        <v>14660940.24</v>
      </c>
      <c r="D41" s="787" t="s">
        <v>388</v>
      </c>
      <c r="E41" s="784">
        <v>15890996.970000001</v>
      </c>
      <c r="F41" s="787" t="s">
        <v>389</v>
      </c>
      <c r="G41" s="784">
        <v>18155599.109999999</v>
      </c>
      <c r="H41" s="785" t="s">
        <v>390</v>
      </c>
      <c r="I41" s="784">
        <v>22597983.941599999</v>
      </c>
      <c r="J41" s="513"/>
    </row>
    <row r="42" spans="2:10" x14ac:dyDescent="0.2">
      <c r="B42" s="786" t="s">
        <v>391</v>
      </c>
      <c r="C42" s="784">
        <v>14663820.33</v>
      </c>
      <c r="D42" s="787" t="s">
        <v>392</v>
      </c>
      <c r="E42" s="784">
        <v>15902024.119999999</v>
      </c>
      <c r="F42" s="785" t="s">
        <v>393</v>
      </c>
      <c r="G42" s="784">
        <v>18157595.420000002</v>
      </c>
      <c r="H42" s="785" t="s">
        <v>394</v>
      </c>
      <c r="I42" s="784">
        <v>22616689.791279998</v>
      </c>
      <c r="J42" s="513"/>
    </row>
    <row r="43" spans="2:10" x14ac:dyDescent="0.2">
      <c r="B43" s="787" t="s">
        <v>395</v>
      </c>
      <c r="C43" s="784">
        <v>14737358.42</v>
      </c>
      <c r="D43" s="786" t="s">
        <v>396</v>
      </c>
      <c r="E43" s="784">
        <v>16044093.470000001</v>
      </c>
      <c r="F43" s="785" t="s">
        <v>397</v>
      </c>
      <c r="G43" s="784">
        <v>18188849.137899999</v>
      </c>
      <c r="H43" s="785" t="s">
        <v>398</v>
      </c>
      <c r="I43" s="784">
        <v>23335022.759390123</v>
      </c>
      <c r="J43" s="513"/>
    </row>
    <row r="44" spans="2:10" x14ac:dyDescent="0.2">
      <c r="B44" s="720"/>
      <c r="C44" s="788"/>
      <c r="D44" s="720"/>
      <c r="E44" s="720"/>
      <c r="F44" s="720"/>
      <c r="G44" s="720"/>
      <c r="H44" s="720"/>
      <c r="I44" s="720"/>
      <c r="J44" s="513"/>
    </row>
    <row r="45" spans="2:10" x14ac:dyDescent="0.2">
      <c r="B45" s="785" t="s">
        <v>399</v>
      </c>
      <c r="C45" s="788"/>
      <c r="D45" s="720"/>
      <c r="E45" s="720"/>
      <c r="F45" s="720"/>
      <c r="G45" s="720"/>
      <c r="H45" s="720"/>
      <c r="I45" s="720"/>
      <c r="J45" s="513"/>
    </row>
    <row r="46" spans="2:10" x14ac:dyDescent="0.2">
      <c r="B46" s="786" t="s">
        <v>400</v>
      </c>
      <c r="C46" s="788"/>
      <c r="D46" s="720"/>
      <c r="E46" s="720"/>
      <c r="F46" s="720"/>
      <c r="G46" s="720"/>
      <c r="H46" s="720"/>
      <c r="I46" s="720"/>
      <c r="J46" s="513"/>
    </row>
    <row r="47" spans="2:10" x14ac:dyDescent="0.2">
      <c r="B47" s="787" t="s">
        <v>401</v>
      </c>
      <c r="C47" s="788"/>
      <c r="D47" s="720"/>
      <c r="E47" s="720"/>
      <c r="F47" s="720"/>
      <c r="G47" s="720"/>
      <c r="H47" s="720"/>
      <c r="I47" s="720"/>
      <c r="J47" s="513"/>
    </row>
    <row r="48" spans="2:10" x14ac:dyDescent="0.2">
      <c r="B48" s="783" t="s">
        <v>402</v>
      </c>
      <c r="C48" s="788"/>
      <c r="D48" s="720"/>
      <c r="E48" s="720"/>
      <c r="F48" s="720"/>
      <c r="G48" s="720"/>
      <c r="H48" s="720"/>
      <c r="I48" s="720"/>
      <c r="J48" s="513"/>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2"/>
  <sheetViews>
    <sheetView showGridLines="0" workbookViewId="0">
      <selection activeCell="A11" sqref="A11"/>
    </sheetView>
  </sheetViews>
  <sheetFormatPr defaultColWidth="10.5" defaultRowHeight="12.75" x14ac:dyDescent="0.2"/>
  <cols>
    <col min="1" max="1" width="13.6640625" style="1" customWidth="1"/>
    <col min="2" max="2" width="14" style="1" customWidth="1"/>
    <col min="3" max="3" width="13.33203125" style="1" customWidth="1"/>
    <col min="4" max="4" width="13.33203125" style="534" customWidth="1"/>
    <col min="5" max="9" width="13.33203125" style="1" customWidth="1"/>
    <col min="10" max="10" width="11.33203125" style="1" bestFit="1" customWidth="1"/>
    <col min="11" max="11" width="6.6640625" style="1" customWidth="1"/>
    <col min="12" max="12" width="11.33203125" style="1" bestFit="1" customWidth="1"/>
    <col min="13" max="20" width="17.33203125" style="1" customWidth="1"/>
    <col min="21" max="21" width="8.1640625" style="1" customWidth="1"/>
    <col min="22" max="22" width="11.33203125" style="1" bestFit="1" customWidth="1"/>
    <col min="23" max="23" width="4.5" style="1" bestFit="1" customWidth="1"/>
    <col min="24" max="24" width="11.33203125" style="1" bestFit="1" customWidth="1"/>
    <col min="25" max="25" width="6.5" style="1" bestFit="1" customWidth="1"/>
    <col min="26" max="27" width="11.33203125" style="1" bestFit="1" customWidth="1"/>
    <col min="28" max="29" width="10.5" style="1"/>
    <col min="30" max="31" width="1.83203125" style="1" bestFit="1" customWidth="1"/>
    <col min="32" max="16384" width="10.5" style="1"/>
  </cols>
  <sheetData>
    <row r="1" spans="1:20" s="534" customFormat="1" x14ac:dyDescent="0.2">
      <c r="A1" s="755" t="s">
        <v>269</v>
      </c>
    </row>
    <row r="2" spans="1:20" s="534" customFormat="1" x14ac:dyDescent="0.2"/>
    <row r="3" spans="1:20" s="534" customFormat="1" x14ac:dyDescent="0.2"/>
    <row r="4" spans="1:20" s="534" customFormat="1" x14ac:dyDescent="0.2"/>
    <row r="5" spans="1:20" s="534" customFormat="1" x14ac:dyDescent="0.2"/>
    <row r="6" spans="1:20" s="534" customFormat="1" x14ac:dyDescent="0.2"/>
    <row r="7" spans="1:20" s="534" customFormat="1" x14ac:dyDescent="0.2"/>
    <row r="8" spans="1:20" s="534" customFormat="1" x14ac:dyDescent="0.2"/>
    <row r="9" spans="1:20" s="534" customFormat="1" x14ac:dyDescent="0.2"/>
    <row r="11" spans="1:20" ht="23.25" x14ac:dyDescent="0.2">
      <c r="B11" s="133" t="s">
        <v>102</v>
      </c>
    </row>
    <row r="12" spans="1:20" x14ac:dyDescent="0.2">
      <c r="B12" s="64"/>
      <c r="C12" s="145" t="s">
        <v>30</v>
      </c>
      <c r="D12" s="145"/>
      <c r="E12" s="145"/>
      <c r="F12" s="145"/>
      <c r="G12" s="145"/>
    </row>
    <row r="13" spans="1:20" x14ac:dyDescent="0.2">
      <c r="B13" s="1159" t="str">
        <f>+'11. Final Load Forecast'!B14</f>
        <v>Residential</v>
      </c>
      <c r="C13" s="1160"/>
      <c r="D13" s="1160"/>
      <c r="E13" s="1160"/>
      <c r="F13" s="1160"/>
      <c r="G13" s="1160"/>
      <c r="H13" s="1160"/>
      <c r="I13" s="1160"/>
      <c r="M13" s="1159" t="str">
        <f>+'11. Final Load Forecast'!B14</f>
        <v>Residential</v>
      </c>
      <c r="N13" s="1160"/>
      <c r="O13" s="1160"/>
      <c r="P13" s="1160"/>
      <c r="Q13" s="1160"/>
      <c r="R13" s="1160"/>
      <c r="S13" s="1160"/>
      <c r="T13" s="1160"/>
    </row>
    <row r="14" spans="1:20" x14ac:dyDescent="0.2">
      <c r="B14" s="801" t="s">
        <v>33</v>
      </c>
      <c r="C14" s="801" t="s">
        <v>49</v>
      </c>
      <c r="D14" s="801" t="s">
        <v>276</v>
      </c>
      <c r="E14" s="801" t="s">
        <v>62</v>
      </c>
      <c r="F14" s="93" t="s">
        <v>36</v>
      </c>
      <c r="G14" s="801" t="s">
        <v>62</v>
      </c>
      <c r="H14" s="93" t="s">
        <v>37</v>
      </c>
      <c r="I14" s="801" t="s">
        <v>62</v>
      </c>
      <c r="M14" s="801" t="s">
        <v>33</v>
      </c>
      <c r="N14" s="801" t="s">
        <v>49</v>
      </c>
      <c r="O14" s="801" t="s">
        <v>276</v>
      </c>
      <c r="P14" s="801" t="s">
        <v>62</v>
      </c>
      <c r="Q14" s="93" t="s">
        <v>36</v>
      </c>
      <c r="R14" s="801" t="s">
        <v>62</v>
      </c>
      <c r="S14" s="93" t="s">
        <v>37</v>
      </c>
      <c r="T14" s="801" t="s">
        <v>62</v>
      </c>
    </row>
    <row r="15" spans="1:20" x14ac:dyDescent="0.2">
      <c r="B15" s="801">
        <v>2006</v>
      </c>
      <c r="C15" s="95">
        <f>'11. Final Load Forecast'!$D$14</f>
        <v>3537</v>
      </c>
      <c r="D15" s="95"/>
      <c r="E15" s="95"/>
      <c r="F15" s="95">
        <f>+'11. Final Load Forecast'!$D$15</f>
        <v>30640106</v>
      </c>
      <c r="G15" s="95"/>
      <c r="H15" s="95">
        <f>+'11. Final Load Forecast'!$D$16</f>
        <v>0</v>
      </c>
      <c r="I15" s="95"/>
      <c r="M15" s="801">
        <v>2006</v>
      </c>
      <c r="N15" s="95">
        <f>'11. Final Load Forecast'!$D$14</f>
        <v>3537</v>
      </c>
      <c r="O15" s="95"/>
      <c r="P15" s="95"/>
      <c r="Q15" s="95">
        <f>+'11. Final Load Forecast'!$D$15</f>
        <v>30640106</v>
      </c>
      <c r="R15" s="95"/>
      <c r="S15" s="95">
        <f>+'11. Final Load Forecast'!$D$16</f>
        <v>0</v>
      </c>
      <c r="T15" s="95"/>
    </row>
    <row r="16" spans="1:20" x14ac:dyDescent="0.2">
      <c r="B16" s="801">
        <v>2007</v>
      </c>
      <c r="C16" s="95">
        <f>'11. Final Load Forecast'!$E$14</f>
        <v>3551</v>
      </c>
      <c r="D16" s="95">
        <f t="shared" ref="D16:D25" si="0">C16-C15</f>
        <v>14</v>
      </c>
      <c r="E16" s="986">
        <f t="shared" ref="E16:E26" si="1">(C16-C15)/C15</f>
        <v>3.9581566299123549E-3</v>
      </c>
      <c r="F16" s="95">
        <f>+'11. Final Load Forecast'!$E$15</f>
        <v>31007901</v>
      </c>
      <c r="G16" s="986">
        <f t="shared" ref="G16:G26" si="2">(F16-F15)/F15</f>
        <v>1.2003711736506394E-2</v>
      </c>
      <c r="H16" s="95">
        <f>+'11. Final Load Forecast'!$E$16</f>
        <v>0</v>
      </c>
      <c r="I16" s="187" t="e">
        <f t="shared" ref="I16:I26" si="3">(H16-H15)/H15</f>
        <v>#DIV/0!</v>
      </c>
      <c r="M16" s="801">
        <v>2007</v>
      </c>
      <c r="N16" s="95">
        <f>'11. Final Load Forecast'!$E$14</f>
        <v>3551</v>
      </c>
      <c r="O16" s="95">
        <f t="shared" ref="O16:O26" si="4">C16-C15</f>
        <v>14</v>
      </c>
      <c r="P16" s="187">
        <f t="shared" ref="P16:P26" si="5">(C16-C15)/C15</f>
        <v>3.9581566299123549E-3</v>
      </c>
      <c r="Q16" s="95">
        <f>+'11. Final Load Forecast'!$E$15</f>
        <v>31007901</v>
      </c>
      <c r="R16" s="187">
        <f t="shared" ref="R16:R26" si="6">(F16-F15)/F15</f>
        <v>1.2003711736506394E-2</v>
      </c>
      <c r="S16" s="95">
        <f>+'11. Final Load Forecast'!$E$16</f>
        <v>0</v>
      </c>
      <c r="T16" s="187" t="e">
        <f t="shared" ref="T16:T26" si="7">(H16-H15)/H15</f>
        <v>#DIV/0!</v>
      </c>
    </row>
    <row r="17" spans="2:31" x14ac:dyDescent="0.2">
      <c r="B17" s="801">
        <v>2008</v>
      </c>
      <c r="C17" s="95">
        <f>'11. Final Load Forecast'!$F$14</f>
        <v>3581</v>
      </c>
      <c r="D17" s="95">
        <f t="shared" si="0"/>
        <v>30</v>
      </c>
      <c r="E17" s="986">
        <f t="shared" si="1"/>
        <v>8.4483244156575606E-3</v>
      </c>
      <c r="F17" s="95">
        <f>+'11. Final Load Forecast'!$F$15</f>
        <v>31465398</v>
      </c>
      <c r="G17" s="986">
        <f t="shared" si="2"/>
        <v>1.4754207322836848E-2</v>
      </c>
      <c r="H17" s="95">
        <f>+'11. Final Load Forecast'!$F$16</f>
        <v>0</v>
      </c>
      <c r="I17" s="187" t="e">
        <f t="shared" si="3"/>
        <v>#DIV/0!</v>
      </c>
      <c r="M17" s="801">
        <v>2008</v>
      </c>
      <c r="N17" s="95">
        <f>'11. Final Load Forecast'!$F$14</f>
        <v>3581</v>
      </c>
      <c r="O17" s="95">
        <f t="shared" si="4"/>
        <v>30</v>
      </c>
      <c r="P17" s="187">
        <f t="shared" si="5"/>
        <v>8.4483244156575606E-3</v>
      </c>
      <c r="Q17" s="95">
        <f>+'11. Final Load Forecast'!$F$15</f>
        <v>31465398</v>
      </c>
      <c r="R17" s="187">
        <f t="shared" si="6"/>
        <v>1.4754207322836848E-2</v>
      </c>
      <c r="S17" s="95">
        <f>+'11. Final Load Forecast'!$F$16</f>
        <v>0</v>
      </c>
      <c r="T17" s="187" t="e">
        <f t="shared" si="7"/>
        <v>#DIV/0!</v>
      </c>
    </row>
    <row r="18" spans="2:31" x14ac:dyDescent="0.2">
      <c r="B18" s="801">
        <v>2009</v>
      </c>
      <c r="C18" s="95">
        <f>'11. Final Load Forecast'!$G$14</f>
        <v>3608</v>
      </c>
      <c r="D18" s="95">
        <f t="shared" si="0"/>
        <v>27</v>
      </c>
      <c r="E18" s="986">
        <f t="shared" si="1"/>
        <v>7.5397933538117841E-3</v>
      </c>
      <c r="F18" s="95">
        <f>+'11. Final Load Forecast'!$G$15</f>
        <v>30635928</v>
      </c>
      <c r="G18" s="986">
        <f t="shared" si="2"/>
        <v>-2.6361338254802944E-2</v>
      </c>
      <c r="H18" s="95">
        <f>+'11. Final Load Forecast'!$G$16</f>
        <v>0</v>
      </c>
      <c r="I18" s="187" t="e">
        <f t="shared" si="3"/>
        <v>#DIV/0!</v>
      </c>
      <c r="M18" s="801">
        <v>2009</v>
      </c>
      <c r="N18" s="95">
        <f>'11. Final Load Forecast'!$G$14</f>
        <v>3608</v>
      </c>
      <c r="O18" s="95">
        <f t="shared" si="4"/>
        <v>27</v>
      </c>
      <c r="P18" s="187">
        <f t="shared" si="5"/>
        <v>7.5397933538117841E-3</v>
      </c>
      <c r="Q18" s="95">
        <f>+'11. Final Load Forecast'!$G$15</f>
        <v>30635928</v>
      </c>
      <c r="R18" s="187">
        <f t="shared" si="6"/>
        <v>-2.6361338254802944E-2</v>
      </c>
      <c r="S18" s="95">
        <f>+'11. Final Load Forecast'!$G$16</f>
        <v>0</v>
      </c>
      <c r="T18" s="187" t="e">
        <f t="shared" si="7"/>
        <v>#DIV/0!</v>
      </c>
    </row>
    <row r="19" spans="2:31" x14ac:dyDescent="0.2">
      <c r="B19" s="801">
        <v>2010</v>
      </c>
      <c r="C19" s="95">
        <f>'11. Final Load Forecast'!$H$14</f>
        <v>3654</v>
      </c>
      <c r="D19" s="95">
        <f t="shared" si="0"/>
        <v>46</v>
      </c>
      <c r="E19" s="986">
        <f t="shared" si="1"/>
        <v>1.2749445676274944E-2</v>
      </c>
      <c r="F19" s="95">
        <f>+'11. Final Load Forecast'!$H$15</f>
        <v>30305144</v>
      </c>
      <c r="G19" s="986">
        <f t="shared" si="2"/>
        <v>-1.0797257390081345E-2</v>
      </c>
      <c r="H19" s="95">
        <f>+'11. Final Load Forecast'!$H$16</f>
        <v>0</v>
      </c>
      <c r="I19" s="187" t="e">
        <f t="shared" si="3"/>
        <v>#DIV/0!</v>
      </c>
      <c r="M19" s="801">
        <v>2010</v>
      </c>
      <c r="N19" s="95">
        <f>'11. Final Load Forecast'!$H$14</f>
        <v>3654</v>
      </c>
      <c r="O19" s="95">
        <f t="shared" si="4"/>
        <v>46</v>
      </c>
      <c r="P19" s="187">
        <f t="shared" si="5"/>
        <v>1.2749445676274944E-2</v>
      </c>
      <c r="Q19" s="95">
        <f>+'11. Final Load Forecast'!$H$15</f>
        <v>30305144</v>
      </c>
      <c r="R19" s="187">
        <f t="shared" si="6"/>
        <v>-1.0797257390081345E-2</v>
      </c>
      <c r="S19" s="95">
        <f>+'11. Final Load Forecast'!$H$16</f>
        <v>0</v>
      </c>
      <c r="T19" s="187" t="e">
        <f t="shared" si="7"/>
        <v>#DIV/0!</v>
      </c>
    </row>
    <row r="20" spans="2:31" x14ac:dyDescent="0.2">
      <c r="B20" s="801">
        <v>2011</v>
      </c>
      <c r="C20" s="95">
        <f>'11. Final Load Forecast'!$I$14</f>
        <v>3687</v>
      </c>
      <c r="D20" s="95">
        <f t="shared" si="0"/>
        <v>33</v>
      </c>
      <c r="E20" s="986">
        <f t="shared" si="1"/>
        <v>9.0311986863710995E-3</v>
      </c>
      <c r="F20" s="95">
        <f>+'11. Final Load Forecast'!$I$15</f>
        <v>30085520</v>
      </c>
      <c r="G20" s="986">
        <f t="shared" si="2"/>
        <v>-7.2470865012223664E-3</v>
      </c>
      <c r="H20" s="95">
        <f>+'11. Final Load Forecast'!$I$16</f>
        <v>0</v>
      </c>
      <c r="I20" s="187" t="e">
        <f t="shared" si="3"/>
        <v>#DIV/0!</v>
      </c>
      <c r="M20" s="801">
        <v>2011</v>
      </c>
      <c r="N20" s="95">
        <f>'11. Final Load Forecast'!$I$14</f>
        <v>3687</v>
      </c>
      <c r="O20" s="95">
        <f t="shared" si="4"/>
        <v>33</v>
      </c>
      <c r="P20" s="187">
        <f t="shared" si="5"/>
        <v>9.0311986863710995E-3</v>
      </c>
      <c r="Q20" s="95">
        <f>+'11. Final Load Forecast'!$I$15</f>
        <v>30085520</v>
      </c>
      <c r="R20" s="187">
        <f t="shared" si="6"/>
        <v>-7.2470865012223664E-3</v>
      </c>
      <c r="S20" s="95">
        <f>+'11. Final Load Forecast'!$I$16</f>
        <v>0</v>
      </c>
      <c r="T20" s="187" t="e">
        <f t="shared" si="7"/>
        <v>#DIV/0!</v>
      </c>
    </row>
    <row r="21" spans="2:31" x14ac:dyDescent="0.2">
      <c r="B21" s="801">
        <v>2012</v>
      </c>
      <c r="C21" s="95">
        <f>'11. Final Load Forecast'!$J$14</f>
        <v>3707</v>
      </c>
      <c r="D21" s="95">
        <f t="shared" si="0"/>
        <v>20</v>
      </c>
      <c r="E21" s="986">
        <f t="shared" si="1"/>
        <v>5.424464334147003E-3</v>
      </c>
      <c r="F21" s="95">
        <f>+'11. Final Load Forecast'!$J$15</f>
        <v>29994156</v>
      </c>
      <c r="G21" s="986">
        <f t="shared" si="2"/>
        <v>-3.0368097343838499E-3</v>
      </c>
      <c r="H21" s="95">
        <f>+'11. Final Load Forecast'!$J$16</f>
        <v>0</v>
      </c>
      <c r="I21" s="187" t="e">
        <f t="shared" si="3"/>
        <v>#DIV/0!</v>
      </c>
      <c r="M21" s="801">
        <v>2012</v>
      </c>
      <c r="N21" s="95">
        <f>'11. Final Load Forecast'!$J$14</f>
        <v>3707</v>
      </c>
      <c r="O21" s="95">
        <f t="shared" si="4"/>
        <v>20</v>
      </c>
      <c r="P21" s="187">
        <f t="shared" si="5"/>
        <v>5.424464334147003E-3</v>
      </c>
      <c r="Q21" s="95">
        <f>+'11. Final Load Forecast'!$J$15</f>
        <v>29994156</v>
      </c>
      <c r="R21" s="187">
        <f t="shared" si="6"/>
        <v>-3.0368097343838499E-3</v>
      </c>
      <c r="S21" s="95">
        <f>+'11. Final Load Forecast'!$J$16</f>
        <v>0</v>
      </c>
      <c r="T21" s="187" t="e">
        <f t="shared" si="7"/>
        <v>#DIV/0!</v>
      </c>
    </row>
    <row r="22" spans="2:31" x14ac:dyDescent="0.2">
      <c r="B22" s="801">
        <v>2013</v>
      </c>
      <c r="C22" s="95">
        <f>'11. Final Load Forecast'!$K$14</f>
        <v>3730</v>
      </c>
      <c r="D22" s="95">
        <f t="shared" si="0"/>
        <v>23</v>
      </c>
      <c r="E22" s="986">
        <f t="shared" si="1"/>
        <v>6.2044780145670353E-3</v>
      </c>
      <c r="F22" s="95">
        <f>+'11. Final Load Forecast'!$K$15</f>
        <v>30486731</v>
      </c>
      <c r="G22" s="986">
        <f t="shared" si="2"/>
        <v>1.6422365743513502E-2</v>
      </c>
      <c r="H22" s="95">
        <f>+'11. Final Load Forecast'!$K$16</f>
        <v>0</v>
      </c>
      <c r="I22" s="187" t="e">
        <f t="shared" si="3"/>
        <v>#DIV/0!</v>
      </c>
      <c r="M22" s="801">
        <v>2013</v>
      </c>
      <c r="N22" s="95">
        <f>'11. Final Load Forecast'!$K$14</f>
        <v>3730</v>
      </c>
      <c r="O22" s="95">
        <f t="shared" si="4"/>
        <v>23</v>
      </c>
      <c r="P22" s="187">
        <f t="shared" si="5"/>
        <v>6.2044780145670353E-3</v>
      </c>
      <c r="Q22" s="95">
        <f>+'11. Final Load Forecast'!$K$15</f>
        <v>30486731</v>
      </c>
      <c r="R22" s="187">
        <f t="shared" si="6"/>
        <v>1.6422365743513502E-2</v>
      </c>
      <c r="S22" s="95">
        <f>+'11. Final Load Forecast'!$K$16</f>
        <v>0</v>
      </c>
      <c r="T22" s="187" t="e">
        <f t="shared" si="7"/>
        <v>#DIV/0!</v>
      </c>
    </row>
    <row r="23" spans="2:31" x14ac:dyDescent="0.2">
      <c r="B23" s="801">
        <v>2014</v>
      </c>
      <c r="C23" s="95">
        <f>'11. Final Load Forecast'!$L$14</f>
        <v>3760</v>
      </c>
      <c r="D23" s="95">
        <f t="shared" si="0"/>
        <v>30</v>
      </c>
      <c r="E23" s="986">
        <f t="shared" si="1"/>
        <v>8.0428954423592495E-3</v>
      </c>
      <c r="F23" s="95">
        <f>+'11. Final Load Forecast'!$L$15</f>
        <v>30037011</v>
      </c>
      <c r="G23" s="986">
        <f t="shared" si="2"/>
        <v>-1.4751335589243728E-2</v>
      </c>
      <c r="H23" s="95">
        <f>+'11. Final Load Forecast'!$L$16</f>
        <v>0</v>
      </c>
      <c r="I23" s="187" t="e">
        <f t="shared" si="3"/>
        <v>#DIV/0!</v>
      </c>
      <c r="M23" s="801">
        <v>2014</v>
      </c>
      <c r="N23" s="95">
        <f>'11. Final Load Forecast'!$L$14</f>
        <v>3760</v>
      </c>
      <c r="O23" s="95">
        <f t="shared" si="4"/>
        <v>30</v>
      </c>
      <c r="P23" s="187">
        <f t="shared" si="5"/>
        <v>8.0428954423592495E-3</v>
      </c>
      <c r="Q23" s="95">
        <f>+'11. Final Load Forecast'!$L$15</f>
        <v>30037011</v>
      </c>
      <c r="R23" s="187">
        <f t="shared" si="6"/>
        <v>-1.4751335589243728E-2</v>
      </c>
      <c r="S23" s="95">
        <f>+'11. Final Load Forecast'!$L$16</f>
        <v>0</v>
      </c>
      <c r="T23" s="187" t="e">
        <f t="shared" si="7"/>
        <v>#DIV/0!</v>
      </c>
    </row>
    <row r="24" spans="2:31" x14ac:dyDescent="0.2">
      <c r="B24" s="801">
        <v>2015</v>
      </c>
      <c r="C24" s="95">
        <f>'11. Final Load Forecast'!$M$14</f>
        <v>3779</v>
      </c>
      <c r="D24" s="95">
        <f t="shared" si="0"/>
        <v>19</v>
      </c>
      <c r="E24" s="986">
        <f t="shared" si="1"/>
        <v>5.0531914893617025E-3</v>
      </c>
      <c r="F24" s="95">
        <f>+'11. Final Load Forecast'!$M$15</f>
        <v>29589162</v>
      </c>
      <c r="G24" s="986">
        <f t="shared" si="2"/>
        <v>-1.4909905649400335E-2</v>
      </c>
      <c r="H24" s="95">
        <f>+'11. Final Load Forecast'!$M$16</f>
        <v>0</v>
      </c>
      <c r="I24" s="187" t="e">
        <f t="shared" si="3"/>
        <v>#DIV/0!</v>
      </c>
      <c r="M24" s="801">
        <v>2015</v>
      </c>
      <c r="N24" s="95">
        <f>'11. Final Load Forecast'!$M$14</f>
        <v>3779</v>
      </c>
      <c r="O24" s="95">
        <f t="shared" si="4"/>
        <v>19</v>
      </c>
      <c r="P24" s="187">
        <f t="shared" si="5"/>
        <v>5.0531914893617025E-3</v>
      </c>
      <c r="Q24" s="95">
        <f>+'11. Final Load Forecast'!$M$15</f>
        <v>29589162</v>
      </c>
      <c r="R24" s="187">
        <f t="shared" si="6"/>
        <v>-1.4909905649400335E-2</v>
      </c>
      <c r="S24" s="95">
        <f>+'11. Final Load Forecast'!$M$16</f>
        <v>0</v>
      </c>
      <c r="T24" s="187" t="e">
        <f t="shared" si="7"/>
        <v>#DIV/0!</v>
      </c>
    </row>
    <row r="25" spans="2:31" x14ac:dyDescent="0.2">
      <c r="B25" s="801">
        <v>2016</v>
      </c>
      <c r="C25" s="95">
        <f>'11. Final Load Forecast'!$N$14</f>
        <v>3806.8908831500453</v>
      </c>
      <c r="D25" s="95">
        <f t="shared" si="0"/>
        <v>27.890883150045283</v>
      </c>
      <c r="E25" s="987">
        <f t="shared" si="1"/>
        <v>7.3804930272678704E-3</v>
      </c>
      <c r="F25" s="95">
        <f>+'11. Final Load Forecast'!$N$15</f>
        <v>29593740.40872103</v>
      </c>
      <c r="G25" s="987">
        <f t="shared" si="2"/>
        <v>1.547326254467686E-4</v>
      </c>
      <c r="H25" s="95">
        <f>+'11. Final Load Forecast'!$N$16</f>
        <v>0</v>
      </c>
      <c r="I25" s="188" t="e">
        <f t="shared" si="3"/>
        <v>#DIV/0!</v>
      </c>
      <c r="M25" s="801">
        <v>2016</v>
      </c>
      <c r="N25" s="95">
        <f>'11. Final Load Forecast'!$N$14</f>
        <v>3806.8908831500453</v>
      </c>
      <c r="O25" s="95">
        <f t="shared" si="4"/>
        <v>27.890883150045283</v>
      </c>
      <c r="P25" s="188">
        <f t="shared" si="5"/>
        <v>7.3804930272678704E-3</v>
      </c>
      <c r="Q25" s="95">
        <f>+'11. Final Load Forecast'!$N$15</f>
        <v>29593740.40872103</v>
      </c>
      <c r="R25" s="188">
        <f t="shared" si="6"/>
        <v>1.547326254467686E-4</v>
      </c>
      <c r="S25" s="95">
        <f>+'11. Final Load Forecast'!$N$16</f>
        <v>0</v>
      </c>
      <c r="T25" s="188" t="e">
        <f t="shared" si="7"/>
        <v>#DIV/0!</v>
      </c>
      <c r="AD25" s="1" t="s">
        <v>30</v>
      </c>
      <c r="AE25" s="1" t="s">
        <v>30</v>
      </c>
    </row>
    <row r="26" spans="2:31" x14ac:dyDescent="0.2">
      <c r="B26" s="801">
        <v>2017</v>
      </c>
      <c r="C26" s="95">
        <f>'11. Final Load Forecast'!$O$14</f>
        <v>3834.9876147687037</v>
      </c>
      <c r="D26" s="95">
        <f>C26-C25</f>
        <v>28.096731618658396</v>
      </c>
      <c r="E26" s="987">
        <f t="shared" si="1"/>
        <v>7.3804930272678339E-3</v>
      </c>
      <c r="F26" s="95">
        <f>+'11. Final Load Forecast'!$O$15</f>
        <v>28929065.912004169</v>
      </c>
      <c r="G26" s="987">
        <f t="shared" si="2"/>
        <v>-2.2459969153510131E-2</v>
      </c>
      <c r="H26" s="95">
        <f>+'11. Final Load Forecast'!$O$16</f>
        <v>0</v>
      </c>
      <c r="I26" s="188" t="e">
        <f t="shared" si="3"/>
        <v>#DIV/0!</v>
      </c>
      <c r="M26" s="801">
        <v>2017</v>
      </c>
      <c r="N26" s="95">
        <f>'11. Final Load Forecast'!$O$14</f>
        <v>3834.9876147687037</v>
      </c>
      <c r="O26" s="95">
        <f t="shared" si="4"/>
        <v>28.096731618658396</v>
      </c>
      <c r="P26" s="188">
        <f t="shared" si="5"/>
        <v>7.3804930272678339E-3</v>
      </c>
      <c r="Q26" s="95">
        <f>+'11. Final Load Forecast'!$O$15</f>
        <v>28929065.912004169</v>
      </c>
      <c r="R26" s="188">
        <f t="shared" si="6"/>
        <v>-2.2459969153510131E-2</v>
      </c>
      <c r="S26" s="95">
        <f>+'11. Final Load Forecast'!$O$16</f>
        <v>0</v>
      </c>
      <c r="T26" s="188" t="e">
        <f t="shared" si="7"/>
        <v>#DIV/0!</v>
      </c>
    </row>
    <row r="28" spans="2:31" x14ac:dyDescent="0.2">
      <c r="C28" s="145"/>
      <c r="D28" s="145"/>
      <c r="E28" s="145"/>
      <c r="F28" s="145"/>
      <c r="G28" s="145"/>
    </row>
    <row r="29" spans="2:31" x14ac:dyDescent="0.2">
      <c r="B29" s="1159" t="str">
        <f>+'11. Final Load Forecast'!B18</f>
        <v>General Service &lt; 50 kW</v>
      </c>
      <c r="C29" s="1160"/>
      <c r="D29" s="1160"/>
      <c r="E29" s="1160"/>
      <c r="F29" s="1160"/>
      <c r="G29" s="1160"/>
      <c r="H29" s="1160"/>
      <c r="I29" s="1160"/>
    </row>
    <row r="30" spans="2:31" x14ac:dyDescent="0.2">
      <c r="B30" s="801" t="s">
        <v>33</v>
      </c>
      <c r="C30" s="801" t="s">
        <v>49</v>
      </c>
      <c r="D30" s="801" t="s">
        <v>276</v>
      </c>
      <c r="E30" s="801" t="s">
        <v>62</v>
      </c>
      <c r="F30" s="93" t="s">
        <v>36</v>
      </c>
      <c r="G30" s="801" t="s">
        <v>62</v>
      </c>
      <c r="H30" s="93" t="s">
        <v>37</v>
      </c>
      <c r="I30" s="801" t="s">
        <v>62</v>
      </c>
    </row>
    <row r="31" spans="2:31" x14ac:dyDescent="0.2">
      <c r="B31" s="801">
        <v>2006</v>
      </c>
      <c r="C31" s="95">
        <f>'11. Final Load Forecast'!$D$18</f>
        <v>512</v>
      </c>
      <c r="D31" s="95"/>
      <c r="E31" s="95"/>
      <c r="F31" s="95">
        <f>+'11. Final Load Forecast'!$D$19</f>
        <v>13424049</v>
      </c>
      <c r="G31" s="95"/>
      <c r="H31" s="95">
        <f>+'11. Final Load Forecast'!$D$20</f>
        <v>0</v>
      </c>
      <c r="I31" s="95"/>
    </row>
    <row r="32" spans="2:31" x14ac:dyDescent="0.2">
      <c r="B32" s="801">
        <v>2007</v>
      </c>
      <c r="C32" s="95">
        <f>'11. Final Load Forecast'!$E$18</f>
        <v>497</v>
      </c>
      <c r="D32" s="95">
        <f t="shared" ref="D32:D41" si="8">C32-C31</f>
        <v>-15</v>
      </c>
      <c r="E32" s="986">
        <f t="shared" ref="E32:E42" si="9">(C32-C31)/C31</f>
        <v>-2.9296875E-2</v>
      </c>
      <c r="F32" s="95">
        <f>+'11. Final Load Forecast'!$E$19</f>
        <v>13776453</v>
      </c>
      <c r="G32" s="986">
        <f t="shared" ref="G32:G42" si="10">(F32-F31)/F31</f>
        <v>2.6251692019300586E-2</v>
      </c>
      <c r="H32" s="95">
        <f>+'11. Final Load Forecast'!$E$20</f>
        <v>0</v>
      </c>
      <c r="I32" s="187" t="e">
        <f t="shared" ref="I32:I42" si="11">(H32-H31)/H31</f>
        <v>#DIV/0!</v>
      </c>
    </row>
    <row r="33" spans="2:10" x14ac:dyDescent="0.2">
      <c r="B33" s="801">
        <v>2008</v>
      </c>
      <c r="C33" s="95">
        <f>'11. Final Load Forecast'!$F$18</f>
        <v>494</v>
      </c>
      <c r="D33" s="95">
        <f t="shared" si="8"/>
        <v>-3</v>
      </c>
      <c r="E33" s="986">
        <f t="shared" si="9"/>
        <v>-6.0362173038229373E-3</v>
      </c>
      <c r="F33" s="95">
        <f>+'11. Final Load Forecast'!$F$19</f>
        <v>13927235</v>
      </c>
      <c r="G33" s="986">
        <f t="shared" si="10"/>
        <v>1.0944907226845692E-2</v>
      </c>
      <c r="H33" s="95">
        <f>+'11. Final Load Forecast'!$F$20</f>
        <v>0</v>
      </c>
      <c r="I33" s="187" t="e">
        <f t="shared" si="11"/>
        <v>#DIV/0!</v>
      </c>
    </row>
    <row r="34" spans="2:10" x14ac:dyDescent="0.2">
      <c r="B34" s="801">
        <v>2009</v>
      </c>
      <c r="C34" s="95">
        <f>'11. Final Load Forecast'!$G$18</f>
        <v>483</v>
      </c>
      <c r="D34" s="95">
        <f t="shared" si="8"/>
        <v>-11</v>
      </c>
      <c r="E34" s="986">
        <f t="shared" si="9"/>
        <v>-2.2267206477732792E-2</v>
      </c>
      <c r="F34" s="95">
        <f>+'11. Final Load Forecast'!$G$19</f>
        <v>12859915</v>
      </c>
      <c r="G34" s="986">
        <f t="shared" si="10"/>
        <v>-7.6635455637820427E-2</v>
      </c>
      <c r="H34" s="95">
        <f>+'11. Final Load Forecast'!$G$20</f>
        <v>0</v>
      </c>
      <c r="I34" s="187" t="e">
        <f t="shared" si="11"/>
        <v>#DIV/0!</v>
      </c>
    </row>
    <row r="35" spans="2:10" x14ac:dyDescent="0.2">
      <c r="B35" s="801">
        <v>2010</v>
      </c>
      <c r="C35" s="95">
        <f>'11. Final Load Forecast'!$H$18</f>
        <v>442</v>
      </c>
      <c r="D35" s="95">
        <f t="shared" si="8"/>
        <v>-41</v>
      </c>
      <c r="E35" s="986">
        <f t="shared" si="9"/>
        <v>-8.4886128364389232E-2</v>
      </c>
      <c r="F35" s="95">
        <f>+'11. Final Load Forecast'!$H$19</f>
        <v>12427065</v>
      </c>
      <c r="G35" s="986">
        <f t="shared" si="10"/>
        <v>-3.3658853888225544E-2</v>
      </c>
      <c r="H35" s="95">
        <f>+'11. Final Load Forecast'!$H$20</f>
        <v>0</v>
      </c>
      <c r="I35" s="187" t="e">
        <f t="shared" si="11"/>
        <v>#DIV/0!</v>
      </c>
    </row>
    <row r="36" spans="2:10" x14ac:dyDescent="0.2">
      <c r="B36" s="801">
        <v>2011</v>
      </c>
      <c r="C36" s="95">
        <f>'11. Final Load Forecast'!$I$18</f>
        <v>437</v>
      </c>
      <c r="D36" s="95">
        <f t="shared" si="8"/>
        <v>-5</v>
      </c>
      <c r="E36" s="986">
        <f t="shared" si="9"/>
        <v>-1.1312217194570135E-2</v>
      </c>
      <c r="F36" s="95">
        <f>+'11. Final Load Forecast'!$I$19</f>
        <v>11962164</v>
      </c>
      <c r="G36" s="986">
        <f t="shared" si="10"/>
        <v>-3.741036198008138E-2</v>
      </c>
      <c r="H36" s="95">
        <f>+'11. Final Load Forecast'!$I$20</f>
        <v>0</v>
      </c>
      <c r="I36" s="187" t="e">
        <f t="shared" si="11"/>
        <v>#DIV/0!</v>
      </c>
    </row>
    <row r="37" spans="2:10" x14ac:dyDescent="0.2">
      <c r="B37" s="801">
        <v>2012</v>
      </c>
      <c r="C37" s="95">
        <f>'11. Final Load Forecast'!$J$18</f>
        <v>435</v>
      </c>
      <c r="D37" s="95">
        <f t="shared" si="8"/>
        <v>-2</v>
      </c>
      <c r="E37" s="986">
        <f t="shared" si="9"/>
        <v>-4.5766590389016018E-3</v>
      </c>
      <c r="F37" s="95">
        <f>+'11. Final Load Forecast'!$J$19</f>
        <v>11672310</v>
      </c>
      <c r="G37" s="986">
        <f t="shared" si="10"/>
        <v>-2.4230900027787616E-2</v>
      </c>
      <c r="H37" s="95">
        <f>+'11. Final Load Forecast'!$J$20</f>
        <v>0</v>
      </c>
      <c r="I37" s="187" t="e">
        <f t="shared" si="11"/>
        <v>#DIV/0!</v>
      </c>
    </row>
    <row r="38" spans="2:10" x14ac:dyDescent="0.2">
      <c r="B38" s="801">
        <v>2013</v>
      </c>
      <c r="C38" s="95">
        <f>'11. Final Load Forecast'!$K$18</f>
        <v>428</v>
      </c>
      <c r="D38" s="95">
        <f t="shared" si="8"/>
        <v>-7</v>
      </c>
      <c r="E38" s="986">
        <f t="shared" si="9"/>
        <v>-1.6091954022988506E-2</v>
      </c>
      <c r="F38" s="95">
        <f>+'11. Final Load Forecast'!$K$19</f>
        <v>11531242</v>
      </c>
      <c r="G38" s="986">
        <f t="shared" si="10"/>
        <v>-1.2085696832931956E-2</v>
      </c>
      <c r="H38" s="95">
        <f>+'11. Final Load Forecast'!$K$20</f>
        <v>0</v>
      </c>
      <c r="I38" s="187" t="e">
        <f t="shared" si="11"/>
        <v>#DIV/0!</v>
      </c>
    </row>
    <row r="39" spans="2:10" x14ac:dyDescent="0.2">
      <c r="B39" s="801">
        <v>2014</v>
      </c>
      <c r="C39" s="95">
        <f>+'11. Final Load Forecast'!$L$18</f>
        <v>428</v>
      </c>
      <c r="D39" s="95">
        <f t="shared" si="8"/>
        <v>0</v>
      </c>
      <c r="E39" s="986">
        <f t="shared" si="9"/>
        <v>0</v>
      </c>
      <c r="F39" s="95">
        <f>+'11. Final Load Forecast'!$L$19</f>
        <v>11294125</v>
      </c>
      <c r="G39" s="986">
        <f t="shared" si="10"/>
        <v>-2.0563006135852494E-2</v>
      </c>
      <c r="H39" s="95">
        <f>+'11. Final Load Forecast'!$L$20</f>
        <v>0</v>
      </c>
      <c r="I39" s="187" t="e">
        <f t="shared" si="11"/>
        <v>#DIV/0!</v>
      </c>
    </row>
    <row r="40" spans="2:10" x14ac:dyDescent="0.2">
      <c r="B40" s="801">
        <v>2015</v>
      </c>
      <c r="C40" s="95">
        <f>'11. Final Load Forecast'!$M$18</f>
        <v>430</v>
      </c>
      <c r="D40" s="95">
        <f t="shared" si="8"/>
        <v>2</v>
      </c>
      <c r="E40" s="986">
        <f t="shared" si="9"/>
        <v>4.6728971962616819E-3</v>
      </c>
      <c r="F40" s="95">
        <f>+'11. Final Load Forecast'!$M$19</f>
        <v>10843312</v>
      </c>
      <c r="G40" s="986">
        <f t="shared" si="10"/>
        <v>-3.9915708388210687E-2</v>
      </c>
      <c r="H40" s="95">
        <f>+'11. Final Load Forecast'!$M$20</f>
        <v>0</v>
      </c>
      <c r="I40" s="187" t="e">
        <f t="shared" si="11"/>
        <v>#DIV/0!</v>
      </c>
    </row>
    <row r="41" spans="2:10" x14ac:dyDescent="0.2">
      <c r="B41" s="801">
        <v>2016</v>
      </c>
      <c r="C41" s="95">
        <f>'11. Final Load Forecast'!$N$18</f>
        <v>421.7412356106833</v>
      </c>
      <c r="D41" s="95">
        <f t="shared" si="8"/>
        <v>-8.2587643893166955</v>
      </c>
      <c r="E41" s="987">
        <f t="shared" si="9"/>
        <v>-1.9206428812364409E-2</v>
      </c>
      <c r="F41" s="95">
        <f>+'11. Final Load Forecast'!$N$19</f>
        <v>12019249.345816894</v>
      </c>
      <c r="G41" s="987">
        <f t="shared" si="10"/>
        <v>0.10844817024695901</v>
      </c>
      <c r="H41" s="95">
        <f>+'11. Final Load Forecast'!$N$20</f>
        <v>0</v>
      </c>
      <c r="I41" s="188" t="e">
        <f t="shared" si="11"/>
        <v>#DIV/0!</v>
      </c>
    </row>
    <row r="42" spans="2:10" x14ac:dyDescent="0.2">
      <c r="B42" s="801">
        <v>2017</v>
      </c>
      <c r="C42" s="95">
        <f>'11. Final Load Forecast'!$O$18</f>
        <v>413.64109259168811</v>
      </c>
      <c r="D42" s="95">
        <f>C42-C41</f>
        <v>-8.1001430189951975</v>
      </c>
      <c r="E42" s="987">
        <f t="shared" si="9"/>
        <v>-1.9206428812364416E-2</v>
      </c>
      <c r="F42" s="95">
        <f>+'11. Final Load Forecast'!$O$19</f>
        <v>11749297.376261501</v>
      </c>
      <c r="G42" s="987">
        <f t="shared" si="10"/>
        <v>-2.2459969153510017E-2</v>
      </c>
      <c r="H42" s="95">
        <f>+'11. Final Load Forecast'!$O$20</f>
        <v>0</v>
      </c>
      <c r="I42" s="188" t="e">
        <f t="shared" si="11"/>
        <v>#DIV/0!</v>
      </c>
    </row>
    <row r="44" spans="2:10" x14ac:dyDescent="0.2">
      <c r="C44" s="145"/>
      <c r="D44" s="145"/>
      <c r="E44" s="145"/>
      <c r="F44" s="145"/>
      <c r="G44" s="145"/>
      <c r="H44" s="145"/>
      <c r="I44" s="145"/>
      <c r="J44" s="64"/>
    </row>
    <row r="45" spans="2:10" x14ac:dyDescent="0.2">
      <c r="B45" s="1159" t="str">
        <f>+'11. Final Load Forecast'!B22</f>
        <v>Unmetered Scattered Load</v>
      </c>
      <c r="C45" s="1160"/>
      <c r="D45" s="1160"/>
      <c r="E45" s="1160"/>
      <c r="F45" s="1160"/>
      <c r="G45" s="1160"/>
      <c r="H45" s="1160"/>
      <c r="I45" s="1160"/>
    </row>
    <row r="46" spans="2:10" x14ac:dyDescent="0.2">
      <c r="B46" s="801" t="s">
        <v>33</v>
      </c>
      <c r="C46" s="801" t="s">
        <v>49</v>
      </c>
      <c r="D46" s="801" t="s">
        <v>276</v>
      </c>
      <c r="E46" s="801" t="s">
        <v>62</v>
      </c>
      <c r="F46" s="93" t="s">
        <v>36</v>
      </c>
      <c r="G46" s="801" t="s">
        <v>62</v>
      </c>
      <c r="H46" s="93" t="s">
        <v>37</v>
      </c>
      <c r="I46" s="801" t="s">
        <v>62</v>
      </c>
    </row>
    <row r="47" spans="2:10" x14ac:dyDescent="0.2">
      <c r="B47" s="801">
        <v>2006</v>
      </c>
      <c r="C47" s="95">
        <f>'11. Final Load Forecast'!$D$22</f>
        <v>28</v>
      </c>
      <c r="D47" s="95"/>
      <c r="E47" s="95"/>
      <c r="F47" s="95">
        <f>+'11. Final Load Forecast'!$D$23</f>
        <v>160045</v>
      </c>
      <c r="G47" s="95"/>
      <c r="H47" s="95">
        <f>+'11. Final Load Forecast'!$D$24</f>
        <v>0</v>
      </c>
      <c r="I47" s="95"/>
    </row>
    <row r="48" spans="2:10" x14ac:dyDescent="0.2">
      <c r="B48" s="801">
        <v>2007</v>
      </c>
      <c r="C48" s="95">
        <f>'11. Final Load Forecast'!$E$22</f>
        <v>29</v>
      </c>
      <c r="D48" s="95">
        <f t="shared" ref="D48:D57" si="12">C48-C47</f>
        <v>1</v>
      </c>
      <c r="E48" s="986">
        <f t="shared" ref="E48:E58" si="13">(C48-C47)/C47</f>
        <v>3.5714285714285712E-2</v>
      </c>
      <c r="F48" s="95">
        <f>+'11. Final Load Forecast'!$E$23</f>
        <v>142221</v>
      </c>
      <c r="G48" s="986">
        <f t="shared" ref="G48:G58" si="14">(F48-F47)/F47</f>
        <v>-0.11136867755943641</v>
      </c>
      <c r="H48" s="95">
        <f>+'11. Final Load Forecast'!$E$24</f>
        <v>0</v>
      </c>
      <c r="I48" s="187" t="e">
        <f t="shared" ref="I48:I58" si="15">(H48-H47)/H47</f>
        <v>#DIV/0!</v>
      </c>
    </row>
    <row r="49" spans="2:9" x14ac:dyDescent="0.2">
      <c r="B49" s="801">
        <v>2008</v>
      </c>
      <c r="C49" s="95">
        <f>'11. Final Load Forecast'!$F$22</f>
        <v>30</v>
      </c>
      <c r="D49" s="95">
        <f t="shared" si="12"/>
        <v>1</v>
      </c>
      <c r="E49" s="986">
        <f t="shared" si="13"/>
        <v>3.4482758620689655E-2</v>
      </c>
      <c r="F49" s="95">
        <f>+'11. Final Load Forecast'!$F$23</f>
        <v>140870</v>
      </c>
      <c r="G49" s="986">
        <f t="shared" si="14"/>
        <v>-9.4993003846126807E-3</v>
      </c>
      <c r="H49" s="95">
        <f>+'11. Final Load Forecast'!$F$24</f>
        <v>0</v>
      </c>
      <c r="I49" s="187" t="e">
        <f t="shared" si="15"/>
        <v>#DIV/0!</v>
      </c>
    </row>
    <row r="50" spans="2:9" x14ac:dyDescent="0.2">
      <c r="B50" s="801">
        <v>2009</v>
      </c>
      <c r="C50" s="95">
        <f>'11. Final Load Forecast'!$G$22</f>
        <v>30</v>
      </c>
      <c r="D50" s="95">
        <f t="shared" si="12"/>
        <v>0</v>
      </c>
      <c r="E50" s="986">
        <f t="shared" si="13"/>
        <v>0</v>
      </c>
      <c r="F50" s="95">
        <f>+'11. Final Load Forecast'!$G$23</f>
        <v>140485</v>
      </c>
      <c r="G50" s="986">
        <f t="shared" si="14"/>
        <v>-2.7330162561226665E-3</v>
      </c>
      <c r="H50" s="95">
        <f>+'11. Final Load Forecast'!$G$24</f>
        <v>0</v>
      </c>
      <c r="I50" s="187" t="e">
        <f t="shared" si="15"/>
        <v>#DIV/0!</v>
      </c>
    </row>
    <row r="51" spans="2:9" x14ac:dyDescent="0.2">
      <c r="B51" s="801">
        <v>2010</v>
      </c>
      <c r="C51" s="95">
        <f>'11. Final Load Forecast'!$H$22</f>
        <v>34</v>
      </c>
      <c r="D51" s="95">
        <f t="shared" si="12"/>
        <v>4</v>
      </c>
      <c r="E51" s="986">
        <f t="shared" si="13"/>
        <v>0.13333333333333333</v>
      </c>
      <c r="F51" s="95">
        <f>+'11. Final Load Forecast'!$H$23</f>
        <v>150176</v>
      </c>
      <c r="G51" s="986">
        <f t="shared" si="14"/>
        <v>6.8982453642737654E-2</v>
      </c>
      <c r="H51" s="95">
        <f>+'11. Final Load Forecast'!$H$24</f>
        <v>0</v>
      </c>
      <c r="I51" s="187" t="e">
        <f t="shared" si="15"/>
        <v>#DIV/0!</v>
      </c>
    </row>
    <row r="52" spans="2:9" x14ac:dyDescent="0.2">
      <c r="B52" s="801">
        <v>2011</v>
      </c>
      <c r="C52" s="95">
        <f>+'11. Final Load Forecast'!$I$22</f>
        <v>34</v>
      </c>
      <c r="D52" s="95">
        <f t="shared" si="12"/>
        <v>0</v>
      </c>
      <c r="E52" s="986">
        <f t="shared" si="13"/>
        <v>0</v>
      </c>
      <c r="F52" s="95">
        <f>+'11. Final Load Forecast'!$I$23</f>
        <v>158921</v>
      </c>
      <c r="G52" s="986">
        <f t="shared" si="14"/>
        <v>5.8231674834860428E-2</v>
      </c>
      <c r="H52" s="95">
        <f>+'11. Final Load Forecast'!$I$24</f>
        <v>0</v>
      </c>
      <c r="I52" s="187" t="e">
        <f t="shared" si="15"/>
        <v>#DIV/0!</v>
      </c>
    </row>
    <row r="53" spans="2:9" x14ac:dyDescent="0.2">
      <c r="B53" s="801">
        <v>2012</v>
      </c>
      <c r="C53" s="95">
        <f>'11. Final Load Forecast'!$J$22</f>
        <v>34</v>
      </c>
      <c r="D53" s="95">
        <f t="shared" si="12"/>
        <v>0</v>
      </c>
      <c r="E53" s="986">
        <f t="shared" si="13"/>
        <v>0</v>
      </c>
      <c r="F53" s="95">
        <f>+'11. Final Load Forecast'!$J$23</f>
        <v>158811</v>
      </c>
      <c r="G53" s="986">
        <f t="shared" si="14"/>
        <v>-6.9216780664606943E-4</v>
      </c>
      <c r="H53" s="95">
        <f>+'11. Final Load Forecast'!$J$24</f>
        <v>0</v>
      </c>
      <c r="I53" s="187" t="e">
        <f t="shared" si="15"/>
        <v>#DIV/0!</v>
      </c>
    </row>
    <row r="54" spans="2:9" x14ac:dyDescent="0.2">
      <c r="B54" s="801">
        <v>2013</v>
      </c>
      <c r="C54" s="95">
        <f>'11. Final Load Forecast'!$K$22</f>
        <v>33</v>
      </c>
      <c r="D54" s="95">
        <f t="shared" si="12"/>
        <v>-1</v>
      </c>
      <c r="E54" s="986">
        <f t="shared" si="13"/>
        <v>-2.9411764705882353E-2</v>
      </c>
      <c r="F54" s="95">
        <f>+'11. Final Load Forecast'!$K$23</f>
        <v>155619</v>
      </c>
      <c r="G54" s="986">
        <f t="shared" si="14"/>
        <v>-2.0099363394223323E-2</v>
      </c>
      <c r="H54" s="95">
        <f>+'11. Final Load Forecast'!$K$24</f>
        <v>0</v>
      </c>
      <c r="I54" s="187" t="e">
        <f t="shared" si="15"/>
        <v>#DIV/0!</v>
      </c>
    </row>
    <row r="55" spans="2:9" x14ac:dyDescent="0.2">
      <c r="B55" s="801">
        <v>2014</v>
      </c>
      <c r="C55" s="95">
        <f>'11. Final Load Forecast'!$L$22</f>
        <v>33</v>
      </c>
      <c r="D55" s="95">
        <f t="shared" si="12"/>
        <v>0</v>
      </c>
      <c r="E55" s="986">
        <f t="shared" si="13"/>
        <v>0</v>
      </c>
      <c r="F55" s="95">
        <f>+'11. Final Load Forecast'!$L$23</f>
        <v>155019</v>
      </c>
      <c r="G55" s="986">
        <f t="shared" si="14"/>
        <v>-3.8555703352418408E-3</v>
      </c>
      <c r="H55" s="95">
        <f>+'11. Final Load Forecast'!$L$24</f>
        <v>0</v>
      </c>
      <c r="I55" s="187" t="e">
        <f t="shared" si="15"/>
        <v>#DIV/0!</v>
      </c>
    </row>
    <row r="56" spans="2:9" x14ac:dyDescent="0.2">
      <c r="B56" s="801">
        <v>2015</v>
      </c>
      <c r="C56" s="95">
        <f>'11. Final Load Forecast'!$M$22</f>
        <v>33</v>
      </c>
      <c r="D56" s="95">
        <f t="shared" si="12"/>
        <v>0</v>
      </c>
      <c r="E56" s="986">
        <f t="shared" si="13"/>
        <v>0</v>
      </c>
      <c r="F56" s="95">
        <f>+'11. Final Load Forecast'!$M$23</f>
        <v>155364</v>
      </c>
      <c r="G56" s="986">
        <f t="shared" si="14"/>
        <v>2.2255336442629611E-3</v>
      </c>
      <c r="H56" s="95">
        <f>+'11. Final Load Forecast'!$M$24</f>
        <v>0</v>
      </c>
      <c r="I56" s="187" t="e">
        <f t="shared" si="15"/>
        <v>#DIV/0!</v>
      </c>
    </row>
    <row r="57" spans="2:9" x14ac:dyDescent="0.2">
      <c r="B57" s="801">
        <v>2016</v>
      </c>
      <c r="C57" s="95">
        <f>'11. Final Load Forecast'!$N$22</f>
        <v>33.607977220079128</v>
      </c>
      <c r="D57" s="95">
        <f t="shared" si="12"/>
        <v>0.60797722007912824</v>
      </c>
      <c r="E57" s="987">
        <f t="shared" si="13"/>
        <v>1.8423552123609948E-2</v>
      </c>
      <c r="F57" s="95">
        <f>+'11. Final Load Forecast'!$N$23</f>
        <v>153077.64183823875</v>
      </c>
      <c r="G57" s="987">
        <f t="shared" si="14"/>
        <v>-1.471613862774678E-2</v>
      </c>
      <c r="H57" s="95">
        <f>+'11. Final Load Forecast'!$N$24</f>
        <v>0</v>
      </c>
      <c r="I57" s="188" t="e">
        <f t="shared" si="15"/>
        <v>#DIV/0!</v>
      </c>
    </row>
    <row r="58" spans="2:9" x14ac:dyDescent="0.2">
      <c r="B58" s="801">
        <v>2017</v>
      </c>
      <c r="C58" s="95">
        <f>'11. Final Load Forecast'!$O$22</f>
        <v>34.227155540162357</v>
      </c>
      <c r="D58" s="95">
        <f>C58-C57</f>
        <v>0.61917832008322904</v>
      </c>
      <c r="E58" s="987">
        <f t="shared" si="13"/>
        <v>1.8423552123610111E-2</v>
      </c>
      <c r="F58" s="95">
        <f>+'11. Final Load Forecast'!$O$23</f>
        <v>149639.52272445985</v>
      </c>
      <c r="G58" s="987">
        <f t="shared" si="14"/>
        <v>-2.2459969153510034E-2</v>
      </c>
      <c r="H58" s="95">
        <f>+'11. Final Load Forecast'!$O$24</f>
        <v>0</v>
      </c>
      <c r="I58" s="188" t="e">
        <f t="shared" si="15"/>
        <v>#DIV/0!</v>
      </c>
    </row>
    <row r="60" spans="2:9" x14ac:dyDescent="0.2">
      <c r="B60" s="30"/>
      <c r="C60" s="32" t="s">
        <v>30</v>
      </c>
      <c r="D60" s="535"/>
      <c r="E60" s="32"/>
      <c r="F60" s="32"/>
      <c r="G60" s="32"/>
      <c r="H60" s="32"/>
      <c r="I60" s="32"/>
    </row>
    <row r="61" spans="2:9" x14ac:dyDescent="0.2">
      <c r="B61" s="1159" t="str">
        <f>+'11. Final Load Forecast'!B26</f>
        <v>General Service &gt; 50 kW - 4999 kW</v>
      </c>
      <c r="C61" s="1160"/>
      <c r="D61" s="1160"/>
      <c r="E61" s="1160"/>
      <c r="F61" s="1160"/>
      <c r="G61" s="1160"/>
      <c r="H61" s="1160"/>
      <c r="I61" s="1160"/>
    </row>
    <row r="62" spans="2:9" x14ac:dyDescent="0.2">
      <c r="B62" s="801" t="s">
        <v>33</v>
      </c>
      <c r="C62" s="801" t="s">
        <v>49</v>
      </c>
      <c r="D62" s="801" t="s">
        <v>276</v>
      </c>
      <c r="E62" s="801" t="s">
        <v>62</v>
      </c>
      <c r="F62" s="93" t="s">
        <v>36</v>
      </c>
      <c r="G62" s="801" t="s">
        <v>62</v>
      </c>
      <c r="H62" s="93" t="s">
        <v>37</v>
      </c>
      <c r="I62" s="801" t="s">
        <v>62</v>
      </c>
    </row>
    <row r="63" spans="2:9" x14ac:dyDescent="0.2">
      <c r="B63" s="801">
        <v>2006</v>
      </c>
      <c r="C63" s="95">
        <f>'11. Final Load Forecast'!$D$26</f>
        <v>62</v>
      </c>
      <c r="D63" s="95"/>
      <c r="E63" s="95"/>
      <c r="F63" s="95">
        <f>+'11. Final Load Forecast'!$D$27</f>
        <v>51984380</v>
      </c>
      <c r="G63" s="95"/>
      <c r="H63" s="95">
        <f>+'11. Final Load Forecast'!$D$28</f>
        <v>153660</v>
      </c>
      <c r="I63" s="95"/>
    </row>
    <row r="64" spans="2:9" x14ac:dyDescent="0.2">
      <c r="B64" s="801">
        <v>2007</v>
      </c>
      <c r="C64" s="95">
        <f>'11. Final Load Forecast'!$E$26</f>
        <v>65</v>
      </c>
      <c r="D64" s="95">
        <f t="shared" ref="D64:D73" si="16">C64-C63</f>
        <v>3</v>
      </c>
      <c r="E64" s="986">
        <f t="shared" ref="E64:E74" si="17">(C64-C63)/C63</f>
        <v>4.8387096774193547E-2</v>
      </c>
      <c r="F64" s="95">
        <f>+'11. Final Load Forecast'!$E$27</f>
        <v>53203197</v>
      </c>
      <c r="G64" s="986">
        <f t="shared" ref="G64:G74" si="18">(F64-F63)/F63</f>
        <v>2.3445831228534417E-2</v>
      </c>
      <c r="H64" s="95">
        <f>+'11. Final Load Forecast'!$E$28</f>
        <v>146521</v>
      </c>
      <c r="I64" s="986">
        <f t="shared" ref="I64:I74" si="19">(H64-H63)/H63</f>
        <v>-4.6459716256670572E-2</v>
      </c>
    </row>
    <row r="65" spans="2:9" x14ac:dyDescent="0.2">
      <c r="B65" s="801">
        <v>2008</v>
      </c>
      <c r="C65" s="95">
        <f>'11. Final Load Forecast'!$F$26</f>
        <v>67</v>
      </c>
      <c r="D65" s="95">
        <f t="shared" si="16"/>
        <v>2</v>
      </c>
      <c r="E65" s="986">
        <f t="shared" si="17"/>
        <v>3.0769230769230771E-2</v>
      </c>
      <c r="F65" s="95">
        <f>+'11. Final Load Forecast'!$F$27</f>
        <v>55283988</v>
      </c>
      <c r="G65" s="986">
        <f t="shared" si="18"/>
        <v>3.9110262490428913E-2</v>
      </c>
      <c r="H65" s="95">
        <f>+'11. Final Load Forecast'!$F$28</f>
        <v>148947</v>
      </c>
      <c r="I65" s="986">
        <f t="shared" si="19"/>
        <v>1.655735355341555E-2</v>
      </c>
    </row>
    <row r="66" spans="2:9" x14ac:dyDescent="0.2">
      <c r="B66" s="801">
        <v>2009</v>
      </c>
      <c r="C66" s="95">
        <f>'11. Final Load Forecast'!$G$26</f>
        <v>66</v>
      </c>
      <c r="D66" s="95">
        <f t="shared" si="16"/>
        <v>-1</v>
      </c>
      <c r="E66" s="986">
        <f t="shared" si="17"/>
        <v>-1.4925373134328358E-2</v>
      </c>
      <c r="F66" s="95">
        <f>+'11. Final Load Forecast'!$G$27</f>
        <v>52230300</v>
      </c>
      <c r="G66" s="986">
        <f t="shared" si="18"/>
        <v>-5.5236391412283786E-2</v>
      </c>
      <c r="H66" s="95">
        <f>+'11. Final Load Forecast'!$G$28</f>
        <v>141729</v>
      </c>
      <c r="I66" s="986">
        <f t="shared" si="19"/>
        <v>-4.846019053757377E-2</v>
      </c>
    </row>
    <row r="67" spans="2:9" x14ac:dyDescent="0.2">
      <c r="B67" s="801">
        <v>2010</v>
      </c>
      <c r="C67" s="95">
        <f>+'11. Final Load Forecast'!$H$26</f>
        <v>59</v>
      </c>
      <c r="D67" s="95">
        <f t="shared" si="16"/>
        <v>-7</v>
      </c>
      <c r="E67" s="986">
        <f t="shared" si="17"/>
        <v>-0.10606060606060606</v>
      </c>
      <c r="F67" s="95">
        <f>+'11. Final Load Forecast'!$H$27</f>
        <v>51703213</v>
      </c>
      <c r="G67" s="986">
        <f t="shared" si="18"/>
        <v>-1.0091594342747409E-2</v>
      </c>
      <c r="H67" s="95">
        <f>+'11. Final Load Forecast'!$H$28</f>
        <v>141797</v>
      </c>
      <c r="I67" s="986">
        <f t="shared" si="19"/>
        <v>4.7978889288712967E-4</v>
      </c>
    </row>
    <row r="68" spans="2:9" x14ac:dyDescent="0.2">
      <c r="B68" s="801">
        <v>2011</v>
      </c>
      <c r="C68" s="95">
        <f>+'11. Final Load Forecast'!$I$26</f>
        <v>59</v>
      </c>
      <c r="D68" s="95">
        <f t="shared" si="16"/>
        <v>0</v>
      </c>
      <c r="E68" s="986">
        <f t="shared" si="17"/>
        <v>0</v>
      </c>
      <c r="F68" s="95">
        <f>+'11. Final Load Forecast'!$I$27</f>
        <v>46521147</v>
      </c>
      <c r="G68" s="986">
        <f t="shared" si="18"/>
        <v>-0.10022715609569564</v>
      </c>
      <c r="H68" s="95">
        <f>+'11. Final Load Forecast'!$I$28</f>
        <v>130980</v>
      </c>
      <c r="I68" s="986">
        <f t="shared" si="19"/>
        <v>-7.628511181477747E-2</v>
      </c>
    </row>
    <row r="69" spans="2:9" x14ac:dyDescent="0.2">
      <c r="B69" s="801">
        <v>2012</v>
      </c>
      <c r="C69" s="95">
        <f>'11. Final Load Forecast'!$J$26</f>
        <v>59</v>
      </c>
      <c r="D69" s="95">
        <f t="shared" si="16"/>
        <v>0</v>
      </c>
      <c r="E69" s="986">
        <f t="shared" si="17"/>
        <v>0</v>
      </c>
      <c r="F69" s="95">
        <f>+'11. Final Load Forecast'!$J$27</f>
        <v>44095781</v>
      </c>
      <c r="G69" s="986">
        <f t="shared" si="18"/>
        <v>-5.2134699086417623E-2</v>
      </c>
      <c r="H69" s="95">
        <f>+'11. Final Load Forecast'!$J$28</f>
        <v>120379</v>
      </c>
      <c r="I69" s="986">
        <f t="shared" si="19"/>
        <v>-8.093602076652924E-2</v>
      </c>
    </row>
    <row r="70" spans="2:9" x14ac:dyDescent="0.2">
      <c r="B70" s="801">
        <v>2013</v>
      </c>
      <c r="C70" s="95">
        <f>'11. Final Load Forecast'!$K$26</f>
        <v>62</v>
      </c>
      <c r="D70" s="95">
        <f t="shared" si="16"/>
        <v>3</v>
      </c>
      <c r="E70" s="986">
        <f t="shared" si="17"/>
        <v>5.0847457627118647E-2</v>
      </c>
      <c r="F70" s="95">
        <f>+'11. Final Load Forecast'!$K$27</f>
        <v>44119354</v>
      </c>
      <c r="G70" s="986">
        <f t="shared" si="18"/>
        <v>5.3458629069298041E-4</v>
      </c>
      <c r="H70" s="95">
        <f>+'11. Final Load Forecast'!$K$28</f>
        <v>115813</v>
      </c>
      <c r="I70" s="986">
        <f t="shared" si="19"/>
        <v>-3.7930203773083343E-2</v>
      </c>
    </row>
    <row r="71" spans="2:9" x14ac:dyDescent="0.2">
      <c r="B71" s="801">
        <v>2014</v>
      </c>
      <c r="C71" s="95">
        <f>'11. Final Load Forecast'!$L$26</f>
        <v>62</v>
      </c>
      <c r="D71" s="95">
        <f t="shared" si="16"/>
        <v>0</v>
      </c>
      <c r="E71" s="986">
        <f t="shared" si="17"/>
        <v>0</v>
      </c>
      <c r="F71" s="95">
        <f>+'11. Final Load Forecast'!$L$27</f>
        <v>43640624</v>
      </c>
      <c r="G71" s="986">
        <f t="shared" si="18"/>
        <v>-1.0850793508898612E-2</v>
      </c>
      <c r="H71" s="95">
        <f>+'11. Final Load Forecast'!$L$28</f>
        <v>114180</v>
      </c>
      <c r="I71" s="986">
        <f t="shared" si="19"/>
        <v>-1.4100316890159136E-2</v>
      </c>
    </row>
    <row r="72" spans="2:9" x14ac:dyDescent="0.2">
      <c r="B72" s="801">
        <v>2015</v>
      </c>
      <c r="C72" s="95">
        <f>'11. Final Load Forecast'!$M$26</f>
        <v>61</v>
      </c>
      <c r="D72" s="95">
        <f t="shared" si="16"/>
        <v>-1</v>
      </c>
      <c r="E72" s="986">
        <f t="shared" si="17"/>
        <v>-1.6129032258064516E-2</v>
      </c>
      <c r="F72" s="95">
        <f>+'11. Final Load Forecast'!$M$27</f>
        <v>45095566</v>
      </c>
      <c r="G72" s="986">
        <f t="shared" si="18"/>
        <v>3.3339165819443829E-2</v>
      </c>
      <c r="H72" s="95">
        <f>+'11. Final Load Forecast'!$M$28</f>
        <v>113922</v>
      </c>
      <c r="I72" s="986">
        <f t="shared" si="19"/>
        <v>-2.2595901208617973E-3</v>
      </c>
    </row>
    <row r="73" spans="2:9" x14ac:dyDescent="0.2">
      <c r="B73" s="801">
        <v>2016</v>
      </c>
      <c r="C73" s="95">
        <f>'11. Final Load Forecast'!$N$26</f>
        <v>60.889889302782052</v>
      </c>
      <c r="D73" s="95">
        <f t="shared" si="16"/>
        <v>-0.11011069721794797</v>
      </c>
      <c r="E73" s="987">
        <f t="shared" si="17"/>
        <v>-1.8050933970155405E-3</v>
      </c>
      <c r="F73" s="95">
        <f>+'11. Final Load Forecast'!$N$27</f>
        <v>44431933.399247296</v>
      </c>
      <c r="G73" s="987">
        <f t="shared" si="18"/>
        <v>-1.471613862774677E-2</v>
      </c>
      <c r="H73" s="95">
        <f>+'11. Final Load Forecast'!$N$28</f>
        <v>120735.71751411934</v>
      </c>
      <c r="I73" s="987">
        <f t="shared" si="19"/>
        <v>5.9810374766237809E-2</v>
      </c>
    </row>
    <row r="74" spans="2:9" x14ac:dyDescent="0.2">
      <c r="B74" s="801">
        <v>2017</v>
      </c>
      <c r="C74" s="95">
        <f>'11. Final Load Forecast'!$O$26</f>
        <v>60.779977365656592</v>
      </c>
      <c r="D74" s="95">
        <f>C74-C73</f>
        <v>-0.10991193712546021</v>
      </c>
      <c r="E74" s="987">
        <f t="shared" si="17"/>
        <v>-1.8050933970155591E-3</v>
      </c>
      <c r="F74" s="95">
        <f>+'11. Final Load Forecast'!$O$27</f>
        <v>43433993.545669392</v>
      </c>
      <c r="G74" s="987">
        <f t="shared" si="18"/>
        <v>-2.2459969153509986E-2</v>
      </c>
      <c r="H74" s="95">
        <f>+'11. Final Load Forecast'!$O$28</f>
        <v>118023.99702302532</v>
      </c>
      <c r="I74" s="987">
        <f t="shared" si="19"/>
        <v>-2.245996915351002E-2</v>
      </c>
    </row>
    <row r="76" spans="2:9" x14ac:dyDescent="0.2">
      <c r="B76" s="64"/>
      <c r="C76" s="145"/>
      <c r="D76" s="145"/>
      <c r="E76" s="145"/>
      <c r="F76" s="145"/>
      <c r="G76" s="64"/>
    </row>
    <row r="77" spans="2:9" x14ac:dyDescent="0.2">
      <c r="B77" s="1159" t="str">
        <f>+'11. Final Load Forecast'!B30</f>
        <v>Streetlighting</v>
      </c>
      <c r="C77" s="1160"/>
      <c r="D77" s="1160"/>
      <c r="E77" s="1160"/>
      <c r="F77" s="1160"/>
      <c r="G77" s="1160"/>
      <c r="H77" s="1160"/>
      <c r="I77" s="1160"/>
    </row>
    <row r="78" spans="2:9" x14ac:dyDescent="0.2">
      <c r="B78" s="801" t="s">
        <v>33</v>
      </c>
      <c r="C78" s="801" t="s">
        <v>49</v>
      </c>
      <c r="D78" s="801"/>
      <c r="E78" s="801" t="s">
        <v>62</v>
      </c>
      <c r="F78" s="93" t="s">
        <v>36</v>
      </c>
      <c r="G78" s="801" t="s">
        <v>62</v>
      </c>
      <c r="H78" s="93" t="s">
        <v>37</v>
      </c>
      <c r="I78" s="801" t="s">
        <v>62</v>
      </c>
    </row>
    <row r="79" spans="2:9" x14ac:dyDescent="0.2">
      <c r="B79" s="801">
        <v>2006</v>
      </c>
      <c r="C79" s="95">
        <f>'11. Final Load Forecast'!$D$30</f>
        <v>1149</v>
      </c>
      <c r="D79" s="95"/>
      <c r="E79" s="95"/>
      <c r="F79" s="95">
        <f>+'11. Final Load Forecast'!$D$31</f>
        <v>1095963</v>
      </c>
      <c r="G79" s="95"/>
      <c r="H79" s="95">
        <f>+'11. Final Load Forecast'!$D$32</f>
        <v>3053</v>
      </c>
      <c r="I79" s="95"/>
    </row>
    <row r="80" spans="2:9" x14ac:dyDescent="0.2">
      <c r="B80" s="801">
        <v>2007</v>
      </c>
      <c r="C80" s="95">
        <f>'11. Final Load Forecast'!$E$30</f>
        <v>1151</v>
      </c>
      <c r="D80" s="95">
        <f t="shared" ref="D80:D89" si="20">C80-C79</f>
        <v>2</v>
      </c>
      <c r="E80" s="986">
        <f t="shared" ref="E80:E90" si="21">(C80-C79)/C79</f>
        <v>1.7406440382941688E-3</v>
      </c>
      <c r="F80" s="95">
        <f>+'11. Final Load Forecast'!$E$31</f>
        <v>1105833</v>
      </c>
      <c r="G80" s="986">
        <f t="shared" ref="G80:G90" si="22">(F80-F79)/F79</f>
        <v>9.005778479747947E-3</v>
      </c>
      <c r="H80" s="95">
        <f>+'11. Final Load Forecast'!$E$32</f>
        <v>3095</v>
      </c>
      <c r="I80" s="986">
        <f t="shared" ref="I80:I90" si="23">(H80-H79)/H79</f>
        <v>1.3756960366852276E-2</v>
      </c>
    </row>
    <row r="81" spans="2:9" x14ac:dyDescent="0.2">
      <c r="B81" s="801">
        <v>2008</v>
      </c>
      <c r="C81" s="95">
        <f>'11. Final Load Forecast'!$F$30</f>
        <v>1158</v>
      </c>
      <c r="D81" s="95">
        <f t="shared" si="20"/>
        <v>7</v>
      </c>
      <c r="E81" s="986">
        <f t="shared" si="21"/>
        <v>6.0816681146828849E-3</v>
      </c>
      <c r="F81" s="95">
        <f>+'11. Final Load Forecast'!$F$31</f>
        <v>1107983</v>
      </c>
      <c r="G81" s="986">
        <f t="shared" si="22"/>
        <v>1.9442357028592926E-3</v>
      </c>
      <c r="H81" s="95">
        <f>+'11. Final Load Forecast'!$F$32</f>
        <v>3100</v>
      </c>
      <c r="I81" s="986">
        <f t="shared" si="23"/>
        <v>1.6155088852988692E-3</v>
      </c>
    </row>
    <row r="82" spans="2:9" x14ac:dyDescent="0.2">
      <c r="B82" s="801">
        <v>2009</v>
      </c>
      <c r="C82" s="95">
        <f>'11. Final Load Forecast'!$G$30</f>
        <v>1167</v>
      </c>
      <c r="D82" s="95">
        <f t="shared" si="20"/>
        <v>9</v>
      </c>
      <c r="E82" s="986">
        <f t="shared" si="21"/>
        <v>7.7720207253886009E-3</v>
      </c>
      <c r="F82" s="95">
        <f>+'11. Final Load Forecast'!$G$31</f>
        <v>1114732</v>
      </c>
      <c r="G82" s="986">
        <f t="shared" si="22"/>
        <v>6.0912486924438371E-3</v>
      </c>
      <c r="H82" s="95">
        <f>+'11. Final Load Forecast'!$G$32</f>
        <v>3092</v>
      </c>
      <c r="I82" s="986">
        <f t="shared" si="23"/>
        <v>-2.5806451612903226E-3</v>
      </c>
    </row>
    <row r="83" spans="2:9" x14ac:dyDescent="0.2">
      <c r="B83" s="801">
        <v>2010</v>
      </c>
      <c r="C83" s="95">
        <f>'11. Final Load Forecast'!$H$30</f>
        <v>1174</v>
      </c>
      <c r="D83" s="95">
        <f t="shared" si="20"/>
        <v>7</v>
      </c>
      <c r="E83" s="986">
        <f t="shared" si="21"/>
        <v>5.9982862039417309E-3</v>
      </c>
      <c r="F83" s="95">
        <f>+'11. Final Load Forecast'!$H$31</f>
        <v>1116726</v>
      </c>
      <c r="G83" s="986">
        <f t="shared" si="22"/>
        <v>1.7887707538672972E-3</v>
      </c>
      <c r="H83" s="95">
        <f>+'11. Final Load Forecast'!$H$32</f>
        <v>3098</v>
      </c>
      <c r="I83" s="986">
        <f t="shared" si="23"/>
        <v>1.9404915912031048E-3</v>
      </c>
    </row>
    <row r="84" spans="2:9" x14ac:dyDescent="0.2">
      <c r="B84" s="801">
        <v>2011</v>
      </c>
      <c r="C84" s="95">
        <f>'11. Final Load Forecast'!$I$30</f>
        <v>1176</v>
      </c>
      <c r="D84" s="95">
        <f t="shared" si="20"/>
        <v>2</v>
      </c>
      <c r="E84" s="986">
        <f t="shared" si="21"/>
        <v>1.7035775127768314E-3</v>
      </c>
      <c r="F84" s="95">
        <f>+'11. Final Load Forecast'!$I$31</f>
        <v>1118574</v>
      </c>
      <c r="G84" s="986">
        <f t="shared" si="22"/>
        <v>1.6548374444581751E-3</v>
      </c>
      <c r="H84" s="95">
        <f>+'11. Final Load Forecast'!$I$32</f>
        <v>3099</v>
      </c>
      <c r="I84" s="986">
        <f t="shared" si="23"/>
        <v>3.2278889606197545E-4</v>
      </c>
    </row>
    <row r="85" spans="2:9" x14ac:dyDescent="0.2">
      <c r="B85" s="801">
        <v>2012</v>
      </c>
      <c r="C85" s="95">
        <f>'11. Final Load Forecast'!$J$30</f>
        <v>1176</v>
      </c>
      <c r="D85" s="95">
        <f t="shared" si="20"/>
        <v>0</v>
      </c>
      <c r="E85" s="986">
        <f t="shared" si="21"/>
        <v>0</v>
      </c>
      <c r="F85" s="95">
        <f>+'11. Final Load Forecast'!$J$31</f>
        <v>1121260</v>
      </c>
      <c r="G85" s="986">
        <f t="shared" si="22"/>
        <v>2.4012716190435321E-3</v>
      </c>
      <c r="H85" s="95">
        <f>+'11. Final Load Forecast'!$J$32</f>
        <v>3100</v>
      </c>
      <c r="I85" s="986">
        <f t="shared" si="23"/>
        <v>3.2268473701193933E-4</v>
      </c>
    </row>
    <row r="86" spans="2:9" x14ac:dyDescent="0.2">
      <c r="B86" s="801">
        <v>2013</v>
      </c>
      <c r="C86" s="95">
        <f>'11. Final Load Forecast'!$K$30</f>
        <v>1190</v>
      </c>
      <c r="D86" s="95">
        <f t="shared" si="20"/>
        <v>14</v>
      </c>
      <c r="E86" s="986">
        <f t="shared" si="21"/>
        <v>1.1904761904761904E-2</v>
      </c>
      <c r="F86" s="95">
        <f>+'11. Final Load Forecast'!$K$31</f>
        <v>1118710</v>
      </c>
      <c r="G86" s="986">
        <f t="shared" si="22"/>
        <v>-2.2742272086759539E-3</v>
      </c>
      <c r="H86" s="95">
        <f>+'11. Final Load Forecast'!$K$32</f>
        <v>3104</v>
      </c>
      <c r="I86" s="986">
        <f t="shared" si="23"/>
        <v>1.2903225806451613E-3</v>
      </c>
    </row>
    <row r="87" spans="2:9" x14ac:dyDescent="0.2">
      <c r="B87" s="801">
        <v>2014</v>
      </c>
      <c r="C87" s="95">
        <f>'11. Final Load Forecast'!$L$30</f>
        <v>1190</v>
      </c>
      <c r="D87" s="95">
        <f t="shared" si="20"/>
        <v>0</v>
      </c>
      <c r="E87" s="986">
        <f t="shared" si="21"/>
        <v>0</v>
      </c>
      <c r="F87" s="95">
        <f>+'11. Final Load Forecast'!$L$31</f>
        <v>1121519</v>
      </c>
      <c r="G87" s="986">
        <f t="shared" si="22"/>
        <v>2.5109277650150622E-3</v>
      </c>
      <c r="H87" s="95">
        <f>+'11. Final Load Forecast'!$L$32</f>
        <v>3110</v>
      </c>
      <c r="I87" s="986">
        <f t="shared" si="23"/>
        <v>1.9329896907216496E-3</v>
      </c>
    </row>
    <row r="88" spans="2:9" x14ac:dyDescent="0.2">
      <c r="B88" s="801">
        <v>2015</v>
      </c>
      <c r="C88" s="95">
        <f>'11. Final Load Forecast'!$M$30</f>
        <v>1190</v>
      </c>
      <c r="D88" s="95">
        <f t="shared" si="20"/>
        <v>0</v>
      </c>
      <c r="E88" s="986">
        <f t="shared" si="21"/>
        <v>0</v>
      </c>
      <c r="F88" s="95">
        <f>+'11. Final Load Forecast'!$M$31</f>
        <v>1123682</v>
      </c>
      <c r="G88" s="986">
        <f t="shared" si="22"/>
        <v>1.928634289744534E-3</v>
      </c>
      <c r="H88" s="95">
        <f>+'11. Final Load Forecast'!$M$32</f>
        <v>3117</v>
      </c>
      <c r="I88" s="986">
        <f t="shared" si="23"/>
        <v>2.2508038585209002E-3</v>
      </c>
    </row>
    <row r="89" spans="2:9" x14ac:dyDescent="0.2">
      <c r="B89" s="801">
        <v>2016</v>
      </c>
      <c r="C89" s="95">
        <f>'11. Final Load Forecast'!$N$30</f>
        <v>1194.6449258381904</v>
      </c>
      <c r="D89" s="95">
        <f t="shared" si="20"/>
        <v>4.6449258381903746</v>
      </c>
      <c r="E89" s="987">
        <f t="shared" si="21"/>
        <v>3.9032990236893906E-3</v>
      </c>
      <c r="F89" s="95">
        <f>+'11. Final Load Forecast'!$N$31</f>
        <v>1107145.7399144964</v>
      </c>
      <c r="G89" s="987">
        <f t="shared" si="22"/>
        <v>-1.4716138627746614E-2</v>
      </c>
      <c r="H89" s="95">
        <f>+'11. Final Load Forecast'!$N$32</f>
        <v>3076.4364861739227</v>
      </c>
      <c r="I89" s="987">
        <f t="shared" si="23"/>
        <v>-1.3013639341057833E-2</v>
      </c>
    </row>
    <row r="90" spans="2:9" x14ac:dyDescent="0.2">
      <c r="B90" s="801">
        <v>2017</v>
      </c>
      <c r="C90" s="95">
        <f>'11. Final Load Forecast'!$O$30</f>
        <v>1199.30798221087</v>
      </c>
      <c r="D90" s="95">
        <f>C90-C89</f>
        <v>4.6630563726796481</v>
      </c>
      <c r="E90" s="987">
        <f t="shared" si="21"/>
        <v>3.9032990236893533E-3</v>
      </c>
      <c r="F90" s="95">
        <f>+'11. Final Load Forecast'!$O$31</f>
        <v>1082279.2807475766</v>
      </c>
      <c r="G90" s="987">
        <f t="shared" si="22"/>
        <v>-2.2459969153510197E-2</v>
      </c>
      <c r="H90" s="95">
        <f>+'11. Final Load Forecast'!$O$32</f>
        <v>3007.3398175917232</v>
      </c>
      <c r="I90" s="987">
        <f t="shared" si="23"/>
        <v>-2.2459969153510173E-2</v>
      </c>
    </row>
    <row r="93" spans="2:9" x14ac:dyDescent="0.2">
      <c r="B93" s="1159">
        <f>+'11. Final Load Forecast'!B34</f>
        <v>0</v>
      </c>
      <c r="C93" s="1160"/>
      <c r="D93" s="1160"/>
      <c r="E93" s="1160"/>
      <c r="F93" s="1160"/>
      <c r="G93" s="1160"/>
      <c r="H93" s="1160"/>
      <c r="I93" s="1160"/>
    </row>
    <row r="94" spans="2:9" x14ac:dyDescent="0.2">
      <c r="B94" s="801" t="s">
        <v>33</v>
      </c>
      <c r="C94" s="801" t="s">
        <v>49</v>
      </c>
      <c r="D94" s="801" t="s">
        <v>276</v>
      </c>
      <c r="E94" s="801" t="s">
        <v>62</v>
      </c>
      <c r="F94" s="93" t="s">
        <v>36</v>
      </c>
      <c r="G94" s="801" t="s">
        <v>62</v>
      </c>
      <c r="H94" s="93" t="s">
        <v>37</v>
      </c>
      <c r="I94" s="801" t="s">
        <v>62</v>
      </c>
    </row>
    <row r="95" spans="2:9" x14ac:dyDescent="0.2">
      <c r="B95" s="801">
        <v>2006</v>
      </c>
      <c r="C95" s="95">
        <f>'11. Final Load Forecast'!$D$34</f>
        <v>0</v>
      </c>
      <c r="D95" s="95"/>
      <c r="E95" s="95"/>
      <c r="F95" s="95">
        <f>+'11. Final Load Forecast'!$D$35</f>
        <v>0</v>
      </c>
      <c r="G95" s="95"/>
      <c r="H95" s="95">
        <f>+'11. Final Load Forecast'!$D$36</f>
        <v>0</v>
      </c>
      <c r="I95" s="95"/>
    </row>
    <row r="96" spans="2:9" x14ac:dyDescent="0.2">
      <c r="B96" s="801">
        <v>2007</v>
      </c>
      <c r="C96" s="95">
        <f>'11. Final Load Forecast'!$E$34</f>
        <v>0</v>
      </c>
      <c r="D96" s="95">
        <f t="shared" ref="D96:D105" si="24">C96-C95</f>
        <v>0</v>
      </c>
      <c r="E96" s="187" t="e">
        <f t="shared" ref="E96:E106" si="25">(C96-C95)/C95</f>
        <v>#DIV/0!</v>
      </c>
      <c r="F96" s="95">
        <f>+'11. Final Load Forecast'!$E$35</f>
        <v>0</v>
      </c>
      <c r="G96" s="187" t="e">
        <f t="shared" ref="G96:G106" si="26">(F96-F95)/F95</f>
        <v>#DIV/0!</v>
      </c>
      <c r="H96" s="95">
        <f>+'11. Final Load Forecast'!$E$36</f>
        <v>0</v>
      </c>
      <c r="I96" s="187" t="e">
        <f t="shared" ref="I96:I106" si="27">(H96-H95)/H95</f>
        <v>#DIV/0!</v>
      </c>
    </row>
    <row r="97" spans="2:9" x14ac:dyDescent="0.2">
      <c r="B97" s="801">
        <v>2008</v>
      </c>
      <c r="C97" s="95">
        <f>'11. Final Load Forecast'!$F$34</f>
        <v>0</v>
      </c>
      <c r="D97" s="95">
        <f t="shared" si="24"/>
        <v>0</v>
      </c>
      <c r="E97" s="187" t="e">
        <f t="shared" si="25"/>
        <v>#DIV/0!</v>
      </c>
      <c r="F97" s="95">
        <f>+'11. Final Load Forecast'!$F$35</f>
        <v>0</v>
      </c>
      <c r="G97" s="187" t="e">
        <f t="shared" si="26"/>
        <v>#DIV/0!</v>
      </c>
      <c r="H97" s="95">
        <f>+'11. Final Load Forecast'!$F$36</f>
        <v>0</v>
      </c>
      <c r="I97" s="187" t="e">
        <f t="shared" si="27"/>
        <v>#DIV/0!</v>
      </c>
    </row>
    <row r="98" spans="2:9" x14ac:dyDescent="0.2">
      <c r="B98" s="801">
        <v>2009</v>
      </c>
      <c r="C98" s="95">
        <f>'11. Final Load Forecast'!$G$34</f>
        <v>0</v>
      </c>
      <c r="D98" s="95">
        <f t="shared" si="24"/>
        <v>0</v>
      </c>
      <c r="E98" s="187" t="e">
        <f t="shared" si="25"/>
        <v>#DIV/0!</v>
      </c>
      <c r="F98" s="95">
        <f>+'11. Final Load Forecast'!$G$35</f>
        <v>0</v>
      </c>
      <c r="G98" s="187" t="e">
        <f t="shared" si="26"/>
        <v>#DIV/0!</v>
      </c>
      <c r="H98" s="95">
        <f>+'11. Final Load Forecast'!$G$36</f>
        <v>0</v>
      </c>
      <c r="I98" s="187" t="e">
        <f t="shared" si="27"/>
        <v>#DIV/0!</v>
      </c>
    </row>
    <row r="99" spans="2:9" x14ac:dyDescent="0.2">
      <c r="B99" s="801">
        <v>2010</v>
      </c>
      <c r="C99" s="95">
        <f>'11. Final Load Forecast'!$H$34</f>
        <v>0</v>
      </c>
      <c r="D99" s="95">
        <f t="shared" si="24"/>
        <v>0</v>
      </c>
      <c r="E99" s="187" t="e">
        <f t="shared" si="25"/>
        <v>#DIV/0!</v>
      </c>
      <c r="F99" s="95">
        <f>+'11. Final Load Forecast'!$H$35</f>
        <v>0</v>
      </c>
      <c r="G99" s="187" t="e">
        <f t="shared" si="26"/>
        <v>#DIV/0!</v>
      </c>
      <c r="H99" s="95">
        <f>+'11. Final Load Forecast'!$H$36</f>
        <v>0</v>
      </c>
      <c r="I99" s="187" t="e">
        <f t="shared" si="27"/>
        <v>#DIV/0!</v>
      </c>
    </row>
    <row r="100" spans="2:9" x14ac:dyDescent="0.2">
      <c r="B100" s="801">
        <v>2011</v>
      </c>
      <c r="C100" s="95">
        <f>'11. Final Load Forecast'!$I$34</f>
        <v>0</v>
      </c>
      <c r="D100" s="95">
        <f t="shared" si="24"/>
        <v>0</v>
      </c>
      <c r="E100" s="187" t="e">
        <f t="shared" si="25"/>
        <v>#DIV/0!</v>
      </c>
      <c r="F100" s="95">
        <f>+'11. Final Load Forecast'!$I$35</f>
        <v>0</v>
      </c>
      <c r="G100" s="187" t="e">
        <f t="shared" si="26"/>
        <v>#DIV/0!</v>
      </c>
      <c r="H100" s="95">
        <f>+'11. Final Load Forecast'!$I$36</f>
        <v>0</v>
      </c>
      <c r="I100" s="187" t="e">
        <f t="shared" si="27"/>
        <v>#DIV/0!</v>
      </c>
    </row>
    <row r="101" spans="2:9" x14ac:dyDescent="0.2">
      <c r="B101" s="801">
        <v>2012</v>
      </c>
      <c r="C101" s="95">
        <f>'11. Final Load Forecast'!$J$34</f>
        <v>0</v>
      </c>
      <c r="D101" s="95">
        <f t="shared" si="24"/>
        <v>0</v>
      </c>
      <c r="E101" s="187" t="e">
        <f t="shared" si="25"/>
        <v>#DIV/0!</v>
      </c>
      <c r="F101" s="95">
        <f>+'11. Final Load Forecast'!$J$35</f>
        <v>0</v>
      </c>
      <c r="G101" s="187" t="e">
        <f t="shared" si="26"/>
        <v>#DIV/0!</v>
      </c>
      <c r="H101" s="95">
        <f>+'11. Final Load Forecast'!$J$36</f>
        <v>0</v>
      </c>
      <c r="I101" s="187" t="e">
        <f t="shared" si="27"/>
        <v>#DIV/0!</v>
      </c>
    </row>
    <row r="102" spans="2:9" x14ac:dyDescent="0.2">
      <c r="B102" s="801">
        <v>2013</v>
      </c>
      <c r="C102" s="95">
        <f>'11. Final Load Forecast'!$K$34</f>
        <v>0</v>
      </c>
      <c r="D102" s="95">
        <f t="shared" si="24"/>
        <v>0</v>
      </c>
      <c r="E102" s="187" t="e">
        <f t="shared" si="25"/>
        <v>#DIV/0!</v>
      </c>
      <c r="F102" s="95">
        <f>+'11. Final Load Forecast'!$K$35</f>
        <v>0</v>
      </c>
      <c r="G102" s="187" t="e">
        <f t="shared" si="26"/>
        <v>#DIV/0!</v>
      </c>
      <c r="H102" s="95">
        <f>+'11. Final Load Forecast'!$K$36</f>
        <v>0</v>
      </c>
      <c r="I102" s="187" t="e">
        <f t="shared" si="27"/>
        <v>#DIV/0!</v>
      </c>
    </row>
    <row r="103" spans="2:9" x14ac:dyDescent="0.2">
      <c r="B103" s="801">
        <v>2014</v>
      </c>
      <c r="C103" s="95">
        <f>'11. Final Load Forecast'!$L$34</f>
        <v>0</v>
      </c>
      <c r="D103" s="95">
        <f t="shared" si="24"/>
        <v>0</v>
      </c>
      <c r="E103" s="187" t="e">
        <f t="shared" si="25"/>
        <v>#DIV/0!</v>
      </c>
      <c r="F103" s="95">
        <f>+'11. Final Load Forecast'!$L$35</f>
        <v>0</v>
      </c>
      <c r="G103" s="187" t="e">
        <f t="shared" si="26"/>
        <v>#DIV/0!</v>
      </c>
      <c r="H103" s="95">
        <f>+'11. Final Load Forecast'!$L$36</f>
        <v>0</v>
      </c>
      <c r="I103" s="187" t="e">
        <f t="shared" si="27"/>
        <v>#DIV/0!</v>
      </c>
    </row>
    <row r="104" spans="2:9" x14ac:dyDescent="0.2">
      <c r="B104" s="801">
        <v>2015</v>
      </c>
      <c r="C104" s="95">
        <f>'11. Final Load Forecast'!$M$34</f>
        <v>0</v>
      </c>
      <c r="D104" s="95">
        <f t="shared" si="24"/>
        <v>0</v>
      </c>
      <c r="E104" s="187" t="e">
        <f t="shared" si="25"/>
        <v>#DIV/0!</v>
      </c>
      <c r="F104" s="95">
        <f>+'11. Final Load Forecast'!$M$35</f>
        <v>0</v>
      </c>
      <c r="G104" s="187" t="e">
        <f t="shared" si="26"/>
        <v>#DIV/0!</v>
      </c>
      <c r="H104" s="95">
        <f>+'11. Final Load Forecast'!$M$36</f>
        <v>0</v>
      </c>
      <c r="I104" s="187" t="e">
        <f t="shared" si="27"/>
        <v>#DIV/0!</v>
      </c>
    </row>
    <row r="105" spans="2:9" x14ac:dyDescent="0.2">
      <c r="B105" s="801">
        <v>2016</v>
      </c>
      <c r="C105" s="95">
        <f>'11. Final Load Forecast'!$N$34</f>
        <v>0</v>
      </c>
      <c r="D105" s="95">
        <f t="shared" si="24"/>
        <v>0</v>
      </c>
      <c r="E105" s="188" t="e">
        <f t="shared" si="25"/>
        <v>#DIV/0!</v>
      </c>
      <c r="F105" s="95">
        <f>+'11. Final Load Forecast'!$N$35</f>
        <v>0</v>
      </c>
      <c r="G105" s="188" t="e">
        <f t="shared" si="26"/>
        <v>#DIV/0!</v>
      </c>
      <c r="H105" s="95">
        <f>+'11. Final Load Forecast'!$N$36</f>
        <v>0</v>
      </c>
      <c r="I105" s="188" t="e">
        <f t="shared" si="27"/>
        <v>#DIV/0!</v>
      </c>
    </row>
    <row r="106" spans="2:9" x14ac:dyDescent="0.2">
      <c r="B106" s="801">
        <v>2017</v>
      </c>
      <c r="C106" s="95">
        <f>'11. Final Load Forecast'!$O$34</f>
        <v>0</v>
      </c>
      <c r="D106" s="95">
        <f>C106-C105</f>
        <v>0</v>
      </c>
      <c r="E106" s="188" t="e">
        <f t="shared" si="25"/>
        <v>#DIV/0!</v>
      </c>
      <c r="F106" s="95">
        <f>+'11. Final Load Forecast'!$O$35</f>
        <v>0</v>
      </c>
      <c r="G106" s="188" t="e">
        <f t="shared" si="26"/>
        <v>#DIV/0!</v>
      </c>
      <c r="H106" s="95">
        <f>+'11. Final Load Forecast'!$O$36</f>
        <v>0</v>
      </c>
      <c r="I106" s="188" t="e">
        <f t="shared" si="27"/>
        <v>#DIV/0!</v>
      </c>
    </row>
    <row r="109" spans="2:9" x14ac:dyDescent="0.2">
      <c r="B109" s="1159">
        <f>+'11. Final Load Forecast'!B38</f>
        <v>0</v>
      </c>
      <c r="C109" s="1160"/>
      <c r="D109" s="1160"/>
      <c r="E109" s="1160"/>
      <c r="F109" s="1160"/>
      <c r="G109" s="1160"/>
      <c r="H109" s="1160"/>
      <c r="I109" s="1160"/>
    </row>
    <row r="110" spans="2:9" x14ac:dyDescent="0.2">
      <c r="B110" s="801" t="s">
        <v>33</v>
      </c>
      <c r="C110" s="801" t="s">
        <v>49</v>
      </c>
      <c r="D110" s="801" t="s">
        <v>276</v>
      </c>
      <c r="E110" s="801" t="s">
        <v>62</v>
      </c>
      <c r="F110" s="93" t="s">
        <v>36</v>
      </c>
      <c r="G110" s="801" t="s">
        <v>62</v>
      </c>
      <c r="H110" s="93" t="s">
        <v>37</v>
      </c>
      <c r="I110" s="801" t="s">
        <v>62</v>
      </c>
    </row>
    <row r="111" spans="2:9" x14ac:dyDescent="0.2">
      <c r="B111" s="801">
        <v>2006</v>
      </c>
      <c r="C111" s="95">
        <f>'11. Final Load Forecast'!$D$39</f>
        <v>0</v>
      </c>
      <c r="D111" s="95"/>
      <c r="E111" s="95"/>
      <c r="F111" s="95">
        <f>+'11. Final Load Forecast'!$D$39</f>
        <v>0</v>
      </c>
      <c r="G111" s="95"/>
      <c r="H111" s="95">
        <f>+'11. Final Load Forecast'!$D$40</f>
        <v>0</v>
      </c>
      <c r="I111" s="95"/>
    </row>
    <row r="112" spans="2:9" x14ac:dyDescent="0.2">
      <c r="B112" s="801">
        <v>2007</v>
      </c>
      <c r="C112" s="95">
        <f>'11. Final Load Forecast'!$E$38</f>
        <v>0</v>
      </c>
      <c r="D112" s="95">
        <f t="shared" ref="D112:D121" si="28">C112-C111</f>
        <v>0</v>
      </c>
      <c r="E112" s="187" t="e">
        <f t="shared" ref="E112:E122" si="29">(C112-C111)/C111</f>
        <v>#DIV/0!</v>
      </c>
      <c r="F112" s="95">
        <f>+'11. Final Load Forecast'!$E$39</f>
        <v>0</v>
      </c>
      <c r="G112" s="187" t="e">
        <f t="shared" ref="G112:G122" si="30">(F112-F111)/F111</f>
        <v>#DIV/0!</v>
      </c>
      <c r="H112" s="95">
        <f>+'11. Final Load Forecast'!$E$40</f>
        <v>0</v>
      </c>
      <c r="I112" s="187" t="e">
        <f t="shared" ref="I112:I122" si="31">(H112-H111)/H111</f>
        <v>#DIV/0!</v>
      </c>
    </row>
    <row r="113" spans="2:9" x14ac:dyDescent="0.2">
      <c r="B113" s="801">
        <v>2008</v>
      </c>
      <c r="C113" s="95">
        <f>'11. Final Load Forecast'!$F$38</f>
        <v>0</v>
      </c>
      <c r="D113" s="95">
        <f t="shared" si="28"/>
        <v>0</v>
      </c>
      <c r="E113" s="187" t="e">
        <f t="shared" si="29"/>
        <v>#DIV/0!</v>
      </c>
      <c r="F113" s="95">
        <f>+'11. Final Load Forecast'!$F$39</f>
        <v>0</v>
      </c>
      <c r="G113" s="187" t="e">
        <f t="shared" si="30"/>
        <v>#DIV/0!</v>
      </c>
      <c r="H113" s="95">
        <f>+'11. Final Load Forecast'!$F$40</f>
        <v>0</v>
      </c>
      <c r="I113" s="187" t="e">
        <f t="shared" si="31"/>
        <v>#DIV/0!</v>
      </c>
    </row>
    <row r="114" spans="2:9" x14ac:dyDescent="0.2">
      <c r="B114" s="801">
        <v>2009</v>
      </c>
      <c r="C114" s="95">
        <f>'11. Final Load Forecast'!$G$38</f>
        <v>0</v>
      </c>
      <c r="D114" s="95">
        <f t="shared" si="28"/>
        <v>0</v>
      </c>
      <c r="E114" s="187" t="e">
        <f t="shared" si="29"/>
        <v>#DIV/0!</v>
      </c>
      <c r="F114" s="95">
        <f>+'11. Final Load Forecast'!$G$39</f>
        <v>0</v>
      </c>
      <c r="G114" s="187" t="e">
        <f t="shared" si="30"/>
        <v>#DIV/0!</v>
      </c>
      <c r="H114" s="95">
        <f>+'11. Final Load Forecast'!$G$40</f>
        <v>0</v>
      </c>
      <c r="I114" s="187" t="e">
        <f t="shared" si="31"/>
        <v>#DIV/0!</v>
      </c>
    </row>
    <row r="115" spans="2:9" x14ac:dyDescent="0.2">
      <c r="B115" s="801">
        <v>2010</v>
      </c>
      <c r="C115" s="95">
        <f>'11. Final Load Forecast'!$H$38</f>
        <v>0</v>
      </c>
      <c r="D115" s="95">
        <f t="shared" si="28"/>
        <v>0</v>
      </c>
      <c r="E115" s="187" t="e">
        <f t="shared" si="29"/>
        <v>#DIV/0!</v>
      </c>
      <c r="F115" s="95">
        <f>+'11. Final Load Forecast'!$H$39</f>
        <v>0</v>
      </c>
      <c r="G115" s="187" t="e">
        <f t="shared" si="30"/>
        <v>#DIV/0!</v>
      </c>
      <c r="H115" s="95">
        <f>+'11. Final Load Forecast'!$H$40</f>
        <v>0</v>
      </c>
      <c r="I115" s="187" t="e">
        <f t="shared" si="31"/>
        <v>#DIV/0!</v>
      </c>
    </row>
    <row r="116" spans="2:9" x14ac:dyDescent="0.2">
      <c r="B116" s="801">
        <v>2011</v>
      </c>
      <c r="C116" s="95">
        <f>'11. Final Load Forecast'!$I$38</f>
        <v>0</v>
      </c>
      <c r="D116" s="95">
        <f t="shared" si="28"/>
        <v>0</v>
      </c>
      <c r="E116" s="187" t="e">
        <f t="shared" si="29"/>
        <v>#DIV/0!</v>
      </c>
      <c r="F116" s="95">
        <f>+'11. Final Load Forecast'!$I$39</f>
        <v>0</v>
      </c>
      <c r="G116" s="187" t="e">
        <f t="shared" si="30"/>
        <v>#DIV/0!</v>
      </c>
      <c r="H116" s="95">
        <f>+'11. Final Load Forecast'!$I$40</f>
        <v>0</v>
      </c>
      <c r="I116" s="187" t="e">
        <f t="shared" si="31"/>
        <v>#DIV/0!</v>
      </c>
    </row>
    <row r="117" spans="2:9" x14ac:dyDescent="0.2">
      <c r="B117" s="801">
        <v>2012</v>
      </c>
      <c r="C117" s="95">
        <f>'11. Final Load Forecast'!$J$38</f>
        <v>0</v>
      </c>
      <c r="D117" s="95">
        <f t="shared" si="28"/>
        <v>0</v>
      </c>
      <c r="E117" s="187" t="e">
        <f t="shared" si="29"/>
        <v>#DIV/0!</v>
      </c>
      <c r="F117" s="95">
        <f>+'11. Final Load Forecast'!$J$39</f>
        <v>0</v>
      </c>
      <c r="G117" s="187" t="e">
        <f t="shared" si="30"/>
        <v>#DIV/0!</v>
      </c>
      <c r="H117" s="95">
        <f>+'11. Final Load Forecast'!$J$40</f>
        <v>0</v>
      </c>
      <c r="I117" s="187" t="e">
        <f t="shared" si="31"/>
        <v>#DIV/0!</v>
      </c>
    </row>
    <row r="118" spans="2:9" x14ac:dyDescent="0.2">
      <c r="B118" s="801">
        <v>2013</v>
      </c>
      <c r="C118" s="95">
        <f>'11. Final Load Forecast'!$K$38</f>
        <v>0</v>
      </c>
      <c r="D118" s="95">
        <f t="shared" si="28"/>
        <v>0</v>
      </c>
      <c r="E118" s="187" t="e">
        <f t="shared" si="29"/>
        <v>#DIV/0!</v>
      </c>
      <c r="F118" s="95">
        <f>+'11. Final Load Forecast'!$K$39</f>
        <v>0</v>
      </c>
      <c r="G118" s="187" t="e">
        <f t="shared" si="30"/>
        <v>#DIV/0!</v>
      </c>
      <c r="H118" s="95">
        <f>+'11. Final Load Forecast'!$K$40</f>
        <v>0</v>
      </c>
      <c r="I118" s="187" t="e">
        <f t="shared" si="31"/>
        <v>#DIV/0!</v>
      </c>
    </row>
    <row r="119" spans="2:9" x14ac:dyDescent="0.2">
      <c r="B119" s="801">
        <v>2014</v>
      </c>
      <c r="C119" s="95">
        <f>'11. Final Load Forecast'!$L$38</f>
        <v>0</v>
      </c>
      <c r="D119" s="95">
        <f t="shared" si="28"/>
        <v>0</v>
      </c>
      <c r="E119" s="187" t="e">
        <f t="shared" si="29"/>
        <v>#DIV/0!</v>
      </c>
      <c r="F119" s="95">
        <f>+'11. Final Load Forecast'!$L$39</f>
        <v>0</v>
      </c>
      <c r="G119" s="187" t="e">
        <f t="shared" si="30"/>
        <v>#DIV/0!</v>
      </c>
      <c r="H119" s="95">
        <f>+'11. Final Load Forecast'!$L$40</f>
        <v>0</v>
      </c>
      <c r="I119" s="187" t="e">
        <f t="shared" si="31"/>
        <v>#DIV/0!</v>
      </c>
    </row>
    <row r="120" spans="2:9" x14ac:dyDescent="0.2">
      <c r="B120" s="801">
        <v>2015</v>
      </c>
      <c r="C120" s="95">
        <f>'11. Final Load Forecast'!$M$38</f>
        <v>0</v>
      </c>
      <c r="D120" s="95">
        <f t="shared" si="28"/>
        <v>0</v>
      </c>
      <c r="E120" s="187" t="e">
        <f t="shared" si="29"/>
        <v>#DIV/0!</v>
      </c>
      <c r="F120" s="95">
        <f>+'11. Final Load Forecast'!$M$39</f>
        <v>0</v>
      </c>
      <c r="G120" s="187" t="e">
        <f t="shared" si="30"/>
        <v>#DIV/0!</v>
      </c>
      <c r="H120" s="95">
        <f>+'11. Final Load Forecast'!$M$40</f>
        <v>0</v>
      </c>
      <c r="I120" s="187" t="e">
        <f t="shared" si="31"/>
        <v>#DIV/0!</v>
      </c>
    </row>
    <row r="121" spans="2:9" x14ac:dyDescent="0.2">
      <c r="B121" s="801">
        <v>2016</v>
      </c>
      <c r="C121" s="95">
        <f>'11. Final Load Forecast'!$N$38</f>
        <v>0</v>
      </c>
      <c r="D121" s="95">
        <f t="shared" si="28"/>
        <v>0</v>
      </c>
      <c r="E121" s="188" t="e">
        <f t="shared" si="29"/>
        <v>#DIV/0!</v>
      </c>
      <c r="F121" s="95">
        <f>+'11. Final Load Forecast'!$N$39</f>
        <v>0</v>
      </c>
      <c r="G121" s="188" t="e">
        <f t="shared" si="30"/>
        <v>#DIV/0!</v>
      </c>
      <c r="H121" s="95">
        <f>+'11. Final Load Forecast'!$N$40</f>
        <v>0</v>
      </c>
      <c r="I121" s="188" t="e">
        <f t="shared" si="31"/>
        <v>#DIV/0!</v>
      </c>
    </row>
    <row r="122" spans="2:9" x14ac:dyDescent="0.2">
      <c r="B122" s="801">
        <v>2017</v>
      </c>
      <c r="C122" s="95">
        <f>'11. Final Load Forecast'!$O$38</f>
        <v>0</v>
      </c>
      <c r="D122" s="95">
        <f>C122-C121</f>
        <v>0</v>
      </c>
      <c r="E122" s="188" t="e">
        <f t="shared" si="29"/>
        <v>#DIV/0!</v>
      </c>
      <c r="F122" s="95">
        <f>+'11. Final Load Forecast'!$O$39</f>
        <v>0</v>
      </c>
      <c r="G122" s="188" t="e">
        <f t="shared" si="30"/>
        <v>#DIV/0!</v>
      </c>
      <c r="H122" s="95">
        <f>+'11. Final Load Forecast'!$O$40</f>
        <v>0</v>
      </c>
      <c r="I122" s="188" t="e">
        <f t="shared" si="31"/>
        <v>#DIV/0!</v>
      </c>
    </row>
  </sheetData>
  <mergeCells count="8">
    <mergeCell ref="M13:T13"/>
    <mergeCell ref="B13:I13"/>
    <mergeCell ref="B77:I77"/>
    <mergeCell ref="B93:I93"/>
    <mergeCell ref="B109:I109"/>
    <mergeCell ref="B61:I61"/>
    <mergeCell ref="B45:I45"/>
    <mergeCell ref="B29:I29"/>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
  <sheetViews>
    <sheetView showGridLines="0" workbookViewId="0">
      <selection activeCell="A9" sqref="A9:J9"/>
    </sheetView>
  </sheetViews>
  <sheetFormatPr defaultRowHeight="12.75" x14ac:dyDescent="0.2"/>
  <cols>
    <col min="1" max="1" width="30.1640625" style="259" customWidth="1"/>
    <col min="2" max="10" width="18.6640625" style="259" customWidth="1"/>
    <col min="11" max="16384" width="9.33203125" style="259"/>
  </cols>
  <sheetData>
    <row r="1" spans="1:12" x14ac:dyDescent="0.2">
      <c r="I1" s="989" t="s">
        <v>451</v>
      </c>
      <c r="J1" s="990">
        <v>0</v>
      </c>
      <c r="K1" s="990"/>
    </row>
    <row r="2" spans="1:12" x14ac:dyDescent="0.2">
      <c r="I2" s="989" t="s">
        <v>452</v>
      </c>
      <c r="J2" s="991"/>
    </row>
    <row r="3" spans="1:12" x14ac:dyDescent="0.2">
      <c r="I3" s="989" t="s">
        <v>453</v>
      </c>
      <c r="J3" s="991"/>
    </row>
    <row r="4" spans="1:12" x14ac:dyDescent="0.2">
      <c r="I4" s="989" t="s">
        <v>454</v>
      </c>
      <c r="J4" s="991"/>
    </row>
    <row r="5" spans="1:12" x14ac:dyDescent="0.2">
      <c r="I5" s="989" t="s">
        <v>455</v>
      </c>
      <c r="J5" s="992"/>
    </row>
    <row r="6" spans="1:12" x14ac:dyDescent="0.2">
      <c r="I6" s="989"/>
      <c r="J6" s="993"/>
    </row>
    <row r="7" spans="1:12" x14ac:dyDescent="0.2">
      <c r="I7" s="989" t="s">
        <v>456</v>
      </c>
      <c r="J7" s="992"/>
    </row>
    <row r="9" spans="1:12" ht="18" x14ac:dyDescent="0.25">
      <c r="A9" s="1116" t="s">
        <v>457</v>
      </c>
      <c r="B9" s="1116"/>
      <c r="C9" s="1116"/>
      <c r="D9" s="1116"/>
      <c r="E9" s="1116"/>
      <c r="F9" s="1116"/>
      <c r="G9" s="1116"/>
      <c r="H9" s="1116"/>
      <c r="I9" s="1116"/>
      <c r="J9" s="1116"/>
      <c r="K9" s="994"/>
      <c r="L9" s="994"/>
    </row>
    <row r="10" spans="1:12" ht="18" x14ac:dyDescent="0.25">
      <c r="A10" s="1116" t="s">
        <v>458</v>
      </c>
      <c r="B10" s="1116"/>
      <c r="C10" s="1116"/>
      <c r="D10" s="1116"/>
      <c r="E10" s="1116"/>
      <c r="F10" s="1116"/>
      <c r="G10" s="1116"/>
      <c r="H10" s="1116"/>
      <c r="I10" s="1116"/>
      <c r="J10" s="1116"/>
      <c r="K10" s="994"/>
      <c r="L10" s="994"/>
    </row>
    <row r="11" spans="1:12" x14ac:dyDescent="0.2">
      <c r="A11" s="245"/>
      <c r="B11" s="245"/>
      <c r="C11" s="245"/>
      <c r="D11" s="245"/>
      <c r="E11" s="245"/>
      <c r="F11" s="245"/>
      <c r="G11" s="245"/>
      <c r="H11" s="245"/>
      <c r="I11" s="245"/>
      <c r="J11" s="245"/>
    </row>
    <row r="12" spans="1:12" x14ac:dyDescent="0.2">
      <c r="A12" s="245" t="s">
        <v>459</v>
      </c>
      <c r="B12" s="245"/>
      <c r="C12" s="245"/>
      <c r="D12" s="245"/>
      <c r="E12" s="245"/>
      <c r="F12" s="245"/>
      <c r="G12" s="245"/>
      <c r="H12" s="245"/>
      <c r="I12" s="245"/>
      <c r="J12" s="245"/>
    </row>
    <row r="13" spans="1:12" x14ac:dyDescent="0.2">
      <c r="A13" s="245"/>
      <c r="B13" s="245"/>
      <c r="C13" s="245"/>
      <c r="D13" s="245"/>
      <c r="E13" s="245"/>
      <c r="F13" s="245"/>
      <c r="G13" s="245"/>
      <c r="H13" s="245"/>
      <c r="I13" s="245"/>
      <c r="J13" s="245"/>
    </row>
    <row r="14" spans="1:12" ht="25.5" x14ac:dyDescent="0.2">
      <c r="A14" s="1004"/>
      <c r="B14" s="995" t="s">
        <v>474</v>
      </c>
      <c r="C14" s="995">
        <v>2010</v>
      </c>
      <c r="D14" s="995">
        <v>2011</v>
      </c>
      <c r="E14" s="995">
        <v>2012</v>
      </c>
      <c r="F14" s="995">
        <v>2013</v>
      </c>
      <c r="G14" s="995">
        <v>2014</v>
      </c>
      <c r="H14" s="995">
        <v>2015</v>
      </c>
      <c r="I14" s="995">
        <v>2016</v>
      </c>
      <c r="J14" s="995">
        <v>2017</v>
      </c>
      <c r="K14" s="996"/>
      <c r="L14" s="996"/>
    </row>
    <row r="15" spans="1:12" x14ac:dyDescent="0.2">
      <c r="A15" s="1003" t="str">
        <f>'11. Final Load Forecast'!B14</f>
        <v>Residential</v>
      </c>
      <c r="B15" s="1005"/>
      <c r="C15" s="1005"/>
      <c r="D15" s="1005"/>
      <c r="E15" s="1005"/>
      <c r="F15" s="1005"/>
      <c r="G15" s="1005"/>
      <c r="H15" s="1005"/>
      <c r="I15" s="1005"/>
      <c r="J15" s="1005"/>
    </row>
    <row r="16" spans="1:12" x14ac:dyDescent="0.2">
      <c r="A16" s="998" t="s">
        <v>460</v>
      </c>
      <c r="B16" s="1006">
        <v>3635</v>
      </c>
      <c r="C16" s="1006">
        <f>'11. Final Load Forecast'!H14</f>
        <v>3654</v>
      </c>
      <c r="D16" s="1006">
        <f>'11. Final Load Forecast'!I14</f>
        <v>3687</v>
      </c>
      <c r="E16" s="1006">
        <f>'11. Final Load Forecast'!J14</f>
        <v>3707</v>
      </c>
      <c r="F16" s="1006">
        <f>'11. Final Load Forecast'!K14</f>
        <v>3730</v>
      </c>
      <c r="G16" s="1006">
        <f>'11. Final Load Forecast'!L14</f>
        <v>3760</v>
      </c>
      <c r="H16" s="1006">
        <f>'11. Final Load Forecast'!M14</f>
        <v>3779</v>
      </c>
      <c r="I16" s="1006">
        <f>'11. Final Load Forecast'!N14</f>
        <v>3806.8908831500453</v>
      </c>
      <c r="J16" s="1006">
        <f>'11. Final Load Forecast'!O14</f>
        <v>3834.9876147687037</v>
      </c>
    </row>
    <row r="17" spans="1:10" x14ac:dyDescent="0.2">
      <c r="A17" s="999" t="s">
        <v>36</v>
      </c>
      <c r="B17" s="1006">
        <v>31881465</v>
      </c>
      <c r="C17" s="1006">
        <f>'11. Final Load Forecast'!H15</f>
        <v>30305144</v>
      </c>
      <c r="D17" s="1006">
        <f>'11. Final Load Forecast'!I15</f>
        <v>30085520</v>
      </c>
      <c r="E17" s="1006">
        <f>'11. Final Load Forecast'!J15</f>
        <v>29994156</v>
      </c>
      <c r="F17" s="1006">
        <f>'11. Final Load Forecast'!K15</f>
        <v>30486731</v>
      </c>
      <c r="G17" s="1006">
        <f>'11. Final Load Forecast'!L15</f>
        <v>30037011</v>
      </c>
      <c r="H17" s="1006">
        <f>'11. Final Load Forecast'!M15</f>
        <v>29589162</v>
      </c>
      <c r="I17" s="1006">
        <f>'11. Final Load Forecast'!N15</f>
        <v>29593740.40872103</v>
      </c>
      <c r="J17" s="1006">
        <f>'11. Final Load Forecast'!O15</f>
        <v>28929065.912004169</v>
      </c>
    </row>
    <row r="18" spans="1:10" x14ac:dyDescent="0.2">
      <c r="A18" s="999" t="s">
        <v>37</v>
      </c>
      <c r="B18" s="1006"/>
      <c r="C18" s="1006"/>
      <c r="D18" s="1006"/>
      <c r="E18" s="1006"/>
      <c r="F18" s="1006"/>
      <c r="G18" s="1006"/>
      <c r="H18" s="1006"/>
      <c r="I18" s="1006"/>
      <c r="J18" s="1006"/>
    </row>
    <row r="19" spans="1:10" x14ac:dyDescent="0.2">
      <c r="A19" s="1000" t="s">
        <v>461</v>
      </c>
      <c r="B19" s="1007"/>
      <c r="C19" s="1007"/>
      <c r="D19" s="1007"/>
      <c r="E19" s="1007"/>
      <c r="F19" s="1007"/>
      <c r="G19" s="1007"/>
      <c r="H19" s="1007"/>
      <c r="I19" s="1007"/>
      <c r="J19" s="1007"/>
    </row>
    <row r="20" spans="1:10" x14ac:dyDescent="0.2">
      <c r="A20" s="999" t="str">
        <f>A16</f>
        <v># of Customers</v>
      </c>
      <c r="B20" s="1001"/>
      <c r="C20" s="1001"/>
      <c r="D20" s="1001"/>
      <c r="E20" s="1008">
        <f>IF(ISERROR((E16-$B16)/$B16), 0, (E16-$B16)/$B16)</f>
        <v>1.9807427785419534E-2</v>
      </c>
      <c r="F20" s="1008">
        <f t="shared" ref="F20:J20" si="0">IF(ISERROR((F16-$B16)/$B16), 0, (F16-$B16)/$B16)</f>
        <v>2.6134800550206328E-2</v>
      </c>
      <c r="G20" s="1008">
        <f t="shared" si="0"/>
        <v>3.4387895460797797E-2</v>
      </c>
      <c r="H20" s="1008">
        <f t="shared" si="0"/>
        <v>3.9614855570839068E-2</v>
      </c>
      <c r="I20" s="1008">
        <f t="shared" ref="I20" si="1">IF(ISERROR((I16-$B16)/$B16), 0, (I16-$B16)/$B16)</f>
        <v>4.7287725763423737E-2</v>
      </c>
      <c r="J20" s="1008">
        <f t="shared" si="0"/>
        <v>5.5017225520963872E-2</v>
      </c>
    </row>
    <row r="21" spans="1:10" x14ac:dyDescent="0.2">
      <c r="A21" s="999" t="s">
        <v>36</v>
      </c>
      <c r="B21" s="1001"/>
      <c r="C21" s="1001"/>
      <c r="D21" s="1001"/>
      <c r="E21" s="1008">
        <f t="shared" ref="E21:J22" si="2">IF(ISERROR((E17-$B17)/$B17), 0, (E17-$B17)/$B17)</f>
        <v>-5.919768743374873E-2</v>
      </c>
      <c r="F21" s="1008">
        <f t="shared" si="2"/>
        <v>-4.3747487764442441E-2</v>
      </c>
      <c r="G21" s="1008">
        <f t="shared" si="2"/>
        <v>-5.7853489480486547E-2</v>
      </c>
      <c r="H21" s="1008">
        <f t="shared" si="2"/>
        <v>-7.1900805060244252E-2</v>
      </c>
      <c r="I21" s="1008">
        <f t="shared" ref="I21" si="3">IF(ISERROR((I17-$B17)/$B17), 0, (I17-$B17)/$B17)</f>
        <v>-7.1757197835136191E-2</v>
      </c>
      <c r="J21" s="1008">
        <f t="shared" si="2"/>
        <v>-9.2605502538726847E-2</v>
      </c>
    </row>
    <row r="22" spans="1:10" x14ac:dyDescent="0.2">
      <c r="A22" s="999" t="s">
        <v>37</v>
      </c>
      <c r="B22" s="1001"/>
      <c r="C22" s="1001"/>
      <c r="D22" s="1001"/>
      <c r="E22" s="1008">
        <f t="shared" si="2"/>
        <v>0</v>
      </c>
      <c r="F22" s="1008">
        <f t="shared" si="2"/>
        <v>0</v>
      </c>
      <c r="G22" s="1008">
        <f t="shared" si="2"/>
        <v>0</v>
      </c>
      <c r="H22" s="1008">
        <f t="shared" si="2"/>
        <v>0</v>
      </c>
      <c r="I22" s="1008">
        <f t="shared" ref="I22" si="4">IF(ISERROR((I18-$B18)/$B18), 0, (I18-$B18)/$B18)</f>
        <v>0</v>
      </c>
      <c r="J22" s="1008">
        <f t="shared" si="2"/>
        <v>0</v>
      </c>
    </row>
    <row r="23" spans="1:10" x14ac:dyDescent="0.2">
      <c r="A23" s="272"/>
      <c r="B23" s="245"/>
      <c r="C23" s="245"/>
      <c r="D23" s="245"/>
      <c r="E23" s="245"/>
      <c r="F23" s="245"/>
      <c r="G23" s="245"/>
      <c r="H23" s="245"/>
      <c r="I23" s="245"/>
      <c r="J23" s="245"/>
    </row>
    <row r="24" spans="1:10" x14ac:dyDescent="0.2">
      <c r="A24" s="1003" t="str">
        <f>'11. Final Load Forecast'!B18</f>
        <v>General Service &lt; 50 kW</v>
      </c>
      <c r="B24" s="1005"/>
      <c r="C24" s="1005"/>
      <c r="D24" s="1005"/>
      <c r="E24" s="1005"/>
      <c r="F24" s="1005"/>
      <c r="G24" s="1005"/>
      <c r="H24" s="1005"/>
      <c r="I24" s="1005"/>
      <c r="J24" s="1005"/>
    </row>
    <row r="25" spans="1:10" x14ac:dyDescent="0.2">
      <c r="A25" s="998" t="s">
        <v>460</v>
      </c>
      <c r="B25" s="1006">
        <v>447</v>
      </c>
      <c r="C25" s="1006">
        <f>'11. Final Load Forecast'!H18</f>
        <v>442</v>
      </c>
      <c r="D25" s="1006">
        <f>'11. Final Load Forecast'!I18</f>
        <v>437</v>
      </c>
      <c r="E25" s="1006">
        <f>'11. Final Load Forecast'!J18</f>
        <v>435</v>
      </c>
      <c r="F25" s="1006">
        <f>'11. Final Load Forecast'!K18</f>
        <v>428</v>
      </c>
      <c r="G25" s="1006">
        <f>'11. Final Load Forecast'!L18</f>
        <v>428</v>
      </c>
      <c r="H25" s="1006">
        <f>'11. Final Load Forecast'!M18</f>
        <v>430</v>
      </c>
      <c r="I25" s="1006">
        <f>'11. Final Load Forecast'!N18</f>
        <v>421.7412356106833</v>
      </c>
      <c r="J25" s="1006">
        <f>'11. Final Load Forecast'!O18</f>
        <v>413.64109259168811</v>
      </c>
    </row>
    <row r="26" spans="1:10" x14ac:dyDescent="0.2">
      <c r="A26" s="999" t="s">
        <v>36</v>
      </c>
      <c r="B26" s="1006">
        <v>12958689</v>
      </c>
      <c r="C26" s="1006">
        <f>'11. Final Load Forecast'!H19</f>
        <v>12427065</v>
      </c>
      <c r="D26" s="1006">
        <f>'11. Final Load Forecast'!I19</f>
        <v>11962164</v>
      </c>
      <c r="E26" s="1006">
        <f>'11. Final Load Forecast'!J19</f>
        <v>11672310</v>
      </c>
      <c r="F26" s="1006">
        <f>'11. Final Load Forecast'!K19</f>
        <v>11531242</v>
      </c>
      <c r="G26" s="1006">
        <f>'11. Final Load Forecast'!L19</f>
        <v>11294125</v>
      </c>
      <c r="H26" s="1006">
        <f>'11. Final Load Forecast'!M19</f>
        <v>10843312</v>
      </c>
      <c r="I26" s="1006">
        <f>'11. Final Load Forecast'!N19</f>
        <v>12019249.345816894</v>
      </c>
      <c r="J26" s="1006">
        <f>'11. Final Load Forecast'!O19</f>
        <v>11749297.376261501</v>
      </c>
    </row>
    <row r="27" spans="1:10" x14ac:dyDescent="0.2">
      <c r="A27" s="999" t="s">
        <v>37</v>
      </c>
      <c r="B27" s="1006"/>
      <c r="C27" s="1006"/>
      <c r="D27" s="1006"/>
      <c r="E27" s="1006"/>
      <c r="F27" s="1006"/>
      <c r="G27" s="1006"/>
      <c r="H27" s="1006"/>
      <c r="I27" s="1006"/>
      <c r="J27" s="1006"/>
    </row>
    <row r="28" spans="1:10" x14ac:dyDescent="0.2">
      <c r="A28" s="1000" t="s">
        <v>461</v>
      </c>
      <c r="B28" s="1007"/>
      <c r="C28" s="1007"/>
      <c r="D28" s="1007"/>
      <c r="E28" s="1007"/>
      <c r="F28" s="1007"/>
      <c r="G28" s="1007"/>
      <c r="H28" s="1007"/>
      <c r="I28" s="1007"/>
      <c r="J28" s="1007"/>
    </row>
    <row r="29" spans="1:10" x14ac:dyDescent="0.2">
      <c r="A29" s="999" t="str">
        <f>A25</f>
        <v># of Customers</v>
      </c>
      <c r="B29" s="1001"/>
      <c r="C29" s="1001"/>
      <c r="D29" s="1001"/>
      <c r="E29" s="1008">
        <f>IF(ISERROR((E25-$B25)/$B25), 0, (E25-$B25)/$B25)</f>
        <v>-2.6845637583892617E-2</v>
      </c>
      <c r="F29" s="1008">
        <f t="shared" ref="F29:J29" si="5">IF(ISERROR((F25-$B25)/$B25), 0, (F25-$B25)/$B25)</f>
        <v>-4.2505592841163314E-2</v>
      </c>
      <c r="G29" s="1008">
        <f t="shared" si="5"/>
        <v>-4.2505592841163314E-2</v>
      </c>
      <c r="H29" s="1008">
        <f t="shared" si="5"/>
        <v>-3.803131991051454E-2</v>
      </c>
      <c r="I29" s="1008">
        <f t="shared" ref="I29" si="6">IF(ISERROR((I25-$B25)/$B25), 0, (I25-$B25)/$B25)</f>
        <v>-5.6507302884377393E-2</v>
      </c>
      <c r="J29" s="1008">
        <f t="shared" si="5"/>
        <v>-7.4628428206514302E-2</v>
      </c>
    </row>
    <row r="30" spans="1:10" x14ac:dyDescent="0.2">
      <c r="A30" s="999" t="s">
        <v>36</v>
      </c>
      <c r="B30" s="1001"/>
      <c r="C30" s="1001"/>
      <c r="D30" s="1001"/>
      <c r="E30" s="1008">
        <f t="shared" ref="E30:J31" si="7">IF(ISERROR((E26-$B26)/$B26), 0, (E26-$B26)/$B26)</f>
        <v>-9.9267680550092677E-2</v>
      </c>
      <c r="F30" s="1008">
        <f t="shared" si="7"/>
        <v>-0.11015365829058789</v>
      </c>
      <c r="G30" s="1008">
        <f t="shared" si="7"/>
        <v>-0.12845157407512442</v>
      </c>
      <c r="H30" s="1008">
        <f t="shared" si="7"/>
        <v>-0.1632400468905458</v>
      </c>
      <c r="I30" s="1008">
        <f t="shared" ref="I30" si="8">IF(ISERROR((I26-$B26)/$B26), 0, (I26-$B26)/$B26)</f>
        <v>-7.2494961039894279E-2</v>
      </c>
      <c r="J30" s="1008">
        <f t="shared" si="7"/>
        <v>-9.3326695604663348E-2</v>
      </c>
    </row>
    <row r="31" spans="1:10" x14ac:dyDescent="0.2">
      <c r="A31" s="999" t="s">
        <v>37</v>
      </c>
      <c r="B31" s="1001"/>
      <c r="C31" s="1001"/>
      <c r="D31" s="1001"/>
      <c r="E31" s="1008">
        <f t="shared" si="7"/>
        <v>0</v>
      </c>
      <c r="F31" s="1008">
        <f t="shared" si="7"/>
        <v>0</v>
      </c>
      <c r="G31" s="1008">
        <f t="shared" si="7"/>
        <v>0</v>
      </c>
      <c r="H31" s="1008">
        <f t="shared" si="7"/>
        <v>0</v>
      </c>
      <c r="I31" s="1008">
        <f t="shared" ref="I31" si="9">IF(ISERROR((I27-$B27)/$B27), 0, (I27-$B27)/$B27)</f>
        <v>0</v>
      </c>
      <c r="J31" s="1008">
        <f t="shared" si="7"/>
        <v>0</v>
      </c>
    </row>
    <row r="32" spans="1:10" x14ac:dyDescent="0.2">
      <c r="A32" s="272"/>
      <c r="B32" s="245"/>
      <c r="C32" s="245"/>
      <c r="D32" s="245"/>
      <c r="E32" s="245"/>
      <c r="F32" s="245"/>
      <c r="G32" s="245"/>
      <c r="H32" s="245"/>
      <c r="I32" s="245"/>
      <c r="J32" s="245"/>
    </row>
    <row r="33" spans="1:10" x14ac:dyDescent="0.2">
      <c r="A33" s="1003" t="str">
        <f>'11. Final Load Forecast'!B22</f>
        <v>Unmetered Scattered Load</v>
      </c>
      <c r="B33" s="1005"/>
      <c r="C33" s="1005"/>
      <c r="D33" s="1005"/>
      <c r="E33" s="1005"/>
      <c r="F33" s="1005"/>
      <c r="G33" s="1005"/>
      <c r="H33" s="1005"/>
      <c r="I33" s="1005"/>
      <c r="J33" s="1005"/>
    </row>
    <row r="34" spans="1:10" x14ac:dyDescent="0.2">
      <c r="A34" s="998" t="s">
        <v>460</v>
      </c>
      <c r="B34" s="1006">
        <v>30</v>
      </c>
      <c r="C34" s="1006">
        <f>'11. Final Load Forecast'!H22</f>
        <v>34</v>
      </c>
      <c r="D34" s="1006">
        <f>'11. Final Load Forecast'!I22</f>
        <v>34</v>
      </c>
      <c r="E34" s="1006">
        <f>'11. Final Load Forecast'!J22</f>
        <v>34</v>
      </c>
      <c r="F34" s="1006">
        <f>'11. Final Load Forecast'!K22</f>
        <v>33</v>
      </c>
      <c r="G34" s="1006">
        <f>'11. Final Load Forecast'!L22</f>
        <v>33</v>
      </c>
      <c r="H34" s="1006">
        <f>'11. Final Load Forecast'!M22</f>
        <v>33</v>
      </c>
      <c r="I34" s="1006">
        <f>'11. Final Load Forecast'!N22</f>
        <v>33.607977220079128</v>
      </c>
      <c r="J34" s="1006">
        <f>'11. Final Load Forecast'!O22</f>
        <v>34.227155540162357</v>
      </c>
    </row>
    <row r="35" spans="1:10" x14ac:dyDescent="0.2">
      <c r="A35" s="999" t="s">
        <v>36</v>
      </c>
      <c r="B35" s="1006">
        <v>142827</v>
      </c>
      <c r="C35" s="1006">
        <f>'11. Final Load Forecast'!H23</f>
        <v>150176</v>
      </c>
      <c r="D35" s="1006">
        <f>'11. Final Load Forecast'!I23</f>
        <v>158921</v>
      </c>
      <c r="E35" s="1006">
        <f>'11. Final Load Forecast'!J23</f>
        <v>158811</v>
      </c>
      <c r="F35" s="1006">
        <f>'11. Final Load Forecast'!K23</f>
        <v>155619</v>
      </c>
      <c r="G35" s="1006">
        <f>'11. Final Load Forecast'!L23</f>
        <v>155019</v>
      </c>
      <c r="H35" s="1006">
        <f>'11. Final Load Forecast'!M23</f>
        <v>155364</v>
      </c>
      <c r="I35" s="1006">
        <f>'11. Final Load Forecast'!N23</f>
        <v>153077.64183823875</v>
      </c>
      <c r="J35" s="1006">
        <f>'11. Final Load Forecast'!O23</f>
        <v>149639.52272445985</v>
      </c>
    </row>
    <row r="36" spans="1:10" x14ac:dyDescent="0.2">
      <c r="A36" s="999" t="s">
        <v>37</v>
      </c>
      <c r="B36" s="1006"/>
      <c r="C36" s="1006"/>
      <c r="D36" s="1006"/>
      <c r="E36" s="1006"/>
      <c r="F36" s="1006"/>
      <c r="G36" s="1006"/>
      <c r="H36" s="1006"/>
      <c r="I36" s="1006"/>
      <c r="J36" s="1006"/>
    </row>
    <row r="37" spans="1:10" x14ac:dyDescent="0.2">
      <c r="A37" s="1000" t="s">
        <v>461</v>
      </c>
      <c r="B37" s="1007"/>
      <c r="C37" s="1007"/>
      <c r="D37" s="1007"/>
      <c r="E37" s="1007"/>
      <c r="F37" s="1007"/>
      <c r="G37" s="1007"/>
      <c r="H37" s="1007"/>
      <c r="I37" s="1007"/>
      <c r="J37" s="1007"/>
    </row>
    <row r="38" spans="1:10" x14ac:dyDescent="0.2">
      <c r="A38" s="999" t="str">
        <f>A34</f>
        <v># of Customers</v>
      </c>
      <c r="B38" s="1001"/>
      <c r="C38" s="1001"/>
      <c r="D38" s="1001"/>
      <c r="E38" s="1008">
        <f>IF(ISERROR((E34-$B34)/$B34), 0, (E34-$B34)/$B34)</f>
        <v>0.13333333333333333</v>
      </c>
      <c r="F38" s="1008">
        <f t="shared" ref="F38:J38" si="10">IF(ISERROR((F34-$B34)/$B34), 0, (F34-$B34)/$B34)</f>
        <v>0.1</v>
      </c>
      <c r="G38" s="1008">
        <f t="shared" si="10"/>
        <v>0.1</v>
      </c>
      <c r="H38" s="1008">
        <f t="shared" si="10"/>
        <v>0.1</v>
      </c>
      <c r="I38" s="1008">
        <f t="shared" ref="I38" si="11">IF(ISERROR((I34-$B34)/$B34), 0, (I34-$B34)/$B34)</f>
        <v>0.12026590733597094</v>
      </c>
      <c r="J38" s="1008">
        <f t="shared" si="10"/>
        <v>0.14090518467207858</v>
      </c>
    </row>
    <row r="39" spans="1:10" x14ac:dyDescent="0.2">
      <c r="A39" s="999" t="s">
        <v>36</v>
      </c>
      <c r="B39" s="1001"/>
      <c r="C39" s="1001"/>
      <c r="D39" s="1001"/>
      <c r="E39" s="1008">
        <f t="shared" ref="E39:J40" si="12">IF(ISERROR((E35-$B35)/$B35), 0, (E35-$B35)/$B35)</f>
        <v>0.11191161335041694</v>
      </c>
      <c r="F39" s="1008">
        <f t="shared" si="12"/>
        <v>8.956289777142977E-2</v>
      </c>
      <c r="G39" s="1008">
        <f t="shared" si="12"/>
        <v>8.5362011384402109E-2</v>
      </c>
      <c r="H39" s="1008">
        <f t="shared" si="12"/>
        <v>8.7777521056943017E-2</v>
      </c>
      <c r="I39" s="1008">
        <f t="shared" ref="I39" si="13">IF(ISERROR((I35-$B35)/$B35), 0, (I35-$B35)/$B35)</f>
        <v>7.1769636260922295E-2</v>
      </c>
      <c r="J39" s="1008">
        <f t="shared" si="12"/>
        <v>4.7697723290833313E-2</v>
      </c>
    </row>
    <row r="40" spans="1:10" x14ac:dyDescent="0.2">
      <c r="A40" s="999" t="s">
        <v>37</v>
      </c>
      <c r="B40" s="1001"/>
      <c r="C40" s="1001"/>
      <c r="D40" s="1001"/>
      <c r="E40" s="1008">
        <f t="shared" si="12"/>
        <v>0</v>
      </c>
      <c r="F40" s="1008">
        <f t="shared" si="12"/>
        <v>0</v>
      </c>
      <c r="G40" s="1008">
        <f t="shared" si="12"/>
        <v>0</v>
      </c>
      <c r="H40" s="1008">
        <f t="shared" si="12"/>
        <v>0</v>
      </c>
      <c r="I40" s="1008">
        <f t="shared" ref="I40" si="14">IF(ISERROR((I36-$B36)/$B36), 0, (I36-$B36)/$B36)</f>
        <v>0</v>
      </c>
      <c r="J40" s="1008">
        <f t="shared" si="12"/>
        <v>0</v>
      </c>
    </row>
    <row r="41" spans="1:10" x14ac:dyDescent="0.2">
      <c r="A41" s="272"/>
      <c r="B41" s="245"/>
      <c r="C41" s="245"/>
      <c r="D41" s="245"/>
      <c r="E41" s="245"/>
      <c r="F41" s="245"/>
      <c r="G41" s="245"/>
      <c r="H41" s="245"/>
      <c r="I41" s="245"/>
      <c r="J41" s="245"/>
    </row>
    <row r="42" spans="1:10" x14ac:dyDescent="0.2">
      <c r="A42" s="1003" t="str">
        <f>'11. Final Load Forecast'!B26</f>
        <v>General Service &gt; 50 kW - 4999 kW</v>
      </c>
      <c r="B42" s="1005"/>
      <c r="C42" s="1005"/>
      <c r="D42" s="1005"/>
      <c r="E42" s="1005"/>
      <c r="F42" s="1005"/>
      <c r="G42" s="1005"/>
      <c r="H42" s="1005"/>
      <c r="I42" s="1005"/>
      <c r="J42" s="1005"/>
    </row>
    <row r="43" spans="1:10" x14ac:dyDescent="0.2">
      <c r="A43" s="998" t="s">
        <v>460</v>
      </c>
      <c r="B43" s="1006">
        <v>64</v>
      </c>
      <c r="C43" s="1006">
        <f>'11. Final Load Forecast'!H26</f>
        <v>59</v>
      </c>
      <c r="D43" s="1006">
        <f>'11. Final Load Forecast'!I26</f>
        <v>59</v>
      </c>
      <c r="E43" s="1006">
        <f>'11. Final Load Forecast'!J26</f>
        <v>59</v>
      </c>
      <c r="F43" s="1006">
        <f>'11. Final Load Forecast'!K26</f>
        <v>62</v>
      </c>
      <c r="G43" s="1006">
        <f>'11. Final Load Forecast'!L26</f>
        <v>62</v>
      </c>
      <c r="H43" s="1006">
        <f>'11. Final Load Forecast'!M26</f>
        <v>61</v>
      </c>
      <c r="I43" s="1006">
        <f>'11. Final Load Forecast'!N26</f>
        <v>60.889889302782052</v>
      </c>
      <c r="J43" s="1006">
        <f>'11. Final Load Forecast'!O26</f>
        <v>60.779977365656592</v>
      </c>
    </row>
    <row r="44" spans="1:10" x14ac:dyDescent="0.2">
      <c r="A44" s="999" t="s">
        <v>36</v>
      </c>
      <c r="B44" s="1006">
        <v>52616773</v>
      </c>
      <c r="C44" s="1006">
        <f>'11. Final Load Forecast'!H27</f>
        <v>51703213</v>
      </c>
      <c r="D44" s="1006">
        <f>'11. Final Load Forecast'!I27</f>
        <v>46521147</v>
      </c>
      <c r="E44" s="1006">
        <f>'11. Final Load Forecast'!J27</f>
        <v>44095781</v>
      </c>
      <c r="F44" s="1006">
        <f>'11. Final Load Forecast'!K27</f>
        <v>44119354</v>
      </c>
      <c r="G44" s="1006">
        <f>'11. Final Load Forecast'!L27</f>
        <v>43640624</v>
      </c>
      <c r="H44" s="1006">
        <f>'11. Final Load Forecast'!M27</f>
        <v>45095566</v>
      </c>
      <c r="I44" s="1006">
        <f>'11. Final Load Forecast'!N27</f>
        <v>44431933.399247296</v>
      </c>
      <c r="J44" s="1006">
        <f>'11. Final Load Forecast'!O27</f>
        <v>43433993.545669392</v>
      </c>
    </row>
    <row r="45" spans="1:10" x14ac:dyDescent="0.2">
      <c r="A45" s="999" t="s">
        <v>37</v>
      </c>
      <c r="B45" s="1006">
        <v>142778</v>
      </c>
      <c r="C45" s="1006">
        <f>'11. Final Load Forecast'!H28</f>
        <v>141797</v>
      </c>
      <c r="D45" s="1006">
        <f>'11. Final Load Forecast'!I28</f>
        <v>130980</v>
      </c>
      <c r="E45" s="1006">
        <f>'11. Final Load Forecast'!J28</f>
        <v>120379</v>
      </c>
      <c r="F45" s="1006">
        <f>'11. Final Load Forecast'!K28</f>
        <v>115813</v>
      </c>
      <c r="G45" s="1006">
        <f>'11. Final Load Forecast'!L28</f>
        <v>114180</v>
      </c>
      <c r="H45" s="1006">
        <f>'11. Final Load Forecast'!M28</f>
        <v>113922</v>
      </c>
      <c r="I45" s="1006">
        <f>'11. Final Load Forecast'!N28</f>
        <v>120735.71751411934</v>
      </c>
      <c r="J45" s="1006">
        <f>'11. Final Load Forecast'!O28</f>
        <v>118023.99702302532</v>
      </c>
    </row>
    <row r="46" spans="1:10" x14ac:dyDescent="0.2">
      <c r="A46" s="1000" t="s">
        <v>461</v>
      </c>
      <c r="B46" s="1007"/>
      <c r="C46" s="1007"/>
      <c r="D46" s="1007"/>
      <c r="E46" s="1007"/>
      <c r="F46" s="1007"/>
      <c r="G46" s="1007"/>
      <c r="H46" s="1007"/>
      <c r="I46" s="1007"/>
      <c r="J46" s="1007"/>
    </row>
    <row r="47" spans="1:10" x14ac:dyDescent="0.2">
      <c r="A47" s="999" t="str">
        <f>A43</f>
        <v># of Customers</v>
      </c>
      <c r="B47" s="1001"/>
      <c r="C47" s="1001"/>
      <c r="D47" s="1001"/>
      <c r="E47" s="1008">
        <f>IF(ISERROR((E43-$B43)/$B43), 0, (E43-$B43)/$B43)</f>
        <v>-7.8125E-2</v>
      </c>
      <c r="F47" s="1008">
        <f t="shared" ref="F47:J47" si="15">IF(ISERROR((F43-$B43)/$B43), 0, (F43-$B43)/$B43)</f>
        <v>-3.125E-2</v>
      </c>
      <c r="G47" s="1008">
        <f t="shared" si="15"/>
        <v>-3.125E-2</v>
      </c>
      <c r="H47" s="1008">
        <f t="shared" si="15"/>
        <v>-4.6875E-2</v>
      </c>
      <c r="I47" s="1008">
        <f t="shared" ref="I47" si="16">IF(ISERROR((I43-$B43)/$B43), 0, (I43-$B43)/$B43)</f>
        <v>-4.8595479644030437E-2</v>
      </c>
      <c r="J47" s="1008">
        <f t="shared" si="15"/>
        <v>-5.0312853661615753E-2</v>
      </c>
    </row>
    <row r="48" spans="1:10" x14ac:dyDescent="0.2">
      <c r="A48" s="999" t="s">
        <v>36</v>
      </c>
      <c r="B48" s="1001"/>
      <c r="C48" s="1001"/>
      <c r="D48" s="1001"/>
      <c r="E48" s="1008">
        <f t="shared" ref="E48:J49" si="17">IF(ISERROR((E44-$B44)/$B44), 0, (E44-$B44)/$B44)</f>
        <v>-0.16194440506642246</v>
      </c>
      <c r="F48" s="1008">
        <f t="shared" si="17"/>
        <v>-0.16149639203453242</v>
      </c>
      <c r="G48" s="1008">
        <f t="shared" si="17"/>
        <v>-0.17059482154103217</v>
      </c>
      <c r="H48" s="1008">
        <f t="shared" si="17"/>
        <v>-0.14294314476488323</v>
      </c>
      <c r="I48" s="1008">
        <f t="shared" ref="I48" si="18">IF(ISERROR((I44-$B44)/$B44), 0, (I44-$B44)/$B44)</f>
        <v>-0.15555571225838391</v>
      </c>
      <c r="J48" s="1008">
        <f t="shared" si="17"/>
        <v>-0.17452190491291833</v>
      </c>
    </row>
    <row r="49" spans="1:10" x14ac:dyDescent="0.2">
      <c r="A49" s="999" t="s">
        <v>37</v>
      </c>
      <c r="B49" s="1001"/>
      <c r="C49" s="1001"/>
      <c r="D49" s="1001"/>
      <c r="E49" s="1008">
        <f t="shared" si="17"/>
        <v>-0.1568799114709549</v>
      </c>
      <c r="F49" s="1008">
        <f t="shared" si="17"/>
        <v>-0.18885962823404165</v>
      </c>
      <c r="G49" s="1008">
        <f t="shared" si="17"/>
        <v>-0.20029696451834317</v>
      </c>
      <c r="H49" s="1008">
        <f t="shared" si="17"/>
        <v>-0.20210396559694072</v>
      </c>
      <c r="I49" s="1008">
        <f t="shared" ref="I49" si="19">IF(ISERROR((I45-$B45)/$B45), 0, (I45-$B45)/$B45)</f>
        <v>-0.15438150475479875</v>
      </c>
      <c r="J49" s="1008">
        <f t="shared" si="17"/>
        <v>-0.17337407007364353</v>
      </c>
    </row>
    <row r="50" spans="1:10" x14ac:dyDescent="0.2">
      <c r="A50" s="272"/>
      <c r="B50" s="245"/>
      <c r="C50" s="245"/>
      <c r="D50" s="245"/>
      <c r="E50" s="245"/>
      <c r="F50" s="245"/>
      <c r="G50" s="245"/>
      <c r="H50" s="245"/>
      <c r="I50" s="245"/>
      <c r="J50" s="245"/>
    </row>
    <row r="51" spans="1:10" x14ac:dyDescent="0.2">
      <c r="A51" s="1003" t="str">
        <f>'11. Final Load Forecast'!B30</f>
        <v>Streetlighting</v>
      </c>
      <c r="B51" s="1005"/>
      <c r="C51" s="1005"/>
      <c r="D51" s="1005"/>
      <c r="E51" s="1005"/>
      <c r="F51" s="1005"/>
      <c r="G51" s="1005"/>
      <c r="H51" s="1005"/>
      <c r="I51" s="1005"/>
      <c r="J51" s="1005"/>
    </row>
    <row r="52" spans="1:10" x14ac:dyDescent="0.2">
      <c r="A52" s="998" t="s">
        <v>460</v>
      </c>
      <c r="B52" s="1006">
        <v>1173</v>
      </c>
      <c r="C52" s="1006">
        <f>'11. Final Load Forecast'!H30</f>
        <v>1174</v>
      </c>
      <c r="D52" s="1006">
        <f>'11. Final Load Forecast'!I30</f>
        <v>1176</v>
      </c>
      <c r="E52" s="1006">
        <f>'11. Final Load Forecast'!J30</f>
        <v>1176</v>
      </c>
      <c r="F52" s="1006">
        <f>'11. Final Load Forecast'!K30</f>
        <v>1190</v>
      </c>
      <c r="G52" s="1006">
        <f>'11. Final Load Forecast'!L30</f>
        <v>1190</v>
      </c>
      <c r="H52" s="1006">
        <f>'11. Final Load Forecast'!M30</f>
        <v>1190</v>
      </c>
      <c r="I52" s="1006">
        <f>'11. Final Load Forecast'!N30</f>
        <v>1194.6449258381904</v>
      </c>
      <c r="J52" s="1006">
        <f>'11. Final Load Forecast'!O30</f>
        <v>1199.30798221087</v>
      </c>
    </row>
    <row r="53" spans="1:10" x14ac:dyDescent="0.2">
      <c r="A53" s="999" t="s">
        <v>36</v>
      </c>
      <c r="B53" s="1006">
        <v>1121141</v>
      </c>
      <c r="C53" s="1006">
        <f>'11. Final Load Forecast'!H31</f>
        <v>1116726</v>
      </c>
      <c r="D53" s="1006">
        <f>'11. Final Load Forecast'!I31</f>
        <v>1118574</v>
      </c>
      <c r="E53" s="1006">
        <f>'11. Final Load Forecast'!J31</f>
        <v>1121260</v>
      </c>
      <c r="F53" s="1006">
        <f>'11. Final Load Forecast'!K31</f>
        <v>1118710</v>
      </c>
      <c r="G53" s="1006">
        <f>'11. Final Load Forecast'!L31</f>
        <v>1121519</v>
      </c>
      <c r="H53" s="1006">
        <f>'11. Final Load Forecast'!M31</f>
        <v>1123682</v>
      </c>
      <c r="I53" s="1006">
        <f>'11. Final Load Forecast'!N31</f>
        <v>1107145.7399144964</v>
      </c>
      <c r="J53" s="1006">
        <f>'11. Final Load Forecast'!O31</f>
        <v>1082279.2807475766</v>
      </c>
    </row>
    <row r="54" spans="1:10" x14ac:dyDescent="0.2">
      <c r="A54" s="999" t="s">
        <v>37</v>
      </c>
      <c r="B54" s="1006">
        <v>3110</v>
      </c>
      <c r="C54" s="1006">
        <f>'11. Final Load Forecast'!H32</f>
        <v>3098</v>
      </c>
      <c r="D54" s="1006">
        <f>'11. Final Load Forecast'!I32</f>
        <v>3099</v>
      </c>
      <c r="E54" s="1006">
        <f>'11. Final Load Forecast'!J32</f>
        <v>3100</v>
      </c>
      <c r="F54" s="1006">
        <f>'11. Final Load Forecast'!K32</f>
        <v>3104</v>
      </c>
      <c r="G54" s="1006">
        <f>'11. Final Load Forecast'!L32</f>
        <v>3110</v>
      </c>
      <c r="H54" s="1006">
        <f>'11. Final Load Forecast'!M32</f>
        <v>3117</v>
      </c>
      <c r="I54" s="1006">
        <f>'11. Final Load Forecast'!N32</f>
        <v>3076.4364861739227</v>
      </c>
      <c r="J54" s="1006">
        <f>'11. Final Load Forecast'!O32</f>
        <v>3007.3398175917232</v>
      </c>
    </row>
    <row r="55" spans="1:10" x14ac:dyDescent="0.2">
      <c r="A55" s="1000" t="s">
        <v>461</v>
      </c>
      <c r="B55" s="1007"/>
      <c r="C55" s="1007"/>
      <c r="D55" s="1007"/>
      <c r="E55" s="1007"/>
      <c r="F55" s="1007"/>
      <c r="G55" s="1007"/>
      <c r="H55" s="1007"/>
      <c r="I55" s="1007"/>
      <c r="J55" s="1007"/>
    </row>
    <row r="56" spans="1:10" x14ac:dyDescent="0.2">
      <c r="A56" s="999" t="str">
        <f>A52</f>
        <v># of Customers</v>
      </c>
      <c r="B56" s="1001"/>
      <c r="C56" s="1001"/>
      <c r="D56" s="1001"/>
      <c r="E56" s="1008">
        <f>IF(ISERROR((E52-$B52)/$B52), 0, (E52-$B52)/$B52)</f>
        <v>2.5575447570332483E-3</v>
      </c>
      <c r="F56" s="1008">
        <f t="shared" ref="F56:J56" si="20">IF(ISERROR((F52-$B52)/$B52), 0, (F52-$B52)/$B52)</f>
        <v>1.4492753623188406E-2</v>
      </c>
      <c r="G56" s="1008">
        <f t="shared" si="20"/>
        <v>1.4492753623188406E-2</v>
      </c>
      <c r="H56" s="1008">
        <f t="shared" si="20"/>
        <v>1.4492753623188406E-2</v>
      </c>
      <c r="I56" s="1008">
        <f t="shared" ref="I56" si="21">IF(ISERROR((I52-$B52)/$B52), 0, (I52-$B52)/$B52)</f>
        <v>1.8452622197945759E-2</v>
      </c>
      <c r="J56" s="1008">
        <f t="shared" si="20"/>
        <v>2.2427947323844861E-2</v>
      </c>
    </row>
    <row r="57" spans="1:10" x14ac:dyDescent="0.2">
      <c r="A57" s="999" t="s">
        <v>36</v>
      </c>
      <c r="B57" s="1001"/>
      <c r="C57" s="1001"/>
      <c r="D57" s="1001"/>
      <c r="E57" s="1008">
        <f t="shared" ref="E57:J58" si="22">IF(ISERROR((E53-$B53)/$B53), 0, (E53-$B53)/$B53)</f>
        <v>1.0614186797200351E-4</v>
      </c>
      <c r="F57" s="1008">
        <f t="shared" si="22"/>
        <v>-2.1683267314280721E-3</v>
      </c>
      <c r="G57" s="1008">
        <f t="shared" si="22"/>
        <v>3.3715652179342295E-4</v>
      </c>
      <c r="H57" s="1008">
        <f t="shared" si="22"/>
        <v>2.2664410631668989E-3</v>
      </c>
      <c r="I57" s="1008">
        <f t="shared" ref="I57" si="23">IF(ISERROR((I53-$B53)/$B53), 0, (I53-$B53)/$B53)</f>
        <v>-1.2483050825456896E-2</v>
      </c>
      <c r="J57" s="1008">
        <f t="shared" si="22"/>
        <v>-3.4662651042485629E-2</v>
      </c>
    </row>
    <row r="58" spans="1:10" x14ac:dyDescent="0.2">
      <c r="A58" s="999" t="s">
        <v>37</v>
      </c>
      <c r="B58" s="1001"/>
      <c r="C58" s="1001"/>
      <c r="D58" s="1001"/>
      <c r="E58" s="1008">
        <f t="shared" si="22"/>
        <v>-3.2154340836012861E-3</v>
      </c>
      <c r="F58" s="1008">
        <f t="shared" si="22"/>
        <v>-1.9292604501607716E-3</v>
      </c>
      <c r="G58" s="1008">
        <f t="shared" si="22"/>
        <v>0</v>
      </c>
      <c r="H58" s="1008">
        <f t="shared" si="22"/>
        <v>2.2508038585209002E-3</v>
      </c>
      <c r="I58" s="1008">
        <f t="shared" ref="I58" si="24">IF(ISERROR((I54-$B54)/$B54), 0, (I54-$B54)/$B54)</f>
        <v>-1.0792126632179187E-2</v>
      </c>
      <c r="J58" s="1008">
        <f t="shared" si="22"/>
        <v>-3.3009704954429835E-2</v>
      </c>
    </row>
    <row r="59" spans="1:10" x14ac:dyDescent="0.2">
      <c r="A59" s="272"/>
      <c r="B59" s="245"/>
      <c r="C59" s="245"/>
      <c r="D59" s="245"/>
      <c r="E59" s="245"/>
      <c r="F59" s="245"/>
      <c r="G59" s="245"/>
      <c r="H59" s="245"/>
      <c r="I59" s="245"/>
      <c r="J59" s="245"/>
    </row>
    <row r="60" spans="1:10" x14ac:dyDescent="0.2">
      <c r="A60" s="997" t="s">
        <v>462</v>
      </c>
      <c r="B60" s="1005"/>
      <c r="C60" s="1005"/>
      <c r="D60" s="1005"/>
      <c r="E60" s="1005"/>
      <c r="F60" s="1005"/>
      <c r="G60" s="1005"/>
      <c r="H60" s="1005"/>
      <c r="I60" s="1005"/>
      <c r="J60" s="1005"/>
    </row>
    <row r="61" spans="1:10" x14ac:dyDescent="0.2">
      <c r="A61" s="998" t="s">
        <v>460</v>
      </c>
      <c r="B61" s="1006"/>
      <c r="C61" s="1006"/>
      <c r="D61" s="1006"/>
      <c r="E61" s="1006"/>
      <c r="F61" s="1006"/>
      <c r="G61" s="1006"/>
      <c r="H61" s="1006"/>
      <c r="I61" s="1006"/>
      <c r="J61" s="1006"/>
    </row>
    <row r="62" spans="1:10" x14ac:dyDescent="0.2">
      <c r="A62" s="999" t="s">
        <v>36</v>
      </c>
      <c r="B62" s="1006"/>
      <c r="C62" s="1006"/>
      <c r="D62" s="1006"/>
      <c r="E62" s="1006"/>
      <c r="F62" s="1006"/>
      <c r="G62" s="1006"/>
      <c r="H62" s="1006"/>
      <c r="I62" s="1006"/>
      <c r="J62" s="1006"/>
    </row>
    <row r="63" spans="1:10" x14ac:dyDescent="0.2">
      <c r="A63" s="999" t="s">
        <v>37</v>
      </c>
      <c r="B63" s="1006"/>
      <c r="C63" s="1006"/>
      <c r="D63" s="1006"/>
      <c r="E63" s="1006"/>
      <c r="F63" s="1006"/>
      <c r="G63" s="1006"/>
      <c r="H63" s="1006"/>
      <c r="I63" s="1006"/>
      <c r="J63" s="1006"/>
    </row>
    <row r="64" spans="1:10" x14ac:dyDescent="0.2">
      <c r="A64" s="1000" t="s">
        <v>461</v>
      </c>
      <c r="B64" s="1007"/>
      <c r="C64" s="1007"/>
      <c r="D64" s="1007"/>
      <c r="E64" s="1007"/>
      <c r="F64" s="1007"/>
      <c r="G64" s="1007"/>
      <c r="H64" s="1007"/>
      <c r="I64" s="1007"/>
      <c r="J64" s="1007"/>
    </row>
    <row r="65" spans="1:10" x14ac:dyDescent="0.2">
      <c r="A65" s="999" t="str">
        <f>A61</f>
        <v># of Customers</v>
      </c>
      <c r="B65" s="1001"/>
      <c r="C65" s="1001"/>
      <c r="D65" s="1001"/>
      <c r="E65" s="1008">
        <f>IF(ISERROR((E61-$B61)/$B61), 0, (E61-$B61)/$B61)</f>
        <v>0</v>
      </c>
      <c r="F65" s="1008">
        <f t="shared" ref="F65:J65" si="25">IF(ISERROR((F61-$B61)/$B61), 0, (F61-$B61)/$B61)</f>
        <v>0</v>
      </c>
      <c r="G65" s="1008">
        <f t="shared" si="25"/>
        <v>0</v>
      </c>
      <c r="H65" s="1008">
        <f t="shared" si="25"/>
        <v>0</v>
      </c>
      <c r="I65" s="1008">
        <f t="shared" ref="I65" si="26">IF(ISERROR((I61-$B61)/$B61), 0, (I61-$B61)/$B61)</f>
        <v>0</v>
      </c>
      <c r="J65" s="1008">
        <f t="shared" si="25"/>
        <v>0</v>
      </c>
    </row>
    <row r="66" spans="1:10" x14ac:dyDescent="0.2">
      <c r="A66" s="999" t="s">
        <v>36</v>
      </c>
      <c r="B66" s="1001"/>
      <c r="C66" s="1001"/>
      <c r="D66" s="1001"/>
      <c r="E66" s="1008">
        <f t="shared" ref="E66:J67" si="27">IF(ISERROR((E62-$B62)/$B62), 0, (E62-$B62)/$B62)</f>
        <v>0</v>
      </c>
      <c r="F66" s="1008">
        <f t="shared" si="27"/>
        <v>0</v>
      </c>
      <c r="G66" s="1008">
        <f t="shared" si="27"/>
        <v>0</v>
      </c>
      <c r="H66" s="1008">
        <f t="shared" si="27"/>
        <v>0</v>
      </c>
      <c r="I66" s="1008">
        <f t="shared" ref="I66" si="28">IF(ISERROR((I62-$B62)/$B62), 0, (I62-$B62)/$B62)</f>
        <v>0</v>
      </c>
      <c r="J66" s="1008">
        <f t="shared" si="27"/>
        <v>0</v>
      </c>
    </row>
    <row r="67" spans="1:10" x14ac:dyDescent="0.2">
      <c r="A67" s="999" t="s">
        <v>37</v>
      </c>
      <c r="B67" s="1001"/>
      <c r="C67" s="1001"/>
      <c r="D67" s="1001"/>
      <c r="E67" s="1008">
        <f t="shared" si="27"/>
        <v>0</v>
      </c>
      <c r="F67" s="1008">
        <f t="shared" si="27"/>
        <v>0</v>
      </c>
      <c r="G67" s="1008">
        <f t="shared" si="27"/>
        <v>0</v>
      </c>
      <c r="H67" s="1008">
        <f t="shared" si="27"/>
        <v>0</v>
      </c>
      <c r="I67" s="1008">
        <f t="shared" ref="I67" si="29">IF(ISERROR((I63-$B63)/$B63), 0, (I63-$B63)/$B63)</f>
        <v>0</v>
      </c>
      <c r="J67" s="1008">
        <f t="shared" si="27"/>
        <v>0</v>
      </c>
    </row>
    <row r="68" spans="1:10" x14ac:dyDescent="0.2">
      <c r="A68" s="272"/>
      <c r="B68" s="245"/>
      <c r="C68" s="245"/>
      <c r="D68" s="245"/>
      <c r="E68" s="245"/>
      <c r="F68" s="245"/>
      <c r="G68" s="245"/>
      <c r="H68" s="245"/>
      <c r="I68" s="245"/>
      <c r="J68" s="245"/>
    </row>
    <row r="69" spans="1:10" x14ac:dyDescent="0.2">
      <c r="A69" s="997" t="s">
        <v>463</v>
      </c>
      <c r="B69" s="1005"/>
      <c r="C69" s="1005"/>
      <c r="D69" s="1005"/>
      <c r="E69" s="1005"/>
      <c r="F69" s="1005"/>
      <c r="G69" s="1005"/>
      <c r="H69" s="1005"/>
      <c r="I69" s="1005"/>
      <c r="J69" s="1005"/>
    </row>
    <row r="70" spans="1:10" x14ac:dyDescent="0.2">
      <c r="A70" s="998" t="s">
        <v>460</v>
      </c>
      <c r="B70" s="1006"/>
      <c r="C70" s="1006"/>
      <c r="D70" s="1006"/>
      <c r="E70" s="1006"/>
      <c r="F70" s="1006"/>
      <c r="G70" s="1006"/>
      <c r="H70" s="1006"/>
      <c r="I70" s="1006"/>
      <c r="J70" s="1006"/>
    </row>
    <row r="71" spans="1:10" x14ac:dyDescent="0.2">
      <c r="A71" s="999" t="s">
        <v>36</v>
      </c>
      <c r="B71" s="1006"/>
      <c r="C71" s="1006"/>
      <c r="D71" s="1006"/>
      <c r="E71" s="1006"/>
      <c r="F71" s="1006"/>
      <c r="G71" s="1006"/>
      <c r="H71" s="1006"/>
      <c r="I71" s="1006"/>
      <c r="J71" s="1006"/>
    </row>
    <row r="72" spans="1:10" x14ac:dyDescent="0.2">
      <c r="A72" s="999" t="s">
        <v>37</v>
      </c>
      <c r="B72" s="1006"/>
      <c r="C72" s="1006"/>
      <c r="D72" s="1006"/>
      <c r="E72" s="1006"/>
      <c r="F72" s="1006"/>
      <c r="G72" s="1006"/>
      <c r="H72" s="1006"/>
      <c r="I72" s="1006"/>
      <c r="J72" s="1006"/>
    </row>
    <row r="73" spans="1:10" x14ac:dyDescent="0.2">
      <c r="A73" s="1000" t="s">
        <v>461</v>
      </c>
      <c r="B73" s="1007"/>
      <c r="C73" s="1007"/>
      <c r="D73" s="1007"/>
      <c r="E73" s="1007"/>
      <c r="F73" s="1007"/>
      <c r="G73" s="1007"/>
      <c r="H73" s="1007"/>
      <c r="I73" s="1007"/>
      <c r="J73" s="1007"/>
    </row>
    <row r="74" spans="1:10" x14ac:dyDescent="0.2">
      <c r="A74" s="999" t="str">
        <f>A70</f>
        <v># of Customers</v>
      </c>
      <c r="B74" s="1001"/>
      <c r="C74" s="1001"/>
      <c r="D74" s="1001"/>
      <c r="E74" s="1008">
        <f>IF(ISERROR((E70-$B70)/$B70), 0, (E70-$B70)/$B70)</f>
        <v>0</v>
      </c>
      <c r="F74" s="1008">
        <f t="shared" ref="F74:J74" si="30">IF(ISERROR((F70-$B70)/$B70), 0, (F70-$B70)/$B70)</f>
        <v>0</v>
      </c>
      <c r="G74" s="1008">
        <f t="shared" si="30"/>
        <v>0</v>
      </c>
      <c r="H74" s="1008">
        <f t="shared" si="30"/>
        <v>0</v>
      </c>
      <c r="I74" s="1008">
        <f t="shared" ref="I74" si="31">IF(ISERROR((I70-$B70)/$B70), 0, (I70-$B70)/$B70)</f>
        <v>0</v>
      </c>
      <c r="J74" s="1008">
        <f t="shared" si="30"/>
        <v>0</v>
      </c>
    </row>
    <row r="75" spans="1:10" x14ac:dyDescent="0.2">
      <c r="A75" s="999" t="s">
        <v>36</v>
      </c>
      <c r="B75" s="1001"/>
      <c r="C75" s="1001"/>
      <c r="D75" s="1001"/>
      <c r="E75" s="1008">
        <f t="shared" ref="E75:J76" si="32">IF(ISERROR((E71-$B71)/$B71), 0, (E71-$B71)/$B71)</f>
        <v>0</v>
      </c>
      <c r="F75" s="1008">
        <f t="shared" si="32"/>
        <v>0</v>
      </c>
      <c r="G75" s="1008">
        <f t="shared" si="32"/>
        <v>0</v>
      </c>
      <c r="H75" s="1008">
        <f t="shared" si="32"/>
        <v>0</v>
      </c>
      <c r="I75" s="1008">
        <f t="shared" ref="I75" si="33">IF(ISERROR((I71-$B71)/$B71), 0, (I71-$B71)/$B71)</f>
        <v>0</v>
      </c>
      <c r="J75" s="1008">
        <f t="shared" si="32"/>
        <v>0</v>
      </c>
    </row>
    <row r="76" spans="1:10" x14ac:dyDescent="0.2">
      <c r="A76" s="999" t="s">
        <v>37</v>
      </c>
      <c r="B76" s="1001"/>
      <c r="C76" s="1001"/>
      <c r="D76" s="1001"/>
      <c r="E76" s="1008">
        <f t="shared" si="32"/>
        <v>0</v>
      </c>
      <c r="F76" s="1008">
        <f t="shared" si="32"/>
        <v>0</v>
      </c>
      <c r="G76" s="1008">
        <f t="shared" si="32"/>
        <v>0</v>
      </c>
      <c r="H76" s="1008">
        <f t="shared" si="32"/>
        <v>0</v>
      </c>
      <c r="I76" s="1008">
        <f t="shared" ref="I76" si="34">IF(ISERROR((I72-$B72)/$B72), 0, (I72-$B72)/$B72)</f>
        <v>0</v>
      </c>
      <c r="J76" s="1008">
        <f t="shared" si="32"/>
        <v>0</v>
      </c>
    </row>
    <row r="77" spans="1:10" x14ac:dyDescent="0.2">
      <c r="A77" s="272"/>
      <c r="B77" s="245"/>
      <c r="C77" s="245"/>
      <c r="D77" s="245"/>
      <c r="E77" s="245"/>
      <c r="F77" s="245"/>
      <c r="G77" s="245"/>
      <c r="H77" s="245"/>
      <c r="I77" s="245"/>
      <c r="J77" s="245"/>
    </row>
    <row r="78" spans="1:10" x14ac:dyDescent="0.2">
      <c r="A78" s="997" t="s">
        <v>464</v>
      </c>
      <c r="B78" s="1005"/>
      <c r="C78" s="1005"/>
      <c r="D78" s="1005"/>
      <c r="E78" s="1005"/>
      <c r="F78" s="1005"/>
      <c r="G78" s="1005"/>
      <c r="H78" s="1005"/>
      <c r="I78" s="1005"/>
      <c r="J78" s="1005"/>
    </row>
    <row r="79" spans="1:10" x14ac:dyDescent="0.2">
      <c r="A79" s="998" t="s">
        <v>460</v>
      </c>
      <c r="B79" s="1006"/>
      <c r="C79" s="1006"/>
      <c r="D79" s="1006"/>
      <c r="E79" s="1006"/>
      <c r="F79" s="1006"/>
      <c r="G79" s="1006"/>
      <c r="H79" s="1006"/>
      <c r="I79" s="1006"/>
      <c r="J79" s="1006"/>
    </row>
    <row r="80" spans="1:10" x14ac:dyDescent="0.2">
      <c r="A80" s="999" t="s">
        <v>36</v>
      </c>
      <c r="B80" s="1006"/>
      <c r="C80" s="1006"/>
      <c r="D80" s="1006"/>
      <c r="E80" s="1006"/>
      <c r="F80" s="1006"/>
      <c r="G80" s="1006"/>
      <c r="H80" s="1006"/>
      <c r="I80" s="1006"/>
      <c r="J80" s="1006"/>
    </row>
    <row r="81" spans="1:10" x14ac:dyDescent="0.2">
      <c r="A81" s="999" t="s">
        <v>37</v>
      </c>
      <c r="B81" s="1006"/>
      <c r="C81" s="1006"/>
      <c r="D81" s="1006"/>
      <c r="E81" s="1006"/>
      <c r="F81" s="1006"/>
      <c r="G81" s="1006"/>
      <c r="H81" s="1006"/>
      <c r="I81" s="1006"/>
      <c r="J81" s="1006"/>
    </row>
    <row r="82" spans="1:10" x14ac:dyDescent="0.2">
      <c r="A82" s="1000" t="s">
        <v>461</v>
      </c>
      <c r="B82" s="1007"/>
      <c r="C82" s="1007"/>
      <c r="D82" s="1007"/>
      <c r="E82" s="1007"/>
      <c r="F82" s="1007"/>
      <c r="G82" s="1007"/>
      <c r="H82" s="1007"/>
      <c r="I82" s="1007"/>
      <c r="J82" s="1007"/>
    </row>
    <row r="83" spans="1:10" x14ac:dyDescent="0.2">
      <c r="A83" s="999" t="str">
        <f>A79</f>
        <v># of Customers</v>
      </c>
      <c r="B83" s="1001"/>
      <c r="C83" s="1001"/>
      <c r="D83" s="1001"/>
      <c r="E83" s="1008">
        <f>IF(ISERROR((E79-$B79)/$B79), 0, (E79-$B79)/$B79)</f>
        <v>0</v>
      </c>
      <c r="F83" s="1008">
        <f t="shared" ref="F83:J83" si="35">IF(ISERROR((F79-$B79)/$B79), 0, (F79-$B79)/$B79)</f>
        <v>0</v>
      </c>
      <c r="G83" s="1008">
        <f t="shared" si="35"/>
        <v>0</v>
      </c>
      <c r="H83" s="1008">
        <f t="shared" si="35"/>
        <v>0</v>
      </c>
      <c r="I83" s="1008">
        <f t="shared" ref="I83" si="36">IF(ISERROR((I79-$B79)/$B79), 0, (I79-$B79)/$B79)</f>
        <v>0</v>
      </c>
      <c r="J83" s="1008">
        <f t="shared" si="35"/>
        <v>0</v>
      </c>
    </row>
    <row r="84" spans="1:10" x14ac:dyDescent="0.2">
      <c r="A84" s="999" t="s">
        <v>36</v>
      </c>
      <c r="B84" s="1001"/>
      <c r="C84" s="1001"/>
      <c r="D84" s="1001"/>
      <c r="E84" s="1008">
        <f t="shared" ref="E84:J85" si="37">IF(ISERROR((E80-$B80)/$B80), 0, (E80-$B80)/$B80)</f>
        <v>0</v>
      </c>
      <c r="F84" s="1008">
        <f t="shared" si="37"/>
        <v>0</v>
      </c>
      <c r="G84" s="1008">
        <f t="shared" si="37"/>
        <v>0</v>
      </c>
      <c r="H84" s="1008">
        <f t="shared" si="37"/>
        <v>0</v>
      </c>
      <c r="I84" s="1008">
        <f t="shared" ref="I84" si="38">IF(ISERROR((I80-$B80)/$B80), 0, (I80-$B80)/$B80)</f>
        <v>0</v>
      </c>
      <c r="J84" s="1008">
        <f t="shared" si="37"/>
        <v>0</v>
      </c>
    </row>
    <row r="85" spans="1:10" x14ac:dyDescent="0.2">
      <c r="A85" s="999" t="s">
        <v>37</v>
      </c>
      <c r="B85" s="1001"/>
      <c r="C85" s="1001"/>
      <c r="D85" s="1001"/>
      <c r="E85" s="1008">
        <f t="shared" si="37"/>
        <v>0</v>
      </c>
      <c r="F85" s="1008">
        <f t="shared" si="37"/>
        <v>0</v>
      </c>
      <c r="G85" s="1008">
        <f t="shared" si="37"/>
        <v>0</v>
      </c>
      <c r="H85" s="1008">
        <f t="shared" si="37"/>
        <v>0</v>
      </c>
      <c r="I85" s="1008">
        <f t="shared" ref="I85" si="39">IF(ISERROR((I81-$B81)/$B81), 0, (I81-$B81)/$B81)</f>
        <v>0</v>
      </c>
      <c r="J85" s="1008">
        <f t="shared" si="37"/>
        <v>0</v>
      </c>
    </row>
    <row r="86" spans="1:10" x14ac:dyDescent="0.2">
      <c r="A86" s="272"/>
      <c r="B86" s="245"/>
      <c r="C86" s="245"/>
      <c r="D86" s="245"/>
      <c r="E86" s="245"/>
      <c r="F86" s="245"/>
      <c r="G86" s="245"/>
      <c r="H86" s="245"/>
      <c r="I86" s="245"/>
      <c r="J86" s="245"/>
    </row>
    <row r="87" spans="1:10" x14ac:dyDescent="0.2">
      <c r="A87" s="997" t="s">
        <v>465</v>
      </c>
      <c r="B87" s="1005"/>
      <c r="C87" s="1005"/>
      <c r="D87" s="1005"/>
      <c r="E87" s="1005"/>
      <c r="F87" s="1005"/>
      <c r="G87" s="1005"/>
      <c r="H87" s="1005"/>
      <c r="I87" s="1005"/>
      <c r="J87" s="1005"/>
    </row>
    <row r="88" spans="1:10" x14ac:dyDescent="0.2">
      <c r="A88" s="998" t="s">
        <v>460</v>
      </c>
      <c r="B88" s="1006"/>
      <c r="C88" s="1006"/>
      <c r="D88" s="1006"/>
      <c r="E88" s="1006"/>
      <c r="F88" s="1006"/>
      <c r="G88" s="1006"/>
      <c r="H88" s="1006"/>
      <c r="I88" s="1006"/>
      <c r="J88" s="1006"/>
    </row>
    <row r="89" spans="1:10" x14ac:dyDescent="0.2">
      <c r="A89" s="999" t="s">
        <v>36</v>
      </c>
      <c r="B89" s="1006"/>
      <c r="C89" s="1006"/>
      <c r="D89" s="1006"/>
      <c r="E89" s="1006"/>
      <c r="F89" s="1006"/>
      <c r="G89" s="1006"/>
      <c r="H89" s="1006"/>
      <c r="I89" s="1006"/>
      <c r="J89" s="1006"/>
    </row>
    <row r="90" spans="1:10" x14ac:dyDescent="0.2">
      <c r="A90" s="999" t="s">
        <v>37</v>
      </c>
      <c r="B90" s="1006"/>
      <c r="C90" s="1006"/>
      <c r="D90" s="1006"/>
      <c r="E90" s="1006"/>
      <c r="F90" s="1006"/>
      <c r="G90" s="1006"/>
      <c r="H90" s="1006"/>
      <c r="I90" s="1006"/>
      <c r="J90" s="1006"/>
    </row>
    <row r="91" spans="1:10" x14ac:dyDescent="0.2">
      <c r="A91" s="1000" t="s">
        <v>461</v>
      </c>
      <c r="B91" s="1007"/>
      <c r="C91" s="1007"/>
      <c r="D91" s="1007"/>
      <c r="E91" s="1007"/>
      <c r="F91" s="1007"/>
      <c r="G91" s="1007"/>
      <c r="H91" s="1007"/>
      <c r="I91" s="1007"/>
      <c r="J91" s="1007"/>
    </row>
    <row r="92" spans="1:10" x14ac:dyDescent="0.2">
      <c r="A92" s="999" t="str">
        <f>A88</f>
        <v># of Customers</v>
      </c>
      <c r="B92" s="1001"/>
      <c r="C92" s="1001"/>
      <c r="D92" s="1001"/>
      <c r="E92" s="1008">
        <f>IF(ISERROR((E88-$B88)/$B88), 0, (E88-$B88)/$B88)</f>
        <v>0</v>
      </c>
      <c r="F92" s="1008">
        <f t="shared" ref="F92:J92" si="40">IF(ISERROR((F88-$B88)/$B88), 0, (F88-$B88)/$B88)</f>
        <v>0</v>
      </c>
      <c r="G92" s="1008">
        <f t="shared" si="40"/>
        <v>0</v>
      </c>
      <c r="H92" s="1008">
        <f t="shared" si="40"/>
        <v>0</v>
      </c>
      <c r="I92" s="1008">
        <f t="shared" ref="I92" si="41">IF(ISERROR((I88-$B88)/$B88), 0, (I88-$B88)/$B88)</f>
        <v>0</v>
      </c>
      <c r="J92" s="1008">
        <f t="shared" si="40"/>
        <v>0</v>
      </c>
    </row>
    <row r="93" spans="1:10" x14ac:dyDescent="0.2">
      <c r="A93" s="999" t="s">
        <v>36</v>
      </c>
      <c r="B93" s="1001"/>
      <c r="C93" s="1001"/>
      <c r="D93" s="1001"/>
      <c r="E93" s="1008">
        <f t="shared" ref="E93:J94" si="42">IF(ISERROR((E89-$B89)/$B89), 0, (E89-$B89)/$B89)</f>
        <v>0</v>
      </c>
      <c r="F93" s="1008">
        <f t="shared" si="42"/>
        <v>0</v>
      </c>
      <c r="G93" s="1008">
        <f t="shared" si="42"/>
        <v>0</v>
      </c>
      <c r="H93" s="1008">
        <f t="shared" si="42"/>
        <v>0</v>
      </c>
      <c r="I93" s="1008">
        <f t="shared" ref="I93" si="43">IF(ISERROR((I89-$B89)/$B89), 0, (I89-$B89)/$B89)</f>
        <v>0</v>
      </c>
      <c r="J93" s="1008">
        <f t="shared" si="42"/>
        <v>0</v>
      </c>
    </row>
    <row r="94" spans="1:10" x14ac:dyDescent="0.2">
      <c r="A94" s="999" t="s">
        <v>37</v>
      </c>
      <c r="B94" s="1001"/>
      <c r="C94" s="1001"/>
      <c r="D94" s="1001"/>
      <c r="E94" s="1008">
        <f t="shared" si="42"/>
        <v>0</v>
      </c>
      <c r="F94" s="1008">
        <f t="shared" si="42"/>
        <v>0</v>
      </c>
      <c r="G94" s="1008">
        <f t="shared" si="42"/>
        <v>0</v>
      </c>
      <c r="H94" s="1008">
        <f t="shared" si="42"/>
        <v>0</v>
      </c>
      <c r="I94" s="1008">
        <f t="shared" ref="I94" si="44">IF(ISERROR((I90-$B90)/$B90), 0, (I90-$B90)/$B90)</f>
        <v>0</v>
      </c>
      <c r="J94" s="1008">
        <f t="shared" si="42"/>
        <v>0</v>
      </c>
    </row>
    <row r="95" spans="1:10" x14ac:dyDescent="0.2">
      <c r="A95" s="272"/>
      <c r="B95" s="245"/>
      <c r="C95" s="245"/>
      <c r="D95" s="245"/>
      <c r="E95" s="245"/>
      <c r="F95" s="245"/>
      <c r="G95" s="245"/>
      <c r="H95" s="245"/>
      <c r="I95" s="245"/>
      <c r="J95" s="245"/>
    </row>
    <row r="96" spans="1:10" x14ac:dyDescent="0.2">
      <c r="A96" s="997" t="s">
        <v>466</v>
      </c>
      <c r="B96" s="1005"/>
      <c r="C96" s="1005"/>
      <c r="D96" s="1005"/>
      <c r="E96" s="1005"/>
      <c r="F96" s="1005"/>
      <c r="G96" s="1005"/>
      <c r="H96" s="1005"/>
      <c r="I96" s="1005"/>
      <c r="J96" s="1005"/>
    </row>
    <row r="97" spans="1:10" x14ac:dyDescent="0.2">
      <c r="A97" s="998" t="s">
        <v>460</v>
      </c>
      <c r="B97" s="1006"/>
      <c r="C97" s="1006"/>
      <c r="D97" s="1006"/>
      <c r="E97" s="1006"/>
      <c r="F97" s="1006"/>
      <c r="G97" s="1006"/>
      <c r="H97" s="1006"/>
      <c r="I97" s="1006"/>
      <c r="J97" s="1006"/>
    </row>
    <row r="98" spans="1:10" x14ac:dyDescent="0.2">
      <c r="A98" s="999" t="s">
        <v>36</v>
      </c>
      <c r="B98" s="1006"/>
      <c r="C98" s="1006"/>
      <c r="D98" s="1006"/>
      <c r="E98" s="1006"/>
      <c r="F98" s="1006"/>
      <c r="G98" s="1006"/>
      <c r="H98" s="1006"/>
      <c r="I98" s="1006"/>
      <c r="J98" s="1006"/>
    </row>
    <row r="99" spans="1:10" x14ac:dyDescent="0.2">
      <c r="A99" s="999" t="s">
        <v>37</v>
      </c>
      <c r="B99" s="1006"/>
      <c r="C99" s="1006"/>
      <c r="D99" s="1006"/>
      <c r="E99" s="1006"/>
      <c r="F99" s="1006"/>
      <c r="G99" s="1006"/>
      <c r="H99" s="1006"/>
      <c r="I99" s="1006"/>
      <c r="J99" s="1006"/>
    </row>
    <row r="100" spans="1:10" x14ac:dyDescent="0.2">
      <c r="A100" s="1000" t="s">
        <v>461</v>
      </c>
      <c r="B100" s="1007"/>
      <c r="C100" s="1007"/>
      <c r="D100" s="1007"/>
      <c r="E100" s="1007"/>
      <c r="F100" s="1007"/>
      <c r="G100" s="1007"/>
      <c r="H100" s="1007"/>
      <c r="I100" s="1007"/>
      <c r="J100" s="1007"/>
    </row>
    <row r="101" spans="1:10" x14ac:dyDescent="0.2">
      <c r="A101" s="999" t="str">
        <f>A97</f>
        <v># of Customers</v>
      </c>
      <c r="B101" s="1001"/>
      <c r="C101" s="1001"/>
      <c r="D101" s="1001"/>
      <c r="E101" s="1008">
        <f>IF(ISERROR((E97-$B97)/$B97), 0, (E97-$B97)/$B97)</f>
        <v>0</v>
      </c>
      <c r="F101" s="1008">
        <f t="shared" ref="F101:J101" si="45">IF(ISERROR((F97-$B97)/$B97), 0, (F97-$B97)/$B97)</f>
        <v>0</v>
      </c>
      <c r="G101" s="1008">
        <f t="shared" si="45"/>
        <v>0</v>
      </c>
      <c r="H101" s="1008">
        <f t="shared" si="45"/>
        <v>0</v>
      </c>
      <c r="I101" s="1008">
        <f t="shared" ref="I101" si="46">IF(ISERROR((I97-$B97)/$B97), 0, (I97-$B97)/$B97)</f>
        <v>0</v>
      </c>
      <c r="J101" s="1008">
        <f t="shared" si="45"/>
        <v>0</v>
      </c>
    </row>
    <row r="102" spans="1:10" x14ac:dyDescent="0.2">
      <c r="A102" s="999" t="s">
        <v>36</v>
      </c>
      <c r="B102" s="1001"/>
      <c r="C102" s="1001"/>
      <c r="D102" s="1001"/>
      <c r="E102" s="1008">
        <f t="shared" ref="E102:J103" si="47">IF(ISERROR((E98-$B98)/$B98), 0, (E98-$B98)/$B98)</f>
        <v>0</v>
      </c>
      <c r="F102" s="1008">
        <f t="shared" si="47"/>
        <v>0</v>
      </c>
      <c r="G102" s="1008">
        <f t="shared" si="47"/>
        <v>0</v>
      </c>
      <c r="H102" s="1008">
        <f t="shared" si="47"/>
        <v>0</v>
      </c>
      <c r="I102" s="1008">
        <f t="shared" ref="I102" si="48">IF(ISERROR((I98-$B98)/$B98), 0, (I98-$B98)/$B98)</f>
        <v>0</v>
      </c>
      <c r="J102" s="1008">
        <f t="shared" si="47"/>
        <v>0</v>
      </c>
    </row>
    <row r="103" spans="1:10" x14ac:dyDescent="0.2">
      <c r="A103" s="999" t="s">
        <v>37</v>
      </c>
      <c r="B103" s="1001"/>
      <c r="C103" s="1001"/>
      <c r="D103" s="1001"/>
      <c r="E103" s="1008">
        <f t="shared" si="47"/>
        <v>0</v>
      </c>
      <c r="F103" s="1008">
        <f t="shared" si="47"/>
        <v>0</v>
      </c>
      <c r="G103" s="1008">
        <f t="shared" si="47"/>
        <v>0</v>
      </c>
      <c r="H103" s="1008">
        <f t="shared" si="47"/>
        <v>0</v>
      </c>
      <c r="I103" s="1008">
        <f t="shared" ref="I103" si="49">IF(ISERROR((I99-$B99)/$B99), 0, (I99-$B99)/$B99)</f>
        <v>0</v>
      </c>
      <c r="J103" s="1008">
        <f t="shared" si="47"/>
        <v>0</v>
      </c>
    </row>
    <row r="104" spans="1:10" x14ac:dyDescent="0.2">
      <c r="A104" s="272"/>
      <c r="B104" s="245"/>
      <c r="C104" s="245"/>
      <c r="D104" s="245"/>
      <c r="E104" s="245"/>
      <c r="F104" s="245"/>
      <c r="G104" s="245"/>
      <c r="H104" s="245"/>
      <c r="I104" s="245"/>
      <c r="J104" s="245"/>
    </row>
    <row r="105" spans="1:10" x14ac:dyDescent="0.2">
      <c r="A105" s="245"/>
      <c r="B105" s="245"/>
      <c r="C105" s="245"/>
      <c r="D105" s="245"/>
      <c r="E105" s="245"/>
      <c r="F105" s="245"/>
      <c r="G105" s="245"/>
      <c r="H105" s="245"/>
      <c r="I105" s="245"/>
      <c r="J105" s="245"/>
    </row>
    <row r="106" spans="1:10" ht="18" x14ac:dyDescent="0.25">
      <c r="A106" s="1002" t="s">
        <v>467</v>
      </c>
      <c r="B106" s="245"/>
      <c r="C106" s="245"/>
      <c r="D106" s="245"/>
      <c r="E106" s="245"/>
      <c r="F106" s="245"/>
      <c r="G106" s="245"/>
      <c r="H106" s="245"/>
      <c r="I106" s="245"/>
      <c r="J106" s="245"/>
    </row>
    <row r="107" spans="1:10" x14ac:dyDescent="0.2">
      <c r="A107" s="999" t="s">
        <v>468</v>
      </c>
      <c r="B107" s="1009">
        <f>SUM(B16,B25,B34,B43,B52,B61,B70,B79,B88,B97)</f>
        <v>5349</v>
      </c>
      <c r="C107" s="1009">
        <f>SUM(C16,C25,C34,C43,C52,C61,C70,C79,C88,C97)</f>
        <v>5363</v>
      </c>
      <c r="D107" s="1009">
        <f>SUM(D16,D25,D34,D43,D52,D61,D70,D79,D88,D97)</f>
        <v>5393</v>
      </c>
      <c r="E107" s="1009">
        <f t="shared" ref="E107:J107" si="50">SUM(E16,E25,E34,E43,E52,E61,E70,E79,E88,E97)</f>
        <v>5411</v>
      </c>
      <c r="F107" s="1009">
        <f t="shared" si="50"/>
        <v>5443</v>
      </c>
      <c r="G107" s="1009">
        <f t="shared" si="50"/>
        <v>5473</v>
      </c>
      <c r="H107" s="1009">
        <f t="shared" si="50"/>
        <v>5493</v>
      </c>
      <c r="I107" s="1009">
        <f t="shared" ref="I107" si="51">SUM(I16,I25,I34,I43,I52,I61,I70,I79,I88,I97)</f>
        <v>5517.77491112178</v>
      </c>
      <c r="J107" s="1009">
        <f t="shared" si="50"/>
        <v>5542.9438224770811</v>
      </c>
    </row>
    <row r="108" spans="1:10" x14ac:dyDescent="0.2">
      <c r="A108" s="999" t="s">
        <v>36</v>
      </c>
      <c r="B108" s="1009">
        <f t="shared" ref="B108:J109" si="52">SUM(B17,B26,B35,B44,B53,B62,B71,B80,B89,B98)</f>
        <v>98720895</v>
      </c>
      <c r="C108" s="1009">
        <f t="shared" ref="C108:D108" si="53">SUM(C17,C26,C35,C44,C53,C62,C71,C80,C89,C98)</f>
        <v>95702324</v>
      </c>
      <c r="D108" s="1009">
        <f t="shared" si="53"/>
        <v>89846326</v>
      </c>
      <c r="E108" s="1009">
        <f t="shared" si="52"/>
        <v>87042318</v>
      </c>
      <c r="F108" s="1009">
        <f t="shared" si="52"/>
        <v>87411656</v>
      </c>
      <c r="G108" s="1009">
        <f t="shared" si="52"/>
        <v>86248298</v>
      </c>
      <c r="H108" s="1009">
        <f t="shared" si="52"/>
        <v>86807086</v>
      </c>
      <c r="I108" s="1009">
        <f t="shared" ref="I108" si="54">SUM(I17,I26,I35,I44,I53,I62,I71,I80,I89,I98)</f>
        <v>87305146.535537943</v>
      </c>
      <c r="J108" s="1009">
        <f t="shared" si="52"/>
        <v>85344275.637407094</v>
      </c>
    </row>
    <row r="109" spans="1:10" x14ac:dyDescent="0.2">
      <c r="A109" s="999" t="s">
        <v>469</v>
      </c>
      <c r="B109" s="1009">
        <f t="shared" si="52"/>
        <v>145888</v>
      </c>
      <c r="C109" s="1009">
        <f t="shared" ref="C109:D109" si="55">SUM(C18,C27,C36,C45,C54,C63,C72,C81,C90,C99)</f>
        <v>144895</v>
      </c>
      <c r="D109" s="1009">
        <f t="shared" si="55"/>
        <v>134079</v>
      </c>
      <c r="E109" s="1009">
        <f t="shared" si="52"/>
        <v>123479</v>
      </c>
      <c r="F109" s="1009">
        <f t="shared" si="52"/>
        <v>118917</v>
      </c>
      <c r="G109" s="1009">
        <f t="shared" si="52"/>
        <v>117290</v>
      </c>
      <c r="H109" s="1009">
        <f t="shared" si="52"/>
        <v>117039</v>
      </c>
      <c r="I109" s="1009">
        <f t="shared" ref="I109" si="56">SUM(I18,I27,I36,I45,I54,I63,I72,I81,I90,I99)</f>
        <v>123812.15400029326</v>
      </c>
      <c r="J109" s="1009">
        <f t="shared" si="52"/>
        <v>121031.33684061705</v>
      </c>
    </row>
    <row r="110" spans="1:10" x14ac:dyDescent="0.2">
      <c r="A110" s="245"/>
      <c r="B110" s="245"/>
      <c r="C110" s="245"/>
      <c r="D110" s="245"/>
      <c r="E110" s="245"/>
      <c r="F110" s="245"/>
      <c r="G110" s="245"/>
      <c r="H110" s="245"/>
      <c r="I110" s="245"/>
      <c r="J110" s="245"/>
    </row>
    <row r="111" spans="1:10" ht="18" x14ac:dyDescent="0.25">
      <c r="A111" s="1002" t="s">
        <v>470</v>
      </c>
      <c r="B111" s="245"/>
      <c r="C111" s="245"/>
      <c r="D111" s="245"/>
      <c r="E111" s="245"/>
      <c r="F111" s="245"/>
      <c r="G111" s="245"/>
      <c r="H111" s="245"/>
      <c r="I111" s="245"/>
      <c r="J111" s="245"/>
    </row>
    <row r="112" spans="1:10" x14ac:dyDescent="0.2">
      <c r="A112" s="999" t="s">
        <v>468</v>
      </c>
      <c r="B112" s="1001"/>
      <c r="C112" s="1001"/>
      <c r="D112" s="1001"/>
      <c r="E112" s="1008">
        <f t="shared" ref="E112:J114" si="57">IF(ISERROR((E107-$B107)/$B107), 0, (E107-$B107)/$B107)</f>
        <v>1.159095157973453E-2</v>
      </c>
      <c r="F112" s="1008">
        <f t="shared" si="57"/>
        <v>1.7573378201532996E-2</v>
      </c>
      <c r="G112" s="1008">
        <f t="shared" si="57"/>
        <v>2.318190315946906E-2</v>
      </c>
      <c r="H112" s="1008">
        <f t="shared" si="57"/>
        <v>2.69209197980931E-2</v>
      </c>
      <c r="I112" s="1008">
        <f t="shared" ref="I112" si="58">IF(ISERROR((I107-$B107)/$B107), 0, (I107-$B107)/$B107)</f>
        <v>3.1552610043331451E-2</v>
      </c>
      <c r="J112" s="1008">
        <f t="shared" si="57"/>
        <v>3.6257958960007677E-2</v>
      </c>
    </row>
    <row r="113" spans="1:10" x14ac:dyDescent="0.2">
      <c r="A113" s="999" t="s">
        <v>36</v>
      </c>
      <c r="B113" s="1001"/>
      <c r="C113" s="1001"/>
      <c r="D113" s="1001"/>
      <c r="E113" s="1008">
        <f t="shared" si="57"/>
        <v>-0.11829893762612262</v>
      </c>
      <c r="F113" s="1008">
        <f t="shared" si="57"/>
        <v>-0.11455770331093534</v>
      </c>
      <c r="G113" s="1008">
        <f t="shared" si="57"/>
        <v>-0.12634201705728051</v>
      </c>
      <c r="H113" s="1008">
        <f t="shared" si="57"/>
        <v>-0.12068173612080806</v>
      </c>
      <c r="I113" s="1008">
        <f t="shared" ref="I113" si="59">IF(ISERROR((I108-$B108)/$B108), 0, (I108-$B108)/$B108)</f>
        <v>-0.11563659815343101</v>
      </c>
      <c r="J113" s="1008">
        <f t="shared" si="57"/>
        <v>-0.13549937287939809</v>
      </c>
    </row>
    <row r="114" spans="1:10" x14ac:dyDescent="0.2">
      <c r="A114" s="999" t="s">
        <v>469</v>
      </c>
      <c r="B114" s="1001"/>
      <c r="C114" s="1001"/>
      <c r="D114" s="1001"/>
      <c r="E114" s="1008">
        <f t="shared" si="57"/>
        <v>-0.15360413467865761</v>
      </c>
      <c r="F114" s="1008">
        <f t="shared" si="57"/>
        <v>-0.18487469839877166</v>
      </c>
      <c r="G114" s="1008">
        <f t="shared" si="57"/>
        <v>-0.19602708927396359</v>
      </c>
      <c r="H114" s="1008">
        <f t="shared" si="57"/>
        <v>-0.1977475871901733</v>
      </c>
      <c r="I114" s="1008">
        <f t="shared" ref="I114" si="60">IF(ISERROR((I109-$B109)/$B109), 0, (I109-$B109)/$B109)</f>
        <v>-0.15132050613968756</v>
      </c>
      <c r="J114" s="1008">
        <f t="shared" si="57"/>
        <v>-0.17038182139300664</v>
      </c>
    </row>
  </sheetData>
  <mergeCells count="2">
    <mergeCell ref="A9:J9"/>
    <mergeCell ref="A10:J10"/>
  </mergeCells>
  <dataValidations count="1">
    <dataValidation type="list" allowBlank="1" showInputMessage="1" showErrorMessage="1" promptTitle="Customers/connections" prompt="Select &quot;# of Customers&quot; or &quot;# of Connections&quot; from drop-down list." sqref="A61 A70 A16 A43 A88 A25 A34 A52 A79 A97">
      <formula1>"# of Customers, # of Connections"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M37"/>
  <sheetViews>
    <sheetView showGridLines="0" zoomScaleNormal="100" workbookViewId="0">
      <selection activeCell="A11" sqref="A11"/>
    </sheetView>
  </sheetViews>
  <sheetFormatPr defaultRowHeight="12.75" x14ac:dyDescent="0.2"/>
  <cols>
    <col min="1" max="1" width="13.6640625" customWidth="1"/>
    <col min="2" max="2" width="68.6640625" customWidth="1"/>
    <col min="3" max="3" width="25.1640625" customWidth="1"/>
    <col min="4" max="4" width="29.5" style="136" customWidth="1"/>
    <col min="5" max="5" width="4.83203125" style="136" customWidth="1"/>
    <col min="6" max="6" width="12" style="136" customWidth="1"/>
    <col min="7" max="7" width="18" customWidth="1"/>
    <col min="9" max="9" width="14.83203125" bestFit="1" customWidth="1"/>
    <col min="10" max="10" width="2.1640625" bestFit="1" customWidth="1"/>
  </cols>
  <sheetData>
    <row r="1" spans="1:13" s="534" customFormat="1" x14ac:dyDescent="0.2">
      <c r="A1" s="755" t="s">
        <v>269</v>
      </c>
    </row>
    <row r="2" spans="1:13" s="534" customFormat="1" x14ac:dyDescent="0.2"/>
    <row r="3" spans="1:13" s="534" customFormat="1" x14ac:dyDescent="0.2"/>
    <row r="4" spans="1:13" s="534" customFormat="1" x14ac:dyDescent="0.2"/>
    <row r="5" spans="1:13" s="534" customFormat="1" x14ac:dyDescent="0.2"/>
    <row r="6" spans="1:13" s="534" customFormat="1" x14ac:dyDescent="0.2"/>
    <row r="7" spans="1:13" s="534" customFormat="1" x14ac:dyDescent="0.2"/>
    <row r="8" spans="1:13" s="534" customFormat="1" x14ac:dyDescent="0.2"/>
    <row r="9" spans="1:13" s="534" customFormat="1" x14ac:dyDescent="0.2"/>
    <row r="10" spans="1:13" ht="12.75" customHeight="1" x14ac:dyDescent="0.2">
      <c r="B10" s="1013"/>
      <c r="C10" s="1013"/>
      <c r="D10" s="1013"/>
      <c r="E10" s="1013"/>
      <c r="F10" s="1013"/>
      <c r="G10" s="1013"/>
      <c r="H10" s="1013"/>
      <c r="I10" s="1013"/>
      <c r="J10" s="512"/>
      <c r="K10" s="512"/>
      <c r="L10" s="512"/>
      <c r="M10" s="512"/>
    </row>
    <row r="11" spans="1:13" ht="23.25" x14ac:dyDescent="0.2">
      <c r="B11" s="1014" t="s">
        <v>149</v>
      </c>
      <c r="C11" s="1014"/>
      <c r="D11" s="162"/>
      <c r="E11"/>
      <c r="F11" s="137"/>
      <c r="G11" s="137"/>
      <c r="H11" s="137"/>
    </row>
    <row r="12" spans="1:13" ht="18.75" thickBot="1" x14ac:dyDescent="0.25">
      <c r="C12" s="137"/>
      <c r="D12" s="137"/>
      <c r="E12" s="137"/>
      <c r="F12" s="137"/>
      <c r="G12" s="137"/>
      <c r="H12" s="137"/>
      <c r="I12" s="137"/>
      <c r="J12" s="137"/>
    </row>
    <row r="13" spans="1:13" ht="72" customHeight="1" x14ac:dyDescent="0.2">
      <c r="B13" s="736" t="s">
        <v>96</v>
      </c>
      <c r="C13" s="737" t="s">
        <v>126</v>
      </c>
      <c r="D13" s="738" t="s">
        <v>127</v>
      </c>
      <c r="E13"/>
      <c r="F13"/>
    </row>
    <row r="14" spans="1:13" x14ac:dyDescent="0.2">
      <c r="B14" s="732" t="s">
        <v>6</v>
      </c>
      <c r="C14" s="761" t="s">
        <v>125</v>
      </c>
      <c r="D14" s="762" t="s">
        <v>128</v>
      </c>
      <c r="F14" s="1016" t="s">
        <v>171</v>
      </c>
      <c r="G14" s="1016"/>
      <c r="I14" s="513" t="s">
        <v>36</v>
      </c>
    </row>
    <row r="15" spans="1:13" x14ac:dyDescent="0.2">
      <c r="B15" s="732" t="s">
        <v>97</v>
      </c>
      <c r="C15" s="761" t="s">
        <v>125</v>
      </c>
      <c r="D15" s="762" t="s">
        <v>128</v>
      </c>
      <c r="E15" s="731"/>
      <c r="F15" s="1016"/>
      <c r="G15" s="1016"/>
      <c r="I15" s="513" t="s">
        <v>36</v>
      </c>
    </row>
    <row r="16" spans="1:13" x14ac:dyDescent="0.2">
      <c r="B16" s="732" t="s">
        <v>104</v>
      </c>
      <c r="C16" s="761" t="s">
        <v>42</v>
      </c>
      <c r="D16" s="762" t="s">
        <v>42</v>
      </c>
      <c r="E16" s="731"/>
      <c r="F16" s="1016"/>
      <c r="G16" s="1016"/>
      <c r="I16" s="513" t="s">
        <v>36</v>
      </c>
    </row>
    <row r="17" spans="2:9" ht="13.5" thickBot="1" x14ac:dyDescent="0.25">
      <c r="B17" s="733"/>
      <c r="C17" s="763" t="s">
        <v>128</v>
      </c>
      <c r="D17" s="764" t="s">
        <v>128</v>
      </c>
      <c r="E17" s="731"/>
      <c r="F17" s="1016"/>
      <c r="G17" s="1016"/>
    </row>
    <row r="18" spans="2:9" ht="13.5" customHeight="1" x14ac:dyDescent="0.2">
      <c r="B18" s="734" t="s">
        <v>265</v>
      </c>
      <c r="C18" s="765" t="s">
        <v>125</v>
      </c>
      <c r="D18" s="766" t="s">
        <v>42</v>
      </c>
      <c r="E18"/>
      <c r="F18" s="1017" t="s">
        <v>172</v>
      </c>
      <c r="G18" s="1017"/>
      <c r="I18" s="513" t="s">
        <v>37</v>
      </c>
    </row>
    <row r="19" spans="2:9" x14ac:dyDescent="0.2">
      <c r="B19" s="735" t="s">
        <v>103</v>
      </c>
      <c r="C19" s="761" t="s">
        <v>42</v>
      </c>
      <c r="D19" s="762" t="s">
        <v>42</v>
      </c>
      <c r="E19"/>
      <c r="F19" s="1017"/>
      <c r="G19" s="1017"/>
      <c r="I19" s="513" t="s">
        <v>37</v>
      </c>
    </row>
    <row r="20" spans="2:9" ht="13.5" thickBot="1" x14ac:dyDescent="0.25">
      <c r="B20" s="739"/>
      <c r="C20" s="767" t="s">
        <v>128</v>
      </c>
      <c r="D20" s="768" t="s">
        <v>128</v>
      </c>
      <c r="E20"/>
      <c r="F20" s="1017"/>
      <c r="G20" s="1017"/>
      <c r="I20" s="513" t="s">
        <v>37</v>
      </c>
    </row>
    <row r="21" spans="2:9" ht="13.5" thickBot="1" x14ac:dyDescent="0.25">
      <c r="B21" s="740"/>
      <c r="C21" s="769" t="s">
        <v>128</v>
      </c>
      <c r="D21" s="770" t="s">
        <v>128</v>
      </c>
      <c r="E21"/>
      <c r="F21" s="506"/>
      <c r="G21" s="506"/>
      <c r="I21" s="513" t="s">
        <v>37</v>
      </c>
    </row>
    <row r="22" spans="2:9" hidden="1" x14ac:dyDescent="0.2">
      <c r="B22" s="503" t="s">
        <v>105</v>
      </c>
      <c r="C22" s="504" t="s">
        <v>128</v>
      </c>
      <c r="D22" s="505" t="s">
        <v>128</v>
      </c>
      <c r="E22"/>
      <c r="F22"/>
    </row>
    <row r="23" spans="2:9" ht="13.5" hidden="1" thickBot="1" x14ac:dyDescent="0.25">
      <c r="B23" s="290" t="s">
        <v>105</v>
      </c>
      <c r="C23" s="288" t="s">
        <v>128</v>
      </c>
      <c r="D23" s="289" t="s">
        <v>128</v>
      </c>
      <c r="E23"/>
      <c r="F23"/>
    </row>
    <row r="24" spans="2:9" x14ac:dyDescent="0.2">
      <c r="D24"/>
      <c r="E24"/>
      <c r="F24"/>
    </row>
    <row r="25" spans="2:9" x14ac:dyDescent="0.2">
      <c r="D25"/>
      <c r="E25"/>
      <c r="F25"/>
    </row>
    <row r="26" spans="2:9" x14ac:dyDescent="0.2">
      <c r="D26"/>
      <c r="E26"/>
      <c r="F26"/>
    </row>
    <row r="27" spans="2:9" x14ac:dyDescent="0.2">
      <c r="D27"/>
      <c r="E27"/>
      <c r="F27"/>
    </row>
    <row r="28" spans="2:9" x14ac:dyDescent="0.2">
      <c r="D28"/>
      <c r="E28"/>
      <c r="F28"/>
    </row>
    <row r="29" spans="2:9" x14ac:dyDescent="0.2">
      <c r="D29"/>
      <c r="E29"/>
      <c r="F29"/>
    </row>
    <row r="30" spans="2:9" x14ac:dyDescent="0.2">
      <c r="D30"/>
      <c r="E30"/>
      <c r="F30"/>
    </row>
    <row r="31" spans="2:9" x14ac:dyDescent="0.2">
      <c r="D31"/>
      <c r="E31"/>
      <c r="F31"/>
    </row>
    <row r="32" spans="2:9" x14ac:dyDescent="0.2">
      <c r="D32"/>
      <c r="E32"/>
      <c r="F32"/>
    </row>
    <row r="33" spans="3:7" x14ac:dyDescent="0.2">
      <c r="D33"/>
      <c r="E33"/>
      <c r="F33"/>
    </row>
    <row r="34" spans="3:7" x14ac:dyDescent="0.2">
      <c r="D34"/>
      <c r="E34"/>
      <c r="F34"/>
    </row>
    <row r="35" spans="3:7" x14ac:dyDescent="0.2">
      <c r="D35"/>
      <c r="E35"/>
      <c r="F35"/>
    </row>
    <row r="36" spans="3:7" x14ac:dyDescent="0.2">
      <c r="C36" s="136"/>
      <c r="F36"/>
    </row>
    <row r="37" spans="3:7" x14ac:dyDescent="0.2">
      <c r="G37" s="513" t="s">
        <v>30</v>
      </c>
    </row>
  </sheetData>
  <mergeCells count="4">
    <mergeCell ref="B11:C11"/>
    <mergeCell ref="F14:G17"/>
    <mergeCell ref="F18:G20"/>
    <mergeCell ref="B10:I10"/>
  </mergeCells>
  <dataValidations count="1">
    <dataValidation type="list" allowBlank="1" showInputMessage="1" showErrorMessage="1" sqref="C14:D23">
      <formula1>"Weather-Sensitive,Non-Weather Sensitive,n/a"</formula1>
    </dataValidation>
  </dataValidations>
  <pageMargins left="0.7" right="0.7" top="0.75" bottom="0.75" header="0.3" footer="0.3"/>
  <pageSetup scale="71"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A174"/>
  <sheetViews>
    <sheetView showGridLines="0" zoomScaleNormal="100" workbookViewId="0">
      <selection activeCell="A11" sqref="A11"/>
    </sheetView>
  </sheetViews>
  <sheetFormatPr defaultRowHeight="12.75" x14ac:dyDescent="0.2"/>
  <cols>
    <col min="1" max="1" width="13.6640625" style="30" customWidth="1"/>
    <col min="2" max="2" width="18" style="30" customWidth="1"/>
    <col min="3" max="3" width="16.83203125" style="32" customWidth="1"/>
    <col min="4" max="4" width="14.1640625" style="32" customWidth="1"/>
    <col min="5" max="5" width="14.1640625" style="31" customWidth="1"/>
    <col min="6" max="6" width="14.1640625" style="32" customWidth="1"/>
    <col min="7" max="7" width="14.1640625" style="31" customWidth="1"/>
    <col min="8" max="8" width="14.1640625" style="32" customWidth="1"/>
    <col min="9" max="9" width="15.1640625" style="31" customWidth="1"/>
    <col min="10" max="10" width="14.1640625" style="31" customWidth="1"/>
    <col min="11" max="11" width="13.33203125" style="31" bestFit="1" customWidth="1"/>
    <col min="12" max="13" width="14.1640625" style="32" customWidth="1"/>
    <col min="14" max="14" width="14.1640625" style="31" customWidth="1"/>
    <col min="15" max="16" width="14.1640625" style="32" customWidth="1"/>
    <col min="17" max="17" width="14.1640625" style="31" customWidth="1"/>
    <col min="18" max="19" width="14.1640625" style="32" customWidth="1"/>
    <col min="20" max="20" width="14.1640625" style="31" customWidth="1"/>
    <col min="21" max="21" width="13.5" style="32" customWidth="1"/>
    <col min="22" max="22" width="13.5" style="535" customWidth="1"/>
    <col min="23" max="23" width="13.5" style="31" customWidth="1"/>
    <col min="24" max="27" width="13.5" style="30" customWidth="1"/>
    <col min="28" max="16384" width="9.33203125" style="30"/>
  </cols>
  <sheetData>
    <row r="1" spans="1:23" s="534" customFormat="1" x14ac:dyDescent="0.2">
      <c r="A1" s="755" t="s">
        <v>269</v>
      </c>
    </row>
    <row r="2" spans="1:23" s="534" customFormat="1" x14ac:dyDescent="0.2"/>
    <row r="3" spans="1:23" s="534" customFormat="1" x14ac:dyDescent="0.2"/>
    <row r="4" spans="1:23" s="534" customFormat="1" x14ac:dyDescent="0.2"/>
    <row r="5" spans="1:23" s="534" customFormat="1" x14ac:dyDescent="0.2"/>
    <row r="6" spans="1:23" s="534" customFormat="1" x14ac:dyDescent="0.2"/>
    <row r="7" spans="1:23" s="534" customFormat="1" x14ac:dyDescent="0.2"/>
    <row r="8" spans="1:23" s="534" customFormat="1" x14ac:dyDescent="0.2"/>
    <row r="9" spans="1:23" s="534" customFormat="1" x14ac:dyDescent="0.2"/>
    <row r="10" spans="1:23" customFormat="1" ht="12.75" customHeight="1" x14ac:dyDescent="0.2">
      <c r="B10" s="1013"/>
      <c r="C10" s="1013"/>
      <c r="D10" s="1013"/>
      <c r="E10" s="1013"/>
      <c r="F10" s="1013"/>
      <c r="G10" s="1013"/>
      <c r="H10" s="1013"/>
      <c r="I10" s="1013"/>
      <c r="J10" s="512"/>
      <c r="K10" s="512"/>
      <c r="L10" s="512"/>
      <c r="M10" s="512"/>
    </row>
    <row r="11" spans="1:23" s="1" customFormat="1" ht="23.25" x14ac:dyDescent="0.2">
      <c r="A11"/>
      <c r="B11" s="133" t="s">
        <v>100</v>
      </c>
      <c r="D11" s="58"/>
      <c r="E11" s="58"/>
      <c r="F11" s="58"/>
      <c r="G11" s="58"/>
      <c r="L11" s="58"/>
      <c r="N11" s="58"/>
      <c r="O11" s="58"/>
      <c r="Q11" s="58"/>
      <c r="V11" s="534"/>
    </row>
    <row r="12" spans="1:23" ht="15" x14ac:dyDescent="0.2">
      <c r="B12" s="63" t="s">
        <v>64</v>
      </c>
      <c r="C12" s="30"/>
      <c r="D12" s="99"/>
      <c r="E12" s="99"/>
      <c r="F12" s="99"/>
      <c r="G12" s="99"/>
      <c r="H12"/>
      <c r="L12" s="99"/>
      <c r="M12" s="99"/>
      <c r="N12" s="99"/>
      <c r="O12" s="99"/>
      <c r="P12" s="99"/>
      <c r="Q12" s="99"/>
      <c r="R12" s="99"/>
      <c r="T12" s="535"/>
      <c r="U12" s="31"/>
      <c r="V12" s="30"/>
      <c r="W12" s="30"/>
    </row>
    <row r="13" spans="1:23" ht="14.25" x14ac:dyDescent="0.2">
      <c r="B13" s="100" t="s">
        <v>68</v>
      </c>
      <c r="C13" s="30"/>
      <c r="D13" s="100"/>
      <c r="E13" s="100"/>
      <c r="F13" s="100"/>
      <c r="G13" s="99"/>
      <c r="L13" s="99"/>
      <c r="M13" s="99"/>
      <c r="N13" s="99"/>
      <c r="O13" s="99"/>
      <c r="P13" s="99"/>
      <c r="Q13" s="99"/>
      <c r="R13" s="99"/>
      <c r="T13" s="535"/>
      <c r="U13" s="31"/>
      <c r="V13" s="30"/>
      <c r="W13" s="30"/>
    </row>
    <row r="14" spans="1:23" ht="14.25" x14ac:dyDescent="0.2">
      <c r="B14" s="100" t="s">
        <v>67</v>
      </c>
      <c r="C14" s="30"/>
      <c r="D14" s="100"/>
      <c r="E14" s="100"/>
      <c r="F14" s="100"/>
      <c r="G14" s="99"/>
      <c r="L14" s="99"/>
      <c r="M14" s="99"/>
      <c r="N14" s="99"/>
      <c r="O14" s="99"/>
      <c r="P14" s="99"/>
      <c r="Q14" s="99"/>
      <c r="R14" s="99"/>
      <c r="S14" s="99"/>
      <c r="T14" s="99"/>
    </row>
    <row r="15" spans="1:23" ht="14.25" x14ac:dyDescent="0.2">
      <c r="B15" s="100" t="s">
        <v>69</v>
      </c>
      <c r="C15" s="30"/>
      <c r="D15" s="100"/>
      <c r="E15" s="100"/>
      <c r="F15" s="100"/>
      <c r="G15" s="99"/>
      <c r="L15" s="99"/>
      <c r="M15" s="99"/>
      <c r="N15" s="99"/>
      <c r="O15" s="99"/>
      <c r="P15" s="99"/>
      <c r="Q15" s="99"/>
      <c r="R15" s="99"/>
      <c r="S15" s="99"/>
      <c r="T15" s="99"/>
    </row>
    <row r="16" spans="1:23" ht="14.25" x14ac:dyDescent="0.2">
      <c r="B16" s="100" t="s">
        <v>66</v>
      </c>
      <c r="C16" s="30"/>
      <c r="D16" s="100"/>
      <c r="E16" s="100"/>
      <c r="F16" s="100"/>
      <c r="G16" s="99"/>
      <c r="L16" s="99"/>
      <c r="M16" s="99"/>
      <c r="N16" s="99"/>
      <c r="O16" s="99"/>
      <c r="P16" s="99"/>
      <c r="Q16" s="99"/>
      <c r="R16" s="99"/>
      <c r="S16" s="99"/>
      <c r="T16" s="99"/>
    </row>
    <row r="17" spans="2:27" ht="14.25" x14ac:dyDescent="0.2">
      <c r="C17" s="100"/>
      <c r="D17" s="100"/>
      <c r="E17" s="100"/>
      <c r="F17" s="100"/>
      <c r="G17" s="99"/>
      <c r="L17" s="99"/>
      <c r="M17" s="99"/>
      <c r="N17" s="99"/>
      <c r="O17" s="99"/>
      <c r="P17" s="99"/>
      <c r="Q17" s="99"/>
      <c r="R17" s="99"/>
      <c r="S17" s="99"/>
      <c r="T17" s="99"/>
    </row>
    <row r="18" spans="2:27" ht="15" x14ac:dyDescent="0.25">
      <c r="B18" s="101" t="s">
        <v>65</v>
      </c>
      <c r="C18" s="30"/>
      <c r="D18" s="101"/>
      <c r="E18" s="100"/>
      <c r="F18" s="100"/>
      <c r="G18" s="99"/>
      <c r="L18" s="99"/>
      <c r="M18" s="99"/>
      <c r="N18" s="99"/>
      <c r="O18" s="99"/>
      <c r="P18" s="99"/>
      <c r="Q18" s="99"/>
      <c r="R18" s="99"/>
      <c r="S18" s="99"/>
      <c r="T18" s="99"/>
    </row>
    <row r="19" spans="2:27" ht="13.5" thickBot="1" x14ac:dyDescent="0.25"/>
    <row r="20" spans="2:27" ht="12.75" customHeight="1" x14ac:dyDescent="0.2">
      <c r="B20" s="33"/>
      <c r="C20" s="33"/>
      <c r="D20" s="1027" t="str">
        <f>'2. Customer Classes'!B14</f>
        <v>Residential</v>
      </c>
      <c r="E20" s="1028"/>
      <c r="F20" s="1027" t="str">
        <f>'2. Customer Classes'!B15</f>
        <v>General Service &lt; 50 kW</v>
      </c>
      <c r="G20" s="1028"/>
      <c r="H20" s="1030" t="str">
        <f>+'2. Customer Classes'!B16</f>
        <v>Unmetered Scattered Load</v>
      </c>
      <c r="I20" s="1031"/>
      <c r="J20" s="1032">
        <f>+'2. Customer Classes'!B17</f>
        <v>0</v>
      </c>
      <c r="K20" s="1022"/>
      <c r="L20" s="1027" t="str">
        <f>'2. Customer Classes'!B18</f>
        <v>General Service &gt; 50 kW - 4999 kW</v>
      </c>
      <c r="M20" s="1029"/>
      <c r="N20" s="1028"/>
      <c r="O20" s="1018" t="str">
        <f>'2. Customer Classes'!B19</f>
        <v>Streetlighting</v>
      </c>
      <c r="P20" s="1019"/>
      <c r="Q20" s="1020"/>
      <c r="R20" s="1018">
        <f>'2. Customer Classes'!B20</f>
        <v>0</v>
      </c>
      <c r="S20" s="1019"/>
      <c r="T20" s="1020"/>
      <c r="U20" s="1021">
        <f>'2. Customer Classes'!B21</f>
        <v>0</v>
      </c>
      <c r="V20" s="1025"/>
      <c r="W20" s="1022"/>
      <c r="X20" s="1021" t="str">
        <f>'2. Customer Classes'!B22</f>
        <v>other</v>
      </c>
      <c r="Y20" s="1022"/>
      <c r="Z20" s="1021" t="str">
        <f>'2. Customer Classes'!B23</f>
        <v>other</v>
      </c>
      <c r="AA20" s="1022"/>
    </row>
    <row r="21" spans="2:27" ht="12.75" customHeight="1" x14ac:dyDescent="0.2">
      <c r="B21" s="165"/>
      <c r="C21" s="165"/>
      <c r="D21" s="1023" t="s">
        <v>120</v>
      </c>
      <c r="E21" s="1024"/>
      <c r="F21" s="1023" t="s">
        <v>120</v>
      </c>
      <c r="G21" s="1024"/>
      <c r="H21" s="1023" t="s">
        <v>120</v>
      </c>
      <c r="I21" s="1024"/>
      <c r="J21" s="1023" t="s">
        <v>120</v>
      </c>
      <c r="K21" s="1024"/>
      <c r="L21" s="1023" t="s">
        <v>120</v>
      </c>
      <c r="M21" s="1026"/>
      <c r="N21" s="1024"/>
      <c r="O21" s="1023" t="s">
        <v>120</v>
      </c>
      <c r="P21" s="1026"/>
      <c r="Q21" s="1024"/>
      <c r="R21" s="1023" t="s">
        <v>120</v>
      </c>
      <c r="S21" s="1026"/>
      <c r="T21" s="1024"/>
      <c r="U21" s="1023" t="s">
        <v>120</v>
      </c>
      <c r="V21" s="1026"/>
      <c r="W21" s="1024"/>
      <c r="X21" s="1023" t="s">
        <v>120</v>
      </c>
      <c r="Y21" s="1024"/>
      <c r="Z21" s="1023" t="s">
        <v>120</v>
      </c>
      <c r="AA21" s="1024"/>
    </row>
    <row r="22" spans="2:27" x14ac:dyDescent="0.2">
      <c r="B22" s="34"/>
      <c r="C22" s="34"/>
      <c r="D22" s="35"/>
      <c r="E22" s="36" t="s">
        <v>35</v>
      </c>
      <c r="F22" s="35"/>
      <c r="G22" s="36" t="s">
        <v>35</v>
      </c>
      <c r="H22" s="35"/>
      <c r="I22" s="36" t="s">
        <v>35</v>
      </c>
      <c r="J22" s="35"/>
      <c r="K22" s="36" t="s">
        <v>35</v>
      </c>
      <c r="L22" s="35"/>
      <c r="M22" s="19"/>
      <c r="N22" s="36" t="s">
        <v>35</v>
      </c>
      <c r="O22" s="35"/>
      <c r="P22" s="19"/>
      <c r="Q22" s="36" t="s">
        <v>35</v>
      </c>
      <c r="R22" s="35"/>
      <c r="S22" s="19"/>
      <c r="T22" s="36" t="s">
        <v>35</v>
      </c>
      <c r="U22" s="35"/>
      <c r="V22" s="516"/>
      <c r="W22" s="36" t="s">
        <v>35</v>
      </c>
      <c r="X22" s="35"/>
      <c r="Y22" s="36" t="s">
        <v>35</v>
      </c>
      <c r="Z22" s="35"/>
      <c r="AA22" s="36" t="s">
        <v>35</v>
      </c>
    </row>
    <row r="23" spans="2:27" ht="13.5" thickBot="1" x14ac:dyDescent="0.25">
      <c r="B23" s="37"/>
      <c r="C23" s="37"/>
      <c r="D23" s="38" t="s">
        <v>36</v>
      </c>
      <c r="E23" s="39" t="s">
        <v>0</v>
      </c>
      <c r="F23" s="38" t="s">
        <v>36</v>
      </c>
      <c r="G23" s="39" t="s">
        <v>0</v>
      </c>
      <c r="H23" s="40" t="s">
        <v>36</v>
      </c>
      <c r="I23" s="41" t="s">
        <v>0</v>
      </c>
      <c r="J23" s="40" t="s">
        <v>36</v>
      </c>
      <c r="K23" s="41" t="s">
        <v>0</v>
      </c>
      <c r="L23" s="38" t="s">
        <v>36</v>
      </c>
      <c r="M23" s="23" t="s">
        <v>37</v>
      </c>
      <c r="N23" s="39" t="s">
        <v>0</v>
      </c>
      <c r="O23" s="38" t="s">
        <v>36</v>
      </c>
      <c r="P23" s="23" t="s">
        <v>37</v>
      </c>
      <c r="Q23" s="39" t="s">
        <v>0</v>
      </c>
      <c r="R23" s="38" t="s">
        <v>36</v>
      </c>
      <c r="S23" s="23" t="s">
        <v>37</v>
      </c>
      <c r="T23" s="39" t="s">
        <v>0</v>
      </c>
      <c r="U23" s="40" t="s">
        <v>36</v>
      </c>
      <c r="V23" s="536" t="s">
        <v>37</v>
      </c>
      <c r="W23" s="41" t="s">
        <v>0</v>
      </c>
      <c r="X23" s="40" t="s">
        <v>36</v>
      </c>
      <c r="Y23" s="41" t="s">
        <v>0</v>
      </c>
      <c r="Z23" s="40" t="s">
        <v>36</v>
      </c>
      <c r="AA23" s="41" t="s">
        <v>0</v>
      </c>
    </row>
    <row r="24" spans="2:27" ht="15.75" customHeight="1" thickBot="1" x14ac:dyDescent="0.25">
      <c r="B24" s="33" t="s">
        <v>33</v>
      </c>
      <c r="C24" s="33" t="s">
        <v>106</v>
      </c>
      <c r="D24" s="284"/>
      <c r="E24" s="285"/>
      <c r="F24" s="284"/>
      <c r="G24" s="285"/>
      <c r="H24" s="286"/>
      <c r="I24" s="285"/>
      <c r="J24" s="286"/>
      <c r="K24" s="285"/>
      <c r="L24" s="284"/>
      <c r="M24" s="287"/>
      <c r="N24" s="285"/>
      <c r="O24" s="284"/>
      <c r="P24" s="287"/>
      <c r="Q24" s="285"/>
      <c r="R24" s="284"/>
      <c r="S24" s="287"/>
      <c r="T24" s="285"/>
      <c r="U24" s="43"/>
      <c r="V24" s="537"/>
      <c r="W24" s="42"/>
      <c r="X24" s="43"/>
      <c r="Y24" s="42"/>
      <c r="Z24" s="43"/>
      <c r="AA24" s="42"/>
    </row>
    <row r="25" spans="2:27" x14ac:dyDescent="0.2">
      <c r="B25" s="166">
        <f>'1. LDC Info'!$F$27-11</f>
        <v>2006</v>
      </c>
      <c r="C25" s="44" t="s">
        <v>111</v>
      </c>
      <c r="D25" s="521"/>
      <c r="E25" s="539"/>
      <c r="F25" s="521"/>
      <c r="G25" s="539"/>
      <c r="H25" s="541"/>
      <c r="I25" s="539"/>
      <c r="J25" s="541"/>
      <c r="K25" s="539"/>
      <c r="L25" s="521"/>
      <c r="M25" s="540"/>
      <c r="N25" s="539"/>
      <c r="O25" s="521"/>
      <c r="P25" s="540"/>
      <c r="Q25" s="539"/>
      <c r="R25" s="541"/>
      <c r="S25" s="540"/>
      <c r="T25" s="539"/>
      <c r="U25" s="541"/>
      <c r="V25" s="540"/>
      <c r="W25" s="539"/>
      <c r="X25" s="224"/>
      <c r="Y25" s="222"/>
      <c r="Z25" s="224"/>
      <c r="AA25" s="46"/>
    </row>
    <row r="26" spans="2:27" x14ac:dyDescent="0.2">
      <c r="B26" s="166">
        <f>'1. LDC Info'!$F$27-11</f>
        <v>2006</v>
      </c>
      <c r="C26" s="44" t="s">
        <v>112</v>
      </c>
      <c r="D26" s="521"/>
      <c r="E26" s="539"/>
      <c r="F26" s="521"/>
      <c r="G26" s="539"/>
      <c r="H26" s="541"/>
      <c r="I26" s="539"/>
      <c r="J26" s="541"/>
      <c r="K26" s="539"/>
      <c r="L26" s="521"/>
      <c r="M26" s="540"/>
      <c r="N26" s="539"/>
      <c r="O26" s="521"/>
      <c r="P26" s="540"/>
      <c r="Q26" s="539"/>
      <c r="R26" s="541"/>
      <c r="S26" s="540"/>
      <c r="T26" s="539"/>
      <c r="U26" s="541"/>
      <c r="V26" s="540"/>
      <c r="W26" s="539"/>
      <c r="X26" s="224"/>
      <c r="Y26" s="222"/>
      <c r="Z26" s="224"/>
      <c r="AA26" s="46"/>
    </row>
    <row r="27" spans="2:27" x14ac:dyDescent="0.2">
      <c r="B27" s="166">
        <f>'1. LDC Info'!$F$27-11</f>
        <v>2006</v>
      </c>
      <c r="C27" s="44" t="s">
        <v>113</v>
      </c>
      <c r="D27" s="521"/>
      <c r="E27" s="539"/>
      <c r="F27" s="521"/>
      <c r="G27" s="539"/>
      <c r="H27" s="541"/>
      <c r="I27" s="539"/>
      <c r="J27" s="541"/>
      <c r="K27" s="539"/>
      <c r="L27" s="521"/>
      <c r="M27" s="540"/>
      <c r="N27" s="539"/>
      <c r="O27" s="521"/>
      <c r="P27" s="540"/>
      <c r="Q27" s="539"/>
      <c r="R27" s="541"/>
      <c r="S27" s="540"/>
      <c r="T27" s="539"/>
      <c r="U27" s="541"/>
      <c r="V27" s="540"/>
      <c r="W27" s="539"/>
      <c r="X27" s="224"/>
      <c r="Y27" s="222"/>
      <c r="Z27" s="224"/>
      <c r="AA27" s="46"/>
    </row>
    <row r="28" spans="2:27" x14ac:dyDescent="0.2">
      <c r="B28" s="166">
        <f>'1. LDC Info'!$F$27-11</f>
        <v>2006</v>
      </c>
      <c r="C28" s="44" t="s">
        <v>114</v>
      </c>
      <c r="D28" s="521"/>
      <c r="E28" s="539"/>
      <c r="F28" s="521"/>
      <c r="G28" s="539"/>
      <c r="H28" s="541"/>
      <c r="I28" s="539"/>
      <c r="J28" s="541"/>
      <c r="K28" s="539"/>
      <c r="L28" s="521"/>
      <c r="M28" s="540"/>
      <c r="N28" s="539"/>
      <c r="O28" s="521"/>
      <c r="P28" s="540"/>
      <c r="Q28" s="539"/>
      <c r="R28" s="541"/>
      <c r="S28" s="540"/>
      <c r="T28" s="539"/>
      <c r="U28" s="541"/>
      <c r="V28" s="540"/>
      <c r="W28" s="539"/>
      <c r="X28" s="224"/>
      <c r="Y28" s="222"/>
      <c r="Z28" s="224"/>
      <c r="AA28" s="46"/>
    </row>
    <row r="29" spans="2:27" x14ac:dyDescent="0.2">
      <c r="B29" s="166">
        <f>'1. LDC Info'!$F$27-11</f>
        <v>2006</v>
      </c>
      <c r="C29" s="44" t="s">
        <v>115</v>
      </c>
      <c r="D29" s="521"/>
      <c r="E29" s="539"/>
      <c r="F29" s="521"/>
      <c r="G29" s="539"/>
      <c r="H29" s="541"/>
      <c r="I29" s="539"/>
      <c r="J29" s="541"/>
      <c r="K29" s="539"/>
      <c r="L29" s="521"/>
      <c r="M29" s="540"/>
      <c r="N29" s="539"/>
      <c r="O29" s="521"/>
      <c r="P29" s="540"/>
      <c r="Q29" s="539"/>
      <c r="R29" s="541"/>
      <c r="S29" s="540"/>
      <c r="T29" s="539"/>
      <c r="U29" s="541"/>
      <c r="V29" s="540"/>
      <c r="W29" s="539"/>
      <c r="X29" s="224"/>
      <c r="Y29" s="222"/>
      <c r="Z29" s="224"/>
      <c r="AA29" s="46"/>
    </row>
    <row r="30" spans="2:27" x14ac:dyDescent="0.2">
      <c r="B30" s="166">
        <f>'1. LDC Info'!$F$27-11</f>
        <v>2006</v>
      </c>
      <c r="C30" s="44" t="s">
        <v>116</v>
      </c>
      <c r="D30" s="521"/>
      <c r="E30" s="539"/>
      <c r="F30" s="521"/>
      <c r="G30" s="539"/>
      <c r="H30" s="541"/>
      <c r="I30" s="539"/>
      <c r="J30" s="541"/>
      <c r="K30" s="539"/>
      <c r="L30" s="521"/>
      <c r="M30" s="540"/>
      <c r="N30" s="539"/>
      <c r="O30" s="521"/>
      <c r="P30" s="540"/>
      <c r="Q30" s="539"/>
      <c r="R30" s="541"/>
      <c r="S30" s="540"/>
      <c r="T30" s="539"/>
      <c r="U30" s="541"/>
      <c r="V30" s="540"/>
      <c r="W30" s="539"/>
      <c r="X30" s="224"/>
      <c r="Y30" s="222"/>
      <c r="Z30" s="224"/>
      <c r="AA30" s="46"/>
    </row>
    <row r="31" spans="2:27" x14ac:dyDescent="0.2">
      <c r="B31" s="166">
        <f>'1. LDC Info'!$F$27-11</f>
        <v>2006</v>
      </c>
      <c r="C31" s="44" t="s">
        <v>117</v>
      </c>
      <c r="D31" s="521"/>
      <c r="E31" s="539"/>
      <c r="F31" s="521"/>
      <c r="G31" s="539"/>
      <c r="H31" s="541"/>
      <c r="I31" s="539"/>
      <c r="J31" s="541"/>
      <c r="K31" s="539"/>
      <c r="L31" s="521"/>
      <c r="M31" s="540"/>
      <c r="N31" s="539"/>
      <c r="O31" s="521"/>
      <c r="P31" s="540"/>
      <c r="Q31" s="539"/>
      <c r="R31" s="541"/>
      <c r="S31" s="540"/>
      <c r="T31" s="539"/>
      <c r="U31" s="541"/>
      <c r="V31" s="540"/>
      <c r="W31" s="539"/>
      <c r="X31" s="224"/>
      <c r="Y31" s="222"/>
      <c r="Z31" s="224"/>
      <c r="AA31" s="46"/>
    </row>
    <row r="32" spans="2:27" x14ac:dyDescent="0.2">
      <c r="B32" s="166">
        <f>'1. LDC Info'!$F$27-11</f>
        <v>2006</v>
      </c>
      <c r="C32" s="44" t="s">
        <v>118</v>
      </c>
      <c r="D32" s="521"/>
      <c r="E32" s="539"/>
      <c r="F32" s="521"/>
      <c r="G32" s="539"/>
      <c r="H32" s="541"/>
      <c r="I32" s="539"/>
      <c r="J32" s="541"/>
      <c r="K32" s="539"/>
      <c r="L32" s="521"/>
      <c r="M32" s="540"/>
      <c r="N32" s="539"/>
      <c r="O32" s="521"/>
      <c r="P32" s="540"/>
      <c r="Q32" s="539"/>
      <c r="R32" s="541"/>
      <c r="S32" s="540"/>
      <c r="T32" s="539"/>
      <c r="U32" s="541"/>
      <c r="V32" s="540"/>
      <c r="W32" s="539"/>
      <c r="X32" s="224"/>
      <c r="Y32" s="222"/>
      <c r="Z32" s="224"/>
      <c r="AA32" s="46"/>
    </row>
    <row r="33" spans="2:27" x14ac:dyDescent="0.2">
      <c r="B33" s="166">
        <f>'1. LDC Info'!$F$27-11</f>
        <v>2006</v>
      </c>
      <c r="C33" s="44" t="s">
        <v>108</v>
      </c>
      <c r="D33" s="521"/>
      <c r="E33" s="539"/>
      <c r="F33" s="521"/>
      <c r="G33" s="539"/>
      <c r="H33" s="541"/>
      <c r="I33" s="539"/>
      <c r="J33" s="541"/>
      <c r="K33" s="539"/>
      <c r="L33" s="521"/>
      <c r="M33" s="540"/>
      <c r="N33" s="539"/>
      <c r="O33" s="521"/>
      <c r="P33" s="540"/>
      <c r="Q33" s="539"/>
      <c r="R33" s="541"/>
      <c r="S33" s="540"/>
      <c r="T33" s="539"/>
      <c r="U33" s="541"/>
      <c r="V33" s="540"/>
      <c r="W33" s="539"/>
      <c r="X33" s="224"/>
      <c r="Y33" s="222"/>
      <c r="Z33" s="224"/>
      <c r="AA33" s="46"/>
    </row>
    <row r="34" spans="2:27" x14ac:dyDescent="0.2">
      <c r="B34" s="166">
        <f>'1. LDC Info'!$F$27-11</f>
        <v>2006</v>
      </c>
      <c r="C34" s="44" t="s">
        <v>109</v>
      </c>
      <c r="D34" s="521"/>
      <c r="E34" s="539"/>
      <c r="F34" s="521"/>
      <c r="G34" s="539"/>
      <c r="H34" s="541"/>
      <c r="I34" s="539"/>
      <c r="J34" s="541"/>
      <c r="K34" s="539"/>
      <c r="L34" s="521"/>
      <c r="M34" s="540"/>
      <c r="N34" s="539"/>
      <c r="O34" s="521"/>
      <c r="P34" s="540"/>
      <c r="Q34" s="539"/>
      <c r="R34" s="541"/>
      <c r="S34" s="540"/>
      <c r="T34" s="539"/>
      <c r="U34" s="541"/>
      <c r="V34" s="540"/>
      <c r="W34" s="539"/>
      <c r="X34" s="224"/>
      <c r="Y34" s="222"/>
      <c r="Z34" s="224"/>
      <c r="AA34" s="46"/>
    </row>
    <row r="35" spans="2:27" x14ac:dyDescent="0.2">
      <c r="B35" s="166">
        <f>'1. LDC Info'!$F$27-11</f>
        <v>2006</v>
      </c>
      <c r="C35" s="44" t="s">
        <v>110</v>
      </c>
      <c r="D35" s="521"/>
      <c r="E35" s="539"/>
      <c r="F35" s="521"/>
      <c r="G35" s="539"/>
      <c r="H35" s="541"/>
      <c r="I35" s="539"/>
      <c r="J35" s="541"/>
      <c r="K35" s="539"/>
      <c r="L35" s="521"/>
      <c r="M35" s="540"/>
      <c r="N35" s="539"/>
      <c r="O35" s="521"/>
      <c r="P35" s="540"/>
      <c r="Q35" s="539"/>
      <c r="R35" s="541"/>
      <c r="S35" s="540"/>
      <c r="T35" s="539"/>
      <c r="U35" s="541"/>
      <c r="V35" s="540"/>
      <c r="W35" s="539"/>
      <c r="X35" s="224"/>
      <c r="Y35" s="222"/>
      <c r="Z35" s="224"/>
      <c r="AA35" s="46"/>
    </row>
    <row r="36" spans="2:27" x14ac:dyDescent="0.2">
      <c r="B36" s="166">
        <f>'1. LDC Info'!$F$27-11</f>
        <v>2006</v>
      </c>
      <c r="C36" s="44" t="s">
        <v>107</v>
      </c>
      <c r="D36" s="521">
        <v>30640106</v>
      </c>
      <c r="E36" s="539">
        <v>3537</v>
      </c>
      <c r="F36" s="521">
        <v>13424049</v>
      </c>
      <c r="G36" s="539">
        <v>512</v>
      </c>
      <c r="H36" s="541">
        <v>160045</v>
      </c>
      <c r="I36" s="539">
        <v>28</v>
      </c>
      <c r="J36" s="541"/>
      <c r="K36" s="539"/>
      <c r="L36" s="521">
        <v>51984380</v>
      </c>
      <c r="M36" s="540">
        <v>153660</v>
      </c>
      <c r="N36" s="539">
        <v>62</v>
      </c>
      <c r="O36" s="521">
        <v>1095963</v>
      </c>
      <c r="P36" s="540">
        <v>3053</v>
      </c>
      <c r="Q36" s="539">
        <v>1149</v>
      </c>
      <c r="R36" s="541"/>
      <c r="S36" s="540"/>
      <c r="T36" s="539"/>
      <c r="U36" s="541"/>
      <c r="V36" s="540"/>
      <c r="W36" s="539"/>
      <c r="X36" s="224"/>
      <c r="Y36" s="222"/>
      <c r="Z36" s="224"/>
      <c r="AA36" s="46"/>
    </row>
    <row r="37" spans="2:27" x14ac:dyDescent="0.2">
      <c r="B37" s="166">
        <f>'1. LDC Info'!$F$27-10</f>
        <v>2007</v>
      </c>
      <c r="C37" s="44" t="s">
        <v>111</v>
      </c>
      <c r="D37" s="521"/>
      <c r="E37" s="539"/>
      <c r="F37" s="521"/>
      <c r="G37" s="539"/>
      <c r="H37" s="542"/>
      <c r="I37" s="539"/>
      <c r="J37" s="542"/>
      <c r="K37" s="539"/>
      <c r="L37" s="521"/>
      <c r="M37" s="540"/>
      <c r="N37" s="539"/>
      <c r="O37" s="521"/>
      <c r="P37" s="540"/>
      <c r="Q37" s="539"/>
      <c r="R37" s="541"/>
      <c r="S37" s="540"/>
      <c r="T37" s="539"/>
      <c r="U37" s="542"/>
      <c r="V37" s="540"/>
      <c r="W37" s="539"/>
      <c r="X37" s="224"/>
      <c r="Y37" s="222"/>
      <c r="Z37" s="224"/>
      <c r="AA37" s="46"/>
    </row>
    <row r="38" spans="2:27" x14ac:dyDescent="0.2">
      <c r="B38" s="166">
        <f>'1. LDC Info'!$F$27-10</f>
        <v>2007</v>
      </c>
      <c r="C38" s="44" t="s">
        <v>112</v>
      </c>
      <c r="D38" s="521"/>
      <c r="E38" s="539"/>
      <c r="F38" s="521"/>
      <c r="G38" s="539"/>
      <c r="H38" s="542"/>
      <c r="I38" s="539"/>
      <c r="J38" s="542"/>
      <c r="K38" s="539"/>
      <c r="L38" s="521"/>
      <c r="M38" s="540"/>
      <c r="N38" s="539"/>
      <c r="O38" s="521"/>
      <c r="P38" s="540"/>
      <c r="Q38" s="539"/>
      <c r="R38" s="541"/>
      <c r="S38" s="540"/>
      <c r="T38" s="539"/>
      <c r="U38" s="542"/>
      <c r="V38" s="540"/>
      <c r="W38" s="539"/>
      <c r="X38" s="224"/>
      <c r="Y38" s="222"/>
      <c r="Z38" s="224"/>
      <c r="AA38" s="46"/>
    </row>
    <row r="39" spans="2:27" x14ac:dyDescent="0.2">
      <c r="B39" s="166">
        <f>'1. LDC Info'!$F$27-10</f>
        <v>2007</v>
      </c>
      <c r="C39" s="44" t="s">
        <v>113</v>
      </c>
      <c r="D39" s="521"/>
      <c r="E39" s="539"/>
      <c r="F39" s="521"/>
      <c r="G39" s="539"/>
      <c r="H39" s="542"/>
      <c r="I39" s="539"/>
      <c r="J39" s="542"/>
      <c r="K39" s="539"/>
      <c r="L39" s="521"/>
      <c r="M39" s="540"/>
      <c r="N39" s="539"/>
      <c r="O39" s="521"/>
      <c r="P39" s="540"/>
      <c r="Q39" s="539"/>
      <c r="R39" s="541"/>
      <c r="S39" s="540"/>
      <c r="T39" s="539"/>
      <c r="U39" s="542"/>
      <c r="V39" s="540"/>
      <c r="W39" s="539"/>
      <c r="X39" s="224"/>
      <c r="Y39" s="222"/>
      <c r="Z39" s="224"/>
      <c r="AA39" s="46"/>
    </row>
    <row r="40" spans="2:27" x14ac:dyDescent="0.2">
      <c r="B40" s="166">
        <f>'1. LDC Info'!$F$27-10</f>
        <v>2007</v>
      </c>
      <c r="C40" s="44" t="s">
        <v>114</v>
      </c>
      <c r="D40" s="521"/>
      <c r="E40" s="539"/>
      <c r="F40" s="521"/>
      <c r="G40" s="539"/>
      <c r="H40" s="542"/>
      <c r="I40" s="539"/>
      <c r="J40" s="542"/>
      <c r="K40" s="539"/>
      <c r="L40" s="521"/>
      <c r="M40" s="540"/>
      <c r="N40" s="539"/>
      <c r="O40" s="521"/>
      <c r="P40" s="540"/>
      <c r="Q40" s="539"/>
      <c r="R40" s="541"/>
      <c r="S40" s="540"/>
      <c r="T40" s="539"/>
      <c r="U40" s="542"/>
      <c r="V40" s="540"/>
      <c r="W40" s="539"/>
      <c r="X40" s="224"/>
      <c r="Y40" s="222"/>
      <c r="Z40" s="224"/>
      <c r="AA40" s="46"/>
    </row>
    <row r="41" spans="2:27" x14ac:dyDescent="0.2">
      <c r="B41" s="166">
        <f>'1. LDC Info'!$F$27-10</f>
        <v>2007</v>
      </c>
      <c r="C41" s="44" t="s">
        <v>115</v>
      </c>
      <c r="D41" s="521"/>
      <c r="E41" s="539"/>
      <c r="F41" s="521"/>
      <c r="G41" s="539"/>
      <c r="H41" s="542"/>
      <c r="I41" s="539"/>
      <c r="J41" s="542"/>
      <c r="K41" s="539"/>
      <c r="L41" s="521"/>
      <c r="M41" s="540"/>
      <c r="N41" s="539"/>
      <c r="O41" s="521"/>
      <c r="P41" s="540"/>
      <c r="Q41" s="539"/>
      <c r="R41" s="541"/>
      <c r="S41" s="540"/>
      <c r="T41" s="539"/>
      <c r="U41" s="542"/>
      <c r="V41" s="540"/>
      <c r="W41" s="539"/>
      <c r="X41" s="224"/>
      <c r="Y41" s="222"/>
      <c r="Z41" s="224"/>
      <c r="AA41" s="46"/>
    </row>
    <row r="42" spans="2:27" x14ac:dyDescent="0.2">
      <c r="B42" s="166">
        <f>'1. LDC Info'!$F$27-10</f>
        <v>2007</v>
      </c>
      <c r="C42" s="44" t="s">
        <v>116</v>
      </c>
      <c r="D42" s="521"/>
      <c r="E42" s="539"/>
      <c r="F42" s="521"/>
      <c r="G42" s="539"/>
      <c r="H42" s="542"/>
      <c r="I42" s="539"/>
      <c r="J42" s="542"/>
      <c r="K42" s="539"/>
      <c r="L42" s="521"/>
      <c r="M42" s="540"/>
      <c r="N42" s="539"/>
      <c r="O42" s="521"/>
      <c r="P42" s="540"/>
      <c r="Q42" s="539"/>
      <c r="R42" s="541"/>
      <c r="S42" s="540"/>
      <c r="T42" s="539"/>
      <c r="U42" s="542"/>
      <c r="V42" s="540"/>
      <c r="W42" s="539"/>
      <c r="X42" s="224"/>
      <c r="Y42" s="222"/>
      <c r="Z42" s="224"/>
      <c r="AA42" s="46"/>
    </row>
    <row r="43" spans="2:27" x14ac:dyDescent="0.2">
      <c r="B43" s="166">
        <f>'1. LDC Info'!$F$27-10</f>
        <v>2007</v>
      </c>
      <c r="C43" s="44" t="s">
        <v>117</v>
      </c>
      <c r="D43" s="521"/>
      <c r="E43" s="539"/>
      <c r="F43" s="521"/>
      <c r="G43" s="539"/>
      <c r="H43" s="542"/>
      <c r="I43" s="539"/>
      <c r="J43" s="542"/>
      <c r="K43" s="539"/>
      <c r="L43" s="521"/>
      <c r="M43" s="540"/>
      <c r="N43" s="539"/>
      <c r="O43" s="521"/>
      <c r="P43" s="540"/>
      <c r="Q43" s="539"/>
      <c r="R43" s="541"/>
      <c r="S43" s="540"/>
      <c r="T43" s="539"/>
      <c r="U43" s="542"/>
      <c r="V43" s="540"/>
      <c r="W43" s="539"/>
      <c r="X43" s="224"/>
      <c r="Y43" s="222"/>
      <c r="Z43" s="224"/>
      <c r="AA43" s="46"/>
    </row>
    <row r="44" spans="2:27" x14ac:dyDescent="0.2">
      <c r="B44" s="166">
        <f>'1. LDC Info'!$F$27-10</f>
        <v>2007</v>
      </c>
      <c r="C44" s="44" t="s">
        <v>118</v>
      </c>
      <c r="D44" s="521"/>
      <c r="E44" s="539"/>
      <c r="F44" s="521"/>
      <c r="G44" s="539"/>
      <c r="H44" s="542"/>
      <c r="I44" s="539"/>
      <c r="J44" s="542"/>
      <c r="K44" s="539"/>
      <c r="L44" s="521"/>
      <c r="M44" s="540"/>
      <c r="N44" s="539"/>
      <c r="O44" s="521"/>
      <c r="P44" s="540"/>
      <c r="Q44" s="539"/>
      <c r="R44" s="541"/>
      <c r="S44" s="540"/>
      <c r="T44" s="539"/>
      <c r="U44" s="542"/>
      <c r="V44" s="540"/>
      <c r="W44" s="539"/>
      <c r="X44" s="224"/>
      <c r="Y44" s="222"/>
      <c r="Z44" s="224"/>
      <c r="AA44" s="46"/>
    </row>
    <row r="45" spans="2:27" x14ac:dyDescent="0.2">
      <c r="B45" s="166">
        <f>'1. LDC Info'!$F$27-10</f>
        <v>2007</v>
      </c>
      <c r="C45" s="44" t="s">
        <v>108</v>
      </c>
      <c r="D45" s="521"/>
      <c r="E45" s="539"/>
      <c r="F45" s="521"/>
      <c r="G45" s="539"/>
      <c r="H45" s="542"/>
      <c r="I45" s="539"/>
      <c r="J45" s="542"/>
      <c r="K45" s="539"/>
      <c r="L45" s="521"/>
      <c r="M45" s="540"/>
      <c r="N45" s="539"/>
      <c r="O45" s="521"/>
      <c r="P45" s="540"/>
      <c r="Q45" s="539"/>
      <c r="R45" s="541"/>
      <c r="S45" s="540"/>
      <c r="T45" s="539"/>
      <c r="U45" s="542"/>
      <c r="V45" s="540"/>
      <c r="W45" s="539"/>
      <c r="X45" s="224"/>
      <c r="Y45" s="222"/>
      <c r="Z45" s="224"/>
      <c r="AA45" s="46"/>
    </row>
    <row r="46" spans="2:27" x14ac:dyDescent="0.2">
      <c r="B46" s="166">
        <f>'1. LDC Info'!$F$27-10</f>
        <v>2007</v>
      </c>
      <c r="C46" s="44" t="s">
        <v>109</v>
      </c>
      <c r="D46" s="521"/>
      <c r="E46" s="539"/>
      <c r="F46" s="521"/>
      <c r="G46" s="539"/>
      <c r="H46" s="542"/>
      <c r="I46" s="539"/>
      <c r="J46" s="542"/>
      <c r="K46" s="539"/>
      <c r="L46" s="521"/>
      <c r="M46" s="540"/>
      <c r="N46" s="539"/>
      <c r="O46" s="521"/>
      <c r="P46" s="540"/>
      <c r="Q46" s="539"/>
      <c r="R46" s="541"/>
      <c r="S46" s="540"/>
      <c r="T46" s="539"/>
      <c r="U46" s="542"/>
      <c r="V46" s="540"/>
      <c r="W46" s="539"/>
      <c r="X46" s="224"/>
      <c r="Y46" s="222"/>
      <c r="Z46" s="224"/>
      <c r="AA46" s="46"/>
    </row>
    <row r="47" spans="2:27" x14ac:dyDescent="0.2">
      <c r="B47" s="166">
        <f>'1. LDC Info'!$F$27-10</f>
        <v>2007</v>
      </c>
      <c r="C47" s="44" t="s">
        <v>110</v>
      </c>
      <c r="D47" s="521"/>
      <c r="E47" s="539"/>
      <c r="F47" s="521"/>
      <c r="G47" s="539"/>
      <c r="H47" s="542"/>
      <c r="I47" s="539"/>
      <c r="J47" s="542"/>
      <c r="K47" s="539"/>
      <c r="L47" s="521"/>
      <c r="M47" s="540"/>
      <c r="N47" s="539"/>
      <c r="O47" s="521"/>
      <c r="P47" s="540"/>
      <c r="Q47" s="539"/>
      <c r="R47" s="541"/>
      <c r="S47" s="540"/>
      <c r="T47" s="539"/>
      <c r="U47" s="542"/>
      <c r="V47" s="540"/>
      <c r="W47" s="539"/>
      <c r="X47" s="224"/>
      <c r="Y47" s="222"/>
      <c r="Z47" s="224"/>
      <c r="AA47" s="46"/>
    </row>
    <row r="48" spans="2:27" x14ac:dyDescent="0.2">
      <c r="B48" s="166">
        <f>'1. LDC Info'!$F$27-10</f>
        <v>2007</v>
      </c>
      <c r="C48" s="44" t="s">
        <v>107</v>
      </c>
      <c r="D48" s="521">
        <v>31007901</v>
      </c>
      <c r="E48" s="539">
        <v>3551</v>
      </c>
      <c r="F48" s="521">
        <v>13776453</v>
      </c>
      <c r="G48" s="539">
        <v>497</v>
      </c>
      <c r="H48" s="541">
        <v>142221</v>
      </c>
      <c r="I48" s="539">
        <v>29</v>
      </c>
      <c r="J48" s="541"/>
      <c r="K48" s="539"/>
      <c r="L48" s="521">
        <v>53203197</v>
      </c>
      <c r="M48" s="540">
        <v>146521</v>
      </c>
      <c r="N48" s="539">
        <v>65</v>
      </c>
      <c r="O48" s="521">
        <v>1105833</v>
      </c>
      <c r="P48" s="540">
        <v>3095</v>
      </c>
      <c r="Q48" s="539">
        <v>1151</v>
      </c>
      <c r="R48" s="541"/>
      <c r="S48" s="540"/>
      <c r="T48" s="539"/>
      <c r="U48" s="541"/>
      <c r="V48" s="540"/>
      <c r="W48" s="539"/>
      <c r="X48" s="224"/>
      <c r="Y48" s="222"/>
      <c r="Z48" s="224"/>
      <c r="AA48" s="46"/>
    </row>
    <row r="49" spans="2:27" x14ac:dyDescent="0.2">
      <c r="B49" s="166">
        <f>'1. LDC Info'!$F$27-9</f>
        <v>2008</v>
      </c>
      <c r="C49" s="44" t="s">
        <v>111</v>
      </c>
      <c r="D49" s="521"/>
      <c r="E49" s="539"/>
      <c r="F49" s="521"/>
      <c r="G49" s="539"/>
      <c r="H49" s="542"/>
      <c r="I49" s="539"/>
      <c r="J49" s="542"/>
      <c r="K49" s="539"/>
      <c r="L49" s="521"/>
      <c r="M49" s="540"/>
      <c r="N49" s="539"/>
      <c r="O49" s="521"/>
      <c r="P49" s="540"/>
      <c r="Q49" s="539"/>
      <c r="R49" s="541"/>
      <c r="S49" s="540"/>
      <c r="T49" s="539"/>
      <c r="U49" s="542"/>
      <c r="V49" s="540"/>
      <c r="W49" s="539"/>
      <c r="X49" s="224"/>
      <c r="Y49" s="222"/>
      <c r="Z49" s="224"/>
      <c r="AA49" s="46"/>
    </row>
    <row r="50" spans="2:27" x14ac:dyDescent="0.2">
      <c r="B50" s="166">
        <f>'1. LDC Info'!$F$27-9</f>
        <v>2008</v>
      </c>
      <c r="C50" s="44" t="s">
        <v>112</v>
      </c>
      <c r="D50" s="521"/>
      <c r="E50" s="539"/>
      <c r="F50" s="521"/>
      <c r="G50" s="539"/>
      <c r="H50" s="542"/>
      <c r="I50" s="539"/>
      <c r="J50" s="542"/>
      <c r="K50" s="539"/>
      <c r="L50" s="521"/>
      <c r="M50" s="540"/>
      <c r="N50" s="539"/>
      <c r="O50" s="521"/>
      <c r="P50" s="540"/>
      <c r="Q50" s="539"/>
      <c r="R50" s="541"/>
      <c r="S50" s="540"/>
      <c r="T50" s="539"/>
      <c r="U50" s="542"/>
      <c r="V50" s="540"/>
      <c r="W50" s="539"/>
      <c r="X50" s="224"/>
      <c r="Y50" s="222"/>
      <c r="Z50" s="224"/>
      <c r="AA50" s="46"/>
    </row>
    <row r="51" spans="2:27" x14ac:dyDescent="0.2">
      <c r="B51" s="166">
        <f>'1. LDC Info'!$F$27-9</f>
        <v>2008</v>
      </c>
      <c r="C51" s="44" t="s">
        <v>113</v>
      </c>
      <c r="D51" s="521"/>
      <c r="E51" s="539"/>
      <c r="F51" s="521"/>
      <c r="G51" s="539"/>
      <c r="H51" s="542"/>
      <c r="I51" s="539"/>
      <c r="J51" s="542"/>
      <c r="K51" s="539"/>
      <c r="L51" s="521"/>
      <c r="M51" s="540"/>
      <c r="N51" s="539"/>
      <c r="O51" s="521"/>
      <c r="P51" s="540"/>
      <c r="Q51" s="539"/>
      <c r="R51" s="541"/>
      <c r="S51" s="540"/>
      <c r="T51" s="539"/>
      <c r="U51" s="542"/>
      <c r="V51" s="540"/>
      <c r="W51" s="539"/>
      <c r="X51" s="224"/>
      <c r="Y51" s="222"/>
      <c r="Z51" s="224"/>
      <c r="AA51" s="46"/>
    </row>
    <row r="52" spans="2:27" x14ac:dyDescent="0.2">
      <c r="B52" s="166">
        <f>'1. LDC Info'!$F$27-9</f>
        <v>2008</v>
      </c>
      <c r="C52" s="44" t="s">
        <v>114</v>
      </c>
      <c r="D52" s="521"/>
      <c r="E52" s="539"/>
      <c r="F52" s="521"/>
      <c r="G52" s="539"/>
      <c r="H52" s="542"/>
      <c r="I52" s="539"/>
      <c r="J52" s="542"/>
      <c r="K52" s="539"/>
      <c r="L52" s="521"/>
      <c r="M52" s="540"/>
      <c r="N52" s="539"/>
      <c r="O52" s="521"/>
      <c r="P52" s="540"/>
      <c r="Q52" s="539"/>
      <c r="R52" s="541"/>
      <c r="S52" s="540"/>
      <c r="T52" s="539"/>
      <c r="U52" s="542"/>
      <c r="V52" s="540"/>
      <c r="W52" s="539"/>
      <c r="X52" s="224"/>
      <c r="Y52" s="222"/>
      <c r="Z52" s="224"/>
      <c r="AA52" s="46"/>
    </row>
    <row r="53" spans="2:27" x14ac:dyDescent="0.2">
      <c r="B53" s="166">
        <f>'1. LDC Info'!$F$27-9</f>
        <v>2008</v>
      </c>
      <c r="C53" s="44" t="s">
        <v>115</v>
      </c>
      <c r="D53" s="521"/>
      <c r="E53" s="539"/>
      <c r="F53" s="521"/>
      <c r="G53" s="539"/>
      <c r="H53" s="542"/>
      <c r="I53" s="539"/>
      <c r="J53" s="542"/>
      <c r="K53" s="539"/>
      <c r="L53" s="521"/>
      <c r="M53" s="540"/>
      <c r="N53" s="539"/>
      <c r="O53" s="521"/>
      <c r="P53" s="540"/>
      <c r="Q53" s="539"/>
      <c r="R53" s="541"/>
      <c r="S53" s="540"/>
      <c r="T53" s="539"/>
      <c r="U53" s="542"/>
      <c r="V53" s="540"/>
      <c r="W53" s="539"/>
      <c r="X53" s="224"/>
      <c r="Y53" s="222"/>
      <c r="Z53" s="224"/>
      <c r="AA53" s="46"/>
    </row>
    <row r="54" spans="2:27" x14ac:dyDescent="0.2">
      <c r="B54" s="166">
        <f>'1. LDC Info'!$F$27-9</f>
        <v>2008</v>
      </c>
      <c r="C54" s="44" t="s">
        <v>116</v>
      </c>
      <c r="D54" s="521"/>
      <c r="E54" s="539"/>
      <c r="F54" s="521"/>
      <c r="G54" s="539"/>
      <c r="H54" s="542"/>
      <c r="I54" s="539"/>
      <c r="J54" s="542"/>
      <c r="K54" s="539"/>
      <c r="L54" s="521"/>
      <c r="M54" s="540"/>
      <c r="N54" s="539"/>
      <c r="O54" s="521"/>
      <c r="P54" s="540"/>
      <c r="Q54" s="539"/>
      <c r="R54" s="541"/>
      <c r="S54" s="540"/>
      <c r="T54" s="539"/>
      <c r="U54" s="542"/>
      <c r="V54" s="540"/>
      <c r="W54" s="539"/>
      <c r="X54" s="224"/>
      <c r="Y54" s="222"/>
      <c r="Z54" s="224"/>
      <c r="AA54" s="46"/>
    </row>
    <row r="55" spans="2:27" x14ac:dyDescent="0.2">
      <c r="B55" s="166">
        <f>'1. LDC Info'!$F$27-9</f>
        <v>2008</v>
      </c>
      <c r="C55" s="44" t="s">
        <v>117</v>
      </c>
      <c r="D55" s="521"/>
      <c r="E55" s="539"/>
      <c r="F55" s="521"/>
      <c r="G55" s="539"/>
      <c r="H55" s="542"/>
      <c r="I55" s="539"/>
      <c r="J55" s="542"/>
      <c r="K55" s="539"/>
      <c r="L55" s="521"/>
      <c r="M55" s="540"/>
      <c r="N55" s="539"/>
      <c r="O55" s="521"/>
      <c r="P55" s="540"/>
      <c r="Q55" s="539"/>
      <c r="R55" s="541"/>
      <c r="S55" s="540"/>
      <c r="T55" s="539"/>
      <c r="U55" s="542"/>
      <c r="V55" s="540"/>
      <c r="W55" s="539"/>
      <c r="X55" s="224"/>
      <c r="Y55" s="222"/>
      <c r="Z55" s="224"/>
      <c r="AA55" s="46"/>
    </row>
    <row r="56" spans="2:27" x14ac:dyDescent="0.2">
      <c r="B56" s="166">
        <f>'1. LDC Info'!$F$27-9</f>
        <v>2008</v>
      </c>
      <c r="C56" s="44" t="s">
        <v>118</v>
      </c>
      <c r="D56" s="521"/>
      <c r="E56" s="539"/>
      <c r="F56" s="521"/>
      <c r="G56" s="539"/>
      <c r="H56" s="542"/>
      <c r="I56" s="539"/>
      <c r="J56" s="542"/>
      <c r="K56" s="539"/>
      <c r="L56" s="521"/>
      <c r="M56" s="540"/>
      <c r="N56" s="539"/>
      <c r="O56" s="521"/>
      <c r="P56" s="540"/>
      <c r="Q56" s="539"/>
      <c r="R56" s="541"/>
      <c r="S56" s="540"/>
      <c r="T56" s="539"/>
      <c r="U56" s="542"/>
      <c r="V56" s="540"/>
      <c r="W56" s="539"/>
      <c r="X56" s="224"/>
      <c r="Y56" s="222"/>
      <c r="Z56" s="224"/>
      <c r="AA56" s="46"/>
    </row>
    <row r="57" spans="2:27" x14ac:dyDescent="0.2">
      <c r="B57" s="166">
        <f>'1. LDC Info'!$F$27-9</f>
        <v>2008</v>
      </c>
      <c r="C57" s="44" t="s">
        <v>108</v>
      </c>
      <c r="D57" s="521"/>
      <c r="E57" s="539"/>
      <c r="F57" s="521"/>
      <c r="G57" s="539"/>
      <c r="H57" s="542"/>
      <c r="I57" s="539"/>
      <c r="J57" s="542"/>
      <c r="K57" s="539"/>
      <c r="L57" s="521"/>
      <c r="M57" s="540"/>
      <c r="N57" s="539"/>
      <c r="O57" s="521"/>
      <c r="P57" s="540"/>
      <c r="Q57" s="539"/>
      <c r="R57" s="541"/>
      <c r="S57" s="540"/>
      <c r="T57" s="539"/>
      <c r="U57" s="542"/>
      <c r="V57" s="540"/>
      <c r="W57" s="539"/>
      <c r="X57" s="224"/>
      <c r="Y57" s="222"/>
      <c r="Z57" s="224"/>
      <c r="AA57" s="46"/>
    </row>
    <row r="58" spans="2:27" x14ac:dyDescent="0.2">
      <c r="B58" s="166">
        <f>'1. LDC Info'!$F$27-9</f>
        <v>2008</v>
      </c>
      <c r="C58" s="44" t="s">
        <v>109</v>
      </c>
      <c r="D58" s="521"/>
      <c r="E58" s="539"/>
      <c r="F58" s="521"/>
      <c r="G58" s="539"/>
      <c r="H58" s="542"/>
      <c r="I58" s="539"/>
      <c r="J58" s="542"/>
      <c r="K58" s="539"/>
      <c r="L58" s="521"/>
      <c r="M58" s="540"/>
      <c r="N58" s="539"/>
      <c r="O58" s="521"/>
      <c r="P58" s="540"/>
      <c r="Q58" s="539"/>
      <c r="R58" s="541"/>
      <c r="S58" s="540"/>
      <c r="T58" s="539"/>
      <c r="U58" s="542"/>
      <c r="V58" s="540"/>
      <c r="W58" s="539"/>
      <c r="X58" s="224"/>
      <c r="Y58" s="222"/>
      <c r="Z58" s="224"/>
      <c r="AA58" s="46"/>
    </row>
    <row r="59" spans="2:27" x14ac:dyDescent="0.2">
      <c r="B59" s="166">
        <f>'1. LDC Info'!$F$27-9</f>
        <v>2008</v>
      </c>
      <c r="C59" s="44" t="s">
        <v>110</v>
      </c>
      <c r="D59" s="521"/>
      <c r="E59" s="539"/>
      <c r="F59" s="521"/>
      <c r="G59" s="539"/>
      <c r="H59" s="542"/>
      <c r="I59" s="539"/>
      <c r="J59" s="542"/>
      <c r="K59" s="539"/>
      <c r="L59" s="521"/>
      <c r="M59" s="540"/>
      <c r="N59" s="539"/>
      <c r="O59" s="521"/>
      <c r="P59" s="540"/>
      <c r="Q59" s="539"/>
      <c r="R59" s="541"/>
      <c r="S59" s="540"/>
      <c r="T59" s="539"/>
      <c r="U59" s="542"/>
      <c r="V59" s="540"/>
      <c r="W59" s="539"/>
      <c r="X59" s="224"/>
      <c r="Y59" s="222"/>
      <c r="Z59" s="224"/>
      <c r="AA59" s="46"/>
    </row>
    <row r="60" spans="2:27" x14ac:dyDescent="0.2">
      <c r="B60" s="166">
        <f>'1. LDC Info'!$F$27-9</f>
        <v>2008</v>
      </c>
      <c r="C60" s="44" t="s">
        <v>107</v>
      </c>
      <c r="D60" s="521">
        <v>31465398</v>
      </c>
      <c r="E60" s="539">
        <v>3581</v>
      </c>
      <c r="F60" s="521">
        <v>13927235</v>
      </c>
      <c r="G60" s="539">
        <v>494</v>
      </c>
      <c r="H60" s="541">
        <v>140870</v>
      </c>
      <c r="I60" s="539">
        <v>30</v>
      </c>
      <c r="J60" s="541"/>
      <c r="K60" s="539"/>
      <c r="L60" s="521">
        <v>55283988</v>
      </c>
      <c r="M60" s="540">
        <v>148947</v>
      </c>
      <c r="N60" s="539">
        <v>67</v>
      </c>
      <c r="O60" s="521">
        <v>1107983</v>
      </c>
      <c r="P60" s="540">
        <v>3100</v>
      </c>
      <c r="Q60" s="539">
        <v>1158</v>
      </c>
      <c r="R60" s="541"/>
      <c r="S60" s="540"/>
      <c r="T60" s="539"/>
      <c r="U60" s="541"/>
      <c r="V60" s="540"/>
      <c r="W60" s="539"/>
      <c r="X60" s="224"/>
      <c r="Y60" s="222"/>
      <c r="Z60" s="224"/>
      <c r="AA60" s="46"/>
    </row>
    <row r="61" spans="2:27" x14ac:dyDescent="0.2">
      <c r="B61" s="166">
        <f>'1. LDC Info'!$F$27-8</f>
        <v>2009</v>
      </c>
      <c r="C61" s="44" t="s">
        <v>111</v>
      </c>
      <c r="D61" s="521"/>
      <c r="E61" s="539"/>
      <c r="F61" s="541"/>
      <c r="G61" s="539"/>
      <c r="H61" s="542"/>
      <c r="I61" s="539"/>
      <c r="J61" s="542"/>
      <c r="K61" s="539"/>
      <c r="L61" s="521"/>
      <c r="M61" s="540"/>
      <c r="N61" s="539"/>
      <c r="O61" s="521"/>
      <c r="P61" s="540"/>
      <c r="Q61" s="539"/>
      <c r="R61" s="541"/>
      <c r="S61" s="540"/>
      <c r="T61" s="539"/>
      <c r="U61" s="542"/>
      <c r="V61" s="540"/>
      <c r="W61" s="539"/>
      <c r="X61" s="224"/>
      <c r="Y61" s="222"/>
      <c r="Z61" s="224"/>
      <c r="AA61" s="46"/>
    </row>
    <row r="62" spans="2:27" x14ac:dyDescent="0.2">
      <c r="B62" s="166">
        <f>'1. LDC Info'!$F$27-8</f>
        <v>2009</v>
      </c>
      <c r="C62" s="44" t="s">
        <v>112</v>
      </c>
      <c r="D62" s="521"/>
      <c r="E62" s="539"/>
      <c r="F62" s="541"/>
      <c r="G62" s="539"/>
      <c r="H62" s="542"/>
      <c r="I62" s="539"/>
      <c r="J62" s="542"/>
      <c r="K62" s="539"/>
      <c r="L62" s="521"/>
      <c r="M62" s="540"/>
      <c r="N62" s="539"/>
      <c r="O62" s="521"/>
      <c r="P62" s="540"/>
      <c r="Q62" s="539"/>
      <c r="R62" s="541"/>
      <c r="S62" s="540"/>
      <c r="T62" s="539"/>
      <c r="U62" s="542"/>
      <c r="V62" s="540"/>
      <c r="W62" s="539"/>
      <c r="X62" s="224"/>
      <c r="Y62" s="222"/>
      <c r="Z62" s="224"/>
      <c r="AA62" s="46"/>
    </row>
    <row r="63" spans="2:27" x14ac:dyDescent="0.2">
      <c r="B63" s="166">
        <f>'1. LDC Info'!$F$27-8</f>
        <v>2009</v>
      </c>
      <c r="C63" s="44" t="s">
        <v>113</v>
      </c>
      <c r="D63" s="521"/>
      <c r="E63" s="539"/>
      <c r="F63" s="541"/>
      <c r="G63" s="539"/>
      <c r="H63" s="542"/>
      <c r="I63" s="539"/>
      <c r="J63" s="542"/>
      <c r="K63" s="539"/>
      <c r="L63" s="521"/>
      <c r="M63" s="540"/>
      <c r="N63" s="539"/>
      <c r="O63" s="521"/>
      <c r="P63" s="540"/>
      <c r="Q63" s="539"/>
      <c r="R63" s="541"/>
      <c r="S63" s="540"/>
      <c r="T63" s="539"/>
      <c r="U63" s="542"/>
      <c r="V63" s="540"/>
      <c r="W63" s="539"/>
      <c r="X63" s="224"/>
      <c r="Y63" s="222"/>
      <c r="Z63" s="224"/>
      <c r="AA63" s="46"/>
    </row>
    <row r="64" spans="2:27" x14ac:dyDescent="0.2">
      <c r="B64" s="166">
        <f>'1. LDC Info'!$F$27-8</f>
        <v>2009</v>
      </c>
      <c r="C64" s="44" t="s">
        <v>114</v>
      </c>
      <c r="D64" s="521"/>
      <c r="E64" s="539"/>
      <c r="F64" s="541"/>
      <c r="G64" s="539"/>
      <c r="H64" s="542"/>
      <c r="I64" s="539"/>
      <c r="J64" s="542"/>
      <c r="K64" s="539"/>
      <c r="L64" s="521"/>
      <c r="M64" s="540"/>
      <c r="N64" s="539"/>
      <c r="O64" s="521"/>
      <c r="P64" s="540"/>
      <c r="Q64" s="539"/>
      <c r="R64" s="541"/>
      <c r="S64" s="540"/>
      <c r="T64" s="539"/>
      <c r="U64" s="542"/>
      <c r="V64" s="540"/>
      <c r="W64" s="539"/>
      <c r="X64" s="224"/>
      <c r="Y64" s="222"/>
      <c r="Z64" s="224"/>
      <c r="AA64" s="46"/>
    </row>
    <row r="65" spans="2:27" x14ac:dyDescent="0.2">
      <c r="B65" s="166">
        <f>'1. LDC Info'!$F$27-8</f>
        <v>2009</v>
      </c>
      <c r="C65" s="44" t="s">
        <v>115</v>
      </c>
      <c r="D65" s="521"/>
      <c r="E65" s="539"/>
      <c r="F65" s="541"/>
      <c r="G65" s="539"/>
      <c r="H65" s="542"/>
      <c r="I65" s="539"/>
      <c r="J65" s="542"/>
      <c r="K65" s="539"/>
      <c r="L65" s="521"/>
      <c r="M65" s="540"/>
      <c r="N65" s="539"/>
      <c r="O65" s="521"/>
      <c r="P65" s="540"/>
      <c r="Q65" s="539"/>
      <c r="R65" s="541"/>
      <c r="S65" s="540"/>
      <c r="T65" s="539"/>
      <c r="U65" s="542"/>
      <c r="V65" s="540"/>
      <c r="W65" s="539"/>
      <c r="X65" s="224"/>
      <c r="Y65" s="222"/>
      <c r="Z65" s="224"/>
      <c r="AA65" s="46"/>
    </row>
    <row r="66" spans="2:27" x14ac:dyDescent="0.2">
      <c r="B66" s="166">
        <f>'1. LDC Info'!$F$27-8</f>
        <v>2009</v>
      </c>
      <c r="C66" s="44" t="s">
        <v>116</v>
      </c>
      <c r="D66" s="521"/>
      <c r="E66" s="539"/>
      <c r="F66" s="541"/>
      <c r="G66" s="539"/>
      <c r="H66" s="542"/>
      <c r="I66" s="539"/>
      <c r="J66" s="542"/>
      <c r="K66" s="539"/>
      <c r="L66" s="521"/>
      <c r="M66" s="540"/>
      <c r="N66" s="539"/>
      <c r="O66" s="521"/>
      <c r="P66" s="540"/>
      <c r="Q66" s="539"/>
      <c r="R66" s="541"/>
      <c r="S66" s="540"/>
      <c r="T66" s="539"/>
      <c r="U66" s="542"/>
      <c r="V66" s="540"/>
      <c r="W66" s="539"/>
      <c r="X66" s="224"/>
      <c r="Y66" s="222"/>
      <c r="Z66" s="224"/>
      <c r="AA66" s="46"/>
    </row>
    <row r="67" spans="2:27" x14ac:dyDescent="0.2">
      <c r="B67" s="166">
        <f>'1. LDC Info'!$F$27-8</f>
        <v>2009</v>
      </c>
      <c r="C67" s="44" t="s">
        <v>117</v>
      </c>
      <c r="D67" s="521"/>
      <c r="E67" s="539"/>
      <c r="F67" s="541"/>
      <c r="G67" s="539"/>
      <c r="H67" s="542"/>
      <c r="I67" s="539"/>
      <c r="J67" s="542"/>
      <c r="K67" s="539"/>
      <c r="L67" s="521"/>
      <c r="M67" s="540"/>
      <c r="N67" s="539"/>
      <c r="O67" s="521"/>
      <c r="P67" s="540"/>
      <c r="Q67" s="539"/>
      <c r="R67" s="541"/>
      <c r="S67" s="540"/>
      <c r="T67" s="539"/>
      <c r="U67" s="542"/>
      <c r="V67" s="540"/>
      <c r="W67" s="539"/>
      <c r="X67" s="224"/>
      <c r="Y67" s="222"/>
      <c r="Z67" s="224"/>
      <c r="AA67" s="46"/>
    </row>
    <row r="68" spans="2:27" x14ac:dyDescent="0.2">
      <c r="B68" s="166">
        <f>'1. LDC Info'!$F$27-8</f>
        <v>2009</v>
      </c>
      <c r="C68" s="44" t="s">
        <v>118</v>
      </c>
      <c r="D68" s="521"/>
      <c r="E68" s="539"/>
      <c r="F68" s="541"/>
      <c r="G68" s="539"/>
      <c r="H68" s="542"/>
      <c r="I68" s="539"/>
      <c r="J68" s="542"/>
      <c r="K68" s="539"/>
      <c r="L68" s="521"/>
      <c r="M68" s="540"/>
      <c r="N68" s="539"/>
      <c r="O68" s="521"/>
      <c r="P68" s="540"/>
      <c r="Q68" s="539"/>
      <c r="R68" s="541"/>
      <c r="S68" s="540"/>
      <c r="T68" s="539"/>
      <c r="U68" s="542"/>
      <c r="V68" s="540"/>
      <c r="W68" s="539"/>
      <c r="X68" s="224"/>
      <c r="Y68" s="222"/>
      <c r="Z68" s="224"/>
      <c r="AA68" s="46"/>
    </row>
    <row r="69" spans="2:27" x14ac:dyDescent="0.2">
      <c r="B69" s="166">
        <f>'1. LDC Info'!$F$27-8</f>
        <v>2009</v>
      </c>
      <c r="C69" s="44" t="s">
        <v>108</v>
      </c>
      <c r="D69" s="521"/>
      <c r="E69" s="539"/>
      <c r="F69" s="541"/>
      <c r="G69" s="539"/>
      <c r="H69" s="542"/>
      <c r="I69" s="539"/>
      <c r="J69" s="542"/>
      <c r="K69" s="539"/>
      <c r="L69" s="521"/>
      <c r="M69" s="540"/>
      <c r="N69" s="539"/>
      <c r="O69" s="521"/>
      <c r="P69" s="540"/>
      <c r="Q69" s="539"/>
      <c r="R69" s="541"/>
      <c r="S69" s="540"/>
      <c r="T69" s="539"/>
      <c r="U69" s="542"/>
      <c r="V69" s="540"/>
      <c r="W69" s="539"/>
      <c r="X69" s="224"/>
      <c r="Y69" s="222"/>
      <c r="Z69" s="224"/>
      <c r="AA69" s="46"/>
    </row>
    <row r="70" spans="2:27" x14ac:dyDescent="0.2">
      <c r="B70" s="166">
        <f>'1. LDC Info'!$F$27-8</f>
        <v>2009</v>
      </c>
      <c r="C70" s="44" t="s">
        <v>109</v>
      </c>
      <c r="D70" s="521"/>
      <c r="E70" s="539"/>
      <c r="F70" s="541"/>
      <c r="G70" s="539"/>
      <c r="H70" s="542"/>
      <c r="I70" s="539"/>
      <c r="J70" s="542"/>
      <c r="K70" s="539"/>
      <c r="L70" s="521"/>
      <c r="M70" s="540"/>
      <c r="N70" s="539"/>
      <c r="O70" s="521"/>
      <c r="P70" s="540"/>
      <c r="Q70" s="539"/>
      <c r="R70" s="541"/>
      <c r="S70" s="540"/>
      <c r="T70" s="539"/>
      <c r="U70" s="542"/>
      <c r="V70" s="540"/>
      <c r="W70" s="539"/>
      <c r="X70" s="224"/>
      <c r="Y70" s="222"/>
      <c r="Z70" s="224"/>
      <c r="AA70" s="46"/>
    </row>
    <row r="71" spans="2:27" x14ac:dyDescent="0.2">
      <c r="B71" s="166">
        <f>'1. LDC Info'!$F$27-8</f>
        <v>2009</v>
      </c>
      <c r="C71" s="44" t="s">
        <v>110</v>
      </c>
      <c r="D71" s="521"/>
      <c r="E71" s="539"/>
      <c r="F71" s="541"/>
      <c r="G71" s="539"/>
      <c r="H71" s="542"/>
      <c r="I71" s="539"/>
      <c r="J71" s="542"/>
      <c r="K71" s="539"/>
      <c r="L71" s="521"/>
      <c r="M71" s="540"/>
      <c r="N71" s="539"/>
      <c r="O71" s="521"/>
      <c r="P71" s="540"/>
      <c r="Q71" s="539"/>
      <c r="R71" s="541"/>
      <c r="S71" s="540"/>
      <c r="T71" s="539"/>
      <c r="U71" s="542"/>
      <c r="V71" s="540"/>
      <c r="W71" s="539"/>
      <c r="X71" s="224"/>
      <c r="Y71" s="222"/>
      <c r="Z71" s="224"/>
      <c r="AA71" s="46"/>
    </row>
    <row r="72" spans="2:27" x14ac:dyDescent="0.2">
      <c r="B72" s="166">
        <f>'1. LDC Info'!$F$27-8</f>
        <v>2009</v>
      </c>
      <c r="C72" s="44" t="s">
        <v>107</v>
      </c>
      <c r="D72" s="521">
        <v>30635928</v>
      </c>
      <c r="E72" s="539">
        <v>3608</v>
      </c>
      <c r="F72" s="521">
        <v>12859915</v>
      </c>
      <c r="G72" s="539">
        <v>483</v>
      </c>
      <c r="H72" s="541">
        <v>140485</v>
      </c>
      <c r="I72" s="539">
        <v>30</v>
      </c>
      <c r="J72" s="541"/>
      <c r="K72" s="539"/>
      <c r="L72" s="521">
        <v>52230300</v>
      </c>
      <c r="M72" s="540">
        <v>141729</v>
      </c>
      <c r="N72" s="539">
        <v>66</v>
      </c>
      <c r="O72" s="521">
        <v>1114732</v>
      </c>
      <c r="P72" s="540">
        <v>3092</v>
      </c>
      <c r="Q72" s="539">
        <v>1167</v>
      </c>
      <c r="R72" s="541"/>
      <c r="S72" s="540"/>
      <c r="T72" s="539"/>
      <c r="U72" s="541"/>
      <c r="V72" s="540"/>
      <c r="W72" s="539"/>
      <c r="X72" s="224"/>
      <c r="Y72" s="222"/>
      <c r="Z72" s="224"/>
      <c r="AA72" s="46"/>
    </row>
    <row r="73" spans="2:27" x14ac:dyDescent="0.2">
      <c r="B73" s="166">
        <f>'1. LDC Info'!$F$27-7</f>
        <v>2010</v>
      </c>
      <c r="C73" s="44" t="s">
        <v>111</v>
      </c>
      <c r="D73" s="521"/>
      <c r="E73" s="539"/>
      <c r="F73" s="541"/>
      <c r="G73" s="539"/>
      <c r="H73" s="542"/>
      <c r="I73" s="539"/>
      <c r="J73" s="542"/>
      <c r="K73" s="539"/>
      <c r="L73" s="521"/>
      <c r="M73" s="540"/>
      <c r="N73" s="539"/>
      <c r="O73" s="521"/>
      <c r="P73" s="540"/>
      <c r="Q73" s="539"/>
      <c r="R73" s="541"/>
      <c r="S73" s="540"/>
      <c r="T73" s="539"/>
      <c r="U73" s="542"/>
      <c r="V73" s="540"/>
      <c r="W73" s="539"/>
      <c r="X73" s="224"/>
      <c r="Y73" s="222"/>
      <c r="Z73" s="224"/>
      <c r="AA73" s="46"/>
    </row>
    <row r="74" spans="2:27" x14ac:dyDescent="0.2">
      <c r="B74" s="166">
        <f>'1. LDC Info'!$F$27-7</f>
        <v>2010</v>
      </c>
      <c r="C74" s="44" t="s">
        <v>112</v>
      </c>
      <c r="D74" s="521"/>
      <c r="E74" s="539"/>
      <c r="F74" s="541"/>
      <c r="G74" s="539"/>
      <c r="H74" s="542"/>
      <c r="I74" s="539"/>
      <c r="J74" s="542"/>
      <c r="K74" s="539"/>
      <c r="L74" s="521"/>
      <c r="M74" s="540"/>
      <c r="N74" s="539"/>
      <c r="O74" s="521"/>
      <c r="P74" s="540"/>
      <c r="Q74" s="539"/>
      <c r="R74" s="541"/>
      <c r="S74" s="540"/>
      <c r="T74" s="539"/>
      <c r="U74" s="542"/>
      <c r="V74" s="540"/>
      <c r="W74" s="539"/>
      <c r="X74" s="224"/>
      <c r="Y74" s="222"/>
      <c r="Z74" s="224"/>
      <c r="AA74" s="46"/>
    </row>
    <row r="75" spans="2:27" x14ac:dyDescent="0.2">
      <c r="B75" s="166">
        <f>'1. LDC Info'!$F$27-7</f>
        <v>2010</v>
      </c>
      <c r="C75" s="44" t="s">
        <v>113</v>
      </c>
      <c r="D75" s="521"/>
      <c r="E75" s="539"/>
      <c r="F75" s="541"/>
      <c r="G75" s="539"/>
      <c r="H75" s="542"/>
      <c r="I75" s="539"/>
      <c r="J75" s="542"/>
      <c r="K75" s="539"/>
      <c r="L75" s="521"/>
      <c r="M75" s="540"/>
      <c r="N75" s="539"/>
      <c r="O75" s="521"/>
      <c r="P75" s="540"/>
      <c r="Q75" s="539"/>
      <c r="R75" s="541"/>
      <c r="S75" s="540"/>
      <c r="T75" s="539"/>
      <c r="U75" s="542"/>
      <c r="V75" s="540"/>
      <c r="W75" s="539"/>
      <c r="X75" s="224"/>
      <c r="Y75" s="222"/>
      <c r="Z75" s="224"/>
      <c r="AA75" s="46"/>
    </row>
    <row r="76" spans="2:27" x14ac:dyDescent="0.2">
      <c r="B76" s="166">
        <f>'1. LDC Info'!$F$27-7</f>
        <v>2010</v>
      </c>
      <c r="C76" s="44" t="s">
        <v>114</v>
      </c>
      <c r="D76" s="521"/>
      <c r="E76" s="539"/>
      <c r="F76" s="541"/>
      <c r="G76" s="539"/>
      <c r="H76" s="542"/>
      <c r="I76" s="539"/>
      <c r="J76" s="542"/>
      <c r="K76" s="539"/>
      <c r="L76" s="521"/>
      <c r="M76" s="540"/>
      <c r="N76" s="539"/>
      <c r="O76" s="521"/>
      <c r="P76" s="540"/>
      <c r="Q76" s="539"/>
      <c r="R76" s="541"/>
      <c r="S76" s="540"/>
      <c r="T76" s="539"/>
      <c r="U76" s="542"/>
      <c r="V76" s="540"/>
      <c r="W76" s="539"/>
      <c r="X76" s="224"/>
      <c r="Y76" s="222"/>
      <c r="Z76" s="224"/>
      <c r="AA76" s="46"/>
    </row>
    <row r="77" spans="2:27" x14ac:dyDescent="0.2">
      <c r="B77" s="166">
        <f>'1. LDC Info'!$F$27-7</f>
        <v>2010</v>
      </c>
      <c r="C77" s="44" t="s">
        <v>115</v>
      </c>
      <c r="D77" s="521"/>
      <c r="E77" s="539"/>
      <c r="F77" s="541"/>
      <c r="G77" s="539"/>
      <c r="H77" s="542"/>
      <c r="I77" s="539"/>
      <c r="J77" s="542"/>
      <c r="K77" s="539"/>
      <c r="L77" s="521"/>
      <c r="M77" s="540"/>
      <c r="N77" s="539"/>
      <c r="O77" s="521"/>
      <c r="P77" s="540"/>
      <c r="Q77" s="539"/>
      <c r="R77" s="541"/>
      <c r="S77" s="540"/>
      <c r="T77" s="539"/>
      <c r="U77" s="542"/>
      <c r="V77" s="540"/>
      <c r="W77" s="539"/>
      <c r="X77" s="224"/>
      <c r="Y77" s="222"/>
      <c r="Z77" s="224"/>
      <c r="AA77" s="46"/>
    </row>
    <row r="78" spans="2:27" x14ac:dyDescent="0.2">
      <c r="B78" s="166">
        <f>'1. LDC Info'!$F$27-7</f>
        <v>2010</v>
      </c>
      <c r="C78" s="44" t="s">
        <v>116</v>
      </c>
      <c r="D78" s="521"/>
      <c r="E78" s="539"/>
      <c r="F78" s="541"/>
      <c r="G78" s="539"/>
      <c r="H78" s="542"/>
      <c r="I78" s="539"/>
      <c r="J78" s="542"/>
      <c r="K78" s="539"/>
      <c r="L78" s="521"/>
      <c r="M78" s="540"/>
      <c r="N78" s="539"/>
      <c r="O78" s="521"/>
      <c r="P78" s="540"/>
      <c r="Q78" s="539"/>
      <c r="R78" s="541"/>
      <c r="S78" s="540"/>
      <c r="T78" s="539"/>
      <c r="U78" s="542"/>
      <c r="V78" s="540"/>
      <c r="W78" s="539"/>
      <c r="X78" s="224"/>
      <c r="Y78" s="222"/>
      <c r="Z78" s="224"/>
      <c r="AA78" s="46"/>
    </row>
    <row r="79" spans="2:27" x14ac:dyDescent="0.2">
      <c r="B79" s="166">
        <f>'1. LDC Info'!$F$27-7</f>
        <v>2010</v>
      </c>
      <c r="C79" s="44" t="s">
        <v>117</v>
      </c>
      <c r="D79" s="521"/>
      <c r="E79" s="539"/>
      <c r="F79" s="541"/>
      <c r="G79" s="539"/>
      <c r="H79" s="542"/>
      <c r="I79" s="539"/>
      <c r="J79" s="542"/>
      <c r="K79" s="539"/>
      <c r="L79" s="521"/>
      <c r="M79" s="540"/>
      <c r="N79" s="539"/>
      <c r="O79" s="521"/>
      <c r="P79" s="540"/>
      <c r="Q79" s="539"/>
      <c r="R79" s="541"/>
      <c r="S79" s="540"/>
      <c r="T79" s="539"/>
      <c r="U79" s="542"/>
      <c r="V79" s="540"/>
      <c r="W79" s="539"/>
      <c r="X79" s="224"/>
      <c r="Y79" s="222"/>
      <c r="Z79" s="224"/>
      <c r="AA79" s="46"/>
    </row>
    <row r="80" spans="2:27" x14ac:dyDescent="0.2">
      <c r="B80" s="166">
        <f>'1. LDC Info'!$F$27-7</f>
        <v>2010</v>
      </c>
      <c r="C80" s="44" t="s">
        <v>118</v>
      </c>
      <c r="D80" s="521"/>
      <c r="E80" s="539"/>
      <c r="F80" s="541"/>
      <c r="G80" s="539"/>
      <c r="H80" s="542"/>
      <c r="I80" s="539"/>
      <c r="J80" s="542"/>
      <c r="K80" s="539"/>
      <c r="L80" s="521"/>
      <c r="M80" s="540"/>
      <c r="N80" s="539"/>
      <c r="O80" s="521"/>
      <c r="P80" s="540"/>
      <c r="Q80" s="539"/>
      <c r="R80" s="541"/>
      <c r="S80" s="540"/>
      <c r="T80" s="539"/>
      <c r="U80" s="542"/>
      <c r="V80" s="540"/>
      <c r="W80" s="539"/>
      <c r="X80" s="224"/>
      <c r="Y80" s="222"/>
      <c r="Z80" s="224"/>
      <c r="AA80" s="46"/>
    </row>
    <row r="81" spans="2:27" x14ac:dyDescent="0.2">
      <c r="B81" s="166">
        <f>'1. LDC Info'!$F$27-7</f>
        <v>2010</v>
      </c>
      <c r="C81" s="44" t="s">
        <v>108</v>
      </c>
      <c r="D81" s="521"/>
      <c r="E81" s="539"/>
      <c r="F81" s="541"/>
      <c r="G81" s="539"/>
      <c r="H81" s="542"/>
      <c r="I81" s="539"/>
      <c r="J81" s="542"/>
      <c r="K81" s="539"/>
      <c r="L81" s="521"/>
      <c r="M81" s="540"/>
      <c r="N81" s="539"/>
      <c r="O81" s="521"/>
      <c r="P81" s="540"/>
      <c r="Q81" s="539"/>
      <c r="R81" s="541"/>
      <c r="S81" s="540"/>
      <c r="T81" s="539"/>
      <c r="U81" s="542"/>
      <c r="V81" s="540"/>
      <c r="W81" s="539"/>
      <c r="X81" s="224"/>
      <c r="Y81" s="222"/>
      <c r="Z81" s="224"/>
      <c r="AA81" s="46"/>
    </row>
    <row r="82" spans="2:27" x14ac:dyDescent="0.2">
      <c r="B82" s="166">
        <f>'1. LDC Info'!$F$27-7</f>
        <v>2010</v>
      </c>
      <c r="C82" s="44" t="s">
        <v>109</v>
      </c>
      <c r="D82" s="521"/>
      <c r="E82" s="539"/>
      <c r="F82" s="541"/>
      <c r="G82" s="539"/>
      <c r="H82" s="542"/>
      <c r="I82" s="539"/>
      <c r="J82" s="542"/>
      <c r="K82" s="539"/>
      <c r="L82" s="521"/>
      <c r="M82" s="540"/>
      <c r="N82" s="539"/>
      <c r="O82" s="521"/>
      <c r="P82" s="540"/>
      <c r="Q82" s="539"/>
      <c r="R82" s="541"/>
      <c r="S82" s="540"/>
      <c r="T82" s="539"/>
      <c r="U82" s="542"/>
      <c r="V82" s="540"/>
      <c r="W82" s="539"/>
      <c r="X82" s="224"/>
      <c r="Y82" s="222"/>
      <c r="Z82" s="224"/>
      <c r="AA82" s="46"/>
    </row>
    <row r="83" spans="2:27" x14ac:dyDescent="0.2">
      <c r="B83" s="166">
        <f>'1. LDC Info'!$F$27-7</f>
        <v>2010</v>
      </c>
      <c r="C83" s="44" t="s">
        <v>110</v>
      </c>
      <c r="D83" s="521"/>
      <c r="E83" s="539"/>
      <c r="F83" s="541"/>
      <c r="G83" s="539"/>
      <c r="H83" s="542"/>
      <c r="I83" s="539"/>
      <c r="J83" s="542"/>
      <c r="K83" s="539"/>
      <c r="L83" s="521"/>
      <c r="M83" s="540"/>
      <c r="N83" s="539"/>
      <c r="O83" s="521"/>
      <c r="P83" s="540"/>
      <c r="Q83" s="539"/>
      <c r="R83" s="541"/>
      <c r="S83" s="540"/>
      <c r="T83" s="539"/>
      <c r="U83" s="542"/>
      <c r="V83" s="540"/>
      <c r="W83" s="539"/>
      <c r="X83" s="224"/>
      <c r="Y83" s="222"/>
      <c r="Z83" s="224"/>
      <c r="AA83" s="46"/>
    </row>
    <row r="84" spans="2:27" x14ac:dyDescent="0.2">
      <c r="B84" s="166">
        <f>'1. LDC Info'!$F$27-7</f>
        <v>2010</v>
      </c>
      <c r="C84" s="44" t="s">
        <v>107</v>
      </c>
      <c r="D84" s="521">
        <v>30305144</v>
      </c>
      <c r="E84" s="539">
        <v>3654</v>
      </c>
      <c r="F84" s="521">
        <v>12427065</v>
      </c>
      <c r="G84" s="539">
        <v>442</v>
      </c>
      <c r="H84" s="541">
        <v>150176</v>
      </c>
      <c r="I84" s="539">
        <v>34</v>
      </c>
      <c r="J84" s="541"/>
      <c r="K84" s="539"/>
      <c r="L84" s="521">
        <v>51703213</v>
      </c>
      <c r="M84" s="540">
        <v>141797</v>
      </c>
      <c r="N84" s="539">
        <v>59</v>
      </c>
      <c r="O84" s="521">
        <v>1116726</v>
      </c>
      <c r="P84" s="540">
        <v>3098</v>
      </c>
      <c r="Q84" s="539">
        <v>1174</v>
      </c>
      <c r="R84" s="541"/>
      <c r="S84" s="540"/>
      <c r="T84" s="539"/>
      <c r="U84" s="541"/>
      <c r="V84" s="540"/>
      <c r="W84" s="539"/>
      <c r="X84" s="224"/>
      <c r="Y84" s="222"/>
      <c r="Z84" s="224"/>
      <c r="AA84" s="46"/>
    </row>
    <row r="85" spans="2:27" x14ac:dyDescent="0.2">
      <c r="B85" s="166">
        <f>'1. LDC Info'!$F$27-6</f>
        <v>2011</v>
      </c>
      <c r="C85" s="44" t="s">
        <v>111</v>
      </c>
      <c r="D85" s="521"/>
      <c r="E85" s="539"/>
      <c r="F85" s="521"/>
      <c r="G85" s="539"/>
      <c r="H85" s="542"/>
      <c r="I85" s="539"/>
      <c r="J85" s="542"/>
      <c r="K85" s="539"/>
      <c r="L85" s="521"/>
      <c r="M85" s="522"/>
      <c r="N85" s="539"/>
      <c r="O85" s="521"/>
      <c r="P85" s="522"/>
      <c r="Q85" s="539"/>
      <c r="R85" s="541"/>
      <c r="S85" s="540"/>
      <c r="T85" s="539"/>
      <c r="U85" s="542"/>
      <c r="V85" s="540"/>
      <c r="W85" s="539"/>
      <c r="X85" s="224"/>
      <c r="Y85" s="222"/>
      <c r="Z85" s="224"/>
      <c r="AA85" s="46"/>
    </row>
    <row r="86" spans="2:27" x14ac:dyDescent="0.2">
      <c r="B86" s="166">
        <f>'1. LDC Info'!$F$27-6</f>
        <v>2011</v>
      </c>
      <c r="C86" s="44" t="s">
        <v>112</v>
      </c>
      <c r="D86" s="521"/>
      <c r="E86" s="539"/>
      <c r="F86" s="521"/>
      <c r="G86" s="539"/>
      <c r="H86" s="542"/>
      <c r="I86" s="539"/>
      <c r="J86" s="542"/>
      <c r="K86" s="539"/>
      <c r="L86" s="521"/>
      <c r="M86" s="522"/>
      <c r="N86" s="539"/>
      <c r="O86" s="521"/>
      <c r="P86" s="522"/>
      <c r="Q86" s="539"/>
      <c r="R86" s="541"/>
      <c r="S86" s="540"/>
      <c r="T86" s="539"/>
      <c r="U86" s="542"/>
      <c r="V86" s="540"/>
      <c r="W86" s="539"/>
      <c r="X86" s="224"/>
      <c r="Y86" s="222"/>
      <c r="Z86" s="224"/>
      <c r="AA86" s="46"/>
    </row>
    <row r="87" spans="2:27" x14ac:dyDescent="0.2">
      <c r="B87" s="166">
        <f>'1. LDC Info'!$F$27-6</f>
        <v>2011</v>
      </c>
      <c r="C87" s="44" t="s">
        <v>113</v>
      </c>
      <c r="D87" s="521"/>
      <c r="E87" s="539"/>
      <c r="F87" s="521"/>
      <c r="G87" s="539"/>
      <c r="H87" s="542"/>
      <c r="I87" s="539"/>
      <c r="J87" s="542"/>
      <c r="K87" s="539"/>
      <c r="L87" s="521"/>
      <c r="M87" s="522"/>
      <c r="N87" s="539"/>
      <c r="O87" s="521"/>
      <c r="P87" s="522"/>
      <c r="Q87" s="539"/>
      <c r="R87" s="541"/>
      <c r="S87" s="540"/>
      <c r="T87" s="539"/>
      <c r="U87" s="542"/>
      <c r="V87" s="540"/>
      <c r="W87" s="539"/>
      <c r="X87" s="224"/>
      <c r="Y87" s="222"/>
      <c r="Z87" s="224"/>
      <c r="AA87" s="46"/>
    </row>
    <row r="88" spans="2:27" x14ac:dyDescent="0.2">
      <c r="B88" s="166">
        <f>'1. LDC Info'!$F$27-6</f>
        <v>2011</v>
      </c>
      <c r="C88" s="44" t="s">
        <v>114</v>
      </c>
      <c r="D88" s="521"/>
      <c r="E88" s="539"/>
      <c r="F88" s="521"/>
      <c r="G88" s="539"/>
      <c r="H88" s="542"/>
      <c r="I88" s="539"/>
      <c r="J88" s="542"/>
      <c r="K88" s="539"/>
      <c r="L88" s="521"/>
      <c r="M88" s="522"/>
      <c r="N88" s="539"/>
      <c r="O88" s="521"/>
      <c r="P88" s="522"/>
      <c r="Q88" s="539"/>
      <c r="R88" s="541"/>
      <c r="S88" s="540"/>
      <c r="T88" s="539"/>
      <c r="U88" s="542"/>
      <c r="V88" s="540"/>
      <c r="W88" s="539"/>
      <c r="X88" s="224"/>
      <c r="Y88" s="222"/>
      <c r="Z88" s="224"/>
      <c r="AA88" s="46"/>
    </row>
    <row r="89" spans="2:27" x14ac:dyDescent="0.2">
      <c r="B89" s="166">
        <f>'1. LDC Info'!$F$27-6</f>
        <v>2011</v>
      </c>
      <c r="C89" s="44" t="s">
        <v>115</v>
      </c>
      <c r="D89" s="521"/>
      <c r="E89" s="539"/>
      <c r="F89" s="521"/>
      <c r="G89" s="539"/>
      <c r="H89" s="542"/>
      <c r="I89" s="539"/>
      <c r="J89" s="542"/>
      <c r="K89" s="539"/>
      <c r="L89" s="521"/>
      <c r="M89" s="522"/>
      <c r="N89" s="539"/>
      <c r="O89" s="521"/>
      <c r="P89" s="522"/>
      <c r="Q89" s="539"/>
      <c r="R89" s="541"/>
      <c r="S89" s="540"/>
      <c r="T89" s="539"/>
      <c r="U89" s="542"/>
      <c r="V89" s="540"/>
      <c r="W89" s="539"/>
      <c r="X89" s="224"/>
      <c r="Y89" s="222"/>
      <c r="Z89" s="224"/>
      <c r="AA89" s="46"/>
    </row>
    <row r="90" spans="2:27" x14ac:dyDescent="0.2">
      <c r="B90" s="166">
        <f>'1. LDC Info'!$F$27-6</f>
        <v>2011</v>
      </c>
      <c r="C90" s="44" t="s">
        <v>116</v>
      </c>
      <c r="D90" s="521"/>
      <c r="E90" s="539"/>
      <c r="F90" s="521"/>
      <c r="G90" s="539"/>
      <c r="H90" s="542"/>
      <c r="I90" s="539"/>
      <c r="J90" s="542"/>
      <c r="K90" s="539"/>
      <c r="L90" s="521"/>
      <c r="M90" s="522"/>
      <c r="N90" s="539"/>
      <c r="O90" s="521"/>
      <c r="P90" s="522"/>
      <c r="Q90" s="539"/>
      <c r="R90" s="541"/>
      <c r="S90" s="540"/>
      <c r="T90" s="539"/>
      <c r="U90" s="542"/>
      <c r="V90" s="540"/>
      <c r="W90" s="539"/>
      <c r="X90" s="224"/>
      <c r="Y90" s="222"/>
      <c r="Z90" s="224"/>
      <c r="AA90" s="46"/>
    </row>
    <row r="91" spans="2:27" x14ac:dyDescent="0.2">
      <c r="B91" s="166">
        <f>'1. LDC Info'!$F$27-6</f>
        <v>2011</v>
      </c>
      <c r="C91" s="44" t="s">
        <v>117</v>
      </c>
      <c r="D91" s="521"/>
      <c r="E91" s="539"/>
      <c r="F91" s="521"/>
      <c r="G91" s="539"/>
      <c r="H91" s="542"/>
      <c r="I91" s="539"/>
      <c r="J91" s="542"/>
      <c r="K91" s="539"/>
      <c r="L91" s="521"/>
      <c r="M91" s="522"/>
      <c r="N91" s="539"/>
      <c r="O91" s="521"/>
      <c r="P91" s="522"/>
      <c r="Q91" s="539"/>
      <c r="R91" s="541"/>
      <c r="S91" s="540"/>
      <c r="T91" s="539"/>
      <c r="U91" s="542"/>
      <c r="V91" s="540"/>
      <c r="W91" s="539"/>
      <c r="X91" s="224"/>
      <c r="Y91" s="222"/>
      <c r="Z91" s="224"/>
      <c r="AA91" s="46"/>
    </row>
    <row r="92" spans="2:27" x14ac:dyDescent="0.2">
      <c r="B92" s="166">
        <f>'1. LDC Info'!$F$27-6</f>
        <v>2011</v>
      </c>
      <c r="C92" s="44" t="s">
        <v>118</v>
      </c>
      <c r="D92" s="521"/>
      <c r="E92" s="539"/>
      <c r="F92" s="521"/>
      <c r="G92" s="539"/>
      <c r="H92" s="542"/>
      <c r="I92" s="539"/>
      <c r="J92" s="542"/>
      <c r="K92" s="539"/>
      <c r="L92" s="521"/>
      <c r="M92" s="522"/>
      <c r="N92" s="539"/>
      <c r="O92" s="521"/>
      <c r="P92" s="522"/>
      <c r="Q92" s="539"/>
      <c r="R92" s="541"/>
      <c r="S92" s="540"/>
      <c r="T92" s="539"/>
      <c r="U92" s="542"/>
      <c r="V92" s="540"/>
      <c r="W92" s="539"/>
      <c r="X92" s="224"/>
      <c r="Y92" s="222"/>
      <c r="Z92" s="224"/>
      <c r="AA92" s="46"/>
    </row>
    <row r="93" spans="2:27" x14ac:dyDescent="0.2">
      <c r="B93" s="166">
        <f>'1. LDC Info'!$F$27-6</f>
        <v>2011</v>
      </c>
      <c r="C93" s="44" t="s">
        <v>108</v>
      </c>
      <c r="D93" s="521"/>
      <c r="E93" s="539"/>
      <c r="F93" s="521"/>
      <c r="G93" s="539"/>
      <c r="H93" s="542"/>
      <c r="I93" s="539"/>
      <c r="J93" s="542"/>
      <c r="K93" s="539"/>
      <c r="L93" s="521"/>
      <c r="M93" s="522"/>
      <c r="N93" s="539"/>
      <c r="O93" s="521"/>
      <c r="P93" s="522"/>
      <c r="Q93" s="539"/>
      <c r="R93" s="541"/>
      <c r="S93" s="540"/>
      <c r="T93" s="539"/>
      <c r="U93" s="542"/>
      <c r="V93" s="540"/>
      <c r="W93" s="539"/>
      <c r="X93" s="224"/>
      <c r="Y93" s="222"/>
      <c r="Z93" s="224"/>
      <c r="AA93" s="46"/>
    </row>
    <row r="94" spans="2:27" x14ac:dyDescent="0.2">
      <c r="B94" s="166">
        <f>'1. LDC Info'!$F$27-6</f>
        <v>2011</v>
      </c>
      <c r="C94" s="44" t="s">
        <v>109</v>
      </c>
      <c r="D94" s="521"/>
      <c r="E94" s="539"/>
      <c r="F94" s="521"/>
      <c r="G94" s="539"/>
      <c r="H94" s="542"/>
      <c r="I94" s="539"/>
      <c r="J94" s="542"/>
      <c r="K94" s="539"/>
      <c r="L94" s="521"/>
      <c r="M94" s="522"/>
      <c r="N94" s="539"/>
      <c r="O94" s="521"/>
      <c r="P94" s="522"/>
      <c r="Q94" s="539"/>
      <c r="R94" s="541"/>
      <c r="S94" s="540"/>
      <c r="T94" s="539"/>
      <c r="U94" s="542"/>
      <c r="V94" s="540"/>
      <c r="W94" s="539"/>
      <c r="X94" s="224"/>
      <c r="Y94" s="222"/>
      <c r="Z94" s="224"/>
      <c r="AA94" s="46"/>
    </row>
    <row r="95" spans="2:27" x14ac:dyDescent="0.2">
      <c r="B95" s="166">
        <f>'1. LDC Info'!$F$27-6</f>
        <v>2011</v>
      </c>
      <c r="C95" s="44" t="s">
        <v>110</v>
      </c>
      <c r="D95" s="521"/>
      <c r="E95" s="539"/>
      <c r="F95" s="521"/>
      <c r="G95" s="539"/>
      <c r="H95" s="542"/>
      <c r="I95" s="539"/>
      <c r="J95" s="542"/>
      <c r="K95" s="539"/>
      <c r="L95" s="521"/>
      <c r="M95" s="522"/>
      <c r="N95" s="539"/>
      <c r="O95" s="521"/>
      <c r="P95" s="522"/>
      <c r="Q95" s="539"/>
      <c r="R95" s="541"/>
      <c r="S95" s="540"/>
      <c r="T95" s="539"/>
      <c r="U95" s="542"/>
      <c r="V95" s="540"/>
      <c r="W95" s="539"/>
      <c r="X95" s="224"/>
      <c r="Y95" s="222"/>
      <c r="Z95" s="224"/>
      <c r="AA95" s="46"/>
    </row>
    <row r="96" spans="2:27" x14ac:dyDescent="0.2">
      <c r="B96" s="166">
        <f>'1. LDC Info'!$F$27-6</f>
        <v>2011</v>
      </c>
      <c r="C96" s="44" t="s">
        <v>107</v>
      </c>
      <c r="D96" s="521">
        <v>30085520</v>
      </c>
      <c r="E96" s="539">
        <v>3687</v>
      </c>
      <c r="F96" s="521">
        <v>11962164</v>
      </c>
      <c r="G96" s="539">
        <v>437</v>
      </c>
      <c r="H96" s="541">
        <v>158921</v>
      </c>
      <c r="I96" s="539">
        <v>34</v>
      </c>
      <c r="J96" s="541"/>
      <c r="K96" s="539"/>
      <c r="L96" s="521">
        <v>46521147</v>
      </c>
      <c r="M96" s="540">
        <v>130980</v>
      </c>
      <c r="N96" s="539">
        <v>59</v>
      </c>
      <c r="O96" s="521">
        <v>1118574</v>
      </c>
      <c r="P96" s="540">
        <v>3099</v>
      </c>
      <c r="Q96" s="539">
        <v>1176</v>
      </c>
      <c r="R96" s="541"/>
      <c r="S96" s="540"/>
      <c r="T96" s="539"/>
      <c r="U96" s="541"/>
      <c r="V96" s="540"/>
      <c r="W96" s="539"/>
      <c r="X96" s="224"/>
      <c r="Y96" s="222"/>
      <c r="Z96" s="224"/>
      <c r="AA96" s="46"/>
    </row>
    <row r="97" spans="2:27" x14ac:dyDescent="0.2">
      <c r="B97" s="166">
        <f>'1. LDC Info'!$F$27-5</f>
        <v>2012</v>
      </c>
      <c r="C97" s="44" t="s">
        <v>111</v>
      </c>
      <c r="D97" s="521"/>
      <c r="E97" s="539"/>
      <c r="F97" s="521"/>
      <c r="G97" s="539"/>
      <c r="H97" s="543"/>
      <c r="I97" s="539"/>
      <c r="J97" s="543"/>
      <c r="K97" s="539"/>
      <c r="L97" s="521"/>
      <c r="M97" s="540"/>
      <c r="N97" s="539"/>
      <c r="O97" s="521"/>
      <c r="P97" s="540"/>
      <c r="Q97" s="539"/>
      <c r="R97" s="541"/>
      <c r="S97" s="540"/>
      <c r="T97" s="539"/>
      <c r="U97" s="543"/>
      <c r="V97" s="540"/>
      <c r="W97" s="539"/>
      <c r="X97" s="49"/>
      <c r="Y97" s="222"/>
      <c r="Z97" s="49"/>
      <c r="AA97" s="46"/>
    </row>
    <row r="98" spans="2:27" x14ac:dyDescent="0.2">
      <c r="B98" s="166">
        <f>'1. LDC Info'!$F$27-5</f>
        <v>2012</v>
      </c>
      <c r="C98" s="44" t="s">
        <v>112</v>
      </c>
      <c r="D98" s="521"/>
      <c r="E98" s="539"/>
      <c r="F98" s="521"/>
      <c r="G98" s="539"/>
      <c r="H98" s="543"/>
      <c r="I98" s="539"/>
      <c r="J98" s="543"/>
      <c r="K98" s="539"/>
      <c r="L98" s="521"/>
      <c r="M98" s="540"/>
      <c r="N98" s="539"/>
      <c r="O98" s="521"/>
      <c r="P98" s="540"/>
      <c r="Q98" s="539"/>
      <c r="R98" s="541"/>
      <c r="S98" s="540"/>
      <c r="T98" s="539"/>
      <c r="U98" s="543"/>
      <c r="V98" s="540"/>
      <c r="W98" s="539"/>
      <c r="X98" s="49"/>
      <c r="Y98" s="222"/>
      <c r="Z98" s="49"/>
      <c r="AA98" s="46"/>
    </row>
    <row r="99" spans="2:27" x14ac:dyDescent="0.2">
      <c r="B99" s="166">
        <f>'1. LDC Info'!$F$27-5</f>
        <v>2012</v>
      </c>
      <c r="C99" s="44" t="s">
        <v>113</v>
      </c>
      <c r="D99" s="521"/>
      <c r="E99" s="539"/>
      <c r="F99" s="521"/>
      <c r="G99" s="539"/>
      <c r="H99" s="543"/>
      <c r="I99" s="539"/>
      <c r="J99" s="543"/>
      <c r="K99" s="539"/>
      <c r="L99" s="521"/>
      <c r="M99" s="540"/>
      <c r="N99" s="539"/>
      <c r="O99" s="521"/>
      <c r="P99" s="540"/>
      <c r="Q99" s="539"/>
      <c r="R99" s="541"/>
      <c r="S99" s="540"/>
      <c r="T99" s="539"/>
      <c r="U99" s="543"/>
      <c r="V99" s="540"/>
      <c r="W99" s="539"/>
      <c r="X99" s="49"/>
      <c r="Y99" s="222"/>
      <c r="Z99" s="49"/>
      <c r="AA99" s="46"/>
    </row>
    <row r="100" spans="2:27" x14ac:dyDescent="0.2">
      <c r="B100" s="166">
        <f>'1. LDC Info'!$F$27-5</f>
        <v>2012</v>
      </c>
      <c r="C100" s="44" t="s">
        <v>114</v>
      </c>
      <c r="D100" s="521"/>
      <c r="E100" s="539"/>
      <c r="F100" s="521"/>
      <c r="G100" s="539"/>
      <c r="H100" s="543"/>
      <c r="I100" s="539"/>
      <c r="J100" s="543"/>
      <c r="K100" s="539"/>
      <c r="L100" s="521"/>
      <c r="M100" s="540"/>
      <c r="N100" s="539"/>
      <c r="O100" s="521"/>
      <c r="P100" s="540"/>
      <c r="Q100" s="539"/>
      <c r="R100" s="541"/>
      <c r="S100" s="540"/>
      <c r="T100" s="539"/>
      <c r="U100" s="543"/>
      <c r="V100" s="540"/>
      <c r="W100" s="539"/>
      <c r="X100" s="49"/>
      <c r="Y100" s="222"/>
      <c r="Z100" s="49"/>
      <c r="AA100" s="46"/>
    </row>
    <row r="101" spans="2:27" x14ac:dyDescent="0.2">
      <c r="B101" s="166">
        <f>'1. LDC Info'!$F$27-5</f>
        <v>2012</v>
      </c>
      <c r="C101" s="44" t="s">
        <v>115</v>
      </c>
      <c r="D101" s="521"/>
      <c r="E101" s="539"/>
      <c r="F101" s="521"/>
      <c r="G101" s="539"/>
      <c r="H101" s="543"/>
      <c r="I101" s="539"/>
      <c r="J101" s="543"/>
      <c r="K101" s="539"/>
      <c r="L101" s="521"/>
      <c r="M101" s="540"/>
      <c r="N101" s="539"/>
      <c r="O101" s="521"/>
      <c r="P101" s="540"/>
      <c r="Q101" s="539"/>
      <c r="R101" s="541"/>
      <c r="S101" s="540"/>
      <c r="T101" s="539"/>
      <c r="U101" s="543"/>
      <c r="V101" s="540"/>
      <c r="W101" s="539"/>
      <c r="X101" s="49"/>
      <c r="Y101" s="222"/>
      <c r="Z101" s="49"/>
      <c r="AA101" s="46"/>
    </row>
    <row r="102" spans="2:27" x14ac:dyDescent="0.2">
      <c r="B102" s="166">
        <f>'1. LDC Info'!$F$27-5</f>
        <v>2012</v>
      </c>
      <c r="C102" s="44" t="s">
        <v>116</v>
      </c>
      <c r="D102" s="521"/>
      <c r="E102" s="539"/>
      <c r="F102" s="521"/>
      <c r="G102" s="539"/>
      <c r="H102" s="543"/>
      <c r="I102" s="539"/>
      <c r="J102" s="543"/>
      <c r="K102" s="539"/>
      <c r="L102" s="521"/>
      <c r="M102" s="540"/>
      <c r="N102" s="539"/>
      <c r="O102" s="521"/>
      <c r="P102" s="540"/>
      <c r="Q102" s="539"/>
      <c r="R102" s="541"/>
      <c r="S102" s="540"/>
      <c r="T102" s="539"/>
      <c r="U102" s="543"/>
      <c r="V102" s="540"/>
      <c r="W102" s="539"/>
      <c r="X102" s="49"/>
      <c r="Y102" s="222"/>
      <c r="Z102" s="49"/>
      <c r="AA102" s="46"/>
    </row>
    <row r="103" spans="2:27" x14ac:dyDescent="0.2">
      <c r="B103" s="166">
        <f>'1. LDC Info'!$F$27-5</f>
        <v>2012</v>
      </c>
      <c r="C103" s="44" t="s">
        <v>117</v>
      </c>
      <c r="D103" s="521"/>
      <c r="E103" s="539"/>
      <c r="F103" s="521"/>
      <c r="G103" s="539"/>
      <c r="H103" s="543"/>
      <c r="I103" s="539"/>
      <c r="J103" s="543"/>
      <c r="K103" s="539"/>
      <c r="L103" s="521"/>
      <c r="M103" s="540"/>
      <c r="N103" s="539"/>
      <c r="O103" s="521"/>
      <c r="P103" s="540"/>
      <c r="Q103" s="539"/>
      <c r="R103" s="541"/>
      <c r="S103" s="540"/>
      <c r="T103" s="539"/>
      <c r="U103" s="543"/>
      <c r="V103" s="540"/>
      <c r="W103" s="539"/>
      <c r="X103" s="49"/>
      <c r="Y103" s="222"/>
      <c r="Z103" s="49"/>
      <c r="AA103" s="46"/>
    </row>
    <row r="104" spans="2:27" x14ac:dyDescent="0.2">
      <c r="B104" s="166">
        <f>'1. LDC Info'!$F$27-5</f>
        <v>2012</v>
      </c>
      <c r="C104" s="44" t="s">
        <v>118</v>
      </c>
      <c r="D104" s="521"/>
      <c r="E104" s="539"/>
      <c r="F104" s="521"/>
      <c r="G104" s="539"/>
      <c r="H104" s="543"/>
      <c r="I104" s="539"/>
      <c r="J104" s="543"/>
      <c r="K104" s="539"/>
      <c r="L104" s="521"/>
      <c r="M104" s="540"/>
      <c r="N104" s="539"/>
      <c r="O104" s="521"/>
      <c r="P104" s="540"/>
      <c r="Q104" s="539"/>
      <c r="R104" s="541"/>
      <c r="S104" s="540"/>
      <c r="T104" s="539"/>
      <c r="U104" s="543"/>
      <c r="V104" s="540"/>
      <c r="W104" s="539"/>
      <c r="X104" s="49"/>
      <c r="Y104" s="222"/>
      <c r="Z104" s="49"/>
      <c r="AA104" s="46"/>
    </row>
    <row r="105" spans="2:27" x14ac:dyDescent="0.2">
      <c r="B105" s="166">
        <f>'1. LDC Info'!$F$27-5</f>
        <v>2012</v>
      </c>
      <c r="C105" s="44" t="s">
        <v>108</v>
      </c>
      <c r="D105" s="521"/>
      <c r="E105" s="539"/>
      <c r="F105" s="521"/>
      <c r="G105" s="539"/>
      <c r="H105" s="543"/>
      <c r="I105" s="539"/>
      <c r="J105" s="543"/>
      <c r="K105" s="539"/>
      <c r="L105" s="521"/>
      <c r="M105" s="540"/>
      <c r="N105" s="539"/>
      <c r="O105" s="521"/>
      <c r="P105" s="540"/>
      <c r="Q105" s="539"/>
      <c r="R105" s="541"/>
      <c r="S105" s="540"/>
      <c r="T105" s="539"/>
      <c r="U105" s="543"/>
      <c r="V105" s="540"/>
      <c r="W105" s="539"/>
      <c r="X105" s="49"/>
      <c r="Y105" s="222"/>
      <c r="Z105" s="49"/>
      <c r="AA105" s="46"/>
    </row>
    <row r="106" spans="2:27" x14ac:dyDescent="0.2">
      <c r="B106" s="166">
        <f>'1. LDC Info'!$F$27-5</f>
        <v>2012</v>
      </c>
      <c r="C106" s="44" t="s">
        <v>109</v>
      </c>
      <c r="D106" s="521"/>
      <c r="E106" s="539"/>
      <c r="F106" s="521"/>
      <c r="G106" s="539"/>
      <c r="H106" s="543"/>
      <c r="I106" s="539"/>
      <c r="J106" s="543"/>
      <c r="K106" s="539"/>
      <c r="L106" s="521"/>
      <c r="M106" s="540"/>
      <c r="N106" s="539"/>
      <c r="O106" s="521"/>
      <c r="P106" s="540"/>
      <c r="Q106" s="539"/>
      <c r="R106" s="541"/>
      <c r="S106" s="540"/>
      <c r="T106" s="539"/>
      <c r="U106" s="543"/>
      <c r="V106" s="540"/>
      <c r="W106" s="539"/>
      <c r="X106" s="49"/>
      <c r="Y106" s="222"/>
      <c r="Z106" s="49"/>
      <c r="AA106" s="46"/>
    </row>
    <row r="107" spans="2:27" x14ac:dyDescent="0.2">
      <c r="B107" s="166">
        <f>'1. LDC Info'!$F$27-5</f>
        <v>2012</v>
      </c>
      <c r="C107" s="44" t="s">
        <v>110</v>
      </c>
      <c r="D107" s="521"/>
      <c r="E107" s="539"/>
      <c r="F107" s="521"/>
      <c r="G107" s="539"/>
      <c r="H107" s="543"/>
      <c r="I107" s="539"/>
      <c r="J107" s="543"/>
      <c r="K107" s="539"/>
      <c r="L107" s="521"/>
      <c r="M107" s="540"/>
      <c r="N107" s="539"/>
      <c r="O107" s="521"/>
      <c r="P107" s="540"/>
      <c r="Q107" s="539"/>
      <c r="R107" s="541"/>
      <c r="S107" s="540"/>
      <c r="T107" s="539"/>
      <c r="U107" s="543"/>
      <c r="V107" s="540"/>
      <c r="W107" s="539"/>
      <c r="X107" s="49"/>
      <c r="Y107" s="222"/>
      <c r="Z107" s="49"/>
      <c r="AA107" s="46"/>
    </row>
    <row r="108" spans="2:27" x14ac:dyDescent="0.2">
      <c r="B108" s="166">
        <f>'1. LDC Info'!$F$27-5</f>
        <v>2012</v>
      </c>
      <c r="C108" s="44" t="s">
        <v>107</v>
      </c>
      <c r="D108" s="521">
        <v>29994156</v>
      </c>
      <c r="E108" s="539">
        <v>3707</v>
      </c>
      <c r="F108" s="521">
        <v>11672310</v>
      </c>
      <c r="G108" s="539">
        <v>435</v>
      </c>
      <c r="H108" s="541">
        <v>158811</v>
      </c>
      <c r="I108" s="539">
        <v>34</v>
      </c>
      <c r="J108" s="541"/>
      <c r="K108" s="539"/>
      <c r="L108" s="521">
        <v>44095781</v>
      </c>
      <c r="M108" s="540">
        <v>120379</v>
      </c>
      <c r="N108" s="539">
        <v>59</v>
      </c>
      <c r="O108" s="521">
        <v>1121260</v>
      </c>
      <c r="P108" s="540">
        <v>3100</v>
      </c>
      <c r="Q108" s="539">
        <v>1176</v>
      </c>
      <c r="R108" s="541"/>
      <c r="S108" s="540"/>
      <c r="T108" s="539"/>
      <c r="U108" s="541"/>
      <c r="V108" s="540"/>
      <c r="W108" s="539"/>
      <c r="X108" s="49"/>
      <c r="Y108" s="222"/>
      <c r="Z108" s="49"/>
      <c r="AA108" s="46"/>
    </row>
    <row r="109" spans="2:27" x14ac:dyDescent="0.2">
      <c r="B109" s="166">
        <f>'1. LDC Info'!$F$27-4</f>
        <v>2013</v>
      </c>
      <c r="C109" s="44" t="s">
        <v>111</v>
      </c>
      <c r="D109" s="541"/>
      <c r="E109" s="539"/>
      <c r="F109" s="541"/>
      <c r="G109" s="539"/>
      <c r="H109" s="543"/>
      <c r="I109" s="539"/>
      <c r="J109" s="543"/>
      <c r="K109" s="539"/>
      <c r="L109" s="521"/>
      <c r="M109" s="540"/>
      <c r="N109" s="539"/>
      <c r="O109" s="521"/>
      <c r="P109" s="540"/>
      <c r="Q109" s="539"/>
      <c r="R109" s="541"/>
      <c r="S109" s="540"/>
      <c r="T109" s="539"/>
      <c r="U109" s="543"/>
      <c r="V109" s="540"/>
      <c r="W109" s="539"/>
      <c r="X109" s="49"/>
      <c r="Y109" s="222"/>
      <c r="Z109" s="49"/>
      <c r="AA109" s="46"/>
    </row>
    <row r="110" spans="2:27" x14ac:dyDescent="0.2">
      <c r="B110" s="166">
        <f>'1. LDC Info'!$F$27-4</f>
        <v>2013</v>
      </c>
      <c r="C110" s="44" t="s">
        <v>112</v>
      </c>
      <c r="D110" s="541"/>
      <c r="E110" s="539"/>
      <c r="F110" s="541"/>
      <c r="G110" s="539"/>
      <c r="H110" s="543"/>
      <c r="I110" s="539"/>
      <c r="J110" s="543"/>
      <c r="K110" s="539"/>
      <c r="L110" s="521"/>
      <c r="M110" s="540"/>
      <c r="N110" s="539"/>
      <c r="O110" s="521"/>
      <c r="P110" s="540"/>
      <c r="Q110" s="539"/>
      <c r="R110" s="541"/>
      <c r="S110" s="540"/>
      <c r="T110" s="539"/>
      <c r="U110" s="543"/>
      <c r="V110" s="540"/>
      <c r="W110" s="539"/>
      <c r="X110" s="49"/>
      <c r="Y110" s="222"/>
      <c r="Z110" s="49"/>
      <c r="AA110" s="46"/>
    </row>
    <row r="111" spans="2:27" x14ac:dyDescent="0.2">
      <c r="B111" s="166">
        <f>'1. LDC Info'!$F$27-4</f>
        <v>2013</v>
      </c>
      <c r="C111" s="44" t="s">
        <v>113</v>
      </c>
      <c r="D111" s="541"/>
      <c r="E111" s="539"/>
      <c r="F111" s="541"/>
      <c r="G111" s="539"/>
      <c r="H111" s="543"/>
      <c r="I111" s="539"/>
      <c r="J111" s="543"/>
      <c r="K111" s="539"/>
      <c r="L111" s="521"/>
      <c r="M111" s="540"/>
      <c r="N111" s="539"/>
      <c r="O111" s="521"/>
      <c r="P111" s="540"/>
      <c r="Q111" s="539"/>
      <c r="R111" s="541"/>
      <c r="S111" s="540"/>
      <c r="T111" s="539"/>
      <c r="U111" s="543"/>
      <c r="V111" s="540"/>
      <c r="W111" s="539"/>
      <c r="X111" s="49"/>
      <c r="Y111" s="222"/>
      <c r="Z111" s="49"/>
      <c r="AA111" s="46"/>
    </row>
    <row r="112" spans="2:27" x14ac:dyDescent="0.2">
      <c r="B112" s="166">
        <f>'1. LDC Info'!$F$27-4</f>
        <v>2013</v>
      </c>
      <c r="C112" s="44" t="s">
        <v>114</v>
      </c>
      <c r="D112" s="541"/>
      <c r="E112" s="539"/>
      <c r="F112" s="541"/>
      <c r="G112" s="539"/>
      <c r="H112" s="543"/>
      <c r="I112" s="539"/>
      <c r="J112" s="543"/>
      <c r="K112" s="539"/>
      <c r="L112" s="521"/>
      <c r="M112" s="540"/>
      <c r="N112" s="539"/>
      <c r="O112" s="521"/>
      <c r="P112" s="540"/>
      <c r="Q112" s="539"/>
      <c r="R112" s="541"/>
      <c r="S112" s="540"/>
      <c r="T112" s="539"/>
      <c r="U112" s="543"/>
      <c r="V112" s="540"/>
      <c r="W112" s="539"/>
      <c r="X112" s="49"/>
      <c r="Y112" s="222"/>
      <c r="Z112" s="49"/>
      <c r="AA112" s="46"/>
    </row>
    <row r="113" spans="2:27" x14ac:dyDescent="0.2">
      <c r="B113" s="166">
        <f>'1. LDC Info'!$F$27-4</f>
        <v>2013</v>
      </c>
      <c r="C113" s="44" t="s">
        <v>115</v>
      </c>
      <c r="D113" s="541"/>
      <c r="E113" s="539"/>
      <c r="F113" s="541"/>
      <c r="G113" s="539"/>
      <c r="H113" s="543"/>
      <c r="I113" s="539"/>
      <c r="J113" s="543"/>
      <c r="K113" s="539"/>
      <c r="L113" s="521"/>
      <c r="M113" s="540"/>
      <c r="N113" s="539"/>
      <c r="O113" s="521"/>
      <c r="P113" s="540"/>
      <c r="Q113" s="539"/>
      <c r="R113" s="541"/>
      <c r="S113" s="540"/>
      <c r="T113" s="539"/>
      <c r="U113" s="543"/>
      <c r="V113" s="540"/>
      <c r="W113" s="539"/>
      <c r="X113" s="49"/>
      <c r="Y113" s="222"/>
      <c r="Z113" s="49"/>
      <c r="AA113" s="46"/>
    </row>
    <row r="114" spans="2:27" x14ac:dyDescent="0.2">
      <c r="B114" s="166">
        <f>'1. LDC Info'!$F$27-4</f>
        <v>2013</v>
      </c>
      <c r="C114" s="44" t="s">
        <v>116</v>
      </c>
      <c r="D114" s="541"/>
      <c r="E114" s="539"/>
      <c r="F114" s="541"/>
      <c r="G114" s="539"/>
      <c r="H114" s="543"/>
      <c r="I114" s="539"/>
      <c r="J114" s="543"/>
      <c r="K114" s="539"/>
      <c r="L114" s="521"/>
      <c r="M114" s="540"/>
      <c r="N114" s="539"/>
      <c r="O114" s="521"/>
      <c r="P114" s="540"/>
      <c r="Q114" s="539"/>
      <c r="R114" s="541"/>
      <c r="S114" s="540"/>
      <c r="T114" s="539"/>
      <c r="U114" s="543"/>
      <c r="V114" s="540"/>
      <c r="W114" s="539"/>
      <c r="X114" s="49"/>
      <c r="Y114" s="222"/>
      <c r="Z114" s="49"/>
      <c r="AA114" s="46"/>
    </row>
    <row r="115" spans="2:27" x14ac:dyDescent="0.2">
      <c r="B115" s="166">
        <f>'1. LDC Info'!$F$27-4</f>
        <v>2013</v>
      </c>
      <c r="C115" s="44" t="s">
        <v>117</v>
      </c>
      <c r="D115" s="541"/>
      <c r="E115" s="539"/>
      <c r="F115" s="541"/>
      <c r="G115" s="539"/>
      <c r="H115" s="543"/>
      <c r="I115" s="539"/>
      <c r="J115" s="543"/>
      <c r="K115" s="539"/>
      <c r="L115" s="521"/>
      <c r="M115" s="540"/>
      <c r="N115" s="539"/>
      <c r="O115" s="521"/>
      <c r="P115" s="540"/>
      <c r="Q115" s="539"/>
      <c r="R115" s="541"/>
      <c r="S115" s="540"/>
      <c r="T115" s="539"/>
      <c r="U115" s="543"/>
      <c r="V115" s="540"/>
      <c r="W115" s="539"/>
      <c r="X115" s="49"/>
      <c r="Y115" s="222"/>
      <c r="Z115" s="49"/>
      <c r="AA115" s="46"/>
    </row>
    <row r="116" spans="2:27" x14ac:dyDescent="0.2">
      <c r="B116" s="166">
        <f>'1. LDC Info'!$F$27-4</f>
        <v>2013</v>
      </c>
      <c r="C116" s="44" t="s">
        <v>118</v>
      </c>
      <c r="D116" s="541"/>
      <c r="E116" s="539"/>
      <c r="F116" s="541"/>
      <c r="G116" s="539"/>
      <c r="H116" s="543"/>
      <c r="I116" s="539"/>
      <c r="J116" s="543"/>
      <c r="K116" s="539"/>
      <c r="L116" s="521"/>
      <c r="M116" s="540"/>
      <c r="N116" s="539"/>
      <c r="O116" s="521"/>
      <c r="P116" s="540"/>
      <c r="Q116" s="539"/>
      <c r="R116" s="541"/>
      <c r="S116" s="540"/>
      <c r="T116" s="539"/>
      <c r="U116" s="543"/>
      <c r="V116" s="540"/>
      <c r="W116" s="539"/>
      <c r="X116" s="49"/>
      <c r="Y116" s="222"/>
      <c r="Z116" s="49"/>
      <c r="AA116" s="46"/>
    </row>
    <row r="117" spans="2:27" x14ac:dyDescent="0.2">
      <c r="B117" s="166">
        <f>'1. LDC Info'!$F$27-4</f>
        <v>2013</v>
      </c>
      <c r="C117" s="44" t="s">
        <v>108</v>
      </c>
      <c r="D117" s="541"/>
      <c r="E117" s="539"/>
      <c r="F117" s="541"/>
      <c r="G117" s="539"/>
      <c r="H117" s="543"/>
      <c r="I117" s="539"/>
      <c r="J117" s="543"/>
      <c r="K117" s="539"/>
      <c r="L117" s="521"/>
      <c r="M117" s="540"/>
      <c r="N117" s="539"/>
      <c r="O117" s="521"/>
      <c r="P117" s="540"/>
      <c r="Q117" s="539"/>
      <c r="R117" s="541"/>
      <c r="S117" s="540"/>
      <c r="T117" s="539"/>
      <c r="U117" s="543"/>
      <c r="V117" s="540"/>
      <c r="W117" s="539"/>
      <c r="X117" s="49"/>
      <c r="Y117" s="222"/>
      <c r="Z117" s="49"/>
      <c r="AA117" s="46"/>
    </row>
    <row r="118" spans="2:27" x14ac:dyDescent="0.2">
      <c r="B118" s="166">
        <f>'1. LDC Info'!$F$27-4</f>
        <v>2013</v>
      </c>
      <c r="C118" s="44" t="s">
        <v>109</v>
      </c>
      <c r="D118" s="541"/>
      <c r="E118" s="539"/>
      <c r="F118" s="541"/>
      <c r="G118" s="539"/>
      <c r="H118" s="543"/>
      <c r="I118" s="539"/>
      <c r="J118" s="543"/>
      <c r="K118" s="539"/>
      <c r="L118" s="521"/>
      <c r="M118" s="540"/>
      <c r="N118" s="539"/>
      <c r="O118" s="521"/>
      <c r="P118" s="540"/>
      <c r="Q118" s="539"/>
      <c r="R118" s="541"/>
      <c r="S118" s="540"/>
      <c r="T118" s="539"/>
      <c r="U118" s="543"/>
      <c r="V118" s="540"/>
      <c r="W118" s="539"/>
      <c r="X118" s="49"/>
      <c r="Y118" s="222"/>
      <c r="Z118" s="49"/>
      <c r="AA118" s="46"/>
    </row>
    <row r="119" spans="2:27" x14ac:dyDescent="0.2">
      <c r="B119" s="166">
        <f>'1. LDC Info'!$F$27-4</f>
        <v>2013</v>
      </c>
      <c r="C119" s="44" t="s">
        <v>110</v>
      </c>
      <c r="D119" s="541"/>
      <c r="E119" s="539"/>
      <c r="F119" s="541"/>
      <c r="G119" s="539"/>
      <c r="H119" s="543"/>
      <c r="I119" s="539"/>
      <c r="J119" s="543"/>
      <c r="K119" s="539"/>
      <c r="L119" s="521"/>
      <c r="M119" s="540"/>
      <c r="N119" s="539"/>
      <c r="O119" s="521"/>
      <c r="P119" s="540"/>
      <c r="Q119" s="539"/>
      <c r="R119" s="541"/>
      <c r="S119" s="540"/>
      <c r="T119" s="539"/>
      <c r="U119" s="543"/>
      <c r="V119" s="540"/>
      <c r="W119" s="539"/>
      <c r="X119" s="49"/>
      <c r="Y119" s="222"/>
      <c r="Z119" s="49"/>
      <c r="AA119" s="46"/>
    </row>
    <row r="120" spans="2:27" x14ac:dyDescent="0.2">
      <c r="B120" s="166">
        <f>'1. LDC Info'!$F$27-4</f>
        <v>2013</v>
      </c>
      <c r="C120" s="44" t="s">
        <v>107</v>
      </c>
      <c r="D120" s="521">
        <v>30486731</v>
      </c>
      <c r="E120" s="539">
        <v>3730</v>
      </c>
      <c r="F120" s="521">
        <v>11531242</v>
      </c>
      <c r="G120" s="539">
        <v>428</v>
      </c>
      <c r="H120" s="541">
        <v>155619</v>
      </c>
      <c r="I120" s="539">
        <v>33</v>
      </c>
      <c r="J120" s="541"/>
      <c r="K120" s="539"/>
      <c r="L120" s="521">
        <v>44119354</v>
      </c>
      <c r="M120" s="540">
        <v>115813</v>
      </c>
      <c r="N120" s="539">
        <v>62</v>
      </c>
      <c r="O120" s="521">
        <v>1118710</v>
      </c>
      <c r="P120" s="540">
        <v>3104</v>
      </c>
      <c r="Q120" s="539">
        <v>1190</v>
      </c>
      <c r="R120" s="541"/>
      <c r="S120" s="540"/>
      <c r="T120" s="539"/>
      <c r="U120" s="541"/>
      <c r="V120" s="540"/>
      <c r="W120" s="539"/>
      <c r="X120" s="49"/>
      <c r="Y120" s="222"/>
      <c r="Z120" s="49"/>
      <c r="AA120" s="46"/>
    </row>
    <row r="121" spans="2:27" x14ac:dyDescent="0.2">
      <c r="B121" s="166">
        <f>'1. LDC Info'!$F$27-3</f>
        <v>2014</v>
      </c>
      <c r="C121" s="44" t="s">
        <v>111</v>
      </c>
      <c r="D121" s="541"/>
      <c r="E121" s="539"/>
      <c r="F121" s="541"/>
      <c r="G121" s="539"/>
      <c r="H121" s="542"/>
      <c r="I121" s="539"/>
      <c r="J121" s="542"/>
      <c r="K121" s="539"/>
      <c r="L121" s="521"/>
      <c r="M121" s="540"/>
      <c r="N121" s="539"/>
      <c r="O121" s="521"/>
      <c r="P121" s="540"/>
      <c r="Q121" s="539"/>
      <c r="R121" s="541"/>
      <c r="S121" s="540"/>
      <c r="T121" s="539"/>
      <c r="U121" s="542"/>
      <c r="V121" s="540"/>
      <c r="W121" s="539"/>
      <c r="X121" s="224"/>
      <c r="Y121" s="222"/>
      <c r="Z121" s="224"/>
      <c r="AA121" s="46"/>
    </row>
    <row r="122" spans="2:27" x14ac:dyDescent="0.2">
      <c r="B122" s="166">
        <f>'1. LDC Info'!$F$27-3</f>
        <v>2014</v>
      </c>
      <c r="C122" s="44" t="s">
        <v>112</v>
      </c>
      <c r="D122" s="541"/>
      <c r="E122" s="539"/>
      <c r="F122" s="541"/>
      <c r="G122" s="539"/>
      <c r="H122" s="542"/>
      <c r="I122" s="539"/>
      <c r="J122" s="542"/>
      <c r="K122" s="539"/>
      <c r="L122" s="521"/>
      <c r="M122" s="540"/>
      <c r="N122" s="539"/>
      <c r="O122" s="521"/>
      <c r="P122" s="540"/>
      <c r="Q122" s="539"/>
      <c r="R122" s="541"/>
      <c r="S122" s="540"/>
      <c r="T122" s="539"/>
      <c r="U122" s="542"/>
      <c r="V122" s="540"/>
      <c r="W122" s="539"/>
      <c r="X122" s="224"/>
      <c r="Y122" s="222"/>
      <c r="Z122" s="224"/>
      <c r="AA122" s="46"/>
    </row>
    <row r="123" spans="2:27" x14ac:dyDescent="0.2">
      <c r="B123" s="166">
        <f>'1. LDC Info'!$F$27-3</f>
        <v>2014</v>
      </c>
      <c r="C123" s="44" t="s">
        <v>113</v>
      </c>
      <c r="D123" s="541"/>
      <c r="E123" s="539"/>
      <c r="F123" s="541"/>
      <c r="G123" s="539"/>
      <c r="H123" s="542"/>
      <c r="I123" s="539"/>
      <c r="J123" s="542"/>
      <c r="K123" s="539"/>
      <c r="L123" s="521"/>
      <c r="M123" s="540"/>
      <c r="N123" s="539"/>
      <c r="O123" s="521"/>
      <c r="P123" s="540"/>
      <c r="Q123" s="539"/>
      <c r="R123" s="541"/>
      <c r="S123" s="540"/>
      <c r="T123" s="539"/>
      <c r="U123" s="542"/>
      <c r="V123" s="540"/>
      <c r="W123" s="539"/>
      <c r="X123" s="224"/>
      <c r="Y123" s="222"/>
      <c r="Z123" s="224"/>
      <c r="AA123" s="46"/>
    </row>
    <row r="124" spans="2:27" x14ac:dyDescent="0.2">
      <c r="B124" s="166">
        <f>'1. LDC Info'!$F$27-3</f>
        <v>2014</v>
      </c>
      <c r="C124" s="44" t="s">
        <v>114</v>
      </c>
      <c r="D124" s="541"/>
      <c r="E124" s="539"/>
      <c r="F124" s="541"/>
      <c r="G124" s="539"/>
      <c r="H124" s="542"/>
      <c r="I124" s="539"/>
      <c r="J124" s="542"/>
      <c r="K124" s="539"/>
      <c r="L124" s="521"/>
      <c r="M124" s="540"/>
      <c r="N124" s="539"/>
      <c r="O124" s="521"/>
      <c r="P124" s="540"/>
      <c r="Q124" s="539"/>
      <c r="R124" s="541"/>
      <c r="S124" s="540"/>
      <c r="T124" s="539"/>
      <c r="U124" s="542"/>
      <c r="V124" s="540"/>
      <c r="W124" s="539"/>
      <c r="X124" s="224"/>
      <c r="Y124" s="222"/>
      <c r="Z124" s="224"/>
      <c r="AA124" s="46"/>
    </row>
    <row r="125" spans="2:27" x14ac:dyDescent="0.2">
      <c r="B125" s="166">
        <f>'1. LDC Info'!$F$27-3</f>
        <v>2014</v>
      </c>
      <c r="C125" s="44" t="s">
        <v>115</v>
      </c>
      <c r="D125" s="541"/>
      <c r="E125" s="539"/>
      <c r="F125" s="541"/>
      <c r="G125" s="539"/>
      <c r="H125" s="542"/>
      <c r="I125" s="539"/>
      <c r="J125" s="542"/>
      <c r="K125" s="539"/>
      <c r="L125" s="521"/>
      <c r="M125" s="540"/>
      <c r="N125" s="539"/>
      <c r="O125" s="521"/>
      <c r="P125" s="540"/>
      <c r="Q125" s="539"/>
      <c r="R125" s="541"/>
      <c r="S125" s="540"/>
      <c r="T125" s="539"/>
      <c r="U125" s="542"/>
      <c r="V125" s="540"/>
      <c r="W125" s="539"/>
      <c r="X125" s="224"/>
      <c r="Y125" s="222"/>
      <c r="Z125" s="224"/>
      <c r="AA125" s="46"/>
    </row>
    <row r="126" spans="2:27" x14ac:dyDescent="0.2">
      <c r="B126" s="166">
        <f>'1. LDC Info'!$F$27-3</f>
        <v>2014</v>
      </c>
      <c r="C126" s="44" t="s">
        <v>116</v>
      </c>
      <c r="D126" s="541"/>
      <c r="E126" s="539"/>
      <c r="F126" s="541"/>
      <c r="G126" s="539"/>
      <c r="H126" s="542"/>
      <c r="I126" s="539"/>
      <c r="J126" s="542"/>
      <c r="K126" s="539"/>
      <c r="L126" s="521"/>
      <c r="M126" s="540"/>
      <c r="N126" s="539"/>
      <c r="O126" s="521"/>
      <c r="P126" s="540"/>
      <c r="Q126" s="539"/>
      <c r="R126" s="541"/>
      <c r="S126" s="540"/>
      <c r="T126" s="539"/>
      <c r="U126" s="542"/>
      <c r="V126" s="540"/>
      <c r="W126" s="539"/>
      <c r="X126" s="224"/>
      <c r="Y126" s="222"/>
      <c r="Z126" s="224"/>
      <c r="AA126" s="46"/>
    </row>
    <row r="127" spans="2:27" x14ac:dyDescent="0.2">
      <c r="B127" s="166">
        <f>'1. LDC Info'!$F$27-3</f>
        <v>2014</v>
      </c>
      <c r="C127" s="44" t="s">
        <v>117</v>
      </c>
      <c r="D127" s="541"/>
      <c r="E127" s="539"/>
      <c r="F127" s="541"/>
      <c r="G127" s="539"/>
      <c r="H127" s="542"/>
      <c r="I127" s="539"/>
      <c r="J127" s="542"/>
      <c r="K127" s="539"/>
      <c r="L127" s="521"/>
      <c r="M127" s="540"/>
      <c r="N127" s="539"/>
      <c r="O127" s="521"/>
      <c r="P127" s="540"/>
      <c r="Q127" s="539"/>
      <c r="R127" s="541"/>
      <c r="S127" s="540"/>
      <c r="T127" s="539"/>
      <c r="U127" s="542"/>
      <c r="V127" s="540"/>
      <c r="W127" s="539"/>
      <c r="X127" s="224"/>
      <c r="Y127" s="222"/>
      <c r="Z127" s="224"/>
      <c r="AA127" s="46"/>
    </row>
    <row r="128" spans="2:27" x14ac:dyDescent="0.2">
      <c r="B128" s="166">
        <f>'1. LDC Info'!$F$27-3</f>
        <v>2014</v>
      </c>
      <c r="C128" s="44" t="s">
        <v>118</v>
      </c>
      <c r="D128" s="541"/>
      <c r="E128" s="539"/>
      <c r="F128" s="541"/>
      <c r="G128" s="539"/>
      <c r="H128" s="542"/>
      <c r="I128" s="539"/>
      <c r="J128" s="542"/>
      <c r="K128" s="539"/>
      <c r="L128" s="521"/>
      <c r="M128" s="540"/>
      <c r="N128" s="539"/>
      <c r="O128" s="521"/>
      <c r="P128" s="540"/>
      <c r="Q128" s="539"/>
      <c r="R128" s="541"/>
      <c r="S128" s="540"/>
      <c r="T128" s="539"/>
      <c r="U128" s="542"/>
      <c r="V128" s="540"/>
      <c r="W128" s="539"/>
      <c r="X128" s="224"/>
      <c r="Y128" s="222"/>
      <c r="Z128" s="224"/>
      <c r="AA128" s="46"/>
    </row>
    <row r="129" spans="2:27" x14ac:dyDescent="0.2">
      <c r="B129" s="166">
        <f>'1. LDC Info'!$F$27-3</f>
        <v>2014</v>
      </c>
      <c r="C129" s="44" t="s">
        <v>108</v>
      </c>
      <c r="D129" s="541"/>
      <c r="E129" s="539"/>
      <c r="F129" s="541"/>
      <c r="G129" s="539"/>
      <c r="H129" s="542"/>
      <c r="I129" s="539"/>
      <c r="J129" s="542"/>
      <c r="K129" s="539"/>
      <c r="L129" s="521"/>
      <c r="M129" s="540"/>
      <c r="N129" s="539"/>
      <c r="O129" s="521"/>
      <c r="P129" s="540"/>
      <c r="Q129" s="539"/>
      <c r="R129" s="541"/>
      <c r="S129" s="540"/>
      <c r="T129" s="539"/>
      <c r="U129" s="542"/>
      <c r="V129" s="540"/>
      <c r="W129" s="539"/>
      <c r="X129" s="224"/>
      <c r="Y129" s="222"/>
      <c r="Z129" s="224"/>
      <c r="AA129" s="46"/>
    </row>
    <row r="130" spans="2:27" x14ac:dyDescent="0.2">
      <c r="B130" s="166">
        <f>'1. LDC Info'!$F$27-3</f>
        <v>2014</v>
      </c>
      <c r="C130" s="44" t="s">
        <v>109</v>
      </c>
      <c r="D130" s="541"/>
      <c r="E130" s="539"/>
      <c r="F130" s="541"/>
      <c r="G130" s="539"/>
      <c r="H130" s="542"/>
      <c r="I130" s="539"/>
      <c r="J130" s="542"/>
      <c r="K130" s="539"/>
      <c r="L130" s="521"/>
      <c r="M130" s="540"/>
      <c r="N130" s="539"/>
      <c r="O130" s="521"/>
      <c r="P130" s="540"/>
      <c r="Q130" s="539"/>
      <c r="R130" s="541"/>
      <c r="S130" s="540"/>
      <c r="T130" s="539"/>
      <c r="U130" s="542"/>
      <c r="V130" s="540"/>
      <c r="W130" s="539"/>
      <c r="X130" s="224"/>
      <c r="Y130" s="222"/>
      <c r="Z130" s="224"/>
      <c r="AA130" s="46"/>
    </row>
    <row r="131" spans="2:27" x14ac:dyDescent="0.2">
      <c r="B131" s="166">
        <f>'1. LDC Info'!$F$27-3</f>
        <v>2014</v>
      </c>
      <c r="C131" s="44" t="s">
        <v>110</v>
      </c>
      <c r="D131" s="541"/>
      <c r="E131" s="539"/>
      <c r="F131" s="541"/>
      <c r="G131" s="539"/>
      <c r="H131" s="542"/>
      <c r="I131" s="539"/>
      <c r="J131" s="542"/>
      <c r="K131" s="539"/>
      <c r="L131" s="521"/>
      <c r="M131" s="540"/>
      <c r="N131" s="539"/>
      <c r="O131" s="521"/>
      <c r="P131" s="540"/>
      <c r="Q131" s="539"/>
      <c r="R131" s="541"/>
      <c r="S131" s="540"/>
      <c r="T131" s="539"/>
      <c r="U131" s="542"/>
      <c r="V131" s="540"/>
      <c r="W131" s="539"/>
      <c r="X131" s="224"/>
      <c r="Y131" s="222"/>
      <c r="Z131" s="224"/>
      <c r="AA131" s="46"/>
    </row>
    <row r="132" spans="2:27" x14ac:dyDescent="0.2">
      <c r="B132" s="166">
        <f>'1. LDC Info'!$F$27-3</f>
        <v>2014</v>
      </c>
      <c r="C132" s="44" t="s">
        <v>107</v>
      </c>
      <c r="D132" s="521">
        <v>30037011</v>
      </c>
      <c r="E132" s="539">
        <v>3760</v>
      </c>
      <c r="F132" s="521">
        <v>11294125</v>
      </c>
      <c r="G132" s="539">
        <v>428</v>
      </c>
      <c r="H132" s="541">
        <v>155019</v>
      </c>
      <c r="I132" s="539">
        <v>33</v>
      </c>
      <c r="J132" s="541"/>
      <c r="K132" s="539"/>
      <c r="L132" s="521">
        <v>43640624</v>
      </c>
      <c r="M132" s="540">
        <v>114180</v>
      </c>
      <c r="N132" s="539">
        <v>62</v>
      </c>
      <c r="O132" s="521">
        <v>1121519</v>
      </c>
      <c r="P132" s="540">
        <v>3110</v>
      </c>
      <c r="Q132" s="539">
        <v>1190</v>
      </c>
      <c r="R132" s="541"/>
      <c r="S132" s="540"/>
      <c r="T132" s="539"/>
      <c r="U132" s="541"/>
      <c r="V132" s="540"/>
      <c r="W132" s="539"/>
      <c r="X132" s="224"/>
      <c r="Y132" s="222"/>
      <c r="Z132" s="224"/>
      <c r="AA132" s="46"/>
    </row>
    <row r="133" spans="2:27" x14ac:dyDescent="0.2">
      <c r="B133" s="166">
        <f>'1. LDC Info'!$F$27-2</f>
        <v>2015</v>
      </c>
      <c r="C133" s="44" t="s">
        <v>111</v>
      </c>
      <c r="D133" s="541"/>
      <c r="E133" s="539"/>
      <c r="F133" s="541"/>
      <c r="G133" s="539"/>
      <c r="H133" s="542"/>
      <c r="I133" s="539"/>
      <c r="J133" s="542"/>
      <c r="K133" s="539"/>
      <c r="L133" s="521"/>
      <c r="M133" s="540"/>
      <c r="N133" s="539"/>
      <c r="O133" s="521"/>
      <c r="P133" s="540"/>
      <c r="Q133" s="539"/>
      <c r="R133" s="541"/>
      <c r="S133" s="540"/>
      <c r="T133" s="539"/>
      <c r="U133" s="542"/>
      <c r="V133" s="540"/>
      <c r="W133" s="539"/>
      <c r="X133" s="224"/>
      <c r="Y133" s="222"/>
      <c r="Z133" s="224"/>
      <c r="AA133" s="46"/>
    </row>
    <row r="134" spans="2:27" x14ac:dyDescent="0.2">
      <c r="B134" s="166">
        <f>'1. LDC Info'!$F$27-2</f>
        <v>2015</v>
      </c>
      <c r="C134" s="44" t="s">
        <v>112</v>
      </c>
      <c r="D134" s="541"/>
      <c r="E134" s="539"/>
      <c r="F134" s="541"/>
      <c r="G134" s="539"/>
      <c r="H134" s="542"/>
      <c r="I134" s="539"/>
      <c r="J134" s="542"/>
      <c r="K134" s="539"/>
      <c r="L134" s="521"/>
      <c r="M134" s="540"/>
      <c r="N134" s="539"/>
      <c r="O134" s="521"/>
      <c r="P134" s="540"/>
      <c r="Q134" s="539"/>
      <c r="R134" s="541"/>
      <c r="S134" s="540"/>
      <c r="T134" s="539"/>
      <c r="U134" s="542"/>
      <c r="V134" s="540"/>
      <c r="W134" s="539"/>
      <c r="X134" s="224"/>
      <c r="Y134" s="222"/>
      <c r="Z134" s="224"/>
      <c r="AA134" s="46"/>
    </row>
    <row r="135" spans="2:27" x14ac:dyDescent="0.2">
      <c r="B135" s="166">
        <f>'1. LDC Info'!$F$27-2</f>
        <v>2015</v>
      </c>
      <c r="C135" s="44" t="s">
        <v>113</v>
      </c>
      <c r="D135" s="541"/>
      <c r="E135" s="539"/>
      <c r="F135" s="541"/>
      <c r="G135" s="539"/>
      <c r="H135" s="542"/>
      <c r="I135" s="539"/>
      <c r="J135" s="542"/>
      <c r="K135" s="539"/>
      <c r="L135" s="521"/>
      <c r="M135" s="540"/>
      <c r="N135" s="539"/>
      <c r="O135" s="521"/>
      <c r="P135" s="540"/>
      <c r="Q135" s="539"/>
      <c r="R135" s="541"/>
      <c r="S135" s="540"/>
      <c r="T135" s="539"/>
      <c r="U135" s="542"/>
      <c r="V135" s="540"/>
      <c r="W135" s="539"/>
      <c r="X135" s="224"/>
      <c r="Y135" s="222"/>
      <c r="Z135" s="224"/>
      <c r="AA135" s="46"/>
    </row>
    <row r="136" spans="2:27" x14ac:dyDescent="0.2">
      <c r="B136" s="166">
        <f>'1. LDC Info'!$F$27-2</f>
        <v>2015</v>
      </c>
      <c r="C136" s="44" t="s">
        <v>114</v>
      </c>
      <c r="D136" s="541"/>
      <c r="E136" s="539"/>
      <c r="F136" s="541"/>
      <c r="G136" s="539"/>
      <c r="H136" s="542"/>
      <c r="I136" s="539"/>
      <c r="J136" s="542"/>
      <c r="K136" s="539"/>
      <c r="L136" s="521"/>
      <c r="M136" s="540"/>
      <c r="N136" s="539"/>
      <c r="O136" s="521"/>
      <c r="P136" s="540"/>
      <c r="Q136" s="539"/>
      <c r="R136" s="541"/>
      <c r="S136" s="540"/>
      <c r="T136" s="539"/>
      <c r="U136" s="542"/>
      <c r="V136" s="540"/>
      <c r="W136" s="539"/>
      <c r="X136" s="224"/>
      <c r="Y136" s="222"/>
      <c r="Z136" s="224"/>
      <c r="AA136" s="46"/>
    </row>
    <row r="137" spans="2:27" x14ac:dyDescent="0.2">
      <c r="B137" s="166">
        <f>'1. LDC Info'!$F$27-2</f>
        <v>2015</v>
      </c>
      <c r="C137" s="44" t="s">
        <v>115</v>
      </c>
      <c r="D137" s="541"/>
      <c r="E137" s="539"/>
      <c r="F137" s="541"/>
      <c r="G137" s="539"/>
      <c r="H137" s="542"/>
      <c r="I137" s="539"/>
      <c r="J137" s="542"/>
      <c r="K137" s="539"/>
      <c r="L137" s="521"/>
      <c r="M137" s="540"/>
      <c r="N137" s="539"/>
      <c r="O137" s="521"/>
      <c r="P137" s="540"/>
      <c r="Q137" s="539"/>
      <c r="R137" s="541"/>
      <c r="S137" s="540"/>
      <c r="T137" s="539"/>
      <c r="U137" s="542"/>
      <c r="V137" s="540"/>
      <c r="W137" s="539"/>
      <c r="X137" s="224"/>
      <c r="Y137" s="222"/>
      <c r="Z137" s="224"/>
      <c r="AA137" s="46"/>
    </row>
    <row r="138" spans="2:27" x14ac:dyDescent="0.2">
      <c r="B138" s="166">
        <f>'1. LDC Info'!$F$27-2</f>
        <v>2015</v>
      </c>
      <c r="C138" s="44" t="s">
        <v>116</v>
      </c>
      <c r="D138" s="541"/>
      <c r="E138" s="539"/>
      <c r="F138" s="541"/>
      <c r="G138" s="539"/>
      <c r="H138" s="542"/>
      <c r="I138" s="539"/>
      <c r="J138" s="542"/>
      <c r="K138" s="539"/>
      <c r="L138" s="521"/>
      <c r="M138" s="540"/>
      <c r="N138" s="539"/>
      <c r="O138" s="521"/>
      <c r="P138" s="540"/>
      <c r="Q138" s="539"/>
      <c r="R138" s="541"/>
      <c r="S138" s="540"/>
      <c r="T138" s="539"/>
      <c r="U138" s="542"/>
      <c r="V138" s="540"/>
      <c r="W138" s="539"/>
      <c r="X138" s="224"/>
      <c r="Y138" s="222"/>
      <c r="Z138" s="224"/>
      <c r="AA138" s="46"/>
    </row>
    <row r="139" spans="2:27" x14ac:dyDescent="0.2">
      <c r="B139" s="166">
        <f>'1. LDC Info'!$F$27-2</f>
        <v>2015</v>
      </c>
      <c r="C139" s="44" t="s">
        <v>117</v>
      </c>
      <c r="D139" s="541"/>
      <c r="E139" s="539"/>
      <c r="F139" s="541"/>
      <c r="G139" s="539"/>
      <c r="H139" s="542"/>
      <c r="I139" s="539"/>
      <c r="J139" s="542"/>
      <c r="K139" s="539"/>
      <c r="L139" s="521"/>
      <c r="M139" s="540"/>
      <c r="N139" s="539"/>
      <c r="O139" s="521"/>
      <c r="P139" s="540"/>
      <c r="Q139" s="539"/>
      <c r="R139" s="541"/>
      <c r="S139" s="540"/>
      <c r="T139" s="539"/>
      <c r="U139" s="542"/>
      <c r="V139" s="540"/>
      <c r="W139" s="539"/>
      <c r="X139" s="224"/>
      <c r="Y139" s="222"/>
      <c r="Z139" s="224"/>
      <c r="AA139" s="46"/>
    </row>
    <row r="140" spans="2:27" x14ac:dyDescent="0.2">
      <c r="B140" s="166">
        <f>'1. LDC Info'!$F$27-2</f>
        <v>2015</v>
      </c>
      <c r="C140" s="44" t="s">
        <v>118</v>
      </c>
      <c r="D140" s="541"/>
      <c r="E140" s="539"/>
      <c r="F140" s="541"/>
      <c r="G140" s="539"/>
      <c r="H140" s="542"/>
      <c r="I140" s="539"/>
      <c r="J140" s="542"/>
      <c r="K140" s="539"/>
      <c r="L140" s="521"/>
      <c r="M140" s="540"/>
      <c r="N140" s="539"/>
      <c r="O140" s="521"/>
      <c r="P140" s="540"/>
      <c r="Q140" s="539"/>
      <c r="R140" s="541"/>
      <c r="S140" s="540"/>
      <c r="T140" s="539"/>
      <c r="U140" s="542"/>
      <c r="V140" s="540"/>
      <c r="W140" s="539"/>
      <c r="X140" s="224"/>
      <c r="Y140" s="222"/>
      <c r="Z140" s="224"/>
      <c r="AA140" s="46"/>
    </row>
    <row r="141" spans="2:27" x14ac:dyDescent="0.2">
      <c r="B141" s="166">
        <f>'1. LDC Info'!$F$27-2</f>
        <v>2015</v>
      </c>
      <c r="C141" s="44" t="s">
        <v>108</v>
      </c>
      <c r="D141" s="541"/>
      <c r="E141" s="539"/>
      <c r="F141" s="541"/>
      <c r="G141" s="539"/>
      <c r="H141" s="542"/>
      <c r="I141" s="539"/>
      <c r="J141" s="542"/>
      <c r="K141" s="539"/>
      <c r="L141" s="521"/>
      <c r="M141" s="540"/>
      <c r="N141" s="539"/>
      <c r="O141" s="521"/>
      <c r="P141" s="540"/>
      <c r="Q141" s="539"/>
      <c r="R141" s="541"/>
      <c r="S141" s="540"/>
      <c r="T141" s="539"/>
      <c r="U141" s="542"/>
      <c r="V141" s="540"/>
      <c r="W141" s="539"/>
      <c r="X141" s="224"/>
      <c r="Y141" s="222"/>
      <c r="Z141" s="224"/>
      <c r="AA141" s="46"/>
    </row>
    <row r="142" spans="2:27" x14ac:dyDescent="0.2">
      <c r="B142" s="166">
        <f>'1. LDC Info'!$F$27-2</f>
        <v>2015</v>
      </c>
      <c r="C142" s="44" t="s">
        <v>109</v>
      </c>
      <c r="D142" s="541"/>
      <c r="E142" s="539"/>
      <c r="F142" s="541"/>
      <c r="G142" s="539"/>
      <c r="H142" s="542"/>
      <c r="I142" s="539"/>
      <c r="J142" s="542"/>
      <c r="K142" s="539"/>
      <c r="L142" s="521"/>
      <c r="M142" s="540"/>
      <c r="N142" s="539"/>
      <c r="O142" s="521"/>
      <c r="P142" s="540"/>
      <c r="Q142" s="539"/>
      <c r="R142" s="541"/>
      <c r="S142" s="540"/>
      <c r="T142" s="539"/>
      <c r="U142" s="542"/>
      <c r="V142" s="540"/>
      <c r="W142" s="539"/>
      <c r="X142" s="224"/>
      <c r="Y142" s="222"/>
      <c r="Z142" s="224"/>
      <c r="AA142" s="46"/>
    </row>
    <row r="143" spans="2:27" x14ac:dyDescent="0.2">
      <c r="B143" s="166">
        <f>'1. LDC Info'!$F$27-2</f>
        <v>2015</v>
      </c>
      <c r="C143" s="44" t="s">
        <v>110</v>
      </c>
      <c r="D143" s="541"/>
      <c r="E143" s="539"/>
      <c r="F143" s="541"/>
      <c r="G143" s="539"/>
      <c r="H143" s="542"/>
      <c r="I143" s="539"/>
      <c r="J143" s="542"/>
      <c r="K143" s="539"/>
      <c r="L143" s="521"/>
      <c r="M143" s="540"/>
      <c r="N143" s="539"/>
      <c r="O143" s="521"/>
      <c r="P143" s="540"/>
      <c r="Q143" s="539"/>
      <c r="R143" s="541"/>
      <c r="S143" s="540"/>
      <c r="T143" s="539"/>
      <c r="U143" s="542"/>
      <c r="V143" s="540"/>
      <c r="W143" s="539"/>
      <c r="X143" s="224"/>
      <c r="Y143" s="222"/>
      <c r="Z143" s="224"/>
      <c r="AA143" s="46"/>
    </row>
    <row r="144" spans="2:27" x14ac:dyDescent="0.2">
      <c r="B144" s="166">
        <f>'1. LDC Info'!$F$27-2</f>
        <v>2015</v>
      </c>
      <c r="C144" s="44" t="s">
        <v>107</v>
      </c>
      <c r="D144" s="521">
        <v>29589162</v>
      </c>
      <c r="E144" s="539">
        <v>3779</v>
      </c>
      <c r="F144" s="521">
        <v>10843312</v>
      </c>
      <c r="G144" s="539">
        <v>430</v>
      </c>
      <c r="H144" s="541">
        <v>155364</v>
      </c>
      <c r="I144" s="539">
        <v>33</v>
      </c>
      <c r="J144" s="541"/>
      <c r="K144" s="539"/>
      <c r="L144" s="521">
        <v>45095566</v>
      </c>
      <c r="M144" s="540">
        <v>113922</v>
      </c>
      <c r="N144" s="539">
        <v>61</v>
      </c>
      <c r="O144" s="521">
        <v>1123682</v>
      </c>
      <c r="P144" s="540">
        <v>3117</v>
      </c>
      <c r="Q144" s="539">
        <v>1190</v>
      </c>
      <c r="R144" s="541"/>
      <c r="S144" s="540"/>
      <c r="T144" s="539"/>
      <c r="U144" s="541"/>
      <c r="V144" s="540"/>
      <c r="W144" s="539"/>
      <c r="X144" s="224"/>
      <c r="Y144" s="222"/>
      <c r="Z144" s="224"/>
      <c r="AA144" s="46"/>
    </row>
    <row r="145" spans="2:27" x14ac:dyDescent="0.2">
      <c r="B145" s="166">
        <f>'1. LDC Info'!$F$27-1</f>
        <v>2016</v>
      </c>
      <c r="C145" s="44" t="s">
        <v>111</v>
      </c>
      <c r="D145" s="2"/>
      <c r="E145" s="222"/>
      <c r="F145" s="2"/>
      <c r="G145" s="222"/>
      <c r="H145" s="224"/>
      <c r="I145" s="222"/>
      <c r="J145" s="224"/>
      <c r="K145" s="222"/>
      <c r="L145" s="45"/>
      <c r="M145" s="48"/>
      <c r="N145" s="222"/>
      <c r="O145" s="45"/>
      <c r="P145" s="48"/>
      <c r="Q145" s="222"/>
      <c r="R145" s="2"/>
      <c r="S145" s="27"/>
      <c r="T145" s="222"/>
      <c r="U145" s="224"/>
      <c r="V145" s="519"/>
      <c r="W145" s="222"/>
      <c r="X145" s="224"/>
      <c r="Y145" s="222"/>
      <c r="Z145" s="224"/>
      <c r="AA145" s="46"/>
    </row>
    <row r="146" spans="2:27" x14ac:dyDescent="0.2">
      <c r="B146" s="166">
        <f>'1. LDC Info'!$F$27-1</f>
        <v>2016</v>
      </c>
      <c r="C146" s="44" t="s">
        <v>112</v>
      </c>
      <c r="D146" s="2"/>
      <c r="E146" s="222"/>
      <c r="F146" s="2"/>
      <c r="G146" s="222"/>
      <c r="H146" s="224"/>
      <c r="I146" s="222"/>
      <c r="J146" s="224"/>
      <c r="K146" s="222"/>
      <c r="L146" s="45"/>
      <c r="M146" s="48"/>
      <c r="N146" s="222"/>
      <c r="O146" s="45"/>
      <c r="P146" s="48"/>
      <c r="Q146" s="222"/>
      <c r="R146" s="2"/>
      <c r="S146" s="27"/>
      <c r="T146" s="222"/>
      <c r="U146" s="224"/>
      <c r="V146" s="519"/>
      <c r="W146" s="222"/>
      <c r="X146" s="224"/>
      <c r="Y146" s="222"/>
      <c r="Z146" s="224"/>
      <c r="AA146" s="46"/>
    </row>
    <row r="147" spans="2:27" x14ac:dyDescent="0.2">
      <c r="B147" s="166">
        <f>'1. LDC Info'!$F$27-1</f>
        <v>2016</v>
      </c>
      <c r="C147" s="44" t="s">
        <v>113</v>
      </c>
      <c r="D147" s="2"/>
      <c r="E147" s="222"/>
      <c r="F147" s="2"/>
      <c r="G147" s="222"/>
      <c r="H147" s="224"/>
      <c r="I147" s="222"/>
      <c r="J147" s="224"/>
      <c r="K147" s="222"/>
      <c r="L147" s="45"/>
      <c r="M147" s="48"/>
      <c r="N147" s="222"/>
      <c r="O147" s="45"/>
      <c r="P147" s="48"/>
      <c r="Q147" s="222"/>
      <c r="R147" s="2"/>
      <c r="S147" s="27"/>
      <c r="T147" s="222"/>
      <c r="U147" s="224"/>
      <c r="V147" s="519"/>
      <c r="W147" s="222"/>
      <c r="X147" s="224"/>
      <c r="Y147" s="222"/>
      <c r="Z147" s="224"/>
      <c r="AA147" s="46"/>
    </row>
    <row r="148" spans="2:27" x14ac:dyDescent="0.2">
      <c r="B148" s="166">
        <f>'1. LDC Info'!$F$27-1</f>
        <v>2016</v>
      </c>
      <c r="C148" s="44" t="s">
        <v>114</v>
      </c>
      <c r="D148" s="2"/>
      <c r="E148" s="222"/>
      <c r="F148" s="2"/>
      <c r="G148" s="222"/>
      <c r="H148" s="224"/>
      <c r="I148" s="222"/>
      <c r="J148" s="224"/>
      <c r="K148" s="222"/>
      <c r="L148" s="45"/>
      <c r="M148" s="48"/>
      <c r="N148" s="222"/>
      <c r="O148" s="45"/>
      <c r="P148" s="48"/>
      <c r="Q148" s="222"/>
      <c r="R148" s="2"/>
      <c r="S148" s="27"/>
      <c r="T148" s="222"/>
      <c r="U148" s="224"/>
      <c r="V148" s="519"/>
      <c r="W148" s="222"/>
      <c r="X148" s="224"/>
      <c r="Y148" s="222"/>
      <c r="Z148" s="224"/>
      <c r="AA148" s="46"/>
    </row>
    <row r="149" spans="2:27" x14ac:dyDescent="0.2">
      <c r="B149" s="166">
        <f>'1. LDC Info'!$F$27-1</f>
        <v>2016</v>
      </c>
      <c r="C149" s="44" t="s">
        <v>115</v>
      </c>
      <c r="D149" s="2"/>
      <c r="E149" s="222"/>
      <c r="F149" s="2"/>
      <c r="G149" s="222"/>
      <c r="H149" s="224"/>
      <c r="I149" s="222"/>
      <c r="J149" s="224"/>
      <c r="K149" s="222"/>
      <c r="L149" s="45"/>
      <c r="M149" s="48"/>
      <c r="N149" s="222"/>
      <c r="O149" s="45"/>
      <c r="P149" s="48"/>
      <c r="Q149" s="222"/>
      <c r="R149" s="2"/>
      <c r="S149" s="27"/>
      <c r="T149" s="222"/>
      <c r="U149" s="224"/>
      <c r="V149" s="519"/>
      <c r="W149" s="222"/>
      <c r="X149" s="224"/>
      <c r="Y149" s="222"/>
      <c r="Z149" s="224"/>
      <c r="AA149" s="46"/>
    </row>
    <row r="150" spans="2:27" x14ac:dyDescent="0.2">
      <c r="B150" s="166">
        <f>'1. LDC Info'!$F$27-1</f>
        <v>2016</v>
      </c>
      <c r="C150" s="44" t="s">
        <v>116</v>
      </c>
      <c r="D150" s="2"/>
      <c r="E150" s="222"/>
      <c r="F150" s="2"/>
      <c r="G150" s="222"/>
      <c r="H150" s="224"/>
      <c r="I150" s="222"/>
      <c r="J150" s="224"/>
      <c r="K150" s="222"/>
      <c r="L150" s="45"/>
      <c r="M150" s="48"/>
      <c r="N150" s="222"/>
      <c r="O150" s="2"/>
      <c r="P150" s="27"/>
      <c r="Q150" s="222"/>
      <c r="R150" s="2"/>
      <c r="S150" s="27"/>
      <c r="T150" s="222"/>
      <c r="U150" s="224"/>
      <c r="V150" s="519"/>
      <c r="W150" s="222"/>
      <c r="X150" s="224"/>
      <c r="Y150" s="222"/>
      <c r="Z150" s="224"/>
      <c r="AA150" s="46"/>
    </row>
    <row r="151" spans="2:27" x14ac:dyDescent="0.2">
      <c r="B151" s="166">
        <f>'1. LDC Info'!$F$27-1</f>
        <v>2016</v>
      </c>
      <c r="C151" s="44" t="s">
        <v>117</v>
      </c>
      <c r="D151" s="2"/>
      <c r="E151" s="222"/>
      <c r="F151" s="2"/>
      <c r="G151" s="222"/>
      <c r="H151" s="224"/>
      <c r="I151" s="222"/>
      <c r="J151" s="224"/>
      <c r="K151" s="222"/>
      <c r="L151" s="45"/>
      <c r="M151" s="48"/>
      <c r="N151" s="222"/>
      <c r="O151" s="2"/>
      <c r="P151" s="27"/>
      <c r="Q151" s="222"/>
      <c r="R151" s="2"/>
      <c r="S151" s="27"/>
      <c r="T151" s="222"/>
      <c r="U151" s="224"/>
      <c r="V151" s="519"/>
      <c r="W151" s="222"/>
      <c r="X151" s="224"/>
      <c r="Y151" s="222"/>
      <c r="Z151" s="224"/>
      <c r="AA151" s="46"/>
    </row>
    <row r="152" spans="2:27" x14ac:dyDescent="0.2">
      <c r="B152" s="166">
        <f>'1. LDC Info'!$F$27-1</f>
        <v>2016</v>
      </c>
      <c r="C152" s="44" t="s">
        <v>118</v>
      </c>
      <c r="D152" s="2"/>
      <c r="E152" s="222"/>
      <c r="F152" s="2"/>
      <c r="G152" s="222"/>
      <c r="H152" s="224"/>
      <c r="I152" s="222"/>
      <c r="J152" s="224"/>
      <c r="K152" s="222"/>
      <c r="L152" s="45"/>
      <c r="M152" s="48"/>
      <c r="N152" s="222"/>
      <c r="O152" s="2"/>
      <c r="P152" s="27"/>
      <c r="Q152" s="222"/>
      <c r="R152" s="2"/>
      <c r="S152" s="27"/>
      <c r="T152" s="222"/>
      <c r="U152" s="224"/>
      <c r="V152" s="519"/>
      <c r="W152" s="222"/>
      <c r="X152" s="224"/>
      <c r="Y152" s="222"/>
      <c r="Z152" s="224"/>
      <c r="AA152" s="46"/>
    </row>
    <row r="153" spans="2:27" x14ac:dyDescent="0.2">
      <c r="B153" s="166">
        <f>'1. LDC Info'!$F$27-1</f>
        <v>2016</v>
      </c>
      <c r="C153" s="44" t="s">
        <v>108</v>
      </c>
      <c r="D153" s="2"/>
      <c r="E153" s="222"/>
      <c r="F153" s="2"/>
      <c r="G153" s="222"/>
      <c r="H153" s="224"/>
      <c r="I153" s="222"/>
      <c r="J153" s="224"/>
      <c r="K153" s="222"/>
      <c r="L153" s="45"/>
      <c r="M153" s="48"/>
      <c r="N153" s="222"/>
      <c r="O153" s="2"/>
      <c r="P153" s="27"/>
      <c r="Q153" s="222"/>
      <c r="R153" s="2"/>
      <c r="S153" s="27"/>
      <c r="T153" s="222"/>
      <c r="U153" s="224"/>
      <c r="V153" s="519"/>
      <c r="W153" s="222"/>
      <c r="X153" s="224"/>
      <c r="Y153" s="222"/>
      <c r="Z153" s="224"/>
      <c r="AA153" s="46"/>
    </row>
    <row r="154" spans="2:27" x14ac:dyDescent="0.2">
      <c r="B154" s="166">
        <f>'1. LDC Info'!$F$27-1</f>
        <v>2016</v>
      </c>
      <c r="C154" s="44" t="s">
        <v>109</v>
      </c>
      <c r="D154" s="2"/>
      <c r="E154" s="222"/>
      <c r="F154" s="50"/>
      <c r="G154" s="222"/>
      <c r="H154" s="224"/>
      <c r="I154" s="222"/>
      <c r="J154" s="224"/>
      <c r="K154" s="222"/>
      <c r="L154" s="45"/>
      <c r="M154" s="48"/>
      <c r="N154" s="222"/>
      <c r="O154" s="2"/>
      <c r="P154" s="27"/>
      <c r="Q154" s="222"/>
      <c r="R154" s="2"/>
      <c r="S154" s="27"/>
      <c r="T154" s="222"/>
      <c r="U154" s="224"/>
      <c r="V154" s="519"/>
      <c r="W154" s="222"/>
      <c r="X154" s="224"/>
      <c r="Y154" s="222"/>
      <c r="Z154" s="224"/>
      <c r="AA154" s="46"/>
    </row>
    <row r="155" spans="2:27" x14ac:dyDescent="0.2">
      <c r="B155" s="166">
        <f>'1. LDC Info'!$F$27-1</f>
        <v>2016</v>
      </c>
      <c r="C155" s="44" t="s">
        <v>110</v>
      </c>
      <c r="D155" s="2"/>
      <c r="E155" s="222"/>
      <c r="F155" s="2"/>
      <c r="G155" s="222"/>
      <c r="H155" s="224"/>
      <c r="I155" s="222"/>
      <c r="J155" s="224"/>
      <c r="K155" s="222"/>
      <c r="L155" s="45"/>
      <c r="M155" s="48"/>
      <c r="N155" s="222"/>
      <c r="O155" s="2"/>
      <c r="P155" s="27"/>
      <c r="Q155" s="222"/>
      <c r="R155" s="2"/>
      <c r="S155" s="27"/>
      <c r="T155" s="222"/>
      <c r="U155" s="224"/>
      <c r="V155" s="519"/>
      <c r="W155" s="222"/>
      <c r="X155" s="224"/>
      <c r="Y155" s="222"/>
      <c r="Z155" s="224"/>
      <c r="AA155" s="46"/>
    </row>
    <row r="156" spans="2:27" x14ac:dyDescent="0.2">
      <c r="B156" s="166">
        <f>'1. LDC Info'!$F$27-1</f>
        <v>2016</v>
      </c>
      <c r="C156" s="44" t="s">
        <v>107</v>
      </c>
      <c r="D156" s="521"/>
      <c r="E156" s="222"/>
      <c r="F156" s="521"/>
      <c r="G156" s="539"/>
      <c r="H156" s="541"/>
      <c r="I156" s="222"/>
      <c r="J156" s="541"/>
      <c r="K156" s="222"/>
      <c r="L156" s="521"/>
      <c r="M156" s="540"/>
      <c r="N156" s="539"/>
      <c r="O156" s="541"/>
      <c r="P156" s="540"/>
      <c r="Q156" s="222"/>
      <c r="R156" s="541"/>
      <c r="S156" s="540"/>
      <c r="T156" s="539"/>
      <c r="U156" s="541"/>
      <c r="V156" s="540"/>
      <c r="W156" s="539"/>
      <c r="X156" s="224"/>
      <c r="Y156" s="222"/>
      <c r="Z156" s="224"/>
      <c r="AA156" s="46"/>
    </row>
    <row r="157" spans="2:27" x14ac:dyDescent="0.2">
      <c r="B157" s="166" t="str">
        <f>'1. LDC Info'!$F$27</f>
        <v>2017</v>
      </c>
      <c r="C157" s="44" t="s">
        <v>111</v>
      </c>
      <c r="D157" s="45"/>
      <c r="E157" s="222"/>
      <c r="F157" s="45"/>
      <c r="G157" s="222"/>
      <c r="H157" s="224"/>
      <c r="I157" s="222"/>
      <c r="J157" s="224"/>
      <c r="K157" s="222"/>
      <c r="L157" s="45"/>
      <c r="M157" s="48"/>
      <c r="N157" s="222"/>
      <c r="O157" s="2"/>
      <c r="P157" s="27"/>
      <c r="Q157" s="222"/>
      <c r="R157" s="45"/>
      <c r="S157" s="27"/>
      <c r="T157" s="222"/>
      <c r="U157" s="224"/>
      <c r="V157" s="519"/>
      <c r="W157" s="222"/>
      <c r="X157" s="224"/>
      <c r="Y157" s="222"/>
      <c r="Z157" s="224"/>
      <c r="AA157" s="46"/>
    </row>
    <row r="158" spans="2:27" x14ac:dyDescent="0.2">
      <c r="B158" s="166" t="str">
        <f>'1. LDC Info'!$F$27</f>
        <v>2017</v>
      </c>
      <c r="C158" s="44" t="s">
        <v>112</v>
      </c>
      <c r="D158" s="45"/>
      <c r="E158" s="46"/>
      <c r="F158" s="45"/>
      <c r="G158" s="46"/>
      <c r="H158" s="224"/>
      <c r="I158" s="222"/>
      <c r="J158" s="224"/>
      <c r="K158" s="222"/>
      <c r="L158" s="45"/>
      <c r="M158" s="48"/>
      <c r="N158" s="46"/>
      <c r="O158" s="2"/>
      <c r="P158" s="27"/>
      <c r="Q158" s="46"/>
      <c r="R158" s="45"/>
      <c r="S158" s="27"/>
      <c r="T158" s="46"/>
      <c r="U158" s="47"/>
      <c r="V158" s="519"/>
      <c r="W158" s="46"/>
      <c r="X158" s="47"/>
      <c r="Y158" s="46"/>
      <c r="Z158" s="47"/>
      <c r="AA158" s="46"/>
    </row>
    <row r="159" spans="2:27" x14ac:dyDescent="0.2">
      <c r="B159" s="166" t="str">
        <f>'1. LDC Info'!$F$27</f>
        <v>2017</v>
      </c>
      <c r="C159" s="44" t="s">
        <v>113</v>
      </c>
      <c r="D159" s="51"/>
      <c r="E159" s="46"/>
      <c r="F159" s="51"/>
      <c r="G159" s="46"/>
      <c r="H159" s="224"/>
      <c r="I159" s="222"/>
      <c r="J159" s="224"/>
      <c r="K159" s="222"/>
      <c r="L159" s="45"/>
      <c r="M159" s="48"/>
      <c r="N159" s="46"/>
      <c r="O159" s="2"/>
      <c r="P159" s="27"/>
      <c r="Q159" s="46"/>
      <c r="R159" s="51"/>
      <c r="S159" s="27"/>
      <c r="T159" s="46"/>
      <c r="U159" s="47"/>
      <c r="V159" s="519"/>
      <c r="W159" s="46"/>
      <c r="X159" s="47"/>
      <c r="Y159" s="46"/>
      <c r="Z159" s="47"/>
      <c r="AA159" s="46"/>
    </row>
    <row r="160" spans="2:27" x14ac:dyDescent="0.2">
      <c r="B160" s="166" t="str">
        <f>'1. LDC Info'!$F$27</f>
        <v>2017</v>
      </c>
      <c r="C160" s="44" t="s">
        <v>114</v>
      </c>
      <c r="D160" s="45"/>
      <c r="E160" s="46"/>
      <c r="F160" s="45"/>
      <c r="G160" s="46"/>
      <c r="H160" s="224"/>
      <c r="I160" s="222"/>
      <c r="J160" s="224"/>
      <c r="K160" s="222"/>
      <c r="L160" s="45"/>
      <c r="M160" s="48"/>
      <c r="N160" s="46"/>
      <c r="O160" s="2"/>
      <c r="P160" s="27"/>
      <c r="Q160" s="46"/>
      <c r="R160" s="45"/>
      <c r="S160" s="27"/>
      <c r="T160" s="46"/>
      <c r="U160" s="47"/>
      <c r="V160" s="519"/>
      <c r="W160" s="46"/>
      <c r="X160" s="47"/>
      <c r="Y160" s="46"/>
      <c r="Z160" s="47"/>
      <c r="AA160" s="46"/>
    </row>
    <row r="161" spans="2:27" x14ac:dyDescent="0.2">
      <c r="B161" s="166" t="str">
        <f>'1. LDC Info'!$F$27</f>
        <v>2017</v>
      </c>
      <c r="C161" s="44" t="s">
        <v>115</v>
      </c>
      <c r="D161" s="45"/>
      <c r="E161" s="46"/>
      <c r="F161" s="45"/>
      <c r="G161" s="46"/>
      <c r="H161" s="224"/>
      <c r="I161" s="222"/>
      <c r="J161" s="224"/>
      <c r="K161" s="222"/>
      <c r="L161" s="45"/>
      <c r="M161" s="48"/>
      <c r="N161" s="46"/>
      <c r="O161" s="2"/>
      <c r="P161" s="27"/>
      <c r="Q161" s="46"/>
      <c r="R161" s="45"/>
      <c r="S161" s="27"/>
      <c r="T161" s="46"/>
      <c r="U161" s="47"/>
      <c r="V161" s="519"/>
      <c r="W161" s="46"/>
      <c r="X161" s="47"/>
      <c r="Y161" s="46"/>
      <c r="Z161" s="47"/>
      <c r="AA161" s="46"/>
    </row>
    <row r="162" spans="2:27" x14ac:dyDescent="0.2">
      <c r="B162" s="166" t="str">
        <f>'1. LDC Info'!$F$27</f>
        <v>2017</v>
      </c>
      <c r="C162" s="44" t="s">
        <v>116</v>
      </c>
      <c r="D162" s="45"/>
      <c r="E162" s="46"/>
      <c r="F162" s="45"/>
      <c r="G162" s="46"/>
      <c r="H162" s="224"/>
      <c r="I162" s="222"/>
      <c r="J162" s="224"/>
      <c r="K162" s="222"/>
      <c r="L162" s="45"/>
      <c r="M162" s="48"/>
      <c r="N162" s="46"/>
      <c r="O162" s="2"/>
      <c r="P162" s="27"/>
      <c r="Q162" s="46"/>
      <c r="R162" s="45"/>
      <c r="S162" s="27"/>
      <c r="T162" s="46"/>
      <c r="U162" s="47"/>
      <c r="V162" s="519"/>
      <c r="W162" s="46"/>
      <c r="X162" s="47"/>
      <c r="Y162" s="46"/>
      <c r="Z162" s="47"/>
      <c r="AA162" s="46"/>
    </row>
    <row r="163" spans="2:27" x14ac:dyDescent="0.2">
      <c r="B163" s="166" t="str">
        <f>'1. LDC Info'!$F$27</f>
        <v>2017</v>
      </c>
      <c r="C163" s="44" t="s">
        <v>117</v>
      </c>
      <c r="D163" s="45"/>
      <c r="E163" s="46"/>
      <c r="F163" s="45"/>
      <c r="G163" s="46"/>
      <c r="H163" s="224"/>
      <c r="I163" s="222"/>
      <c r="J163" s="224"/>
      <c r="K163" s="222"/>
      <c r="L163" s="45"/>
      <c r="M163" s="48"/>
      <c r="N163" s="46"/>
      <c r="O163" s="2"/>
      <c r="P163" s="27"/>
      <c r="Q163" s="46"/>
      <c r="R163" s="45"/>
      <c r="S163" s="27"/>
      <c r="T163" s="46"/>
      <c r="U163" s="47"/>
      <c r="V163" s="519"/>
      <c r="W163" s="46"/>
      <c r="X163" s="47"/>
      <c r="Y163" s="46"/>
      <c r="Z163" s="47"/>
      <c r="AA163" s="46"/>
    </row>
    <row r="164" spans="2:27" x14ac:dyDescent="0.2">
      <c r="B164" s="166" t="str">
        <f>'1. LDC Info'!$F$27</f>
        <v>2017</v>
      </c>
      <c r="C164" s="44" t="s">
        <v>118</v>
      </c>
      <c r="D164" s="45"/>
      <c r="E164" s="46"/>
      <c r="F164" s="45"/>
      <c r="G164" s="46"/>
      <c r="H164" s="224"/>
      <c r="I164" s="222"/>
      <c r="J164" s="224"/>
      <c r="K164" s="222"/>
      <c r="L164" s="45"/>
      <c r="M164" s="48"/>
      <c r="N164" s="46"/>
      <c r="O164" s="2"/>
      <c r="P164" s="27"/>
      <c r="Q164" s="46"/>
      <c r="R164" s="45"/>
      <c r="S164" s="27"/>
      <c r="T164" s="46"/>
      <c r="U164" s="47"/>
      <c r="V164" s="519"/>
      <c r="W164" s="46"/>
      <c r="X164" s="47"/>
      <c r="Y164" s="46"/>
      <c r="Z164" s="47"/>
      <c r="AA164" s="46"/>
    </row>
    <row r="165" spans="2:27" x14ac:dyDescent="0.2">
      <c r="B165" s="166" t="str">
        <f>'1. LDC Info'!$F$27</f>
        <v>2017</v>
      </c>
      <c r="C165" s="44" t="s">
        <v>108</v>
      </c>
      <c r="D165" s="52"/>
      <c r="E165" s="46"/>
      <c r="F165" s="52"/>
      <c r="G165" s="46"/>
      <c r="H165" s="224"/>
      <c r="I165" s="222"/>
      <c r="J165" s="224"/>
      <c r="K165" s="222"/>
      <c r="L165" s="45"/>
      <c r="M165" s="48"/>
      <c r="N165" s="46"/>
      <c r="O165" s="2"/>
      <c r="P165" s="27"/>
      <c r="Q165" s="46"/>
      <c r="R165" s="52"/>
      <c r="S165" s="27"/>
      <c r="T165" s="46"/>
      <c r="U165" s="47"/>
      <c r="V165" s="519"/>
      <c r="W165" s="46"/>
      <c r="X165" s="47"/>
      <c r="Y165" s="46"/>
      <c r="Z165" s="47"/>
      <c r="AA165" s="46"/>
    </row>
    <row r="166" spans="2:27" x14ac:dyDescent="0.2">
      <c r="B166" s="166" t="str">
        <f>'1. LDC Info'!$F$27</f>
        <v>2017</v>
      </c>
      <c r="C166" s="44" t="s">
        <v>109</v>
      </c>
      <c r="D166" s="45"/>
      <c r="E166" s="46"/>
      <c r="F166" s="45"/>
      <c r="G166" s="46"/>
      <c r="H166" s="224"/>
      <c r="I166" s="222"/>
      <c r="J166" s="224"/>
      <c r="K166" s="222"/>
      <c r="L166" s="45"/>
      <c r="M166" s="48"/>
      <c r="N166" s="46"/>
      <c r="O166" s="2"/>
      <c r="P166" s="27"/>
      <c r="Q166" s="46"/>
      <c r="R166" s="45"/>
      <c r="S166" s="27"/>
      <c r="T166" s="46"/>
      <c r="U166" s="47"/>
      <c r="V166" s="519"/>
      <c r="W166" s="46"/>
      <c r="X166" s="47"/>
      <c r="Y166" s="46"/>
      <c r="Z166" s="47"/>
      <c r="AA166" s="46"/>
    </row>
    <row r="167" spans="2:27" x14ac:dyDescent="0.2">
      <c r="B167" s="166" t="str">
        <f>'1. LDC Info'!$F$27</f>
        <v>2017</v>
      </c>
      <c r="C167" s="44" t="s">
        <v>110</v>
      </c>
      <c r="D167" s="45"/>
      <c r="E167" s="46"/>
      <c r="F167" s="45"/>
      <c r="G167" s="46"/>
      <c r="H167" s="224"/>
      <c r="I167" s="222"/>
      <c r="J167" s="224"/>
      <c r="K167" s="222"/>
      <c r="L167" s="45"/>
      <c r="M167" s="48"/>
      <c r="N167" s="46"/>
      <c r="O167" s="2"/>
      <c r="P167" s="27"/>
      <c r="Q167" s="46"/>
      <c r="R167" s="45"/>
      <c r="S167" s="27"/>
      <c r="T167" s="46"/>
      <c r="U167" s="47"/>
      <c r="V167" s="519"/>
      <c r="W167" s="46"/>
      <c r="X167" s="47"/>
      <c r="Y167" s="46"/>
      <c r="Z167" s="47"/>
      <c r="AA167" s="46"/>
    </row>
    <row r="168" spans="2:27" ht="13.5" thickBot="1" x14ac:dyDescent="0.25">
      <c r="B168" s="166" t="str">
        <f>'1. LDC Info'!$F$27</f>
        <v>2017</v>
      </c>
      <c r="C168" s="44" t="s">
        <v>107</v>
      </c>
      <c r="D168" s="53"/>
      <c r="E168" s="54"/>
      <c r="F168" s="53"/>
      <c r="G168" s="54"/>
      <c r="H168" s="56"/>
      <c r="I168" s="54"/>
      <c r="J168" s="56"/>
      <c r="K168" s="54"/>
      <c r="L168" s="53"/>
      <c r="M168" s="55"/>
      <c r="N168" s="54"/>
      <c r="O168" s="144"/>
      <c r="P168" s="28"/>
      <c r="Q168" s="54"/>
      <c r="R168" s="53"/>
      <c r="S168" s="28"/>
      <c r="T168" s="54"/>
      <c r="U168" s="56"/>
      <c r="V168" s="514"/>
      <c r="W168" s="54"/>
      <c r="X168" s="56"/>
      <c r="Y168" s="54"/>
      <c r="Z168" s="56"/>
      <c r="AA168" s="54"/>
    </row>
    <row r="169" spans="2:27" x14ac:dyDescent="0.2">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row>
    <row r="170" spans="2:27" x14ac:dyDescent="0.2">
      <c r="D170" s="57"/>
    </row>
    <row r="171" spans="2:27" x14ac:dyDescent="0.2">
      <c r="D171" s="236"/>
      <c r="E171" s="236"/>
      <c r="F171" s="236"/>
      <c r="G171" s="236"/>
      <c r="H171" s="236"/>
      <c r="I171" s="236"/>
      <c r="J171" s="236"/>
      <c r="K171" s="236"/>
      <c r="L171" s="236"/>
      <c r="M171" s="236"/>
      <c r="N171" s="236"/>
      <c r="O171" s="236"/>
      <c r="P171" s="236"/>
      <c r="Q171" s="236"/>
      <c r="R171" s="236"/>
      <c r="S171" s="236"/>
      <c r="T171" s="236"/>
      <c r="U171" s="236"/>
      <c r="V171" s="236"/>
      <c r="W171" s="236"/>
      <c r="X171" s="236"/>
      <c r="Y171" s="236"/>
      <c r="Z171" s="236"/>
      <c r="AA171" s="236"/>
    </row>
    <row r="172" spans="2:27" x14ac:dyDescent="0.2">
      <c r="D172" s="236"/>
      <c r="E172" s="237"/>
      <c r="F172" s="236"/>
      <c r="G172" s="237"/>
      <c r="H172" s="236"/>
      <c r="I172" s="237"/>
      <c r="J172" s="237"/>
      <c r="K172" s="237"/>
      <c r="L172" s="236"/>
      <c r="M172" s="236"/>
      <c r="N172" s="237"/>
      <c r="O172" s="236"/>
      <c r="P172" s="236"/>
      <c r="Q172" s="237"/>
      <c r="R172" s="236"/>
      <c r="S172" s="236"/>
      <c r="T172" s="237"/>
    </row>
    <row r="173" spans="2:27" x14ac:dyDescent="0.2">
      <c r="D173" s="236"/>
      <c r="E173" s="237"/>
      <c r="F173" s="236"/>
      <c r="G173" s="237"/>
      <c r="H173" s="236"/>
      <c r="I173" s="237"/>
      <c r="J173" s="237"/>
      <c r="K173" s="237"/>
      <c r="L173" s="236"/>
      <c r="M173" s="236"/>
      <c r="N173" s="237"/>
      <c r="O173" s="236"/>
      <c r="P173" s="236"/>
      <c r="Q173" s="237"/>
      <c r="R173" s="236"/>
      <c r="S173" s="236"/>
      <c r="T173" s="237"/>
    </row>
    <row r="174" spans="2:27" x14ac:dyDescent="0.2">
      <c r="D174" s="236"/>
      <c r="E174" s="237"/>
      <c r="F174" s="236"/>
      <c r="G174" s="237"/>
      <c r="H174" s="236"/>
      <c r="I174" s="237"/>
      <c r="J174" s="237"/>
      <c r="K174" s="237"/>
      <c r="L174" s="236"/>
      <c r="M174" s="236"/>
      <c r="N174" s="237"/>
      <c r="O174" s="236"/>
      <c r="P174" s="236"/>
      <c r="Q174" s="237"/>
      <c r="R174" s="236"/>
      <c r="S174" s="236"/>
      <c r="T174" s="237"/>
    </row>
  </sheetData>
  <mergeCells count="21">
    <mergeCell ref="H21:I21"/>
    <mergeCell ref="J20:K20"/>
    <mergeCell ref="J21:K21"/>
    <mergeCell ref="D21:E21"/>
    <mergeCell ref="F21:G21"/>
    <mergeCell ref="B10:I10"/>
    <mergeCell ref="R20:T20"/>
    <mergeCell ref="O20:Q20"/>
    <mergeCell ref="Z20:AA20"/>
    <mergeCell ref="X21:Y21"/>
    <mergeCell ref="Z21:AA21"/>
    <mergeCell ref="U20:W20"/>
    <mergeCell ref="U21:W21"/>
    <mergeCell ref="X20:Y20"/>
    <mergeCell ref="R21:T21"/>
    <mergeCell ref="O21:Q21"/>
    <mergeCell ref="L21:N21"/>
    <mergeCell ref="D20:E20"/>
    <mergeCell ref="F20:G20"/>
    <mergeCell ref="L20:N20"/>
    <mergeCell ref="H20:I20"/>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W49"/>
  <sheetViews>
    <sheetView showGridLines="0" zoomScaleNormal="100" workbookViewId="0">
      <selection activeCell="A11" sqref="A11"/>
    </sheetView>
  </sheetViews>
  <sheetFormatPr defaultRowHeight="12.75" x14ac:dyDescent="0.2"/>
  <cols>
    <col min="1" max="1" width="13.6640625" style="1" customWidth="1"/>
    <col min="2" max="2" width="20" style="1" bestFit="1" customWidth="1"/>
    <col min="3" max="10" width="13.33203125" style="1" bestFit="1" customWidth="1"/>
    <col min="11" max="11" width="14.33203125" style="1" bestFit="1" customWidth="1"/>
    <col min="12" max="12" width="13.33203125" style="1" bestFit="1" customWidth="1"/>
    <col min="13" max="14" width="14" style="1" customWidth="1"/>
    <col min="15" max="16" width="13.33203125" style="1" bestFit="1" customWidth="1"/>
    <col min="17" max="20" width="14" style="1" customWidth="1"/>
    <col min="21" max="21" width="9.33203125" style="1"/>
    <col min="22" max="22" width="20.33203125" style="1" customWidth="1"/>
    <col min="23" max="23" width="13.33203125" style="1" bestFit="1" customWidth="1"/>
    <col min="24" max="16384" width="9.33203125" style="1"/>
  </cols>
  <sheetData>
    <row r="1" spans="1:23" s="534" customFormat="1" x14ac:dyDescent="0.2">
      <c r="A1" s="755" t="s">
        <v>269</v>
      </c>
    </row>
    <row r="2" spans="1:23" s="534" customFormat="1" x14ac:dyDescent="0.2"/>
    <row r="3" spans="1:23" s="534" customFormat="1" x14ac:dyDescent="0.2"/>
    <row r="4" spans="1:23" s="534" customFormat="1" x14ac:dyDescent="0.2"/>
    <row r="5" spans="1:23" s="534" customFormat="1" x14ac:dyDescent="0.2"/>
    <row r="6" spans="1:23" s="534" customFormat="1" x14ac:dyDescent="0.2"/>
    <row r="7" spans="1:23" s="534" customFormat="1" x14ac:dyDescent="0.2"/>
    <row r="8" spans="1:23" s="534" customFormat="1" x14ac:dyDescent="0.2"/>
    <row r="9" spans="1:23" s="534" customFormat="1" x14ac:dyDescent="0.2"/>
    <row r="10" spans="1:23" customFormat="1" ht="12.75" customHeight="1" x14ac:dyDescent="0.2">
      <c r="B10" s="1013"/>
      <c r="C10" s="1013"/>
      <c r="D10" s="1013"/>
      <c r="E10" s="1013"/>
      <c r="F10" s="1013"/>
      <c r="G10" s="1013"/>
      <c r="H10" s="1013"/>
      <c r="I10" s="1013"/>
      <c r="J10" s="512"/>
      <c r="K10" s="512"/>
      <c r="L10" s="512"/>
      <c r="M10" s="512"/>
    </row>
    <row r="11" spans="1:23" ht="23.25" x14ac:dyDescent="0.2">
      <c r="B11" s="133" t="s">
        <v>85</v>
      </c>
    </row>
    <row r="12" spans="1:23" s="534" customFormat="1" ht="15" x14ac:dyDescent="0.2">
      <c r="B12" s="63" t="s">
        <v>64</v>
      </c>
    </row>
    <row r="13" spans="1:23" ht="14.25" x14ac:dyDescent="0.2">
      <c r="B13" s="100" t="s">
        <v>245</v>
      </c>
      <c r="C13" s="534"/>
      <c r="D13" s="534"/>
      <c r="E13" s="534"/>
      <c r="F13" s="534"/>
      <c r="G13" s="534"/>
      <c r="H13" s="534"/>
      <c r="I13" s="534"/>
      <c r="J13" s="309"/>
      <c r="K13" s="310"/>
    </row>
    <row r="14" spans="1:23" ht="13.5" customHeight="1" thickBot="1" x14ac:dyDescent="0.25">
      <c r="B14" s="133"/>
      <c r="J14" s="309"/>
      <c r="K14" s="310"/>
    </row>
    <row r="15" spans="1:23" ht="24.75" customHeight="1" thickBot="1" x14ac:dyDescent="0.25">
      <c r="B15" s="4"/>
      <c r="C15" s="1035" t="str">
        <f>'2. Customer Classes'!B14</f>
        <v>Residential</v>
      </c>
      <c r="D15" s="1036"/>
      <c r="E15" s="1035" t="str">
        <f>'2. Customer Classes'!B15</f>
        <v>General Service &lt; 50 kW</v>
      </c>
      <c r="F15" s="1036"/>
      <c r="G15" s="1035" t="str">
        <f>'2. Customer Classes'!B16</f>
        <v>Unmetered Scattered Load</v>
      </c>
      <c r="H15" s="1036"/>
      <c r="I15" s="1035">
        <f>'2. Customer Classes'!B17</f>
        <v>0</v>
      </c>
      <c r="J15" s="1036"/>
      <c r="K15" s="1035" t="str">
        <f>'2. Customer Classes'!B18</f>
        <v>General Service &gt; 50 kW - 4999 kW</v>
      </c>
      <c r="L15" s="1036"/>
      <c r="M15" s="1035" t="str">
        <f>'2. Customer Classes'!B19</f>
        <v>Streetlighting</v>
      </c>
      <c r="N15" s="1036"/>
      <c r="O15" s="1043">
        <f>'2. Customer Classes'!B20</f>
        <v>0</v>
      </c>
      <c r="P15" s="1036"/>
      <c r="Q15" s="1035">
        <f>'2. Customer Classes'!B21</f>
        <v>0</v>
      </c>
      <c r="R15" s="1036"/>
      <c r="S15" s="1040" t="str">
        <f>'2. Customer Classes'!B22</f>
        <v>other</v>
      </c>
      <c r="T15" s="1042"/>
      <c r="V15" s="1040" t="s">
        <v>163</v>
      </c>
      <c r="W15" s="1041"/>
    </row>
    <row r="16" spans="1:23" ht="39" thickBot="1" x14ac:dyDescent="0.25">
      <c r="B16" s="5" t="s">
        <v>3</v>
      </c>
      <c r="C16" s="170" t="s">
        <v>119</v>
      </c>
      <c r="D16" s="6" t="s">
        <v>5</v>
      </c>
      <c r="E16" s="170" t="s">
        <v>119</v>
      </c>
      <c r="F16" s="6" t="s">
        <v>5</v>
      </c>
      <c r="G16" s="170" t="s">
        <v>119</v>
      </c>
      <c r="H16" s="6" t="s">
        <v>5</v>
      </c>
      <c r="I16" s="170"/>
      <c r="J16" s="6"/>
      <c r="K16" s="170" t="s">
        <v>119</v>
      </c>
      <c r="L16" s="5" t="s">
        <v>5</v>
      </c>
      <c r="M16" s="170" t="s">
        <v>119</v>
      </c>
      <c r="N16" s="5" t="s">
        <v>5</v>
      </c>
      <c r="O16" s="170" t="s">
        <v>119</v>
      </c>
      <c r="P16" s="7" t="s">
        <v>5</v>
      </c>
      <c r="Q16" s="170" t="s">
        <v>119</v>
      </c>
      <c r="R16" s="6" t="s">
        <v>5</v>
      </c>
      <c r="S16" s="170" t="s">
        <v>119</v>
      </c>
      <c r="T16" s="7" t="s">
        <v>5</v>
      </c>
      <c r="V16" s="170" t="s">
        <v>173</v>
      </c>
      <c r="W16" s="7" t="s">
        <v>5</v>
      </c>
    </row>
    <row r="17" spans="2:23" x14ac:dyDescent="0.2">
      <c r="B17" s="8">
        <f>'1. LDC Info'!F25-10</f>
        <v>2006</v>
      </c>
      <c r="C17" s="200">
        <f>AVERAGE('3. Consumption by Rate Class'!E25,'3. Consumption by Rate Class'!E36)</f>
        <v>3537</v>
      </c>
      <c r="D17" s="169"/>
      <c r="E17" s="200">
        <f>AVERAGE('3. Consumption by Rate Class'!G25,'3. Consumption by Rate Class'!G36)</f>
        <v>512</v>
      </c>
      <c r="F17" s="169"/>
      <c r="G17" s="171">
        <f>AVERAGE('3. Consumption by Rate Class'!I25,'3. Consumption by Rate Class'!I36)</f>
        <v>28</v>
      </c>
      <c r="H17" s="169"/>
      <c r="I17" s="200"/>
      <c r="J17" s="169"/>
      <c r="K17" s="171">
        <f>AVERAGE('3. Consumption by Rate Class'!N25,'3. Consumption by Rate Class'!N36)</f>
        <v>62</v>
      </c>
      <c r="L17" s="169"/>
      <c r="M17" s="200">
        <f>IF(SUM('3. Consumption by Rate Class'!Q25:Q36)&gt;0,+AVERAGE('3. Consumption by Rate Class'!Q25,'3. Consumption by Rate Class'!Q36),0)</f>
        <v>1149</v>
      </c>
      <c r="N17" s="169"/>
      <c r="O17" s="200" t="e">
        <f>AVERAGE('3. Consumption by Rate Class'!T25,'3. Consumption by Rate Class'!T36)</f>
        <v>#DIV/0!</v>
      </c>
      <c r="P17" s="172"/>
      <c r="Q17" s="386"/>
      <c r="R17" s="169"/>
      <c r="S17" s="386"/>
      <c r="T17" s="169"/>
      <c r="V17" s="241" t="e">
        <f>+C17+E17+G17+I17+K17+M17+O17+Q17</f>
        <v>#DIV/0!</v>
      </c>
      <c r="W17" s="242"/>
    </row>
    <row r="18" spans="2:23" x14ac:dyDescent="0.2">
      <c r="B18" s="8">
        <f>'1. LDC Info'!F25-9</f>
        <v>2007</v>
      </c>
      <c r="C18" s="201">
        <f>AVERAGE('3. Consumption by Rate Class'!E37,'3. Consumption by Rate Class'!E48)</f>
        <v>3551</v>
      </c>
      <c r="D18" s="173">
        <f>C18/C17</f>
        <v>1.0039581566299123</v>
      </c>
      <c r="E18" s="201">
        <f>AVERAGE('3. Consumption by Rate Class'!G37,'3. Consumption by Rate Class'!G48)</f>
        <v>497</v>
      </c>
      <c r="F18" s="173">
        <f>E18/E17</f>
        <v>0.970703125</v>
      </c>
      <c r="G18" s="18">
        <f>AVERAGE('3. Consumption by Rate Class'!I37,'3. Consumption by Rate Class'!I48)</f>
        <v>29</v>
      </c>
      <c r="H18" s="173">
        <f t="shared" ref="H18:H26" si="0">G18/G17</f>
        <v>1.0357142857142858</v>
      </c>
      <c r="I18" s="200"/>
      <c r="J18" s="173"/>
      <c r="K18" s="18">
        <f>AVERAGE('3. Consumption by Rate Class'!N37,'3. Consumption by Rate Class'!N48)</f>
        <v>65</v>
      </c>
      <c r="L18" s="173">
        <f t="shared" ref="L18:L26" si="1">K18/K17</f>
        <v>1.0483870967741935</v>
      </c>
      <c r="M18" s="200">
        <f>IF(SUM('3. Consumption by Rate Class'!Q37:Q48)&gt;0,+AVERAGE('3. Consumption by Rate Class'!Q37,'3. Consumption by Rate Class'!Q48),0)</f>
        <v>1151</v>
      </c>
      <c r="N18" s="173">
        <f>IF(M18&gt;0,+M18/M17,0)</f>
        <v>1.0017406440382941</v>
      </c>
      <c r="O18" s="201" t="e">
        <f>AVERAGE('3. Consumption by Rate Class'!T37,'3. Consumption by Rate Class'!T48)</f>
        <v>#DIV/0!</v>
      </c>
      <c r="P18" s="174" t="e">
        <f>O18/O17</f>
        <v>#DIV/0!</v>
      </c>
      <c r="Q18" s="386"/>
      <c r="R18" s="173"/>
      <c r="S18" s="386"/>
      <c r="T18" s="173"/>
      <c r="V18" s="397" t="e">
        <f t="shared" ref="V18:V26" si="2">+C18+E18+G18+I18+K18+M18+O18+Q18</f>
        <v>#DIV/0!</v>
      </c>
      <c r="W18" s="240" t="e">
        <f t="shared" ref="W18:W26" si="3">V18/V17</f>
        <v>#DIV/0!</v>
      </c>
    </row>
    <row r="19" spans="2:23" x14ac:dyDescent="0.2">
      <c r="B19" s="8">
        <f>'1. LDC Info'!F25-8</f>
        <v>2008</v>
      </c>
      <c r="C19" s="201">
        <f>AVERAGE('3. Consumption by Rate Class'!E49,'3. Consumption by Rate Class'!E60)</f>
        <v>3581</v>
      </c>
      <c r="D19" s="173">
        <f t="shared" ref="D19:F26" si="4">C19/C18</f>
        <v>1.0084483244156575</v>
      </c>
      <c r="E19" s="201">
        <f>AVERAGE('3. Consumption by Rate Class'!G49,'3. Consumption by Rate Class'!G60)</f>
        <v>494</v>
      </c>
      <c r="F19" s="173">
        <f t="shared" si="4"/>
        <v>0.99396378269617702</v>
      </c>
      <c r="G19" s="18">
        <f>AVERAGE('3. Consumption by Rate Class'!I49,'3. Consumption by Rate Class'!I60)</f>
        <v>30</v>
      </c>
      <c r="H19" s="173">
        <f t="shared" si="0"/>
        <v>1.0344827586206897</v>
      </c>
      <c r="I19" s="200"/>
      <c r="J19" s="173"/>
      <c r="K19" s="18">
        <f>AVERAGE('3. Consumption by Rate Class'!N49,'3. Consumption by Rate Class'!N60)</f>
        <v>67</v>
      </c>
      <c r="L19" s="173">
        <f t="shared" si="1"/>
        <v>1.0307692307692307</v>
      </c>
      <c r="M19" s="200">
        <f>IF(SUM('3. Consumption by Rate Class'!Q49:Q60)&gt;0,+AVERAGE('3. Consumption by Rate Class'!Q49,'3. Consumption by Rate Class'!Q60),0)</f>
        <v>1158</v>
      </c>
      <c r="N19" s="173">
        <f t="shared" ref="N19:N26" si="5">IF(M19&gt;0,+M19/M18,0)</f>
        <v>1.0060816681146829</v>
      </c>
      <c r="O19" s="201" t="e">
        <f>AVERAGE('3. Consumption by Rate Class'!T49,'3. Consumption by Rate Class'!T60)</f>
        <v>#DIV/0!</v>
      </c>
      <c r="P19" s="174" t="e">
        <f t="shared" ref="P19:P26" si="6">O19/O18</f>
        <v>#DIV/0!</v>
      </c>
      <c r="Q19" s="386"/>
      <c r="R19" s="173"/>
      <c r="S19" s="386"/>
      <c r="T19" s="173"/>
      <c r="V19" s="397" t="e">
        <f t="shared" si="2"/>
        <v>#DIV/0!</v>
      </c>
      <c r="W19" s="240" t="e">
        <f t="shared" si="3"/>
        <v>#DIV/0!</v>
      </c>
    </row>
    <row r="20" spans="2:23" x14ac:dyDescent="0.2">
      <c r="B20" s="8">
        <f>'1. LDC Info'!F25-7</f>
        <v>2009</v>
      </c>
      <c r="C20" s="201">
        <f>AVERAGE('3. Consumption by Rate Class'!E61,'3. Consumption by Rate Class'!E72)</f>
        <v>3608</v>
      </c>
      <c r="D20" s="173">
        <f t="shared" si="4"/>
        <v>1.0075397933538117</v>
      </c>
      <c r="E20" s="201">
        <f>AVERAGE('3. Consumption by Rate Class'!G61,'3. Consumption by Rate Class'!G72)</f>
        <v>483</v>
      </c>
      <c r="F20" s="173">
        <f t="shared" si="4"/>
        <v>0.97773279352226716</v>
      </c>
      <c r="G20" s="18">
        <f>AVERAGE('3. Consumption by Rate Class'!I61,'3. Consumption by Rate Class'!I72)</f>
        <v>30</v>
      </c>
      <c r="H20" s="173">
        <f t="shared" si="0"/>
        <v>1</v>
      </c>
      <c r="I20" s="200"/>
      <c r="J20" s="173"/>
      <c r="K20" s="18">
        <f>AVERAGE('3. Consumption by Rate Class'!N61,'3. Consumption by Rate Class'!N72)</f>
        <v>66</v>
      </c>
      <c r="L20" s="173">
        <f t="shared" si="1"/>
        <v>0.9850746268656716</v>
      </c>
      <c r="M20" s="200">
        <f>IF(SUM('3. Consumption by Rate Class'!Q61:Q72)&gt;0,+AVERAGE('3. Consumption by Rate Class'!Q61,'3. Consumption by Rate Class'!Q72),0)</f>
        <v>1167</v>
      </c>
      <c r="N20" s="173">
        <f t="shared" si="5"/>
        <v>1.0077720207253886</v>
      </c>
      <c r="O20" s="201" t="e">
        <f>AVERAGE('3. Consumption by Rate Class'!T61,'3. Consumption by Rate Class'!T72)</f>
        <v>#DIV/0!</v>
      </c>
      <c r="P20" s="174" t="e">
        <f t="shared" si="6"/>
        <v>#DIV/0!</v>
      </c>
      <c r="Q20" s="386"/>
      <c r="R20" s="173"/>
      <c r="S20" s="386"/>
      <c r="T20" s="173"/>
      <c r="V20" s="397" t="e">
        <f t="shared" si="2"/>
        <v>#DIV/0!</v>
      </c>
      <c r="W20" s="240" t="e">
        <f t="shared" si="3"/>
        <v>#DIV/0!</v>
      </c>
    </row>
    <row r="21" spans="2:23" x14ac:dyDescent="0.2">
      <c r="B21" s="8">
        <f>'1. LDC Info'!F25-6</f>
        <v>2010</v>
      </c>
      <c r="C21" s="201">
        <f>AVERAGE('3. Consumption by Rate Class'!E73,'3. Consumption by Rate Class'!E84)</f>
        <v>3654</v>
      </c>
      <c r="D21" s="173">
        <f t="shared" si="4"/>
        <v>1.0127494456762749</v>
      </c>
      <c r="E21" s="201">
        <f>AVERAGE('3. Consumption by Rate Class'!G73,'3. Consumption by Rate Class'!G84)</f>
        <v>442</v>
      </c>
      <c r="F21" s="173">
        <f t="shared" si="4"/>
        <v>0.91511387163561075</v>
      </c>
      <c r="G21" s="18">
        <f>AVERAGE('3. Consumption by Rate Class'!I73,'3. Consumption by Rate Class'!I84)</f>
        <v>34</v>
      </c>
      <c r="H21" s="173">
        <f t="shared" si="0"/>
        <v>1.1333333333333333</v>
      </c>
      <c r="I21" s="200"/>
      <c r="J21" s="173"/>
      <c r="K21" s="18">
        <f>AVERAGE('3. Consumption by Rate Class'!N73,'3. Consumption by Rate Class'!N84)</f>
        <v>59</v>
      </c>
      <c r="L21" s="173">
        <f t="shared" si="1"/>
        <v>0.89393939393939392</v>
      </c>
      <c r="M21" s="200">
        <f>IF(SUM('3. Consumption by Rate Class'!Q73:Q84)&gt;0,+AVERAGE('3. Consumption by Rate Class'!Q73,'3. Consumption by Rate Class'!Q84),0)</f>
        <v>1174</v>
      </c>
      <c r="N21" s="173">
        <f t="shared" si="5"/>
        <v>1.0059982862039418</v>
      </c>
      <c r="O21" s="201" t="e">
        <f>AVERAGE('3. Consumption by Rate Class'!T73,'3. Consumption by Rate Class'!T84)</f>
        <v>#DIV/0!</v>
      </c>
      <c r="P21" s="174" t="e">
        <f t="shared" si="6"/>
        <v>#DIV/0!</v>
      </c>
      <c r="Q21" s="386"/>
      <c r="R21" s="173"/>
      <c r="S21" s="386"/>
      <c r="T21" s="173"/>
      <c r="V21" s="397" t="e">
        <f t="shared" si="2"/>
        <v>#DIV/0!</v>
      </c>
      <c r="W21" s="240" t="e">
        <f t="shared" si="3"/>
        <v>#DIV/0!</v>
      </c>
    </row>
    <row r="22" spans="2:23" x14ac:dyDescent="0.2">
      <c r="B22" s="8">
        <f>'1. LDC Info'!F25-5</f>
        <v>2011</v>
      </c>
      <c r="C22" s="201">
        <f>AVERAGE('3. Consumption by Rate Class'!E85,'3. Consumption by Rate Class'!E96)</f>
        <v>3687</v>
      </c>
      <c r="D22" s="173">
        <f t="shared" si="4"/>
        <v>1.0090311986863711</v>
      </c>
      <c r="E22" s="201">
        <f>AVERAGE('3. Consumption by Rate Class'!G85,'3. Consumption by Rate Class'!G96)</f>
        <v>437</v>
      </c>
      <c r="F22" s="173">
        <f t="shared" si="4"/>
        <v>0.9886877828054299</v>
      </c>
      <c r="G22" s="18">
        <f>AVERAGE('3. Consumption by Rate Class'!I85,'3. Consumption by Rate Class'!I96)</f>
        <v>34</v>
      </c>
      <c r="H22" s="173">
        <f t="shared" si="0"/>
        <v>1</v>
      </c>
      <c r="I22" s="200"/>
      <c r="J22" s="173"/>
      <c r="K22" s="18">
        <f>AVERAGE('3. Consumption by Rate Class'!N85,'3. Consumption by Rate Class'!N96)</f>
        <v>59</v>
      </c>
      <c r="L22" s="173">
        <f t="shared" si="1"/>
        <v>1</v>
      </c>
      <c r="M22" s="200">
        <f>IF(SUM('3. Consumption by Rate Class'!Q85:Q96)&gt;0,+AVERAGE('3. Consumption by Rate Class'!Q85,'3. Consumption by Rate Class'!Q96),0)</f>
        <v>1176</v>
      </c>
      <c r="N22" s="173">
        <f t="shared" si="5"/>
        <v>1.0017035775127767</v>
      </c>
      <c r="O22" s="201" t="e">
        <f>AVERAGE('3. Consumption by Rate Class'!T85,'3. Consumption by Rate Class'!T96)</f>
        <v>#DIV/0!</v>
      </c>
      <c r="P22" s="174" t="e">
        <f t="shared" si="6"/>
        <v>#DIV/0!</v>
      </c>
      <c r="Q22" s="386"/>
      <c r="R22" s="173"/>
      <c r="S22" s="386"/>
      <c r="T22" s="173"/>
      <c r="V22" s="397" t="e">
        <f t="shared" si="2"/>
        <v>#DIV/0!</v>
      </c>
      <c r="W22" s="240" t="e">
        <f t="shared" si="3"/>
        <v>#DIV/0!</v>
      </c>
    </row>
    <row r="23" spans="2:23" x14ac:dyDescent="0.2">
      <c r="B23" s="8">
        <f>'1. LDC Info'!F25-4</f>
        <v>2012</v>
      </c>
      <c r="C23" s="201">
        <f>AVERAGE('3. Consumption by Rate Class'!E97,'3. Consumption by Rate Class'!E108)</f>
        <v>3707</v>
      </c>
      <c r="D23" s="173">
        <f t="shared" si="4"/>
        <v>1.005424464334147</v>
      </c>
      <c r="E23" s="201">
        <f>AVERAGE('3. Consumption by Rate Class'!G97,'3. Consumption by Rate Class'!G108)</f>
        <v>435</v>
      </c>
      <c r="F23" s="173">
        <f t="shared" si="4"/>
        <v>0.99542334096109841</v>
      </c>
      <c r="G23" s="18">
        <f>AVERAGE('3. Consumption by Rate Class'!I97,'3. Consumption by Rate Class'!I108)</f>
        <v>34</v>
      </c>
      <c r="H23" s="173">
        <f t="shared" si="0"/>
        <v>1</v>
      </c>
      <c r="I23" s="200"/>
      <c r="J23" s="173"/>
      <c r="K23" s="18">
        <f>AVERAGE('3. Consumption by Rate Class'!N97,'3. Consumption by Rate Class'!N108)</f>
        <v>59</v>
      </c>
      <c r="L23" s="173">
        <f t="shared" si="1"/>
        <v>1</v>
      </c>
      <c r="M23" s="200">
        <f>IF(SUM('3. Consumption by Rate Class'!Q97:Q108)&gt;0,+AVERAGE('3. Consumption by Rate Class'!Q97,'3. Consumption by Rate Class'!Q108),0)</f>
        <v>1176</v>
      </c>
      <c r="N23" s="173">
        <f t="shared" si="5"/>
        <v>1</v>
      </c>
      <c r="O23" s="201" t="e">
        <f>AVERAGE('3. Consumption by Rate Class'!T97,'3. Consumption by Rate Class'!T108)</f>
        <v>#DIV/0!</v>
      </c>
      <c r="P23" s="174" t="e">
        <f t="shared" si="6"/>
        <v>#DIV/0!</v>
      </c>
      <c r="Q23" s="386"/>
      <c r="R23" s="173"/>
      <c r="S23" s="386"/>
      <c r="T23" s="173"/>
      <c r="V23" s="397" t="e">
        <f t="shared" si="2"/>
        <v>#DIV/0!</v>
      </c>
      <c r="W23" s="240" t="e">
        <f t="shared" si="3"/>
        <v>#DIV/0!</v>
      </c>
    </row>
    <row r="24" spans="2:23" x14ac:dyDescent="0.2">
      <c r="B24" s="8">
        <f>'1. LDC Info'!F25-3</f>
        <v>2013</v>
      </c>
      <c r="C24" s="201">
        <f>AVERAGE('3. Consumption by Rate Class'!E109,'3. Consumption by Rate Class'!E120)</f>
        <v>3730</v>
      </c>
      <c r="D24" s="173">
        <f t="shared" si="4"/>
        <v>1.0062044780145671</v>
      </c>
      <c r="E24" s="201">
        <f>AVERAGE('3. Consumption by Rate Class'!G109,'3. Consumption by Rate Class'!G120)</f>
        <v>428</v>
      </c>
      <c r="F24" s="173">
        <f t="shared" si="4"/>
        <v>0.98390804597701154</v>
      </c>
      <c r="G24" s="18">
        <f>AVERAGE('3. Consumption by Rate Class'!I109,'3. Consumption by Rate Class'!I120)</f>
        <v>33</v>
      </c>
      <c r="H24" s="173">
        <f t="shared" si="0"/>
        <v>0.97058823529411764</v>
      </c>
      <c r="I24" s="200"/>
      <c r="J24" s="173"/>
      <c r="K24" s="18">
        <f>AVERAGE('3. Consumption by Rate Class'!N109,'3. Consumption by Rate Class'!N120)</f>
        <v>62</v>
      </c>
      <c r="L24" s="173">
        <f t="shared" si="1"/>
        <v>1.0508474576271187</v>
      </c>
      <c r="M24" s="200">
        <f>IF(SUM('3. Consumption by Rate Class'!Q109:Q120)&gt;0,+AVERAGE('3. Consumption by Rate Class'!Q109,'3. Consumption by Rate Class'!Q120),0)</f>
        <v>1190</v>
      </c>
      <c r="N24" s="173">
        <f t="shared" si="5"/>
        <v>1.0119047619047619</v>
      </c>
      <c r="O24" s="201" t="e">
        <f>AVERAGE('3. Consumption by Rate Class'!T109,'3. Consumption by Rate Class'!T120)</f>
        <v>#DIV/0!</v>
      </c>
      <c r="P24" s="174" t="e">
        <f t="shared" si="6"/>
        <v>#DIV/0!</v>
      </c>
      <c r="Q24" s="386"/>
      <c r="R24" s="173"/>
      <c r="S24" s="386"/>
      <c r="T24" s="173"/>
      <c r="V24" s="397" t="e">
        <f t="shared" si="2"/>
        <v>#DIV/0!</v>
      </c>
      <c r="W24" s="240" t="e">
        <f t="shared" si="3"/>
        <v>#DIV/0!</v>
      </c>
    </row>
    <row r="25" spans="2:23" x14ac:dyDescent="0.2">
      <c r="B25" s="8">
        <f>'1. LDC Info'!F25-2</f>
        <v>2014</v>
      </c>
      <c r="C25" s="201">
        <f>AVERAGE('3. Consumption by Rate Class'!E121,'3. Consumption by Rate Class'!E132)</f>
        <v>3760</v>
      </c>
      <c r="D25" s="173">
        <f t="shared" si="4"/>
        <v>1.0080428954423593</v>
      </c>
      <c r="E25" s="201">
        <f>AVERAGE('3. Consumption by Rate Class'!G121,'3. Consumption by Rate Class'!G132)</f>
        <v>428</v>
      </c>
      <c r="F25" s="173">
        <f t="shared" si="4"/>
        <v>1</v>
      </c>
      <c r="G25" s="18">
        <f>AVERAGE('3. Consumption by Rate Class'!I121,'3. Consumption by Rate Class'!I132)</f>
        <v>33</v>
      </c>
      <c r="H25" s="173">
        <f t="shared" si="0"/>
        <v>1</v>
      </c>
      <c r="I25" s="200"/>
      <c r="J25" s="173"/>
      <c r="K25" s="18">
        <f>AVERAGE('3. Consumption by Rate Class'!N121,'3. Consumption by Rate Class'!N132)</f>
        <v>62</v>
      </c>
      <c r="L25" s="173">
        <f t="shared" si="1"/>
        <v>1</v>
      </c>
      <c r="M25" s="200">
        <f>IF(SUM('3. Consumption by Rate Class'!Q121:Q132)&gt;0,+AVERAGE('3. Consumption by Rate Class'!Q121,'3. Consumption by Rate Class'!Q132),0)</f>
        <v>1190</v>
      </c>
      <c r="N25" s="173">
        <f t="shared" si="5"/>
        <v>1</v>
      </c>
      <c r="O25" s="201" t="e">
        <f>AVERAGE('3. Consumption by Rate Class'!T121,'3. Consumption by Rate Class'!T132)</f>
        <v>#DIV/0!</v>
      </c>
      <c r="P25" s="174" t="e">
        <f t="shared" si="6"/>
        <v>#DIV/0!</v>
      </c>
      <c r="Q25" s="386"/>
      <c r="R25" s="173"/>
      <c r="S25" s="386"/>
      <c r="T25" s="173"/>
      <c r="V25" s="397" t="e">
        <f t="shared" si="2"/>
        <v>#DIV/0!</v>
      </c>
      <c r="W25" s="240" t="e">
        <f t="shared" si="3"/>
        <v>#DIV/0!</v>
      </c>
    </row>
    <row r="26" spans="2:23" x14ac:dyDescent="0.2">
      <c r="B26" s="8">
        <f>'1. LDC Info'!F25-1</f>
        <v>2015</v>
      </c>
      <c r="C26" s="201">
        <f>AVERAGE('3. Consumption by Rate Class'!E133,'3. Consumption by Rate Class'!E144)</f>
        <v>3779</v>
      </c>
      <c r="D26" s="173">
        <f t="shared" si="4"/>
        <v>1.0050531914893617</v>
      </c>
      <c r="E26" s="201">
        <f>AVERAGE('3. Consumption by Rate Class'!G133,'3. Consumption by Rate Class'!G144)</f>
        <v>430</v>
      </c>
      <c r="F26" s="173">
        <f t="shared" si="4"/>
        <v>1.0046728971962617</v>
      </c>
      <c r="G26" s="18">
        <f>AVERAGE('3. Consumption by Rate Class'!I133,'3. Consumption by Rate Class'!I144)</f>
        <v>33</v>
      </c>
      <c r="H26" s="173">
        <f t="shared" si="0"/>
        <v>1</v>
      </c>
      <c r="I26" s="200"/>
      <c r="J26" s="173"/>
      <c r="K26" s="18">
        <f>AVERAGE('3. Consumption by Rate Class'!N133,'3. Consumption by Rate Class'!N144)</f>
        <v>61</v>
      </c>
      <c r="L26" s="173">
        <f t="shared" si="1"/>
        <v>0.9838709677419355</v>
      </c>
      <c r="M26" s="200">
        <f>IF(SUM('3. Consumption by Rate Class'!Q132:Q144)&gt;0,+AVERAGE('3. Consumption by Rate Class'!Q133,'3. Consumption by Rate Class'!Q144),0)</f>
        <v>1190</v>
      </c>
      <c r="N26" s="173">
        <f t="shared" si="5"/>
        <v>1</v>
      </c>
      <c r="O26" s="201" t="e">
        <f>AVERAGE('3. Consumption by Rate Class'!T133,'3. Consumption by Rate Class'!T144)</f>
        <v>#DIV/0!</v>
      </c>
      <c r="P26" s="174" t="e">
        <f t="shared" si="6"/>
        <v>#DIV/0!</v>
      </c>
      <c r="Q26" s="386"/>
      <c r="R26" s="173"/>
      <c r="S26" s="386"/>
      <c r="T26" s="173"/>
      <c r="V26" s="397" t="e">
        <f t="shared" si="2"/>
        <v>#DIV/0!</v>
      </c>
      <c r="W26" s="240" t="e">
        <f t="shared" si="3"/>
        <v>#DIV/0!</v>
      </c>
    </row>
    <row r="27" spans="2:23" x14ac:dyDescent="0.2">
      <c r="B27" s="12"/>
      <c r="C27" s="293"/>
      <c r="D27" s="10"/>
      <c r="E27" s="293"/>
      <c r="F27" s="10"/>
      <c r="G27" s="13"/>
      <c r="H27" s="10"/>
      <c r="I27" s="293"/>
      <c r="J27" s="10"/>
      <c r="K27" s="13"/>
      <c r="L27" s="10"/>
      <c r="M27" s="293"/>
      <c r="N27" s="10"/>
      <c r="O27" s="293"/>
      <c r="P27" s="11"/>
      <c r="Q27" s="293"/>
      <c r="R27" s="10"/>
      <c r="S27" s="293"/>
      <c r="T27" s="10"/>
      <c r="V27" s="241"/>
      <c r="W27" s="242"/>
    </row>
    <row r="28" spans="2:23" x14ac:dyDescent="0.2">
      <c r="B28" s="14" t="s">
        <v>4</v>
      </c>
      <c r="C28" s="293"/>
      <c r="D28" s="15">
        <f>GEOMEAN(D18:D26)</f>
        <v>1.0073804930272678</v>
      </c>
      <c r="E28" s="295"/>
      <c r="F28" s="15">
        <f>GEOMEAN(F18:F26)</f>
        <v>0.98079357118763555</v>
      </c>
      <c r="G28" s="16"/>
      <c r="H28" s="15">
        <f>GEOMEAN(H18:H26)</f>
        <v>1.01842355212361</v>
      </c>
      <c r="I28" s="295"/>
      <c r="J28" s="15"/>
      <c r="K28" s="16"/>
      <c r="L28" s="15">
        <f>GEOMEAN(L18:L26)</f>
        <v>0.99819490660298449</v>
      </c>
      <c r="M28" s="295"/>
      <c r="N28" s="15">
        <f>IF(SUM(N18:N26)&gt;0,+GEOMEAN(N18:N26),0)</f>
        <v>1.0039032990236894</v>
      </c>
      <c r="O28" s="295"/>
      <c r="P28" s="17" t="e">
        <f>GEOMEAN(P18:P26)</f>
        <v>#DIV/0!</v>
      </c>
      <c r="Q28" s="295"/>
      <c r="R28" s="15"/>
      <c r="S28" s="295"/>
      <c r="T28" s="15"/>
      <c r="V28" s="241"/>
      <c r="W28" s="17" t="e">
        <f>GEOMEAN(W18:W26)</f>
        <v>#DIV/0!</v>
      </c>
    </row>
    <row r="29" spans="2:23" x14ac:dyDescent="0.2">
      <c r="B29" s="14"/>
      <c r="C29" s="293"/>
      <c r="D29" s="15"/>
      <c r="E29" s="295"/>
      <c r="F29" s="15"/>
      <c r="G29" s="16"/>
      <c r="H29" s="15"/>
      <c r="I29" s="295"/>
      <c r="J29" s="15"/>
      <c r="K29" s="16"/>
      <c r="L29" s="15"/>
      <c r="M29" s="295"/>
      <c r="N29" s="15"/>
      <c r="O29" s="295"/>
      <c r="P29" s="17"/>
      <c r="Q29" s="295"/>
      <c r="R29" s="15"/>
      <c r="S29" s="295"/>
      <c r="T29" s="15"/>
      <c r="V29" s="241"/>
      <c r="W29" s="242"/>
    </row>
    <row r="30" spans="2:23" x14ac:dyDescent="0.2">
      <c r="B30" s="9" t="str">
        <f>'1. LDC Info'!F25</f>
        <v>2016</v>
      </c>
      <c r="C30" s="745">
        <f>C26*D28</f>
        <v>3806.8908831500453</v>
      </c>
      <c r="D30" s="10" t="s">
        <v>30</v>
      </c>
      <c r="E30" s="745">
        <f>E26*F28</f>
        <v>421.7412356106833</v>
      </c>
      <c r="F30" s="19"/>
      <c r="G30" s="747">
        <f>G26*H28</f>
        <v>33.607977220079128</v>
      </c>
      <c r="H30" s="19"/>
      <c r="I30" s="201"/>
      <c r="J30" s="19"/>
      <c r="K30" s="747">
        <f>K26*L28</f>
        <v>60.889889302782052</v>
      </c>
      <c r="L30" s="19"/>
      <c r="M30" s="745">
        <f>M26*N28</f>
        <v>1194.6449258381904</v>
      </c>
      <c r="N30" s="19"/>
      <c r="O30" s="745" t="e">
        <f>O26*P28</f>
        <v>#DIV/0!</v>
      </c>
      <c r="P30" s="20"/>
      <c r="Q30" s="388"/>
      <c r="R30" s="19"/>
      <c r="S30" s="388"/>
      <c r="T30" s="753"/>
      <c r="V30" s="241" t="e">
        <f>+C30+E30+G30+I30+K30+M30+O30+Q30</f>
        <v>#DIV/0!</v>
      </c>
      <c r="W30" s="242"/>
    </row>
    <row r="31" spans="2:23" ht="13.5" thickBot="1" x14ac:dyDescent="0.25">
      <c r="B31" s="21" t="str">
        <f>'1. LDC Info'!F27</f>
        <v>2017</v>
      </c>
      <c r="C31" s="746">
        <f>C30*D28</f>
        <v>3834.9876147687037</v>
      </c>
      <c r="D31" s="22" t="s">
        <v>30</v>
      </c>
      <c r="E31" s="746">
        <f>E30*F28</f>
        <v>413.64109259168811</v>
      </c>
      <c r="F31" s="23"/>
      <c r="G31" s="748">
        <f>G30*H28</f>
        <v>34.227155540162357</v>
      </c>
      <c r="H31" s="23"/>
      <c r="I31" s="294"/>
      <c r="J31" s="23"/>
      <c r="K31" s="748">
        <f>K30*L28</f>
        <v>60.779977365656592</v>
      </c>
      <c r="L31" s="23"/>
      <c r="M31" s="746">
        <f>M30*N28</f>
        <v>1199.30798221087</v>
      </c>
      <c r="N31" s="23"/>
      <c r="O31" s="746" t="e">
        <f>O30*P28</f>
        <v>#DIV/0!</v>
      </c>
      <c r="P31" s="24"/>
      <c r="Q31" s="294"/>
      <c r="R31" s="23"/>
      <c r="S31" s="294"/>
      <c r="T31" s="754"/>
      <c r="V31" s="397" t="e">
        <f>+C31+E31+G31+I31+K31+M31+O31+Q31</f>
        <v>#DIV/0!</v>
      </c>
      <c r="W31" s="194"/>
    </row>
    <row r="32" spans="2:23" x14ac:dyDescent="0.2">
      <c r="Q32" s="534"/>
      <c r="R32" s="534"/>
      <c r="V32" s="239"/>
    </row>
    <row r="33" spans="2:23" x14ac:dyDescent="0.2">
      <c r="B33" s="177" t="s">
        <v>174</v>
      </c>
      <c r="Q33" s="534"/>
      <c r="R33" s="534"/>
      <c r="V33" s="239"/>
    </row>
    <row r="34" spans="2:23" ht="13.5" thickBot="1" x14ac:dyDescent="0.25">
      <c r="Q34" s="534"/>
      <c r="R34" s="534"/>
      <c r="V34" s="239"/>
    </row>
    <row r="35" spans="2:23" x14ac:dyDescent="0.2">
      <c r="B35" s="278" t="s">
        <v>31</v>
      </c>
      <c r="C35" s="25"/>
      <c r="D35" s="25"/>
      <c r="E35" s="25"/>
      <c r="F35" s="25"/>
      <c r="G35" s="25"/>
      <c r="H35" s="25"/>
      <c r="I35" s="25"/>
      <c r="J35" s="25"/>
      <c r="K35" s="25"/>
      <c r="L35" s="25"/>
      <c r="M35" s="25"/>
      <c r="N35" s="25"/>
      <c r="O35" s="25"/>
      <c r="P35" s="26"/>
      <c r="Q35" s="25"/>
      <c r="R35" s="25"/>
      <c r="S35" s="25"/>
      <c r="T35" s="26"/>
      <c r="V35" s="1033" t="s">
        <v>31</v>
      </c>
      <c r="W35" s="1034"/>
    </row>
    <row r="36" spans="2:23" x14ac:dyDescent="0.2">
      <c r="B36" s="168" t="str">
        <f>'1. LDC Info'!F25</f>
        <v>2016</v>
      </c>
      <c r="C36" s="296"/>
      <c r="D36" s="10">
        <f>C36/C26</f>
        <v>0</v>
      </c>
      <c r="E36" s="296"/>
      <c r="F36" s="10">
        <f>E36/E26</f>
        <v>0</v>
      </c>
      <c r="G36" s="296"/>
      <c r="H36" s="10">
        <f>G36/G26</f>
        <v>0</v>
      </c>
      <c r="I36" s="296"/>
      <c r="J36" s="173">
        <f>IF(I36&gt;0,+I36/I26,0)</f>
        <v>0</v>
      </c>
      <c r="K36" s="296"/>
      <c r="L36" s="10">
        <f>K36/K26</f>
        <v>0</v>
      </c>
      <c r="M36" s="296"/>
      <c r="N36" s="173">
        <f>IF(M36&gt;0,+M36/M26,0)</f>
        <v>0</v>
      </c>
      <c r="O36" s="296"/>
      <c r="P36" s="11" t="e">
        <f>O36/O26</f>
        <v>#DIV/0!</v>
      </c>
      <c r="Q36" s="526">
        <v>0</v>
      </c>
      <c r="R36" s="173" t="e">
        <f>Q36/Q26</f>
        <v>#DIV/0!</v>
      </c>
      <c r="S36" s="27"/>
      <c r="T36" s="11"/>
      <c r="V36" s="397">
        <f>+C36+E36+G36+I36+K36+M36+O36</f>
        <v>0</v>
      </c>
      <c r="W36" s="174" t="e">
        <f>V36/V26</f>
        <v>#DIV/0!</v>
      </c>
    </row>
    <row r="37" spans="2:23" ht="13.5" thickBot="1" x14ac:dyDescent="0.25">
      <c r="B37" s="167" t="str">
        <f>'1. LDC Info'!F27</f>
        <v>2017</v>
      </c>
      <c r="C37" s="297"/>
      <c r="D37" s="291">
        <f>IF(C37&gt;0,+C37/C36,0)</f>
        <v>0</v>
      </c>
      <c r="E37" s="297"/>
      <c r="F37" s="291">
        <f>IF(E37&gt;0,+E37/E36,0)</f>
        <v>0</v>
      </c>
      <c r="G37" s="297"/>
      <c r="H37" s="291">
        <f>IF(G37&gt;0,+G37/G36,0)</f>
        <v>0</v>
      </c>
      <c r="I37" s="297"/>
      <c r="J37" s="291">
        <f>IF(I37&gt;0,+I37/I36,0)</f>
        <v>0</v>
      </c>
      <c r="K37" s="297"/>
      <c r="L37" s="291">
        <f>IF(K37&gt;0,+K37/K36,0)</f>
        <v>0</v>
      </c>
      <c r="M37" s="297"/>
      <c r="N37" s="291">
        <f>IF(M37&gt;0,+M37/M36,0)</f>
        <v>0</v>
      </c>
      <c r="O37" s="297"/>
      <c r="P37" s="243">
        <f>IF(O37&gt;0,+O37/O36,0)</f>
        <v>0</v>
      </c>
      <c r="Q37" s="297">
        <v>0</v>
      </c>
      <c r="R37" s="291">
        <f>IF(Q37&gt;0,+Q37/Q36,0)</f>
        <v>0</v>
      </c>
      <c r="S37" s="28"/>
      <c r="T37" s="29"/>
      <c r="V37" s="398">
        <f>+C37+E37+G37+I37+K37+M37+O37</f>
        <v>0</v>
      </c>
      <c r="W37" s="243">
        <f>IF(V37&gt;0,+V37/V36,0)</f>
        <v>0</v>
      </c>
    </row>
    <row r="38" spans="2:23" x14ac:dyDescent="0.2">
      <c r="C38" s="182" t="s">
        <v>30</v>
      </c>
      <c r="V38" s="239"/>
    </row>
    <row r="39" spans="2:23" x14ac:dyDescent="0.2">
      <c r="B39" s="1" t="s">
        <v>129</v>
      </c>
      <c r="V39" s="239"/>
    </row>
    <row r="40" spans="2:23" ht="13.5" thickBot="1" x14ac:dyDescent="0.25">
      <c r="V40" s="239"/>
    </row>
    <row r="41" spans="2:23" x14ac:dyDescent="0.2">
      <c r="B41" s="1037" t="s">
        <v>158</v>
      </c>
      <c r="C41" s="1038"/>
      <c r="D41" s="1038"/>
      <c r="E41" s="1038"/>
      <c r="F41" s="1038"/>
      <c r="G41" s="1038"/>
      <c r="H41" s="1038"/>
      <c r="I41" s="1038"/>
      <c r="J41" s="1038"/>
      <c r="K41" s="1038"/>
      <c r="L41" s="1038"/>
      <c r="M41" s="1038"/>
      <c r="N41" s="1038"/>
      <c r="O41" s="1038"/>
      <c r="P41" s="1038"/>
      <c r="Q41" s="1038"/>
      <c r="R41" s="1039"/>
      <c r="V41" s="1033" t="s">
        <v>31</v>
      </c>
      <c r="W41" s="1034"/>
    </row>
    <row r="42" spans="2:23" ht="13.5" thickBot="1" x14ac:dyDescent="0.25">
      <c r="B42" s="548">
        <v>2014</v>
      </c>
      <c r="C42" s="749">
        <f>IF(C36&gt;0,+C36,C30)</f>
        <v>3806.8908831500453</v>
      </c>
      <c r="D42" s="518">
        <f>IF(D36&gt;0,+D36,D28)</f>
        <v>1.0073804930272678</v>
      </c>
      <c r="E42" s="749">
        <f>IF(E36&gt;0,+E36,E30)</f>
        <v>421.7412356106833</v>
      </c>
      <c r="F42" s="518">
        <f>IF(F36&gt;0,+F36,F28)</f>
        <v>0.98079357118763555</v>
      </c>
      <c r="G42" s="749">
        <f>IF(G36&gt;0,+G36,G30)</f>
        <v>33.607977220079128</v>
      </c>
      <c r="H42" s="518">
        <f>IF(H36&gt;0,+H36,H28)</f>
        <v>1.01842355212361</v>
      </c>
      <c r="I42" s="515">
        <f>IF(I36&gt;0,+I36,I30)</f>
        <v>0</v>
      </c>
      <c r="J42" s="518">
        <f>IF(J36&gt;0,+J36,J28)</f>
        <v>0</v>
      </c>
      <c r="K42" s="749">
        <f>IF(K36&gt;0,+K36,K30)</f>
        <v>60.889889302782052</v>
      </c>
      <c r="L42" s="518">
        <f>IF(L36&gt;0,+L36,L28)</f>
        <v>0.99819490660298449</v>
      </c>
      <c r="M42" s="749">
        <f>IF(M36&gt;0,+M36,M30)</f>
        <v>1194.6449258381904</v>
      </c>
      <c r="N42" s="518">
        <f>IF(N36&gt;0,+N36,N28)</f>
        <v>1.0039032990236894</v>
      </c>
      <c r="O42" s="749" t="e">
        <f>IF(O36&gt;0,+O36,O30)</f>
        <v>#DIV/0!</v>
      </c>
      <c r="P42" s="518" t="e">
        <f>IF(P36&gt;0,+P36,P28)</f>
        <v>#DIV/0!</v>
      </c>
      <c r="Q42" s="515">
        <f>IF(Q36&gt;0,+Q36,Q30)</f>
        <v>0</v>
      </c>
      <c r="R42" s="751" t="e">
        <f>IF(R36&gt;0,+R36,R28)</f>
        <v>#DIV/0!</v>
      </c>
      <c r="V42" s="397" t="e">
        <f>+C42+E42+G42+I42+K42+M42+O42</f>
        <v>#DIV/0!</v>
      </c>
      <c r="W42" s="257" t="e">
        <f>IF(V36&gt;1,+W36,W28)</f>
        <v>#DIV/0!</v>
      </c>
    </row>
    <row r="43" spans="2:23" ht="13.5" thickBot="1" x14ac:dyDescent="0.25">
      <c r="B43" s="220">
        <v>2015</v>
      </c>
      <c r="C43" s="750">
        <f>IF(C37&gt;0,+C37,C31)</f>
        <v>3834.9876147687037</v>
      </c>
      <c r="D43" s="223">
        <f>IF(D37&gt;0,+D37,D28)</f>
        <v>1.0073804930272678</v>
      </c>
      <c r="E43" s="750">
        <f>IF(E37&gt;0,+E37,E31)</f>
        <v>413.64109259168811</v>
      </c>
      <c r="F43" s="223">
        <f>IF(F37&gt;0,+F37,F28)</f>
        <v>0.98079357118763555</v>
      </c>
      <c r="G43" s="750">
        <f>IF(G37&gt;0,+G37,G31)</f>
        <v>34.227155540162357</v>
      </c>
      <c r="H43" s="223">
        <f>IF(H37&gt;0,+H37,H28)</f>
        <v>1.01842355212361</v>
      </c>
      <c r="I43" s="292">
        <f>IF(I37&gt;0,+I37,I31)</f>
        <v>0</v>
      </c>
      <c r="J43" s="223">
        <f>IF(J37&gt;0,+J37,J28)</f>
        <v>0</v>
      </c>
      <c r="K43" s="750">
        <f>IF(K37&gt;0,+K37,K31)</f>
        <v>60.779977365656592</v>
      </c>
      <c r="L43" s="223">
        <f>IF(L37&gt;0,+L37,L28)</f>
        <v>0.99819490660298449</v>
      </c>
      <c r="M43" s="750">
        <f>IF(M37&gt;0,+M37,M31)</f>
        <v>1199.30798221087</v>
      </c>
      <c r="N43" s="223">
        <f>IF(N37&gt;0,+N37,N28)</f>
        <v>1.0039032990236894</v>
      </c>
      <c r="O43" s="750" t="e">
        <f>IF(O37&gt;0,+O37,O31)</f>
        <v>#DIV/0!</v>
      </c>
      <c r="P43" s="223" t="e">
        <f>IF(P37&gt;0,+P37,P28)</f>
        <v>#DIV/0!</v>
      </c>
      <c r="Q43" s="292">
        <f>IF(Q37&gt;0,+Q37,Q31)</f>
        <v>0</v>
      </c>
      <c r="R43" s="752">
        <f>IF(R37&gt;0,+R37,R28)</f>
        <v>0</v>
      </c>
      <c r="V43" s="398" t="e">
        <f>+C43+E43+G43+I43+K43+M43+O43</f>
        <v>#DIV/0!</v>
      </c>
      <c r="W43" s="258" t="e">
        <f>IF(W37&gt;1,+W37,W28)</f>
        <v>#DIV/0!</v>
      </c>
    </row>
    <row r="48" spans="2:23" x14ac:dyDescent="0.2">
      <c r="C48" s="298"/>
    </row>
    <row r="49" spans="3:3" x14ac:dyDescent="0.2">
      <c r="C49" s="298"/>
    </row>
  </sheetData>
  <mergeCells count="14">
    <mergeCell ref="V41:W41"/>
    <mergeCell ref="M15:N15"/>
    <mergeCell ref="B41:R41"/>
    <mergeCell ref="B10:I10"/>
    <mergeCell ref="C15:D15"/>
    <mergeCell ref="E15:F15"/>
    <mergeCell ref="G15:H15"/>
    <mergeCell ref="K15:L15"/>
    <mergeCell ref="I15:J15"/>
    <mergeCell ref="V15:W15"/>
    <mergeCell ref="V35:W35"/>
    <mergeCell ref="Q15:R15"/>
    <mergeCell ref="S15:T15"/>
    <mergeCell ref="O15:P15"/>
  </mergeCells>
  <phoneticPr fontId="0"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Z132"/>
  <sheetViews>
    <sheetView showGridLines="0" zoomScaleNormal="100" zoomScaleSheetLayoutView="100" workbookViewId="0">
      <selection activeCell="A11" sqref="A11"/>
    </sheetView>
  </sheetViews>
  <sheetFormatPr defaultRowHeight="12.75" x14ac:dyDescent="0.2"/>
  <cols>
    <col min="1" max="1" width="13.6640625" style="1" customWidth="1"/>
    <col min="2" max="2" width="24.83203125" style="58" customWidth="1"/>
    <col min="3" max="14" width="14.83203125" style="58" customWidth="1"/>
    <col min="15" max="15" width="16.6640625" style="1" customWidth="1"/>
    <col min="16" max="25" width="9.33203125" style="1"/>
    <col min="26" max="26" width="19.33203125" style="1" customWidth="1"/>
    <col min="27" max="16384" width="9.33203125" style="1"/>
  </cols>
  <sheetData>
    <row r="1" spans="1:15" s="534" customFormat="1" x14ac:dyDescent="0.2">
      <c r="A1" s="755" t="s">
        <v>269</v>
      </c>
      <c r="B1" s="58"/>
      <c r="C1" s="58"/>
      <c r="D1" s="58"/>
      <c r="E1" s="58"/>
      <c r="F1" s="58"/>
      <c r="G1" s="58"/>
      <c r="H1" s="58"/>
      <c r="I1" s="58"/>
      <c r="J1" s="58"/>
      <c r="K1" s="58"/>
      <c r="L1" s="58"/>
      <c r="M1" s="58"/>
      <c r="N1" s="58"/>
    </row>
    <row r="2" spans="1:15" s="534" customFormat="1" x14ac:dyDescent="0.2">
      <c r="B2" s="58"/>
      <c r="C2" s="58"/>
      <c r="D2" s="58"/>
      <c r="E2" s="58"/>
      <c r="F2" s="58"/>
      <c r="G2" s="58"/>
      <c r="H2" s="58"/>
      <c r="I2" s="58"/>
      <c r="J2" s="58"/>
      <c r="K2" s="58"/>
      <c r="L2" s="58"/>
      <c r="M2" s="58"/>
      <c r="N2" s="58"/>
    </row>
    <row r="3" spans="1:15" s="534" customFormat="1" x14ac:dyDescent="0.2">
      <c r="B3" s="58"/>
      <c r="C3" s="58"/>
      <c r="D3" s="58"/>
      <c r="E3" s="58"/>
      <c r="F3" s="58"/>
      <c r="G3" s="58"/>
      <c r="H3" s="58"/>
      <c r="I3" s="58"/>
      <c r="J3" s="58"/>
      <c r="K3" s="58"/>
      <c r="L3" s="58"/>
      <c r="M3" s="58"/>
      <c r="N3" s="58"/>
    </row>
    <row r="4" spans="1:15" s="534" customFormat="1" x14ac:dyDescent="0.2">
      <c r="B4" s="58"/>
      <c r="C4" s="58"/>
      <c r="D4" s="58"/>
      <c r="E4" s="58"/>
      <c r="F4" s="58"/>
      <c r="G4" s="58"/>
      <c r="H4" s="58"/>
      <c r="I4" s="58"/>
      <c r="J4" s="58"/>
      <c r="K4" s="58"/>
      <c r="L4" s="58"/>
      <c r="M4" s="58"/>
      <c r="N4" s="58"/>
    </row>
    <row r="5" spans="1:15" s="534" customFormat="1" x14ac:dyDescent="0.2">
      <c r="B5" s="58"/>
      <c r="C5" s="58"/>
      <c r="D5" s="58"/>
      <c r="E5" s="58"/>
      <c r="F5" s="58"/>
      <c r="G5" s="58"/>
      <c r="H5" s="58"/>
      <c r="I5" s="58"/>
      <c r="J5" s="58"/>
      <c r="K5" s="58"/>
      <c r="L5" s="58"/>
      <c r="M5" s="58"/>
      <c r="N5" s="58"/>
    </row>
    <row r="6" spans="1:15" s="534" customFormat="1" x14ac:dyDescent="0.2">
      <c r="B6" s="58"/>
      <c r="C6" s="58"/>
      <c r="D6" s="58"/>
      <c r="E6" s="58"/>
      <c r="F6" s="58"/>
      <c r="G6" s="58"/>
      <c r="H6" s="58"/>
      <c r="I6" s="58"/>
      <c r="J6" s="58"/>
      <c r="K6" s="58"/>
      <c r="L6" s="58"/>
      <c r="M6" s="58"/>
      <c r="N6" s="58"/>
    </row>
    <row r="7" spans="1:15" s="534" customFormat="1" x14ac:dyDescent="0.2">
      <c r="B7" s="58"/>
      <c r="C7" s="58"/>
      <c r="D7" s="58"/>
      <c r="E7" s="58"/>
      <c r="F7" s="58"/>
      <c r="G7" s="58"/>
      <c r="H7" s="58"/>
      <c r="I7" s="58"/>
      <c r="J7" s="58"/>
      <c r="K7" s="58"/>
      <c r="L7" s="58"/>
      <c r="M7" s="58"/>
      <c r="N7" s="58"/>
    </row>
    <row r="8" spans="1:15" s="534" customFormat="1" x14ac:dyDescent="0.2">
      <c r="B8" s="58"/>
      <c r="C8" s="58"/>
      <c r="D8" s="58"/>
      <c r="E8" s="58"/>
      <c r="F8" s="58"/>
      <c r="G8" s="58"/>
      <c r="H8" s="58"/>
      <c r="I8" s="58"/>
      <c r="J8" s="58"/>
      <c r="K8" s="58"/>
      <c r="L8" s="58"/>
      <c r="M8" s="58"/>
      <c r="N8" s="58"/>
    </row>
    <row r="9" spans="1:15" s="534" customFormat="1" x14ac:dyDescent="0.2">
      <c r="B9" s="58"/>
      <c r="C9" s="58"/>
      <c r="D9" s="58"/>
      <c r="E9" s="58"/>
      <c r="F9" s="58"/>
      <c r="G9" s="58"/>
      <c r="H9" s="58"/>
      <c r="I9" s="58"/>
      <c r="J9" s="58"/>
      <c r="K9" s="58"/>
      <c r="L9" s="58"/>
      <c r="M9" s="58"/>
      <c r="N9" s="58"/>
    </row>
    <row r="10" spans="1:15" x14ac:dyDescent="0.2">
      <c r="A10" s="245"/>
      <c r="B10" s="246"/>
      <c r="C10" s="246"/>
      <c r="D10" s="246"/>
      <c r="E10" s="246"/>
      <c r="F10" s="246"/>
      <c r="G10" s="246"/>
      <c r="H10" s="246"/>
      <c r="I10" s="246"/>
      <c r="J10" s="246"/>
      <c r="K10" s="246"/>
      <c r="L10" s="246"/>
      <c r="M10" s="246"/>
      <c r="N10" s="246"/>
      <c r="O10" s="245"/>
    </row>
    <row r="11" spans="1:15" ht="23.25" x14ac:dyDescent="0.35">
      <c r="A11" s="245"/>
      <c r="B11" s="247" t="s">
        <v>148</v>
      </c>
      <c r="C11" s="246"/>
      <c r="D11" s="246"/>
      <c r="E11" s="246"/>
      <c r="F11" s="246"/>
      <c r="G11" s="246"/>
      <c r="H11" s="246"/>
      <c r="I11" s="246"/>
      <c r="J11" s="246"/>
      <c r="K11" s="246"/>
      <c r="L11" s="246"/>
      <c r="M11" s="245"/>
      <c r="N11" s="1"/>
    </row>
    <row r="12" spans="1:15" ht="15" x14ac:dyDescent="0.2">
      <c r="A12" s="245"/>
      <c r="B12" s="63" t="s">
        <v>64</v>
      </c>
      <c r="C12" s="246"/>
      <c r="D12" s="246"/>
      <c r="E12" s="246"/>
      <c r="F12" s="246"/>
      <c r="G12" s="246"/>
      <c r="H12" s="246"/>
      <c r="I12" s="246"/>
      <c r="J12" s="246"/>
      <c r="K12" s="246"/>
      <c r="L12" s="246"/>
      <c r="M12" s="246"/>
      <c r="N12" s="246"/>
      <c r="O12" s="245"/>
    </row>
    <row r="13" spans="1:15" ht="14.25" x14ac:dyDescent="0.2">
      <c r="A13" s="245"/>
      <c r="B13" s="100" t="s">
        <v>246</v>
      </c>
      <c r="C13" s="246"/>
      <c r="D13" s="246"/>
      <c r="E13" s="246"/>
      <c r="F13" s="246"/>
      <c r="G13" s="246"/>
      <c r="H13" s="246"/>
      <c r="I13" s="246"/>
      <c r="J13" s="246"/>
      <c r="K13" s="246"/>
      <c r="L13" s="246"/>
      <c r="M13" s="246"/>
      <c r="N13" s="246"/>
      <c r="O13" s="245"/>
    </row>
    <row r="14" spans="1:15" ht="14.25" x14ac:dyDescent="0.2">
      <c r="A14" s="245"/>
      <c r="B14" s="743" t="s">
        <v>247</v>
      </c>
      <c r="C14" s="246"/>
      <c r="D14" s="246"/>
      <c r="E14" s="246"/>
      <c r="F14" s="246"/>
      <c r="G14" s="246"/>
      <c r="H14" s="246"/>
      <c r="I14" s="246"/>
      <c r="J14" s="246"/>
      <c r="K14" s="246"/>
      <c r="L14" s="246"/>
      <c r="M14" s="246"/>
      <c r="N14" s="246"/>
      <c r="O14" s="245"/>
    </row>
    <row r="15" spans="1:15" x14ac:dyDescent="0.2">
      <c r="A15" s="245"/>
      <c r="B15" s="246"/>
      <c r="C15" s="246"/>
      <c r="D15" s="246"/>
      <c r="E15" s="246"/>
      <c r="F15" s="246"/>
      <c r="G15" s="246"/>
      <c r="H15" s="246"/>
      <c r="I15" s="246"/>
      <c r="J15" s="246"/>
      <c r="K15" s="246"/>
      <c r="L15" s="246"/>
      <c r="M15" s="246"/>
      <c r="N15" s="246"/>
      <c r="O15" s="245"/>
    </row>
    <row r="16" spans="1:15" x14ac:dyDescent="0.2">
      <c r="A16" s="245"/>
      <c r="B16" s="244" t="s">
        <v>1</v>
      </c>
      <c r="C16" s="249" t="s">
        <v>136</v>
      </c>
      <c r="D16" s="249" t="s">
        <v>137</v>
      </c>
      <c r="E16" s="249" t="s">
        <v>138</v>
      </c>
      <c r="F16" s="249" t="s">
        <v>139</v>
      </c>
      <c r="G16" s="249" t="s">
        <v>115</v>
      </c>
      <c r="H16" s="249" t="s">
        <v>140</v>
      </c>
      <c r="I16" s="249" t="s">
        <v>141</v>
      </c>
      <c r="J16" s="249" t="s">
        <v>142</v>
      </c>
      <c r="K16" s="249" t="s">
        <v>143</v>
      </c>
      <c r="L16" s="249" t="s">
        <v>146</v>
      </c>
      <c r="M16" s="249" t="s">
        <v>144</v>
      </c>
      <c r="N16" s="249" t="s">
        <v>145</v>
      </c>
      <c r="O16" s="245"/>
    </row>
    <row r="17" spans="1:26" x14ac:dyDescent="0.2">
      <c r="A17" s="248"/>
      <c r="B17" s="250" t="s">
        <v>242</v>
      </c>
      <c r="C17" s="523"/>
      <c r="D17" s="523"/>
      <c r="E17" s="523"/>
      <c r="F17" s="523"/>
      <c r="G17" s="523"/>
      <c r="H17" s="523"/>
      <c r="I17" s="523"/>
      <c r="J17" s="523"/>
      <c r="K17" s="523"/>
      <c r="L17" s="523"/>
      <c r="M17" s="523"/>
      <c r="N17" s="523"/>
      <c r="O17" s="245"/>
    </row>
    <row r="18" spans="1:26" ht="12" customHeight="1" x14ac:dyDescent="0.2">
      <c r="A18" s="245"/>
      <c r="B18" s="250">
        <f>'1. LDC Info'!F27-20</f>
        <v>1997</v>
      </c>
      <c r="C18" s="523"/>
      <c r="D18" s="523"/>
      <c r="E18" s="523"/>
      <c r="F18" s="523"/>
      <c r="G18" s="523"/>
      <c r="H18" s="523"/>
      <c r="I18" s="523"/>
      <c r="J18" s="523"/>
      <c r="K18" s="523"/>
      <c r="L18" s="523"/>
      <c r="M18" s="523"/>
      <c r="N18" s="523"/>
      <c r="O18" s="245"/>
    </row>
    <row r="19" spans="1:26" ht="12" customHeight="1" x14ac:dyDescent="0.2">
      <c r="A19" s="245"/>
      <c r="B19" s="250">
        <f>'1. LDC Info'!F27-19</f>
        <v>1998</v>
      </c>
      <c r="C19" s="523"/>
      <c r="D19" s="523"/>
      <c r="E19" s="523"/>
      <c r="F19" s="523"/>
      <c r="G19" s="523"/>
      <c r="H19" s="523"/>
      <c r="I19" s="523"/>
      <c r="J19" s="523"/>
      <c r="K19" s="523"/>
      <c r="L19" s="523"/>
      <c r="M19" s="523"/>
      <c r="N19" s="523"/>
      <c r="O19" s="245"/>
    </row>
    <row r="20" spans="1:26" ht="12" customHeight="1" x14ac:dyDescent="0.2">
      <c r="A20" s="245"/>
      <c r="B20" s="250">
        <f>'1. LDC Info'!F27-18</f>
        <v>1999</v>
      </c>
      <c r="C20" s="523"/>
      <c r="D20" s="523"/>
      <c r="E20" s="523"/>
      <c r="F20" s="523"/>
      <c r="G20" s="523"/>
      <c r="H20" s="523"/>
      <c r="I20" s="523"/>
      <c r="J20" s="523"/>
      <c r="K20" s="523"/>
      <c r="L20" s="523"/>
      <c r="M20" s="523"/>
      <c r="N20" s="523"/>
      <c r="O20" s="245"/>
    </row>
    <row r="21" spans="1:26" ht="12" customHeight="1" x14ac:dyDescent="0.2">
      <c r="A21" s="245"/>
      <c r="B21" s="250">
        <f>'1. LDC Info'!F27-17</f>
        <v>2000</v>
      </c>
      <c r="C21" s="523"/>
      <c r="D21" s="523"/>
      <c r="E21" s="523"/>
      <c r="F21" s="523"/>
      <c r="G21" s="523"/>
      <c r="H21" s="523"/>
      <c r="I21" s="523"/>
      <c r="J21" s="523"/>
      <c r="K21" s="523"/>
      <c r="L21" s="523"/>
      <c r="M21" s="523"/>
      <c r="N21" s="523"/>
      <c r="O21" s="245"/>
    </row>
    <row r="22" spans="1:26" ht="12" customHeight="1" x14ac:dyDescent="0.2">
      <c r="A22" s="245"/>
      <c r="B22" s="250">
        <f>'1. LDC Info'!F27-16</f>
        <v>2001</v>
      </c>
      <c r="C22" s="523"/>
      <c r="D22" s="523"/>
      <c r="E22" s="523"/>
      <c r="F22" s="523"/>
      <c r="G22" s="523"/>
      <c r="H22" s="523"/>
      <c r="I22" s="523"/>
      <c r="J22" s="523"/>
      <c r="K22" s="523"/>
      <c r="L22" s="523"/>
      <c r="M22" s="523"/>
      <c r="N22" s="523"/>
      <c r="O22" s="245"/>
    </row>
    <row r="23" spans="1:26" ht="12" customHeight="1" x14ac:dyDescent="0.2">
      <c r="A23" s="245"/>
      <c r="B23" s="250">
        <f>'1. LDC Info'!F27-15</f>
        <v>2002</v>
      </c>
      <c r="C23" s="523"/>
      <c r="D23" s="523"/>
      <c r="E23" s="523"/>
      <c r="F23" s="523"/>
      <c r="G23" s="523"/>
      <c r="H23" s="523"/>
      <c r="I23" s="523"/>
      <c r="J23" s="523"/>
      <c r="K23" s="523"/>
      <c r="L23" s="523"/>
      <c r="M23" s="523"/>
      <c r="N23" s="523"/>
      <c r="O23" s="245"/>
    </row>
    <row r="24" spans="1:26" ht="12" customHeight="1" x14ac:dyDescent="0.2">
      <c r="A24" s="245"/>
      <c r="B24" s="250">
        <f>'1. LDC Info'!F27-14</f>
        <v>2003</v>
      </c>
      <c r="C24" s="523"/>
      <c r="D24" s="523"/>
      <c r="E24" s="523"/>
      <c r="F24" s="523"/>
      <c r="G24" s="523"/>
      <c r="H24" s="523"/>
      <c r="I24" s="523"/>
      <c r="J24" s="523"/>
      <c r="K24" s="523"/>
      <c r="L24" s="523"/>
      <c r="M24" s="523"/>
      <c r="N24" s="523"/>
      <c r="O24" s="245"/>
    </row>
    <row r="25" spans="1:26" ht="12" customHeight="1" x14ac:dyDescent="0.2">
      <c r="A25" s="245"/>
      <c r="B25" s="250">
        <f>'1. LDC Info'!F27-13</f>
        <v>2004</v>
      </c>
      <c r="C25" s="523"/>
      <c r="D25" s="523"/>
      <c r="E25" s="523"/>
      <c r="F25" s="523"/>
      <c r="G25" s="523"/>
      <c r="H25" s="523"/>
      <c r="I25" s="523"/>
      <c r="J25" s="523"/>
      <c r="K25" s="523"/>
      <c r="L25" s="523"/>
      <c r="M25" s="523"/>
      <c r="N25" s="523"/>
      <c r="O25" s="245"/>
    </row>
    <row r="26" spans="1:26" ht="12" customHeight="1" x14ac:dyDescent="0.2">
      <c r="A26" s="245"/>
      <c r="B26" s="250">
        <f>'1. LDC Info'!F27-12</f>
        <v>2005</v>
      </c>
      <c r="C26" s="523"/>
      <c r="D26" s="523"/>
      <c r="E26" s="523"/>
      <c r="F26" s="523"/>
      <c r="G26" s="523"/>
      <c r="H26" s="523"/>
      <c r="I26" s="523"/>
      <c r="J26" s="523"/>
      <c r="K26" s="523"/>
      <c r="L26" s="523"/>
      <c r="M26" s="523"/>
      <c r="N26" s="523"/>
      <c r="O26" s="245"/>
    </row>
    <row r="27" spans="1:26" x14ac:dyDescent="0.2">
      <c r="A27" s="245"/>
      <c r="B27" s="250">
        <f>'1. LDC Info'!F27-11</f>
        <v>2006</v>
      </c>
      <c r="C27" s="523">
        <v>735.89999999999986</v>
      </c>
      <c r="D27" s="523">
        <v>721.30000000000007</v>
      </c>
      <c r="E27" s="523">
        <v>596.49999999999989</v>
      </c>
      <c r="F27" s="523">
        <v>322.60000000000008</v>
      </c>
      <c r="G27" s="523">
        <v>129.39999999999998</v>
      </c>
      <c r="H27" s="523">
        <v>27.399999999999995</v>
      </c>
      <c r="I27" s="523">
        <v>0</v>
      </c>
      <c r="J27" s="523">
        <v>22.7</v>
      </c>
      <c r="K27" s="523">
        <v>126.40000000000002</v>
      </c>
      <c r="L27" s="523">
        <v>338.9</v>
      </c>
      <c r="M27" s="523">
        <v>415.5</v>
      </c>
      <c r="N27" s="523">
        <v>603.5</v>
      </c>
      <c r="O27" s="245"/>
      <c r="Z27" s="218" t="str">
        <f>+$B$16</f>
        <v>HDD</v>
      </c>
    </row>
    <row r="28" spans="1:26" x14ac:dyDescent="0.2">
      <c r="A28" s="245"/>
      <c r="B28" s="250">
        <f>'1. LDC Info'!F27-10</f>
        <v>2007</v>
      </c>
      <c r="C28" s="523">
        <v>792.09999999999991</v>
      </c>
      <c r="D28" s="523">
        <v>814.3</v>
      </c>
      <c r="E28" s="523">
        <v>647</v>
      </c>
      <c r="F28" s="523">
        <v>271.10000000000002</v>
      </c>
      <c r="G28" s="523">
        <v>160.80000000000001</v>
      </c>
      <c r="H28" s="523">
        <v>38.400000000000006</v>
      </c>
      <c r="I28" s="523">
        <v>14.3</v>
      </c>
      <c r="J28" s="523">
        <v>25.9</v>
      </c>
      <c r="K28" s="523">
        <v>82.399999999999991</v>
      </c>
      <c r="L28" s="523">
        <v>230.49999999999994</v>
      </c>
      <c r="M28" s="523">
        <v>475</v>
      </c>
      <c r="N28" s="523">
        <v>765.69999999999982</v>
      </c>
      <c r="O28" s="245"/>
      <c r="Z28" s="218" t="str">
        <f>+B39</f>
        <v>CDD</v>
      </c>
    </row>
    <row r="29" spans="1:26" x14ac:dyDescent="0.2">
      <c r="A29" s="245"/>
      <c r="B29" s="250">
        <f>'1. LDC Info'!F27-9</f>
        <v>2008</v>
      </c>
      <c r="C29" s="523">
        <v>764.8</v>
      </c>
      <c r="D29" s="523">
        <v>782.00000000000011</v>
      </c>
      <c r="E29" s="523">
        <v>734.0999999999998</v>
      </c>
      <c r="F29" s="523">
        <v>301.2999999999999</v>
      </c>
      <c r="G29" s="523">
        <v>188.70000000000002</v>
      </c>
      <c r="H29" s="523">
        <v>22.599999999999998</v>
      </c>
      <c r="I29" s="523">
        <v>1.3</v>
      </c>
      <c r="J29" s="523">
        <v>16.7</v>
      </c>
      <c r="K29" s="523">
        <v>96.6</v>
      </c>
      <c r="L29" s="523">
        <v>324.60000000000008</v>
      </c>
      <c r="M29" s="523">
        <v>498.79999999999995</v>
      </c>
      <c r="N29" s="523">
        <v>803.9</v>
      </c>
      <c r="O29" s="245"/>
      <c r="Z29" s="218" t="str">
        <f>+B62</f>
        <v>Number of Days in Month</v>
      </c>
    </row>
    <row r="30" spans="1:26" x14ac:dyDescent="0.2">
      <c r="A30" s="245"/>
      <c r="B30" s="250">
        <f>'1. LDC Info'!F27-8</f>
        <v>2009</v>
      </c>
      <c r="C30" s="523">
        <v>983.90000000000032</v>
      </c>
      <c r="D30" s="523">
        <v>711.7</v>
      </c>
      <c r="E30" s="523">
        <v>596.29999999999995</v>
      </c>
      <c r="F30" s="523">
        <v>327.5</v>
      </c>
      <c r="G30" s="523">
        <v>149.00000000000003</v>
      </c>
      <c r="H30" s="523">
        <v>54.20000000000001</v>
      </c>
      <c r="I30" s="523">
        <v>12.6</v>
      </c>
      <c r="J30" s="523">
        <v>30.8</v>
      </c>
      <c r="K30" s="523">
        <v>115.69999999999999</v>
      </c>
      <c r="L30" s="523">
        <v>351.49999999999994</v>
      </c>
      <c r="M30" s="523">
        <v>410.8</v>
      </c>
      <c r="N30" s="523">
        <v>754.0999999999998</v>
      </c>
      <c r="O30" s="245"/>
      <c r="Z30" s="218" t="str">
        <f>+B76</f>
        <v>Employment Stats</v>
      </c>
    </row>
    <row r="31" spans="1:26" x14ac:dyDescent="0.2">
      <c r="A31" s="245"/>
      <c r="B31" s="250">
        <f>'1. LDC Info'!F27-7</f>
        <v>2010</v>
      </c>
      <c r="C31" s="523">
        <v>779.79999999999984</v>
      </c>
      <c r="D31" s="523">
        <v>639.70000000000005</v>
      </c>
      <c r="E31" s="523">
        <v>451.49999999999989</v>
      </c>
      <c r="F31" s="523">
        <v>253.00000000000003</v>
      </c>
      <c r="G31" s="523">
        <v>112</v>
      </c>
      <c r="H31" s="523">
        <v>34.799999999999997</v>
      </c>
      <c r="I31" s="523">
        <v>7.1</v>
      </c>
      <c r="J31" s="523">
        <v>16.2</v>
      </c>
      <c r="K31" s="523">
        <v>110.30000000000001</v>
      </c>
      <c r="L31" s="523">
        <v>309.90000000000003</v>
      </c>
      <c r="M31" s="523">
        <v>477.8</v>
      </c>
      <c r="N31" s="523">
        <v>728.4000000000002</v>
      </c>
      <c r="O31" s="245"/>
      <c r="Z31" s="218" t="str">
        <f>+B90</f>
        <v>Daylight hours</v>
      </c>
    </row>
    <row r="32" spans="1:26" x14ac:dyDescent="0.2">
      <c r="A32" s="245"/>
      <c r="B32" s="250">
        <f>'1. LDC Info'!F27-6</f>
        <v>2011</v>
      </c>
      <c r="C32" s="523">
        <v>888.4</v>
      </c>
      <c r="D32" s="523">
        <v>728.09999999999991</v>
      </c>
      <c r="E32" s="523">
        <v>634.39999999999986</v>
      </c>
      <c r="F32" s="523">
        <v>342.7</v>
      </c>
      <c r="G32" s="523">
        <v>139.40000000000003</v>
      </c>
      <c r="H32" s="523">
        <v>15.100000000000001</v>
      </c>
      <c r="I32" s="523">
        <v>0</v>
      </c>
      <c r="J32" s="523">
        <v>2.4</v>
      </c>
      <c r="K32" s="523">
        <v>62.499999999999993</v>
      </c>
      <c r="L32" s="523">
        <v>258.3</v>
      </c>
      <c r="M32" s="523">
        <v>383.1</v>
      </c>
      <c r="N32" s="523">
        <v>656.69999999999993</v>
      </c>
      <c r="O32" s="245"/>
    </row>
    <row r="33" spans="1:15" x14ac:dyDescent="0.2">
      <c r="A33" s="245"/>
      <c r="B33" s="250">
        <f>'1. LDC Info'!F27-5</f>
        <v>2012</v>
      </c>
      <c r="C33" s="523">
        <v>828.6</v>
      </c>
      <c r="D33" s="523">
        <v>673.8</v>
      </c>
      <c r="E33" s="523">
        <v>447.59999999999997</v>
      </c>
      <c r="F33" s="523">
        <v>351.89999999999992</v>
      </c>
      <c r="G33" s="523">
        <v>94.300000000000011</v>
      </c>
      <c r="H33" s="523">
        <v>29.300000000000008</v>
      </c>
      <c r="I33" s="523">
        <v>0</v>
      </c>
      <c r="J33" s="523">
        <v>6.2</v>
      </c>
      <c r="K33" s="523">
        <v>119.59999999999997</v>
      </c>
      <c r="L33" s="523">
        <v>252.59999999999994</v>
      </c>
      <c r="M33" s="523">
        <v>473.3</v>
      </c>
      <c r="N33" s="523">
        <v>702.5999999999998</v>
      </c>
      <c r="O33" s="245"/>
    </row>
    <row r="34" spans="1:15" x14ac:dyDescent="0.2">
      <c r="A34" s="245"/>
      <c r="B34" s="250">
        <f>'1. LDC Info'!F27-4</f>
        <v>2013</v>
      </c>
      <c r="C34" s="523">
        <v>805.39999999999975</v>
      </c>
      <c r="D34" s="523">
        <v>720.99999999999977</v>
      </c>
      <c r="E34" s="523">
        <v>614.59999999999991</v>
      </c>
      <c r="F34" s="523">
        <v>366.59999999999997</v>
      </c>
      <c r="G34" s="523">
        <v>111.6</v>
      </c>
      <c r="H34" s="523">
        <v>48.300000000000011</v>
      </c>
      <c r="I34" s="523">
        <v>7.3999999999999995</v>
      </c>
      <c r="J34" s="523">
        <v>11.299999999999999</v>
      </c>
      <c r="K34" s="523">
        <v>130.6</v>
      </c>
      <c r="L34" s="523">
        <v>221.6</v>
      </c>
      <c r="M34" s="523">
        <v>511.3</v>
      </c>
      <c r="N34" s="523">
        <v>834.59999999999991</v>
      </c>
      <c r="O34" s="245"/>
    </row>
    <row r="35" spans="1:15" x14ac:dyDescent="0.2">
      <c r="A35" s="245"/>
      <c r="B35" s="250">
        <f>'1. LDC Info'!F27-3</f>
        <v>2014</v>
      </c>
      <c r="C35" s="523">
        <v>917.69999999999993</v>
      </c>
      <c r="D35" s="523">
        <v>792.5</v>
      </c>
      <c r="E35" s="523">
        <v>777.30000000000007</v>
      </c>
      <c r="F35" s="523">
        <v>366.3</v>
      </c>
      <c r="G35" s="523">
        <v>120.59999999999997</v>
      </c>
      <c r="H35" s="523">
        <v>15.1</v>
      </c>
      <c r="I35" s="523">
        <v>7.9</v>
      </c>
      <c r="J35" s="523">
        <v>18.2</v>
      </c>
      <c r="K35" s="523">
        <v>103.19999999999999</v>
      </c>
      <c r="L35" s="523">
        <v>129.80000000000001</v>
      </c>
      <c r="M35" s="523">
        <v>499.20000000000005</v>
      </c>
      <c r="N35" s="523">
        <v>684.5</v>
      </c>
      <c r="O35" s="245"/>
    </row>
    <row r="36" spans="1:15" x14ac:dyDescent="0.2">
      <c r="A36" s="245"/>
      <c r="B36" s="250">
        <f>'1. LDC Info'!F27-2</f>
        <v>2015</v>
      </c>
      <c r="C36" s="523">
        <v>894.29999999999984</v>
      </c>
      <c r="D36" s="523">
        <v>957.39999999999975</v>
      </c>
      <c r="E36" s="523">
        <v>726.4</v>
      </c>
      <c r="F36" s="523">
        <v>345.19999999999993</v>
      </c>
      <c r="G36" s="523">
        <v>90.9</v>
      </c>
      <c r="H36" s="523">
        <v>40.300000000000004</v>
      </c>
      <c r="I36" s="523">
        <v>7.4</v>
      </c>
      <c r="J36" s="523">
        <v>7.1999999999999993</v>
      </c>
      <c r="K36" s="523">
        <v>46.3</v>
      </c>
      <c r="L36" s="523">
        <v>311.39999999999998</v>
      </c>
      <c r="M36" s="523">
        <v>417.49999999999994</v>
      </c>
      <c r="N36" s="523">
        <v>490.1</v>
      </c>
      <c r="O36" s="245"/>
    </row>
    <row r="37" spans="1:15" x14ac:dyDescent="0.2">
      <c r="A37" s="245"/>
      <c r="O37" s="245"/>
    </row>
    <row r="38" spans="1:15" x14ac:dyDescent="0.2">
      <c r="A38" s="245"/>
      <c r="B38" s="251"/>
      <c r="C38" s="246"/>
      <c r="D38" s="246"/>
      <c r="E38" s="246"/>
      <c r="F38" s="246"/>
      <c r="G38" s="246"/>
      <c r="H38" s="246"/>
      <c r="I38" s="246"/>
      <c r="J38" s="246"/>
      <c r="K38" s="246"/>
      <c r="L38" s="246"/>
      <c r="M38" s="246"/>
      <c r="N38" s="246"/>
      <c r="O38" s="245"/>
    </row>
    <row r="39" spans="1:15" x14ac:dyDescent="0.2">
      <c r="A39" s="245"/>
      <c r="B39" s="244" t="s">
        <v>2</v>
      </c>
      <c r="C39" s="249" t="s">
        <v>136</v>
      </c>
      <c r="D39" s="249" t="s">
        <v>137</v>
      </c>
      <c r="E39" s="249" t="s">
        <v>138</v>
      </c>
      <c r="F39" s="249" t="s">
        <v>139</v>
      </c>
      <c r="G39" s="249" t="s">
        <v>115</v>
      </c>
      <c r="H39" s="249" t="s">
        <v>140</v>
      </c>
      <c r="I39" s="249" t="s">
        <v>141</v>
      </c>
      <c r="J39" s="249" t="s">
        <v>142</v>
      </c>
      <c r="K39" s="249" t="s">
        <v>143</v>
      </c>
      <c r="L39" s="249" t="s">
        <v>146</v>
      </c>
      <c r="M39" s="249" t="s">
        <v>144</v>
      </c>
      <c r="N39" s="249" t="s">
        <v>145</v>
      </c>
      <c r="O39" s="245"/>
    </row>
    <row r="40" spans="1:15" x14ac:dyDescent="0.2">
      <c r="A40" s="245"/>
      <c r="B40" s="252" t="str">
        <f t="shared" ref="B40:B59" si="0">B17</f>
        <v>1995</v>
      </c>
      <c r="C40" s="527"/>
      <c r="D40" s="527"/>
      <c r="E40" s="527"/>
      <c r="F40" s="527"/>
      <c r="G40" s="527"/>
      <c r="H40" s="527"/>
      <c r="I40" s="527"/>
      <c r="J40" s="527"/>
      <c r="K40" s="527"/>
      <c r="L40" s="527"/>
      <c r="M40" s="527"/>
      <c r="N40" s="527"/>
      <c r="O40" s="245"/>
    </row>
    <row r="41" spans="1:15" x14ac:dyDescent="0.2">
      <c r="A41" s="245"/>
      <c r="B41" s="252">
        <f t="shared" si="0"/>
        <v>1997</v>
      </c>
      <c r="C41" s="527"/>
      <c r="D41" s="527"/>
      <c r="E41" s="527"/>
      <c r="F41" s="527"/>
      <c r="G41" s="527"/>
      <c r="H41" s="527"/>
      <c r="I41" s="527"/>
      <c r="J41" s="527"/>
      <c r="K41" s="527"/>
      <c r="L41" s="527"/>
      <c r="M41" s="527"/>
      <c r="N41" s="527"/>
      <c r="O41" s="245"/>
    </row>
    <row r="42" spans="1:15" x14ac:dyDescent="0.2">
      <c r="A42" s="245"/>
      <c r="B42" s="252">
        <f t="shared" si="0"/>
        <v>1998</v>
      </c>
      <c r="C42" s="527"/>
      <c r="D42" s="527"/>
      <c r="E42" s="527"/>
      <c r="F42" s="527"/>
      <c r="G42" s="527"/>
      <c r="H42" s="527"/>
      <c r="I42" s="527"/>
      <c r="J42" s="527"/>
      <c r="K42" s="527"/>
      <c r="L42" s="527"/>
      <c r="M42" s="527"/>
      <c r="N42" s="527"/>
      <c r="O42" s="245"/>
    </row>
    <row r="43" spans="1:15" x14ac:dyDescent="0.2">
      <c r="A43" s="245"/>
      <c r="B43" s="252">
        <f t="shared" si="0"/>
        <v>1999</v>
      </c>
      <c r="C43" s="527"/>
      <c r="D43" s="527"/>
      <c r="E43" s="527"/>
      <c r="F43" s="527"/>
      <c r="G43" s="527"/>
      <c r="H43" s="527"/>
      <c r="I43" s="527"/>
      <c r="J43" s="527"/>
      <c r="K43" s="527"/>
      <c r="L43" s="527"/>
      <c r="M43" s="527"/>
      <c r="N43" s="527"/>
      <c r="O43" s="245"/>
    </row>
    <row r="44" spans="1:15" x14ac:dyDescent="0.2">
      <c r="A44" s="245"/>
      <c r="B44" s="252">
        <f t="shared" si="0"/>
        <v>2000</v>
      </c>
      <c r="C44" s="527"/>
      <c r="D44" s="527"/>
      <c r="E44" s="527"/>
      <c r="F44" s="527"/>
      <c r="G44" s="527"/>
      <c r="H44" s="527"/>
      <c r="I44" s="527"/>
      <c r="J44" s="527"/>
      <c r="K44" s="527"/>
      <c r="L44" s="527"/>
      <c r="M44" s="527"/>
      <c r="N44" s="527"/>
      <c r="O44" s="245"/>
    </row>
    <row r="45" spans="1:15" x14ac:dyDescent="0.2">
      <c r="A45" s="245"/>
      <c r="B45" s="252">
        <f t="shared" si="0"/>
        <v>2001</v>
      </c>
      <c r="C45" s="527"/>
      <c r="D45" s="527"/>
      <c r="E45" s="527"/>
      <c r="F45" s="527"/>
      <c r="G45" s="527"/>
      <c r="H45" s="527"/>
      <c r="I45" s="527"/>
      <c r="J45" s="527"/>
      <c r="K45" s="527"/>
      <c r="L45" s="527"/>
      <c r="M45" s="527"/>
      <c r="N45" s="527"/>
      <c r="O45" s="245"/>
    </row>
    <row r="46" spans="1:15" x14ac:dyDescent="0.2">
      <c r="A46" s="245"/>
      <c r="B46" s="252">
        <f t="shared" si="0"/>
        <v>2002</v>
      </c>
      <c r="C46" s="527"/>
      <c r="D46" s="527"/>
      <c r="E46" s="527"/>
      <c r="F46" s="527"/>
      <c r="G46" s="527"/>
      <c r="H46" s="527"/>
      <c r="I46" s="527"/>
      <c r="J46" s="527"/>
      <c r="K46" s="527"/>
      <c r="L46" s="527"/>
      <c r="M46" s="527"/>
      <c r="N46" s="527"/>
      <c r="O46" s="245"/>
    </row>
    <row r="47" spans="1:15" x14ac:dyDescent="0.2">
      <c r="A47" s="245"/>
      <c r="B47" s="252">
        <f t="shared" si="0"/>
        <v>2003</v>
      </c>
      <c r="C47" s="527"/>
      <c r="D47" s="527"/>
      <c r="E47" s="527"/>
      <c r="F47" s="527"/>
      <c r="G47" s="527"/>
      <c r="H47" s="527"/>
      <c r="I47" s="527"/>
      <c r="J47" s="527"/>
      <c r="K47" s="527"/>
      <c r="L47" s="527"/>
      <c r="M47" s="527"/>
      <c r="N47" s="527"/>
      <c r="O47" s="245"/>
    </row>
    <row r="48" spans="1:15" x14ac:dyDescent="0.2">
      <c r="A48" s="245"/>
      <c r="B48" s="252">
        <f t="shared" si="0"/>
        <v>2004</v>
      </c>
      <c r="C48" s="527"/>
      <c r="D48" s="527"/>
      <c r="E48" s="527"/>
      <c r="F48" s="527"/>
      <c r="G48" s="527"/>
      <c r="H48" s="527"/>
      <c r="I48" s="527"/>
      <c r="J48" s="527"/>
      <c r="K48" s="527"/>
      <c r="L48" s="527"/>
      <c r="M48" s="527"/>
      <c r="N48" s="527"/>
      <c r="O48" s="245"/>
    </row>
    <row r="49" spans="1:15" x14ac:dyDescent="0.2">
      <c r="A49" s="245"/>
      <c r="B49" s="252">
        <f t="shared" si="0"/>
        <v>2005</v>
      </c>
      <c r="C49" s="527"/>
      <c r="D49" s="527"/>
      <c r="E49" s="527"/>
      <c r="F49" s="527"/>
      <c r="G49" s="527"/>
      <c r="H49" s="527"/>
      <c r="I49" s="527"/>
      <c r="J49" s="527"/>
      <c r="K49" s="527"/>
      <c r="L49" s="527"/>
      <c r="M49" s="527"/>
      <c r="N49" s="527"/>
      <c r="O49" s="245"/>
    </row>
    <row r="50" spans="1:15" x14ac:dyDescent="0.2">
      <c r="A50" s="245"/>
      <c r="B50" s="252">
        <f t="shared" si="0"/>
        <v>2006</v>
      </c>
      <c r="C50" s="527">
        <v>0</v>
      </c>
      <c r="D50" s="527">
        <v>0</v>
      </c>
      <c r="E50" s="527">
        <v>0</v>
      </c>
      <c r="F50" s="527">
        <v>0</v>
      </c>
      <c r="G50" s="527">
        <v>17.100000000000001</v>
      </c>
      <c r="H50" s="527">
        <v>48.800000000000004</v>
      </c>
      <c r="I50" s="527">
        <v>124.89999999999999</v>
      </c>
      <c r="J50" s="527">
        <v>57.7</v>
      </c>
      <c r="K50" s="527">
        <v>3.2</v>
      </c>
      <c r="L50" s="527">
        <v>0</v>
      </c>
      <c r="M50" s="527">
        <v>0</v>
      </c>
      <c r="N50" s="527">
        <v>0</v>
      </c>
      <c r="O50" s="245"/>
    </row>
    <row r="51" spans="1:15" x14ac:dyDescent="0.2">
      <c r="A51" s="245"/>
      <c r="B51" s="252">
        <f t="shared" si="0"/>
        <v>2007</v>
      </c>
      <c r="C51" s="527">
        <v>0</v>
      </c>
      <c r="D51" s="527">
        <v>0</v>
      </c>
      <c r="E51" s="527">
        <v>0</v>
      </c>
      <c r="F51" s="527">
        <v>0</v>
      </c>
      <c r="G51" s="527">
        <v>14.7</v>
      </c>
      <c r="H51" s="527">
        <v>60.9</v>
      </c>
      <c r="I51" s="527">
        <v>54.3</v>
      </c>
      <c r="J51" s="527">
        <v>67.5</v>
      </c>
      <c r="K51" s="527">
        <v>22.4</v>
      </c>
      <c r="L51" s="527">
        <v>0.5</v>
      </c>
      <c r="M51" s="527">
        <v>0</v>
      </c>
      <c r="N51" s="527">
        <v>0</v>
      </c>
      <c r="O51" s="245"/>
    </row>
    <row r="52" spans="1:15" x14ac:dyDescent="0.2">
      <c r="A52" s="245"/>
      <c r="B52" s="252">
        <f t="shared" si="0"/>
        <v>2008</v>
      </c>
      <c r="C52" s="527">
        <v>0</v>
      </c>
      <c r="D52" s="527">
        <v>0</v>
      </c>
      <c r="E52" s="527">
        <v>0</v>
      </c>
      <c r="F52" s="527">
        <v>0</v>
      </c>
      <c r="G52" s="527">
        <v>0</v>
      </c>
      <c r="H52" s="527">
        <v>58.900000000000006</v>
      </c>
      <c r="I52" s="527">
        <v>71.2</v>
      </c>
      <c r="J52" s="527">
        <v>46.100000000000009</v>
      </c>
      <c r="K52" s="527">
        <v>18</v>
      </c>
      <c r="L52" s="527">
        <v>0</v>
      </c>
      <c r="M52" s="527">
        <v>0</v>
      </c>
      <c r="N52" s="527">
        <v>0</v>
      </c>
      <c r="O52" s="245"/>
    </row>
    <row r="53" spans="1:15" x14ac:dyDescent="0.2">
      <c r="A53" s="245"/>
      <c r="B53" s="252">
        <f t="shared" si="0"/>
        <v>2009</v>
      </c>
      <c r="C53" s="527">
        <v>0</v>
      </c>
      <c r="D53" s="527">
        <v>0</v>
      </c>
      <c r="E53" s="527">
        <v>0</v>
      </c>
      <c r="F53" s="527">
        <v>2.5</v>
      </c>
      <c r="G53" s="527">
        <v>0</v>
      </c>
      <c r="H53" s="527">
        <v>42.500000000000007</v>
      </c>
      <c r="I53" s="527">
        <v>41.099999999999994</v>
      </c>
      <c r="J53" s="527">
        <v>76.099999999999994</v>
      </c>
      <c r="K53" s="527">
        <v>4.3</v>
      </c>
      <c r="L53" s="527">
        <v>0</v>
      </c>
      <c r="M53" s="527">
        <v>0</v>
      </c>
      <c r="N53" s="527">
        <v>0</v>
      </c>
      <c r="O53" s="245"/>
    </row>
    <row r="54" spans="1:15" x14ac:dyDescent="0.2">
      <c r="A54" s="245"/>
      <c r="B54" s="252">
        <f t="shared" si="0"/>
        <v>2010</v>
      </c>
      <c r="C54" s="527">
        <v>0</v>
      </c>
      <c r="D54" s="527">
        <v>0</v>
      </c>
      <c r="E54" s="527">
        <v>0</v>
      </c>
      <c r="F54" s="527">
        <v>0.1</v>
      </c>
      <c r="G54" s="527">
        <v>34.4</v>
      </c>
      <c r="H54" s="527">
        <v>36.4</v>
      </c>
      <c r="I54" s="527">
        <v>149.00000000000006</v>
      </c>
      <c r="J54" s="527">
        <v>77.199999999999989</v>
      </c>
      <c r="K54" s="527">
        <v>26.400000000000002</v>
      </c>
      <c r="L54" s="527">
        <v>0</v>
      </c>
      <c r="M54" s="527">
        <v>0</v>
      </c>
      <c r="N54" s="527">
        <v>0</v>
      </c>
      <c r="O54" s="245"/>
    </row>
    <row r="55" spans="1:15" x14ac:dyDescent="0.2">
      <c r="A55" s="245"/>
      <c r="B55" s="252">
        <f t="shared" si="0"/>
        <v>2011</v>
      </c>
      <c r="C55" s="527">
        <v>0</v>
      </c>
      <c r="D55" s="527">
        <v>0</v>
      </c>
      <c r="E55" s="527">
        <v>0</v>
      </c>
      <c r="F55" s="527">
        <v>0</v>
      </c>
      <c r="G55" s="527">
        <v>16.2</v>
      </c>
      <c r="H55" s="527">
        <v>56.399999999999991</v>
      </c>
      <c r="I55" s="527">
        <v>131</v>
      </c>
      <c r="J55" s="527">
        <v>66.900000000000006</v>
      </c>
      <c r="K55" s="527">
        <v>30.500000000000004</v>
      </c>
      <c r="L55" s="527">
        <v>1.1000000000000001</v>
      </c>
      <c r="M55" s="527">
        <v>0</v>
      </c>
      <c r="N55" s="527">
        <v>0</v>
      </c>
      <c r="O55" s="245"/>
    </row>
    <row r="56" spans="1:15" x14ac:dyDescent="0.2">
      <c r="A56" s="245"/>
      <c r="B56" s="252">
        <f t="shared" si="0"/>
        <v>2012</v>
      </c>
      <c r="C56" s="528">
        <v>0</v>
      </c>
      <c r="D56" s="528">
        <v>0</v>
      </c>
      <c r="E56" s="528">
        <v>0</v>
      </c>
      <c r="F56" s="528">
        <v>3</v>
      </c>
      <c r="G56" s="528">
        <v>22.9</v>
      </c>
      <c r="H56" s="528">
        <v>74.099999999999994</v>
      </c>
      <c r="I56" s="528">
        <v>141.80000000000001</v>
      </c>
      <c r="J56" s="528">
        <v>99.6</v>
      </c>
      <c r="K56" s="528">
        <v>22</v>
      </c>
      <c r="L56" s="528">
        <v>0</v>
      </c>
      <c r="M56" s="528">
        <v>0</v>
      </c>
      <c r="N56" s="528">
        <v>0</v>
      </c>
      <c r="O56" s="245"/>
    </row>
    <row r="57" spans="1:15" x14ac:dyDescent="0.2">
      <c r="A57" s="245"/>
      <c r="B57" s="252">
        <f t="shared" si="0"/>
        <v>2013</v>
      </c>
      <c r="C57" s="527">
        <v>0</v>
      </c>
      <c r="D57" s="527">
        <v>0</v>
      </c>
      <c r="E57" s="527">
        <v>0</v>
      </c>
      <c r="F57" s="527">
        <v>0</v>
      </c>
      <c r="G57" s="527">
        <v>14.3</v>
      </c>
      <c r="H57" s="527">
        <v>42.600000000000009</v>
      </c>
      <c r="I57" s="527">
        <v>104.40000000000002</v>
      </c>
      <c r="J57" s="527">
        <v>60.300000000000004</v>
      </c>
      <c r="K57" s="527">
        <v>9.2999999999999989</v>
      </c>
      <c r="L57" s="527">
        <v>1.6</v>
      </c>
      <c r="M57" s="527">
        <v>0</v>
      </c>
      <c r="N57" s="527">
        <v>0</v>
      </c>
      <c r="O57" s="245"/>
    </row>
    <row r="58" spans="1:15" x14ac:dyDescent="0.2">
      <c r="A58" s="245"/>
      <c r="B58" s="252">
        <f t="shared" si="0"/>
        <v>2014</v>
      </c>
      <c r="C58" s="527">
        <v>0</v>
      </c>
      <c r="D58" s="527">
        <v>0</v>
      </c>
      <c r="E58" s="527">
        <v>0</v>
      </c>
      <c r="F58" s="527">
        <v>0</v>
      </c>
      <c r="G58" s="527">
        <v>9.4</v>
      </c>
      <c r="H58" s="527">
        <v>27.299999999999997</v>
      </c>
      <c r="I58" s="527">
        <v>56.9</v>
      </c>
      <c r="J58" s="527">
        <v>49.7</v>
      </c>
      <c r="K58" s="527">
        <v>16.100000000000001</v>
      </c>
      <c r="L58" s="527">
        <v>2.8</v>
      </c>
      <c r="M58" s="527">
        <v>0</v>
      </c>
      <c r="N58" s="527">
        <v>0</v>
      </c>
      <c r="O58" s="245"/>
    </row>
    <row r="59" spans="1:15" x14ac:dyDescent="0.2">
      <c r="A59" s="245"/>
      <c r="B59" s="252">
        <f t="shared" si="0"/>
        <v>2015</v>
      </c>
      <c r="C59" s="527">
        <v>0</v>
      </c>
      <c r="D59" s="527">
        <v>0</v>
      </c>
      <c r="E59" s="527">
        <v>0</v>
      </c>
      <c r="F59" s="527">
        <v>0</v>
      </c>
      <c r="G59" s="527">
        <v>23.500000000000004</v>
      </c>
      <c r="H59" s="527">
        <v>22.5</v>
      </c>
      <c r="I59" s="527">
        <v>103.80000000000001</v>
      </c>
      <c r="J59" s="527">
        <v>71.2</v>
      </c>
      <c r="K59" s="527">
        <v>51.7</v>
      </c>
      <c r="L59" s="527">
        <v>0</v>
      </c>
      <c r="M59" s="527">
        <v>0</v>
      </c>
      <c r="N59" s="527">
        <v>0</v>
      </c>
      <c r="O59" s="245"/>
    </row>
    <row r="60" spans="1:15" x14ac:dyDescent="0.2">
      <c r="A60" s="245"/>
      <c r="B60" s="246"/>
      <c r="C60" s="246"/>
      <c r="D60" s="246"/>
      <c r="E60" s="246"/>
      <c r="F60" s="246"/>
      <c r="G60" s="246"/>
      <c r="H60" s="246"/>
      <c r="I60" s="246"/>
      <c r="J60" s="246"/>
      <c r="K60" s="246"/>
      <c r="L60" s="246"/>
      <c r="M60" s="246"/>
      <c r="N60" s="246"/>
      <c r="O60" s="245"/>
    </row>
    <row r="61" spans="1:15" x14ac:dyDescent="0.2">
      <c r="A61" s="245"/>
      <c r="B61" s="246"/>
      <c r="C61" s="246"/>
      <c r="D61" s="246"/>
      <c r="E61" s="246"/>
      <c r="F61" s="246"/>
      <c r="G61" s="246"/>
      <c r="H61" s="246"/>
      <c r="I61" s="246"/>
      <c r="J61" s="246"/>
      <c r="K61" s="246"/>
      <c r="L61" s="246"/>
      <c r="M61" s="246"/>
      <c r="N61" s="246"/>
      <c r="O61" s="245"/>
    </row>
    <row r="62" spans="1:15" ht="25.5" x14ac:dyDescent="0.2">
      <c r="A62" s="245"/>
      <c r="B62" s="253" t="s">
        <v>241</v>
      </c>
      <c r="C62" s="246"/>
      <c r="D62" s="246"/>
      <c r="E62" s="246"/>
      <c r="F62" s="246"/>
      <c r="G62" s="246"/>
      <c r="H62" s="246"/>
      <c r="I62" s="246"/>
      <c r="J62" s="246"/>
      <c r="K62" s="246"/>
      <c r="L62" s="246"/>
      <c r="M62" s="246"/>
      <c r="N62" s="246"/>
      <c r="O62" s="245"/>
    </row>
    <row r="63" spans="1:15" x14ac:dyDescent="0.2">
      <c r="A63" s="245"/>
      <c r="B63" s="245"/>
      <c r="C63" s="249" t="s">
        <v>136</v>
      </c>
      <c r="D63" s="249" t="s">
        <v>137</v>
      </c>
      <c r="E63" s="249" t="s">
        <v>138</v>
      </c>
      <c r="F63" s="249" t="s">
        <v>139</v>
      </c>
      <c r="G63" s="249" t="s">
        <v>115</v>
      </c>
      <c r="H63" s="249" t="s">
        <v>140</v>
      </c>
      <c r="I63" s="249" t="s">
        <v>141</v>
      </c>
      <c r="J63" s="249" t="s">
        <v>142</v>
      </c>
      <c r="K63" s="249" t="s">
        <v>143</v>
      </c>
      <c r="L63" s="249" t="s">
        <v>146</v>
      </c>
      <c r="M63" s="249" t="s">
        <v>144</v>
      </c>
      <c r="N63" s="249" t="s">
        <v>145</v>
      </c>
      <c r="O63" s="245"/>
    </row>
    <row r="64" spans="1:15" x14ac:dyDescent="0.2">
      <c r="A64" s="245"/>
      <c r="B64" s="250">
        <f t="shared" ref="B64:B73" si="1">B50</f>
        <v>2006</v>
      </c>
      <c r="C64" s="524">
        <v>31</v>
      </c>
      <c r="D64" s="524">
        <v>28</v>
      </c>
      <c r="E64" s="524">
        <v>31</v>
      </c>
      <c r="F64" s="524">
        <v>30</v>
      </c>
      <c r="G64" s="524">
        <v>31</v>
      </c>
      <c r="H64" s="524">
        <v>30</v>
      </c>
      <c r="I64" s="524">
        <v>31</v>
      </c>
      <c r="J64" s="524">
        <v>31</v>
      </c>
      <c r="K64" s="524">
        <v>30</v>
      </c>
      <c r="L64" s="524">
        <v>31</v>
      </c>
      <c r="M64" s="524">
        <v>30</v>
      </c>
      <c r="N64" s="524">
        <v>31</v>
      </c>
      <c r="O64" s="245"/>
    </row>
    <row r="65" spans="1:15" x14ac:dyDescent="0.2">
      <c r="A65" s="245"/>
      <c r="B65" s="250">
        <f t="shared" si="1"/>
        <v>2007</v>
      </c>
      <c r="C65" s="524">
        <v>31</v>
      </c>
      <c r="D65" s="524">
        <v>28</v>
      </c>
      <c r="E65" s="524">
        <v>31</v>
      </c>
      <c r="F65" s="524">
        <v>30</v>
      </c>
      <c r="G65" s="524">
        <v>31</v>
      </c>
      <c r="H65" s="524">
        <v>30</v>
      </c>
      <c r="I65" s="524">
        <v>31</v>
      </c>
      <c r="J65" s="524">
        <v>31</v>
      </c>
      <c r="K65" s="524">
        <v>30</v>
      </c>
      <c r="L65" s="524">
        <v>31</v>
      </c>
      <c r="M65" s="524">
        <v>30</v>
      </c>
      <c r="N65" s="524">
        <v>31</v>
      </c>
      <c r="O65" s="245"/>
    </row>
    <row r="66" spans="1:15" x14ac:dyDescent="0.2">
      <c r="A66" s="245"/>
      <c r="B66" s="250">
        <f t="shared" si="1"/>
        <v>2008</v>
      </c>
      <c r="C66" s="524">
        <v>31</v>
      </c>
      <c r="D66" s="524">
        <v>28</v>
      </c>
      <c r="E66" s="524">
        <v>31</v>
      </c>
      <c r="F66" s="524">
        <v>30</v>
      </c>
      <c r="G66" s="524">
        <v>31</v>
      </c>
      <c r="H66" s="524">
        <v>30</v>
      </c>
      <c r="I66" s="524">
        <v>31</v>
      </c>
      <c r="J66" s="524">
        <v>31</v>
      </c>
      <c r="K66" s="524">
        <v>30</v>
      </c>
      <c r="L66" s="524">
        <v>31</v>
      </c>
      <c r="M66" s="524">
        <v>30</v>
      </c>
      <c r="N66" s="524">
        <v>31</v>
      </c>
      <c r="O66" s="245"/>
    </row>
    <row r="67" spans="1:15" x14ac:dyDescent="0.2">
      <c r="A67" s="245"/>
      <c r="B67" s="250">
        <f t="shared" si="1"/>
        <v>2009</v>
      </c>
      <c r="C67" s="524">
        <v>31</v>
      </c>
      <c r="D67" s="524">
        <v>29</v>
      </c>
      <c r="E67" s="524">
        <v>31</v>
      </c>
      <c r="F67" s="524">
        <v>30</v>
      </c>
      <c r="G67" s="524">
        <v>31</v>
      </c>
      <c r="H67" s="524">
        <v>30</v>
      </c>
      <c r="I67" s="524">
        <v>31</v>
      </c>
      <c r="J67" s="524">
        <v>31</v>
      </c>
      <c r="K67" s="524">
        <v>30</v>
      </c>
      <c r="L67" s="524">
        <v>31</v>
      </c>
      <c r="M67" s="524">
        <v>30</v>
      </c>
      <c r="N67" s="524">
        <v>31</v>
      </c>
      <c r="O67" s="245"/>
    </row>
    <row r="68" spans="1:15" x14ac:dyDescent="0.2">
      <c r="A68" s="245"/>
      <c r="B68" s="250">
        <f t="shared" si="1"/>
        <v>2010</v>
      </c>
      <c r="C68" s="524">
        <v>31</v>
      </c>
      <c r="D68" s="524">
        <v>28</v>
      </c>
      <c r="E68" s="524">
        <v>31</v>
      </c>
      <c r="F68" s="524">
        <v>30</v>
      </c>
      <c r="G68" s="524">
        <v>31</v>
      </c>
      <c r="H68" s="524">
        <v>30</v>
      </c>
      <c r="I68" s="524">
        <v>31</v>
      </c>
      <c r="J68" s="524">
        <v>31</v>
      </c>
      <c r="K68" s="524">
        <v>30</v>
      </c>
      <c r="L68" s="524">
        <v>31</v>
      </c>
      <c r="M68" s="524">
        <v>30</v>
      </c>
      <c r="N68" s="524">
        <v>31</v>
      </c>
      <c r="O68" s="245"/>
    </row>
    <row r="69" spans="1:15" x14ac:dyDescent="0.2">
      <c r="A69" s="245"/>
      <c r="B69" s="250">
        <f t="shared" si="1"/>
        <v>2011</v>
      </c>
      <c r="C69" s="524">
        <v>31</v>
      </c>
      <c r="D69" s="524">
        <v>28</v>
      </c>
      <c r="E69" s="524">
        <v>31</v>
      </c>
      <c r="F69" s="524">
        <v>30</v>
      </c>
      <c r="G69" s="524">
        <v>31</v>
      </c>
      <c r="H69" s="524">
        <v>30</v>
      </c>
      <c r="I69" s="524">
        <v>31</v>
      </c>
      <c r="J69" s="524">
        <v>31</v>
      </c>
      <c r="K69" s="524">
        <v>30</v>
      </c>
      <c r="L69" s="524">
        <v>31</v>
      </c>
      <c r="M69" s="524">
        <v>30</v>
      </c>
      <c r="N69" s="524">
        <v>31</v>
      </c>
      <c r="O69" s="245"/>
    </row>
    <row r="70" spans="1:15" x14ac:dyDescent="0.2">
      <c r="A70" s="245"/>
      <c r="B70" s="250">
        <f t="shared" si="1"/>
        <v>2012</v>
      </c>
      <c r="C70" s="524">
        <v>31</v>
      </c>
      <c r="D70" s="524">
        <v>28</v>
      </c>
      <c r="E70" s="524">
        <v>31</v>
      </c>
      <c r="F70" s="524">
        <v>30</v>
      </c>
      <c r="G70" s="524">
        <v>31</v>
      </c>
      <c r="H70" s="524">
        <v>30</v>
      </c>
      <c r="I70" s="524">
        <v>31</v>
      </c>
      <c r="J70" s="524">
        <v>31</v>
      </c>
      <c r="K70" s="524">
        <v>30</v>
      </c>
      <c r="L70" s="524">
        <v>31</v>
      </c>
      <c r="M70" s="524">
        <v>30</v>
      </c>
      <c r="N70" s="524">
        <v>31</v>
      </c>
      <c r="O70" s="245"/>
    </row>
    <row r="71" spans="1:15" x14ac:dyDescent="0.2">
      <c r="A71" s="245"/>
      <c r="B71" s="250">
        <f t="shared" si="1"/>
        <v>2013</v>
      </c>
      <c r="C71" s="524">
        <v>31</v>
      </c>
      <c r="D71" s="524">
        <v>29</v>
      </c>
      <c r="E71" s="524">
        <v>31</v>
      </c>
      <c r="F71" s="524">
        <v>30</v>
      </c>
      <c r="G71" s="524">
        <v>31</v>
      </c>
      <c r="H71" s="524">
        <v>30</v>
      </c>
      <c r="I71" s="524">
        <v>31</v>
      </c>
      <c r="J71" s="524">
        <v>31</v>
      </c>
      <c r="K71" s="524">
        <v>30</v>
      </c>
      <c r="L71" s="524">
        <v>31</v>
      </c>
      <c r="M71" s="524">
        <v>30</v>
      </c>
      <c r="N71" s="524">
        <v>31</v>
      </c>
      <c r="O71" s="245"/>
    </row>
    <row r="72" spans="1:15" x14ac:dyDescent="0.2">
      <c r="A72" s="245"/>
      <c r="B72" s="250">
        <f t="shared" si="1"/>
        <v>2014</v>
      </c>
      <c r="C72" s="524">
        <v>31</v>
      </c>
      <c r="D72" s="524">
        <v>28</v>
      </c>
      <c r="E72" s="524">
        <v>31</v>
      </c>
      <c r="F72" s="524">
        <v>30</v>
      </c>
      <c r="G72" s="524">
        <v>31</v>
      </c>
      <c r="H72" s="524">
        <v>30</v>
      </c>
      <c r="I72" s="524">
        <v>31</v>
      </c>
      <c r="J72" s="524">
        <v>31</v>
      </c>
      <c r="K72" s="524">
        <v>30</v>
      </c>
      <c r="L72" s="524">
        <v>31</v>
      </c>
      <c r="M72" s="524">
        <v>30</v>
      </c>
      <c r="N72" s="524">
        <v>31</v>
      </c>
      <c r="O72" s="245"/>
    </row>
    <row r="73" spans="1:15" x14ac:dyDescent="0.2">
      <c r="A73" s="245"/>
      <c r="B73" s="250">
        <f t="shared" si="1"/>
        <v>2015</v>
      </c>
      <c r="C73" s="524">
        <v>31</v>
      </c>
      <c r="D73" s="524">
        <v>28</v>
      </c>
      <c r="E73" s="524">
        <v>31</v>
      </c>
      <c r="F73" s="524">
        <v>30</v>
      </c>
      <c r="G73" s="524">
        <v>31</v>
      </c>
      <c r="H73" s="524">
        <v>30</v>
      </c>
      <c r="I73" s="524">
        <v>31</v>
      </c>
      <c r="J73" s="524">
        <v>31</v>
      </c>
      <c r="K73" s="524">
        <v>30</v>
      </c>
      <c r="L73" s="524">
        <v>31</v>
      </c>
      <c r="M73" s="524">
        <v>30</v>
      </c>
      <c r="N73" s="524">
        <v>31</v>
      </c>
      <c r="O73" s="245"/>
    </row>
    <row r="74" spans="1:15" x14ac:dyDescent="0.2">
      <c r="A74" s="245"/>
      <c r="B74" s="246"/>
      <c r="C74" s="246"/>
      <c r="D74" s="246"/>
      <c r="E74" s="246"/>
      <c r="F74" s="246"/>
      <c r="G74" s="246"/>
      <c r="H74" s="246"/>
      <c r="I74" s="246"/>
      <c r="J74" s="246"/>
      <c r="K74" s="246"/>
      <c r="L74" s="246"/>
      <c r="M74" s="246"/>
      <c r="N74" s="246"/>
      <c r="O74" s="245"/>
    </row>
    <row r="75" spans="1:15" x14ac:dyDescent="0.2">
      <c r="A75" s="245"/>
      <c r="B75" s="246"/>
      <c r="C75" s="246"/>
      <c r="D75" s="246"/>
      <c r="E75" s="246"/>
      <c r="F75" s="246"/>
      <c r="G75" s="246"/>
      <c r="H75" s="246"/>
      <c r="I75" s="246"/>
      <c r="J75" s="246"/>
      <c r="K75" s="246"/>
      <c r="L75" s="246"/>
      <c r="M75" s="246"/>
      <c r="N75" s="246"/>
      <c r="O75" s="245"/>
    </row>
    <row r="76" spans="1:15" x14ac:dyDescent="0.2">
      <c r="A76" s="245"/>
      <c r="B76" s="253" t="s">
        <v>266</v>
      </c>
      <c r="C76" s="246"/>
      <c r="D76" s="246"/>
      <c r="E76" s="246"/>
      <c r="F76" s="246"/>
      <c r="G76" s="246"/>
      <c r="H76" s="246"/>
      <c r="I76" s="246"/>
      <c r="J76" s="246"/>
      <c r="K76" s="246"/>
      <c r="L76" s="246"/>
      <c r="M76" s="246"/>
      <c r="N76" s="246"/>
      <c r="O76" s="245"/>
    </row>
    <row r="77" spans="1:15" x14ac:dyDescent="0.2">
      <c r="A77" s="245"/>
      <c r="B77" s="245"/>
      <c r="C77" s="249" t="s">
        <v>136</v>
      </c>
      <c r="D77" s="249" t="s">
        <v>137</v>
      </c>
      <c r="E77" s="249" t="s">
        <v>138</v>
      </c>
      <c r="F77" s="249" t="s">
        <v>139</v>
      </c>
      <c r="G77" s="249" t="s">
        <v>115</v>
      </c>
      <c r="H77" s="249" t="s">
        <v>140</v>
      </c>
      <c r="I77" s="249" t="s">
        <v>141</v>
      </c>
      <c r="J77" s="249" t="s">
        <v>142</v>
      </c>
      <c r="K77" s="249" t="s">
        <v>143</v>
      </c>
      <c r="L77" s="249" t="s">
        <v>146</v>
      </c>
      <c r="M77" s="249" t="s">
        <v>144</v>
      </c>
      <c r="N77" s="249" t="s">
        <v>145</v>
      </c>
      <c r="O77" s="245"/>
    </row>
    <row r="78" spans="1:15" x14ac:dyDescent="0.2">
      <c r="A78" s="245"/>
      <c r="B78" s="250">
        <f t="shared" ref="B78:B86" si="2">B64</f>
        <v>2006</v>
      </c>
      <c r="C78" s="525">
        <v>353.3</v>
      </c>
      <c r="D78" s="526">
        <v>353.6</v>
      </c>
      <c r="E78" s="526">
        <v>353.9</v>
      </c>
      <c r="F78" s="526">
        <v>354.3</v>
      </c>
      <c r="G78" s="525">
        <v>354.7</v>
      </c>
      <c r="H78" s="525">
        <v>355.2</v>
      </c>
      <c r="I78" s="525">
        <v>355.6</v>
      </c>
      <c r="J78" s="525">
        <v>356.1</v>
      </c>
      <c r="K78" s="525">
        <v>356.4</v>
      </c>
      <c r="L78" s="525">
        <v>356.7</v>
      </c>
      <c r="M78" s="525">
        <v>356.7</v>
      </c>
      <c r="N78" s="525">
        <v>356.8</v>
      </c>
      <c r="O78" s="245"/>
    </row>
    <row r="79" spans="1:15" x14ac:dyDescent="0.2">
      <c r="A79" s="245"/>
      <c r="B79" s="250">
        <f t="shared" si="2"/>
        <v>2007</v>
      </c>
      <c r="C79" s="525">
        <v>356.9</v>
      </c>
      <c r="D79" s="525">
        <v>357.1</v>
      </c>
      <c r="E79" s="525">
        <v>357.2</v>
      </c>
      <c r="F79" s="525">
        <v>357.4</v>
      </c>
      <c r="G79" s="525">
        <v>357.7</v>
      </c>
      <c r="H79" s="525">
        <v>358</v>
      </c>
      <c r="I79" s="525">
        <v>358.3</v>
      </c>
      <c r="J79" s="525">
        <v>358.7</v>
      </c>
      <c r="K79" s="525">
        <v>359.1</v>
      </c>
      <c r="L79" s="525">
        <v>359.4</v>
      </c>
      <c r="M79" s="525">
        <v>359.7</v>
      </c>
      <c r="N79" s="525">
        <v>359.9</v>
      </c>
      <c r="O79" s="245"/>
    </row>
    <row r="80" spans="1:15" x14ac:dyDescent="0.2">
      <c r="A80" s="245"/>
      <c r="B80" s="250">
        <f t="shared" si="2"/>
        <v>2008</v>
      </c>
      <c r="C80" s="525">
        <v>360</v>
      </c>
      <c r="D80" s="525">
        <v>360</v>
      </c>
      <c r="E80" s="525">
        <v>360.1</v>
      </c>
      <c r="F80" s="525">
        <v>360.3</v>
      </c>
      <c r="G80" s="525">
        <v>360.5</v>
      </c>
      <c r="H80" s="525">
        <v>360.7</v>
      </c>
      <c r="I80" s="525">
        <v>360.9</v>
      </c>
      <c r="J80" s="525">
        <v>361.2</v>
      </c>
      <c r="K80" s="525">
        <v>361.3</v>
      </c>
      <c r="L80" s="525">
        <v>361.4</v>
      </c>
      <c r="M80" s="525">
        <v>361.4</v>
      </c>
      <c r="N80" s="525">
        <v>361.6</v>
      </c>
      <c r="O80" s="245"/>
    </row>
    <row r="81" spans="1:15" x14ac:dyDescent="0.2">
      <c r="A81" s="245"/>
      <c r="B81" s="250">
        <f t="shared" si="2"/>
        <v>2009</v>
      </c>
      <c r="C81" s="525">
        <v>361.7</v>
      </c>
      <c r="D81" s="525">
        <v>361.8</v>
      </c>
      <c r="E81" s="525">
        <v>361.9</v>
      </c>
      <c r="F81" s="525">
        <v>362</v>
      </c>
      <c r="G81" s="525">
        <v>362.2</v>
      </c>
      <c r="H81" s="525">
        <v>362.4</v>
      </c>
      <c r="I81" s="525">
        <v>362.6</v>
      </c>
      <c r="J81" s="525">
        <v>362.9</v>
      </c>
      <c r="K81" s="525">
        <v>363.1</v>
      </c>
      <c r="L81" s="525">
        <v>363.3</v>
      </c>
      <c r="M81" s="525">
        <v>363.4</v>
      </c>
      <c r="N81" s="525">
        <v>363.5</v>
      </c>
      <c r="O81" s="245"/>
    </row>
    <row r="82" spans="1:15" x14ac:dyDescent="0.2">
      <c r="A82" s="245"/>
      <c r="B82" s="250">
        <f t="shared" si="2"/>
        <v>2010</v>
      </c>
      <c r="C82" s="525">
        <v>363.7</v>
      </c>
      <c r="D82" s="525">
        <v>363.7</v>
      </c>
      <c r="E82" s="525">
        <v>363.8</v>
      </c>
      <c r="F82" s="525">
        <v>364</v>
      </c>
      <c r="G82" s="525">
        <v>364.2</v>
      </c>
      <c r="H82" s="525">
        <v>364.5</v>
      </c>
      <c r="I82" s="525">
        <v>364.8</v>
      </c>
      <c r="J82" s="525">
        <v>365.2</v>
      </c>
      <c r="K82" s="525">
        <v>365.5</v>
      </c>
      <c r="L82" s="525">
        <v>365.7</v>
      </c>
      <c r="M82" s="525">
        <v>365.8</v>
      </c>
      <c r="N82" s="525">
        <v>365.9</v>
      </c>
      <c r="O82" s="245"/>
    </row>
    <row r="83" spans="1:15" x14ac:dyDescent="0.2">
      <c r="A83" s="245"/>
      <c r="B83" s="250">
        <f t="shared" si="2"/>
        <v>2011</v>
      </c>
      <c r="C83" s="525">
        <v>365.9</v>
      </c>
      <c r="D83" s="525">
        <v>366</v>
      </c>
      <c r="E83" s="525">
        <v>366.1</v>
      </c>
      <c r="F83" s="525">
        <v>366.2</v>
      </c>
      <c r="G83" s="525">
        <v>366.3</v>
      </c>
      <c r="H83" s="525">
        <v>366.6</v>
      </c>
      <c r="I83" s="525">
        <v>366.9</v>
      </c>
      <c r="J83" s="525">
        <v>367.2</v>
      </c>
      <c r="K83" s="525">
        <v>367.4</v>
      </c>
      <c r="L83" s="525">
        <v>367.6</v>
      </c>
      <c r="M83" s="525">
        <v>367.8</v>
      </c>
      <c r="N83" s="525">
        <v>367.9</v>
      </c>
      <c r="O83" s="245"/>
    </row>
    <row r="84" spans="1:15" x14ac:dyDescent="0.2">
      <c r="A84" s="245"/>
      <c r="B84" s="250">
        <f t="shared" si="2"/>
        <v>2012</v>
      </c>
      <c r="C84" s="525">
        <v>367.9</v>
      </c>
      <c r="D84" s="525">
        <v>368</v>
      </c>
      <c r="E84" s="525">
        <v>368</v>
      </c>
      <c r="F84" s="525">
        <v>368.2</v>
      </c>
      <c r="G84" s="525">
        <v>368.3</v>
      </c>
      <c r="H84" s="525">
        <v>368.4</v>
      </c>
      <c r="I84" s="525">
        <v>368.6</v>
      </c>
      <c r="J84" s="525">
        <v>368.8</v>
      </c>
      <c r="K84" s="525">
        <v>368.9</v>
      </c>
      <c r="L84" s="525">
        <v>369</v>
      </c>
      <c r="M84" s="525">
        <v>369.1</v>
      </c>
      <c r="N84" s="525">
        <v>369.2</v>
      </c>
      <c r="O84" s="245"/>
    </row>
    <row r="85" spans="1:15" x14ac:dyDescent="0.2">
      <c r="A85" s="245"/>
      <c r="B85" s="250">
        <f t="shared" si="2"/>
        <v>2013</v>
      </c>
      <c r="C85" s="525">
        <v>369.3</v>
      </c>
      <c r="D85" s="525">
        <v>369.3</v>
      </c>
      <c r="E85" s="525">
        <v>369.4</v>
      </c>
      <c r="F85" s="525">
        <v>369.5</v>
      </c>
      <c r="G85" s="525">
        <v>369.7</v>
      </c>
      <c r="H85" s="525">
        <v>369.9</v>
      </c>
      <c r="I85" s="525">
        <v>370.2</v>
      </c>
      <c r="J85" s="525">
        <v>370.5</v>
      </c>
      <c r="K85" s="525">
        <v>370.7</v>
      </c>
      <c r="L85" s="525">
        <v>370.9</v>
      </c>
      <c r="M85" s="525">
        <v>371</v>
      </c>
      <c r="N85" s="525">
        <v>371.2</v>
      </c>
      <c r="O85" s="245"/>
    </row>
    <row r="86" spans="1:15" x14ac:dyDescent="0.2">
      <c r="A86" s="245"/>
      <c r="B86" s="250">
        <f t="shared" si="2"/>
        <v>2014</v>
      </c>
      <c r="C86" s="525">
        <v>371.4</v>
      </c>
      <c r="D86" s="525">
        <v>371.5</v>
      </c>
      <c r="E86" s="525">
        <v>371.6</v>
      </c>
      <c r="F86" s="525">
        <v>371.6</v>
      </c>
      <c r="G86" s="525">
        <v>371.7</v>
      </c>
      <c r="H86" s="525">
        <v>372</v>
      </c>
      <c r="I86" s="525">
        <v>372.2</v>
      </c>
      <c r="J86" s="525">
        <v>372.5</v>
      </c>
      <c r="K86" s="525">
        <v>372.5</v>
      </c>
      <c r="L86" s="525">
        <v>372.5</v>
      </c>
      <c r="M86" s="525">
        <v>372.5</v>
      </c>
      <c r="N86" s="525">
        <v>372.5</v>
      </c>
      <c r="O86" s="245"/>
    </row>
    <row r="87" spans="1:15" x14ac:dyDescent="0.2">
      <c r="A87" s="245"/>
      <c r="B87" s="250">
        <f>B73</f>
        <v>2015</v>
      </c>
      <c r="C87" s="525">
        <v>372.5</v>
      </c>
      <c r="D87" s="525">
        <v>372.5</v>
      </c>
      <c r="E87" s="525">
        <v>372.5</v>
      </c>
      <c r="F87" s="525">
        <v>372.6</v>
      </c>
      <c r="G87" s="525">
        <v>372.8</v>
      </c>
      <c r="H87" s="525">
        <v>372.9</v>
      </c>
      <c r="I87" s="525">
        <v>373.1</v>
      </c>
      <c r="J87" s="525">
        <v>373.4</v>
      </c>
      <c r="K87" s="525">
        <v>373.5</v>
      </c>
      <c r="L87" s="525">
        <v>373.6</v>
      </c>
      <c r="M87" s="525">
        <v>373.6</v>
      </c>
      <c r="N87" s="525">
        <v>373.7</v>
      </c>
      <c r="O87" s="245"/>
    </row>
    <row r="88" spans="1:15" x14ac:dyDescent="0.2">
      <c r="A88" s="245"/>
      <c r="B88" s="246"/>
      <c r="C88" s="246"/>
      <c r="D88" s="246"/>
      <c r="E88" s="246"/>
      <c r="F88" s="246"/>
      <c r="G88" s="246"/>
      <c r="H88" s="246"/>
      <c r="I88" s="246"/>
      <c r="J88" s="246"/>
      <c r="K88" s="246"/>
      <c r="L88" s="246"/>
      <c r="M88" s="246"/>
      <c r="N88" s="246"/>
      <c r="O88" s="245"/>
    </row>
    <row r="89" spans="1:15" x14ac:dyDescent="0.2">
      <c r="A89" s="245"/>
      <c r="B89" s="246"/>
      <c r="C89" s="246"/>
      <c r="D89" s="246"/>
      <c r="E89" s="246"/>
      <c r="F89" s="246"/>
      <c r="G89" s="246"/>
      <c r="H89" s="246"/>
      <c r="I89" s="246"/>
      <c r="J89" s="246"/>
      <c r="K89" s="246"/>
      <c r="L89" s="246"/>
      <c r="M89" s="246"/>
      <c r="N89" s="246"/>
      <c r="O89" s="245"/>
    </row>
    <row r="90" spans="1:15" x14ac:dyDescent="0.2">
      <c r="A90" s="245"/>
      <c r="B90" s="253" t="s">
        <v>450</v>
      </c>
      <c r="C90" s="246"/>
      <c r="D90" s="246"/>
      <c r="E90" s="246"/>
      <c r="F90" s="246"/>
      <c r="G90" s="246"/>
      <c r="H90" s="246"/>
      <c r="I90" s="246"/>
      <c r="J90" s="246"/>
      <c r="K90" s="246"/>
      <c r="L90" s="246"/>
      <c r="M90" s="246"/>
      <c r="N90" s="246"/>
      <c r="O90" s="245"/>
    </row>
    <row r="91" spans="1:15" x14ac:dyDescent="0.2">
      <c r="A91" s="245"/>
      <c r="B91" s="245"/>
      <c r="C91" s="249" t="s">
        <v>136</v>
      </c>
      <c r="D91" s="249" t="s">
        <v>137</v>
      </c>
      <c r="E91" s="249" t="s">
        <v>138</v>
      </c>
      <c r="F91" s="249" t="s">
        <v>139</v>
      </c>
      <c r="G91" s="249" t="s">
        <v>115</v>
      </c>
      <c r="H91" s="249" t="s">
        <v>140</v>
      </c>
      <c r="I91" s="249" t="s">
        <v>141</v>
      </c>
      <c r="J91" s="249" t="s">
        <v>142</v>
      </c>
      <c r="K91" s="249" t="s">
        <v>143</v>
      </c>
      <c r="L91" s="249" t="s">
        <v>146</v>
      </c>
      <c r="M91" s="249" t="s">
        <v>144</v>
      </c>
      <c r="N91" s="249" t="s">
        <v>145</v>
      </c>
      <c r="O91" s="245"/>
    </row>
    <row r="92" spans="1:15" x14ac:dyDescent="0.2">
      <c r="A92" s="245"/>
      <c r="B92" s="250">
        <f t="shared" ref="B92:B100" si="3">B78</f>
        <v>2006</v>
      </c>
      <c r="C92" s="528">
        <v>9.09</v>
      </c>
      <c r="D92" s="528">
        <v>10.19</v>
      </c>
      <c r="E92" s="528">
        <v>11.51</v>
      </c>
      <c r="F92" s="528">
        <v>13.28</v>
      </c>
      <c r="G92" s="528">
        <v>14.52</v>
      </c>
      <c r="H92" s="528">
        <v>15.35</v>
      </c>
      <c r="I92" s="528">
        <v>15.15</v>
      </c>
      <c r="J92" s="528">
        <v>14.03</v>
      </c>
      <c r="K92" s="528">
        <v>12.29</v>
      </c>
      <c r="L92" s="528">
        <v>10.51</v>
      </c>
      <c r="M92" s="528">
        <v>9.2799999999999994</v>
      </c>
      <c r="N92" s="528">
        <v>8.4700000000000006</v>
      </c>
      <c r="O92" s="245"/>
    </row>
    <row r="93" spans="1:15" x14ac:dyDescent="0.2">
      <c r="A93" s="245"/>
      <c r="B93" s="250">
        <f t="shared" si="3"/>
        <v>2007</v>
      </c>
      <c r="C93" s="528">
        <v>9.09</v>
      </c>
      <c r="D93" s="528">
        <v>10.19</v>
      </c>
      <c r="E93" s="528">
        <v>11.51</v>
      </c>
      <c r="F93" s="528">
        <v>13.28</v>
      </c>
      <c r="G93" s="528">
        <v>14.52</v>
      </c>
      <c r="H93" s="528">
        <v>15.35</v>
      </c>
      <c r="I93" s="528">
        <v>15.15</v>
      </c>
      <c r="J93" s="528">
        <v>14.03</v>
      </c>
      <c r="K93" s="528">
        <v>12.29</v>
      </c>
      <c r="L93" s="528">
        <v>10.51</v>
      </c>
      <c r="M93" s="528">
        <v>9.2799999999999994</v>
      </c>
      <c r="N93" s="528">
        <v>8.4700000000000006</v>
      </c>
      <c r="O93" s="245"/>
    </row>
    <row r="94" spans="1:15" x14ac:dyDescent="0.2">
      <c r="A94" s="245"/>
      <c r="B94" s="250">
        <f t="shared" si="3"/>
        <v>2008</v>
      </c>
      <c r="C94" s="528">
        <v>9.09</v>
      </c>
      <c r="D94" s="528">
        <v>10.19</v>
      </c>
      <c r="E94" s="528">
        <v>11.51</v>
      </c>
      <c r="F94" s="528">
        <v>13.28</v>
      </c>
      <c r="G94" s="528">
        <v>14.52</v>
      </c>
      <c r="H94" s="528">
        <v>15.35</v>
      </c>
      <c r="I94" s="528">
        <v>15.15</v>
      </c>
      <c r="J94" s="528">
        <v>14.03</v>
      </c>
      <c r="K94" s="528">
        <v>12.29</v>
      </c>
      <c r="L94" s="528">
        <v>10.51</v>
      </c>
      <c r="M94" s="528">
        <v>9.2799999999999994</v>
      </c>
      <c r="N94" s="528">
        <v>8.4700000000000006</v>
      </c>
      <c r="O94" s="245"/>
    </row>
    <row r="95" spans="1:15" x14ac:dyDescent="0.2">
      <c r="A95" s="245"/>
      <c r="B95" s="250">
        <f t="shared" si="3"/>
        <v>2009</v>
      </c>
      <c r="C95" s="528">
        <v>9.09</v>
      </c>
      <c r="D95" s="528">
        <v>10.19</v>
      </c>
      <c r="E95" s="528">
        <v>11.51</v>
      </c>
      <c r="F95" s="528">
        <v>13.28</v>
      </c>
      <c r="G95" s="528">
        <v>14.52</v>
      </c>
      <c r="H95" s="528">
        <v>15.35</v>
      </c>
      <c r="I95" s="528">
        <v>15.15</v>
      </c>
      <c r="J95" s="528">
        <v>14.03</v>
      </c>
      <c r="K95" s="528">
        <v>12.29</v>
      </c>
      <c r="L95" s="528">
        <v>10.51</v>
      </c>
      <c r="M95" s="528">
        <v>9.2799999999999994</v>
      </c>
      <c r="N95" s="528">
        <v>8.4700000000000006</v>
      </c>
      <c r="O95" s="245"/>
    </row>
    <row r="96" spans="1:15" x14ac:dyDescent="0.2">
      <c r="A96" s="245"/>
      <c r="B96" s="250">
        <f t="shared" si="3"/>
        <v>2010</v>
      </c>
      <c r="C96" s="528">
        <v>9.09</v>
      </c>
      <c r="D96" s="528">
        <v>10.19</v>
      </c>
      <c r="E96" s="528">
        <v>11.51</v>
      </c>
      <c r="F96" s="528">
        <v>13.28</v>
      </c>
      <c r="G96" s="528">
        <v>14.52</v>
      </c>
      <c r="H96" s="528">
        <v>15.35</v>
      </c>
      <c r="I96" s="528">
        <v>15.15</v>
      </c>
      <c r="J96" s="528">
        <v>14.03</v>
      </c>
      <c r="K96" s="528">
        <v>12.29</v>
      </c>
      <c r="L96" s="528">
        <v>10.51</v>
      </c>
      <c r="M96" s="528">
        <v>9.2799999999999994</v>
      </c>
      <c r="N96" s="528">
        <v>8.4700000000000006</v>
      </c>
      <c r="O96" s="245"/>
    </row>
    <row r="97" spans="1:15" x14ac:dyDescent="0.2">
      <c r="A97" s="245"/>
      <c r="B97" s="250">
        <f t="shared" si="3"/>
        <v>2011</v>
      </c>
      <c r="C97" s="528">
        <v>9.09</v>
      </c>
      <c r="D97" s="528">
        <v>10.19</v>
      </c>
      <c r="E97" s="528">
        <v>11.51</v>
      </c>
      <c r="F97" s="528">
        <v>13.28</v>
      </c>
      <c r="G97" s="528">
        <v>14.52</v>
      </c>
      <c r="H97" s="528">
        <v>15.35</v>
      </c>
      <c r="I97" s="528">
        <v>15.15</v>
      </c>
      <c r="J97" s="528">
        <v>14.03</v>
      </c>
      <c r="K97" s="528">
        <v>12.29</v>
      </c>
      <c r="L97" s="528">
        <v>10.51</v>
      </c>
      <c r="M97" s="528">
        <v>9.2799999999999994</v>
      </c>
      <c r="N97" s="528">
        <v>8.4700000000000006</v>
      </c>
      <c r="O97" s="245"/>
    </row>
    <row r="98" spans="1:15" x14ac:dyDescent="0.2">
      <c r="A98" s="245"/>
      <c r="B98" s="250">
        <f t="shared" si="3"/>
        <v>2012</v>
      </c>
      <c r="C98" s="528">
        <v>9.09</v>
      </c>
      <c r="D98" s="528">
        <v>10.19</v>
      </c>
      <c r="E98" s="528">
        <v>11.51</v>
      </c>
      <c r="F98" s="528">
        <v>13.28</v>
      </c>
      <c r="G98" s="528">
        <v>14.52</v>
      </c>
      <c r="H98" s="528">
        <v>15.35</v>
      </c>
      <c r="I98" s="528">
        <v>15.15</v>
      </c>
      <c r="J98" s="528">
        <v>14.03</v>
      </c>
      <c r="K98" s="528">
        <v>12.29</v>
      </c>
      <c r="L98" s="528">
        <v>10.51</v>
      </c>
      <c r="M98" s="528">
        <v>9.2799999999999994</v>
      </c>
      <c r="N98" s="528">
        <v>8.4700000000000006</v>
      </c>
      <c r="O98" s="245"/>
    </row>
    <row r="99" spans="1:15" x14ac:dyDescent="0.2">
      <c r="A99" s="245"/>
      <c r="B99" s="250">
        <f t="shared" si="3"/>
        <v>2013</v>
      </c>
      <c r="C99" s="528">
        <v>9.09</v>
      </c>
      <c r="D99" s="528">
        <v>10.19</v>
      </c>
      <c r="E99" s="528">
        <v>11.51</v>
      </c>
      <c r="F99" s="528">
        <v>13.28</v>
      </c>
      <c r="G99" s="528">
        <v>14.52</v>
      </c>
      <c r="H99" s="528">
        <v>15.35</v>
      </c>
      <c r="I99" s="528">
        <v>15.15</v>
      </c>
      <c r="J99" s="528">
        <v>14.03</v>
      </c>
      <c r="K99" s="528">
        <v>12.29</v>
      </c>
      <c r="L99" s="528">
        <v>10.51</v>
      </c>
      <c r="M99" s="528">
        <v>9.2799999999999994</v>
      </c>
      <c r="N99" s="528">
        <v>8.4700000000000006</v>
      </c>
      <c r="O99" s="245"/>
    </row>
    <row r="100" spans="1:15" x14ac:dyDescent="0.2">
      <c r="A100" s="245"/>
      <c r="B100" s="250">
        <f t="shared" si="3"/>
        <v>2014</v>
      </c>
      <c r="C100" s="528">
        <v>9.09</v>
      </c>
      <c r="D100" s="528">
        <v>10.19</v>
      </c>
      <c r="E100" s="528">
        <v>11.51</v>
      </c>
      <c r="F100" s="528">
        <v>13.28</v>
      </c>
      <c r="G100" s="528">
        <v>14.52</v>
      </c>
      <c r="H100" s="528">
        <v>15.35</v>
      </c>
      <c r="I100" s="528">
        <v>15.15</v>
      </c>
      <c r="J100" s="528">
        <v>14.03</v>
      </c>
      <c r="K100" s="528">
        <v>12.29</v>
      </c>
      <c r="L100" s="528">
        <v>10.51</v>
      </c>
      <c r="M100" s="528">
        <v>9.2799999999999994</v>
      </c>
      <c r="N100" s="528">
        <v>8.4700000000000006</v>
      </c>
      <c r="O100" s="245"/>
    </row>
    <row r="101" spans="1:15" x14ac:dyDescent="0.2">
      <c r="A101" s="245"/>
      <c r="B101" s="250">
        <f>B87</f>
        <v>2015</v>
      </c>
      <c r="C101" s="528">
        <v>9.09</v>
      </c>
      <c r="D101" s="528">
        <v>10.19</v>
      </c>
      <c r="E101" s="528">
        <v>11.51</v>
      </c>
      <c r="F101" s="528">
        <v>13.28</v>
      </c>
      <c r="G101" s="528">
        <v>14.52</v>
      </c>
      <c r="H101" s="528">
        <v>15.35</v>
      </c>
      <c r="I101" s="528">
        <v>15.15</v>
      </c>
      <c r="J101" s="528">
        <v>14.03</v>
      </c>
      <c r="K101" s="528">
        <v>12.29</v>
      </c>
      <c r="L101" s="528">
        <v>10.51</v>
      </c>
      <c r="M101" s="528">
        <v>9.2799999999999994</v>
      </c>
      <c r="N101" s="528">
        <v>8.4700000000000006</v>
      </c>
      <c r="O101" s="245"/>
    </row>
    <row r="102" spans="1:15" x14ac:dyDescent="0.2">
      <c r="A102" s="245"/>
      <c r="B102" s="246"/>
      <c r="C102" s="246"/>
      <c r="D102" s="246"/>
      <c r="E102" s="246"/>
      <c r="F102" s="246"/>
      <c r="G102" s="246"/>
      <c r="H102" s="246"/>
      <c r="I102" s="246"/>
      <c r="J102" s="246"/>
      <c r="K102" s="246"/>
      <c r="L102" s="246"/>
      <c r="M102" s="246"/>
      <c r="N102" s="246"/>
      <c r="O102" s="245"/>
    </row>
    <row r="103" spans="1:15" x14ac:dyDescent="0.2">
      <c r="A103" s="245"/>
      <c r="B103" s="246"/>
      <c r="C103" s="246"/>
      <c r="D103" s="246"/>
      <c r="E103" s="246"/>
      <c r="F103" s="246"/>
      <c r="G103" s="246"/>
      <c r="H103" s="246"/>
      <c r="I103" s="246"/>
      <c r="J103" s="246"/>
      <c r="K103" s="246"/>
      <c r="L103" s="246"/>
      <c r="M103" s="246"/>
      <c r="N103" s="246"/>
      <c r="O103" s="245"/>
    </row>
    <row r="104" spans="1:15" x14ac:dyDescent="0.2">
      <c r="A104" s="245"/>
      <c r="B104" s="253" t="s">
        <v>403</v>
      </c>
      <c r="C104" s="246"/>
      <c r="D104" s="246"/>
      <c r="E104" s="246"/>
      <c r="F104" s="246"/>
      <c r="G104" s="246"/>
      <c r="H104" s="246"/>
      <c r="I104" s="246"/>
      <c r="J104" s="246"/>
      <c r="K104" s="246"/>
      <c r="L104" s="246"/>
      <c r="M104" s="246"/>
      <c r="N104" s="246"/>
      <c r="O104" s="245"/>
    </row>
    <row r="105" spans="1:15" x14ac:dyDescent="0.2">
      <c r="A105" s="245"/>
      <c r="B105" s="245"/>
      <c r="C105" s="249" t="s">
        <v>136</v>
      </c>
      <c r="D105" s="249" t="s">
        <v>137</v>
      </c>
      <c r="E105" s="249" t="s">
        <v>138</v>
      </c>
      <c r="F105" s="249" t="s">
        <v>139</v>
      </c>
      <c r="G105" s="249" t="s">
        <v>115</v>
      </c>
      <c r="H105" s="249" t="s">
        <v>140</v>
      </c>
      <c r="I105" s="249" t="s">
        <v>141</v>
      </c>
      <c r="J105" s="249" t="s">
        <v>142</v>
      </c>
      <c r="K105" s="249" t="s">
        <v>143</v>
      </c>
      <c r="L105" s="249" t="s">
        <v>146</v>
      </c>
      <c r="M105" s="249" t="s">
        <v>144</v>
      </c>
      <c r="N105" s="249" t="s">
        <v>145</v>
      </c>
      <c r="O105" s="245"/>
    </row>
    <row r="106" spans="1:15" x14ac:dyDescent="0.2">
      <c r="A106" s="245"/>
      <c r="B106" s="250">
        <f t="shared" ref="B106:B114" si="4">B92</f>
        <v>2006</v>
      </c>
      <c r="C106" s="985">
        <v>1</v>
      </c>
      <c r="D106" s="985">
        <v>0</v>
      </c>
      <c r="E106" s="985">
        <v>1</v>
      </c>
      <c r="F106" s="985">
        <v>0</v>
      </c>
      <c r="G106" s="985">
        <v>0</v>
      </c>
      <c r="H106" s="985">
        <v>0</v>
      </c>
      <c r="I106" s="985">
        <v>1</v>
      </c>
      <c r="J106" s="985">
        <v>0</v>
      </c>
      <c r="K106" s="985">
        <v>0</v>
      </c>
      <c r="L106" s="985">
        <v>0</v>
      </c>
      <c r="M106" s="985">
        <v>0</v>
      </c>
      <c r="N106" s="985">
        <v>1</v>
      </c>
      <c r="O106" s="245"/>
    </row>
    <row r="107" spans="1:15" x14ac:dyDescent="0.2">
      <c r="A107" s="245"/>
      <c r="B107" s="250">
        <f t="shared" si="4"/>
        <v>2007</v>
      </c>
      <c r="C107" s="985">
        <v>1</v>
      </c>
      <c r="D107" s="985">
        <v>0</v>
      </c>
      <c r="E107" s="985">
        <v>1</v>
      </c>
      <c r="F107" s="985">
        <v>0</v>
      </c>
      <c r="G107" s="985">
        <v>0</v>
      </c>
      <c r="H107" s="985">
        <v>0</v>
      </c>
      <c r="I107" s="985">
        <v>1</v>
      </c>
      <c r="J107" s="985">
        <v>0</v>
      </c>
      <c r="K107" s="985">
        <v>0</v>
      </c>
      <c r="L107" s="985">
        <v>0</v>
      </c>
      <c r="M107" s="985">
        <v>0</v>
      </c>
      <c r="N107" s="985">
        <v>1</v>
      </c>
      <c r="O107" s="245"/>
    </row>
    <row r="108" spans="1:15" x14ac:dyDescent="0.2">
      <c r="A108" s="245"/>
      <c r="B108" s="250">
        <f t="shared" si="4"/>
        <v>2008</v>
      </c>
      <c r="C108" s="985">
        <v>1</v>
      </c>
      <c r="D108" s="985">
        <v>0</v>
      </c>
      <c r="E108" s="985">
        <v>1</v>
      </c>
      <c r="F108" s="985">
        <v>0</v>
      </c>
      <c r="G108" s="985">
        <v>0</v>
      </c>
      <c r="H108" s="985">
        <v>0</v>
      </c>
      <c r="I108" s="985">
        <v>1</v>
      </c>
      <c r="J108" s="985">
        <v>0</v>
      </c>
      <c r="K108" s="985">
        <v>0</v>
      </c>
      <c r="L108" s="985">
        <v>0</v>
      </c>
      <c r="M108" s="985">
        <v>0</v>
      </c>
      <c r="N108" s="985">
        <v>1</v>
      </c>
      <c r="O108" s="245"/>
    </row>
    <row r="109" spans="1:15" x14ac:dyDescent="0.2">
      <c r="A109" s="245"/>
      <c r="B109" s="250">
        <f t="shared" si="4"/>
        <v>2009</v>
      </c>
      <c r="C109" s="985">
        <v>1</v>
      </c>
      <c r="D109" s="985">
        <v>0</v>
      </c>
      <c r="E109" s="985">
        <v>1</v>
      </c>
      <c r="F109" s="985">
        <v>0</v>
      </c>
      <c r="G109" s="985">
        <v>0</v>
      </c>
      <c r="H109" s="985">
        <v>0</v>
      </c>
      <c r="I109" s="985">
        <v>1</v>
      </c>
      <c r="J109" s="985">
        <v>0</v>
      </c>
      <c r="K109" s="985">
        <v>0</v>
      </c>
      <c r="L109" s="985">
        <v>0</v>
      </c>
      <c r="M109" s="985">
        <v>0</v>
      </c>
      <c r="N109" s="985">
        <v>1</v>
      </c>
      <c r="O109" s="245"/>
    </row>
    <row r="110" spans="1:15" x14ac:dyDescent="0.2">
      <c r="A110" s="245"/>
      <c r="B110" s="250">
        <f t="shared" si="4"/>
        <v>2010</v>
      </c>
      <c r="C110" s="985">
        <v>1</v>
      </c>
      <c r="D110" s="985">
        <v>0</v>
      </c>
      <c r="E110" s="985">
        <v>1</v>
      </c>
      <c r="F110" s="985">
        <v>0</v>
      </c>
      <c r="G110" s="985">
        <v>0</v>
      </c>
      <c r="H110" s="985">
        <v>0</v>
      </c>
      <c r="I110" s="985">
        <v>1</v>
      </c>
      <c r="J110" s="985">
        <v>0</v>
      </c>
      <c r="K110" s="985">
        <v>0</v>
      </c>
      <c r="L110" s="985">
        <v>0</v>
      </c>
      <c r="M110" s="985">
        <v>0</v>
      </c>
      <c r="N110" s="985">
        <v>1</v>
      </c>
      <c r="O110" s="245"/>
    </row>
    <row r="111" spans="1:15" x14ac:dyDescent="0.2">
      <c r="A111" s="245"/>
      <c r="B111" s="250">
        <f t="shared" si="4"/>
        <v>2011</v>
      </c>
      <c r="C111" s="985">
        <v>1</v>
      </c>
      <c r="D111" s="985">
        <v>0</v>
      </c>
      <c r="E111" s="985">
        <v>1</v>
      </c>
      <c r="F111" s="985">
        <v>0</v>
      </c>
      <c r="G111" s="985">
        <v>0</v>
      </c>
      <c r="H111" s="985">
        <v>0</v>
      </c>
      <c r="I111" s="985">
        <v>1</v>
      </c>
      <c r="J111" s="985">
        <v>0</v>
      </c>
      <c r="K111" s="985">
        <v>0</v>
      </c>
      <c r="L111" s="985">
        <v>0</v>
      </c>
      <c r="M111" s="985">
        <v>0</v>
      </c>
      <c r="N111" s="985">
        <v>1</v>
      </c>
      <c r="O111" s="245"/>
    </row>
    <row r="112" spans="1:15" x14ac:dyDescent="0.2">
      <c r="A112" s="245"/>
      <c r="B112" s="250">
        <f t="shared" si="4"/>
        <v>2012</v>
      </c>
      <c r="C112" s="985">
        <v>1</v>
      </c>
      <c r="D112" s="985">
        <v>0</v>
      </c>
      <c r="E112" s="985">
        <v>1</v>
      </c>
      <c r="F112" s="985">
        <v>0</v>
      </c>
      <c r="G112" s="985">
        <v>0</v>
      </c>
      <c r="H112" s="985">
        <v>0</v>
      </c>
      <c r="I112" s="985">
        <v>1</v>
      </c>
      <c r="J112" s="985">
        <v>0</v>
      </c>
      <c r="K112" s="985">
        <v>0</v>
      </c>
      <c r="L112" s="985">
        <v>0</v>
      </c>
      <c r="M112" s="985">
        <v>0</v>
      </c>
      <c r="N112" s="985">
        <v>1</v>
      </c>
      <c r="O112" s="245"/>
    </row>
    <row r="113" spans="1:15" x14ac:dyDescent="0.2">
      <c r="A113" s="245"/>
      <c r="B113" s="250">
        <f t="shared" si="4"/>
        <v>2013</v>
      </c>
      <c r="C113" s="985">
        <v>1</v>
      </c>
      <c r="D113" s="985">
        <v>0</v>
      </c>
      <c r="E113" s="985">
        <v>1</v>
      </c>
      <c r="F113" s="985">
        <v>0</v>
      </c>
      <c r="G113" s="985">
        <v>0</v>
      </c>
      <c r="H113" s="985">
        <v>0</v>
      </c>
      <c r="I113" s="985">
        <v>1</v>
      </c>
      <c r="J113" s="985">
        <v>0</v>
      </c>
      <c r="K113" s="985">
        <v>0</v>
      </c>
      <c r="L113" s="985">
        <v>0</v>
      </c>
      <c r="M113" s="985">
        <v>0</v>
      </c>
      <c r="N113" s="985">
        <v>1</v>
      </c>
      <c r="O113" s="245"/>
    </row>
    <row r="114" spans="1:15" x14ac:dyDescent="0.2">
      <c r="A114" s="245"/>
      <c r="B114" s="250">
        <f t="shared" si="4"/>
        <v>2014</v>
      </c>
      <c r="C114" s="985">
        <v>1</v>
      </c>
      <c r="D114" s="985">
        <v>0</v>
      </c>
      <c r="E114" s="985">
        <v>1</v>
      </c>
      <c r="F114" s="985">
        <v>0</v>
      </c>
      <c r="G114" s="985">
        <v>0</v>
      </c>
      <c r="H114" s="985">
        <v>0</v>
      </c>
      <c r="I114" s="985">
        <v>1</v>
      </c>
      <c r="J114" s="985">
        <v>0</v>
      </c>
      <c r="K114" s="985">
        <v>0</v>
      </c>
      <c r="L114" s="985">
        <v>0</v>
      </c>
      <c r="M114" s="985">
        <v>0</v>
      </c>
      <c r="N114" s="985">
        <v>1</v>
      </c>
      <c r="O114" s="245"/>
    </row>
    <row r="115" spans="1:15" x14ac:dyDescent="0.2">
      <c r="A115" s="245"/>
      <c r="B115" s="250">
        <f>B101</f>
        <v>2015</v>
      </c>
      <c r="C115" s="985">
        <v>1</v>
      </c>
      <c r="D115" s="985">
        <v>0</v>
      </c>
      <c r="E115" s="985">
        <v>1</v>
      </c>
      <c r="F115" s="985">
        <v>0</v>
      </c>
      <c r="G115" s="985">
        <v>0</v>
      </c>
      <c r="H115" s="985">
        <v>0</v>
      </c>
      <c r="I115" s="985">
        <v>1</v>
      </c>
      <c r="J115" s="985">
        <v>0</v>
      </c>
      <c r="K115" s="985">
        <v>0</v>
      </c>
      <c r="L115" s="985">
        <v>0</v>
      </c>
      <c r="M115" s="985">
        <v>0</v>
      </c>
      <c r="N115" s="985">
        <v>1</v>
      </c>
      <c r="O115" s="245"/>
    </row>
    <row r="116" spans="1:15" x14ac:dyDescent="0.2">
      <c r="A116" s="245"/>
      <c r="B116" s="246"/>
      <c r="C116" s="246"/>
      <c r="D116" s="246"/>
      <c r="E116" s="246"/>
      <c r="F116" s="246"/>
      <c r="G116" s="246"/>
      <c r="H116" s="246"/>
      <c r="I116" s="246"/>
      <c r="J116" s="246"/>
      <c r="K116" s="246"/>
      <c r="L116" s="246"/>
      <c r="M116" s="246"/>
      <c r="N116" s="246"/>
      <c r="O116" s="245"/>
    </row>
    <row r="117" spans="1:15" x14ac:dyDescent="0.2">
      <c r="A117" s="245"/>
      <c r="B117" s="246"/>
      <c r="C117" s="246"/>
      <c r="D117" s="246"/>
      <c r="E117" s="246"/>
      <c r="F117" s="246"/>
      <c r="G117" s="246"/>
      <c r="H117" s="246"/>
      <c r="I117" s="246"/>
      <c r="J117" s="246"/>
      <c r="K117" s="246"/>
      <c r="L117" s="246"/>
      <c r="M117" s="246"/>
      <c r="N117" s="246"/>
      <c r="O117" s="245"/>
    </row>
    <row r="118" spans="1:15" x14ac:dyDescent="0.2">
      <c r="A118" s="245"/>
      <c r="B118" s="254" t="s">
        <v>134</v>
      </c>
      <c r="C118" s="246"/>
      <c r="D118" s="246"/>
      <c r="E118" s="246"/>
      <c r="F118" s="246"/>
      <c r="G118" s="246"/>
      <c r="H118" s="246"/>
      <c r="I118" s="246"/>
      <c r="J118" s="246"/>
      <c r="K118" s="246"/>
      <c r="L118" s="246"/>
      <c r="M118" s="246"/>
      <c r="N118" s="246"/>
      <c r="O118" s="245"/>
    </row>
    <row r="119" spans="1:15" x14ac:dyDescent="0.2">
      <c r="A119" s="245"/>
      <c r="B119" s="255"/>
      <c r="C119" s="246"/>
      <c r="D119" s="246"/>
      <c r="E119" s="246"/>
      <c r="F119" s="246"/>
      <c r="G119" s="246"/>
      <c r="H119" s="246"/>
      <c r="I119" s="246"/>
      <c r="J119" s="246"/>
      <c r="K119" s="246"/>
      <c r="L119" s="246"/>
      <c r="M119" s="246"/>
      <c r="N119" s="246"/>
      <c r="O119" s="245"/>
    </row>
    <row r="120" spans="1:15" x14ac:dyDescent="0.2">
      <c r="A120" s="245"/>
      <c r="B120" s="256" t="str">
        <f>Variable1</f>
        <v>HDD</v>
      </c>
      <c r="C120" s="246"/>
      <c r="D120" s="246"/>
      <c r="E120" s="246"/>
      <c r="F120" s="246"/>
      <c r="G120" s="246"/>
      <c r="H120" s="246"/>
      <c r="I120" s="246"/>
      <c r="J120" s="246"/>
      <c r="K120" s="246"/>
      <c r="L120" s="246"/>
      <c r="M120" s="246"/>
      <c r="N120" s="246"/>
      <c r="O120" s="245"/>
    </row>
    <row r="121" spans="1:15" x14ac:dyDescent="0.2">
      <c r="A121" s="245"/>
      <c r="B121" s="256" t="str">
        <f>Variable2</f>
        <v>CDD</v>
      </c>
      <c r="C121" s="246"/>
      <c r="D121" s="246"/>
      <c r="E121" s="246"/>
      <c r="F121" s="246"/>
      <c r="G121" s="246"/>
      <c r="H121" s="246"/>
      <c r="I121" s="246"/>
      <c r="J121" s="246"/>
      <c r="K121" s="246"/>
      <c r="L121" s="246"/>
      <c r="M121" s="246"/>
      <c r="N121" s="246"/>
      <c r="O121" s="245"/>
    </row>
    <row r="122" spans="1:15" x14ac:dyDescent="0.2">
      <c r="A122" s="245"/>
      <c r="B122" s="256" t="str">
        <f>Variable3</f>
        <v>Number of Days in Month</v>
      </c>
      <c r="C122" s="246"/>
      <c r="D122" s="246"/>
      <c r="E122" s="246"/>
      <c r="F122" s="246"/>
      <c r="G122" s="246"/>
      <c r="H122" s="246"/>
      <c r="I122" s="246"/>
      <c r="J122" s="246"/>
      <c r="K122" s="246"/>
      <c r="L122" s="246"/>
      <c r="M122" s="246"/>
      <c r="N122" s="246"/>
      <c r="O122" s="245"/>
    </row>
    <row r="123" spans="1:15" x14ac:dyDescent="0.2">
      <c r="A123" s="245"/>
      <c r="B123" s="256" t="str">
        <f>B76</f>
        <v>Employment Stats</v>
      </c>
      <c r="C123" s="246"/>
      <c r="D123" s="246"/>
      <c r="E123" s="246"/>
      <c r="F123" s="246"/>
      <c r="G123" s="246"/>
      <c r="H123" s="246"/>
      <c r="I123" s="246"/>
      <c r="J123" s="246"/>
      <c r="K123" s="246"/>
      <c r="L123" s="246"/>
      <c r="M123" s="246"/>
      <c r="N123" s="246"/>
      <c r="O123" s="245"/>
    </row>
    <row r="124" spans="1:15" x14ac:dyDescent="0.2">
      <c r="A124" s="245"/>
      <c r="B124" s="256" t="str">
        <f>Variable5</f>
        <v>Daylight hours</v>
      </c>
      <c r="C124" s="246"/>
      <c r="D124" s="246"/>
      <c r="E124" s="246"/>
      <c r="F124" s="246"/>
      <c r="G124" s="246"/>
      <c r="H124" s="246"/>
      <c r="I124" s="246"/>
      <c r="J124" s="246"/>
      <c r="K124" s="246"/>
      <c r="L124" s="246"/>
      <c r="M124" s="246"/>
      <c r="N124" s="246"/>
      <c r="O124" s="245"/>
    </row>
    <row r="125" spans="1:15" x14ac:dyDescent="0.2">
      <c r="A125" s="245"/>
      <c r="B125" s="256" t="str">
        <f>Variable6</f>
        <v>Holiday Months</v>
      </c>
      <c r="C125" s="246"/>
      <c r="D125" s="246"/>
      <c r="E125" s="246"/>
      <c r="F125" s="246"/>
      <c r="G125" s="246"/>
      <c r="H125" s="246"/>
      <c r="I125" s="246"/>
      <c r="J125" s="246"/>
      <c r="K125" s="246"/>
      <c r="L125" s="246"/>
      <c r="M125" s="246"/>
      <c r="N125" s="246"/>
      <c r="O125" s="245"/>
    </row>
    <row r="126" spans="1:15" x14ac:dyDescent="0.2">
      <c r="A126" s="245"/>
      <c r="B126" s="246"/>
      <c r="C126" s="246"/>
      <c r="D126" s="246"/>
      <c r="E126" s="246"/>
      <c r="F126" s="246"/>
      <c r="G126" s="246"/>
      <c r="H126" s="246"/>
      <c r="I126" s="246"/>
      <c r="J126" s="246"/>
      <c r="K126" s="246"/>
      <c r="L126" s="246"/>
      <c r="M126" s="246"/>
      <c r="N126" s="246"/>
      <c r="O126" s="245"/>
    </row>
    <row r="127" spans="1:15" x14ac:dyDescent="0.2">
      <c r="A127" s="245"/>
      <c r="B127" s="246"/>
      <c r="C127" s="246"/>
      <c r="D127" s="246"/>
      <c r="E127" s="246"/>
      <c r="F127" s="246"/>
      <c r="G127" s="246"/>
      <c r="H127" s="246"/>
      <c r="I127" s="246"/>
      <c r="J127" s="246"/>
      <c r="K127" s="246"/>
      <c r="L127" s="246"/>
      <c r="M127" s="246"/>
      <c r="N127" s="246"/>
      <c r="O127" s="245"/>
    </row>
    <row r="128" spans="1:15" x14ac:dyDescent="0.2">
      <c r="A128" s="245"/>
      <c r="B128" s="246"/>
      <c r="C128" s="246"/>
      <c r="D128" s="246"/>
      <c r="E128" s="246"/>
      <c r="F128" s="246"/>
      <c r="G128" s="246"/>
      <c r="H128" s="246"/>
      <c r="I128" s="246"/>
      <c r="J128" s="246"/>
      <c r="K128" s="246"/>
      <c r="L128" s="246"/>
      <c r="M128" s="246"/>
      <c r="N128" s="246"/>
      <c r="O128" s="245"/>
    </row>
    <row r="129" spans="1:15" x14ac:dyDescent="0.2">
      <c r="A129" s="245"/>
      <c r="B129" s="246"/>
      <c r="C129" s="246"/>
      <c r="D129" s="246"/>
      <c r="E129" s="246"/>
      <c r="F129" s="246"/>
      <c r="G129" s="246"/>
      <c r="H129" s="246"/>
      <c r="I129" s="246"/>
      <c r="J129" s="246"/>
      <c r="K129" s="246"/>
      <c r="L129" s="246"/>
      <c r="M129" s="246"/>
      <c r="N129" s="246"/>
      <c r="O129" s="245"/>
    </row>
    <row r="130" spans="1:15" x14ac:dyDescent="0.2">
      <c r="A130" s="245"/>
      <c r="B130" s="246"/>
      <c r="C130" s="246"/>
      <c r="D130" s="246"/>
      <c r="E130" s="246"/>
      <c r="F130" s="246"/>
      <c r="G130" s="246"/>
      <c r="H130" s="246"/>
      <c r="I130" s="246"/>
      <c r="J130" s="246"/>
      <c r="K130" s="246"/>
      <c r="L130" s="246"/>
      <c r="M130" s="246"/>
      <c r="N130" s="246"/>
      <c r="O130" s="245"/>
    </row>
    <row r="131" spans="1:15" x14ac:dyDescent="0.2">
      <c r="A131" s="245"/>
      <c r="B131" s="246"/>
      <c r="C131" s="246"/>
      <c r="D131" s="246"/>
      <c r="E131" s="246"/>
      <c r="F131" s="246"/>
      <c r="G131" s="246"/>
      <c r="H131" s="246"/>
      <c r="I131" s="246"/>
      <c r="J131" s="246"/>
      <c r="K131" s="246"/>
      <c r="L131" s="246"/>
      <c r="M131" s="246"/>
      <c r="N131" s="246"/>
      <c r="O131" s="245"/>
    </row>
    <row r="132" spans="1:15" x14ac:dyDescent="0.2">
      <c r="A132" s="245"/>
      <c r="B132" s="246"/>
      <c r="C132" s="246"/>
      <c r="D132" s="246"/>
      <c r="E132" s="246"/>
      <c r="F132" s="246"/>
      <c r="G132" s="246"/>
      <c r="H132" s="246"/>
      <c r="I132" s="246"/>
      <c r="J132" s="246"/>
      <c r="K132" s="246"/>
      <c r="L132" s="246"/>
      <c r="M132" s="246"/>
      <c r="N132" s="246"/>
      <c r="O132" s="245"/>
    </row>
  </sheetData>
  <pageMargins left="0.7" right="0.7" top="0.75" bottom="0.75" header="0.3" footer="0.3"/>
  <pageSetup scale="42" fitToWidth="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AM182"/>
  <sheetViews>
    <sheetView showGridLines="0" zoomScaleNormal="100" workbookViewId="0">
      <selection activeCell="A11" sqref="A11"/>
    </sheetView>
  </sheetViews>
  <sheetFormatPr defaultRowHeight="12.75" x14ac:dyDescent="0.2"/>
  <cols>
    <col min="1" max="1" width="13.6640625" customWidth="1"/>
    <col min="2" max="2" width="25.33203125" style="58" customWidth="1"/>
    <col min="3" max="3" width="16.83203125" style="706" customWidth="1"/>
    <col min="4" max="10" width="16.83203125" style="58" customWidth="1"/>
    <col min="11" max="16" width="16.83203125" style="720" customWidth="1"/>
    <col min="17" max="17" width="4.1640625" style="1" customWidth="1"/>
    <col min="18" max="18" width="20.33203125" style="58" bestFit="1" customWidth="1"/>
    <col min="19" max="19" width="16.33203125" style="1" bestFit="1" customWidth="1"/>
    <col min="20" max="20" width="10.1640625" style="1" customWidth="1"/>
    <col min="21" max="29" width="17.83203125" style="1" customWidth="1"/>
    <col min="30" max="16384" width="9.33203125" style="1"/>
  </cols>
  <sheetData>
    <row r="1" spans="1:39" s="534" customFormat="1" x14ac:dyDescent="0.2">
      <c r="A1" s="755" t="s">
        <v>269</v>
      </c>
      <c r="B1" s="58"/>
      <c r="C1" s="706"/>
      <c r="D1" s="58"/>
      <c r="E1" s="58"/>
      <c r="F1" s="58"/>
      <c r="G1" s="58"/>
      <c r="H1" s="58"/>
      <c r="I1" s="58"/>
      <c r="J1" s="58"/>
      <c r="K1" s="720"/>
      <c r="L1" s="720"/>
      <c r="M1" s="720"/>
      <c r="N1" s="720"/>
      <c r="O1" s="720"/>
      <c r="P1" s="720"/>
      <c r="R1" s="58"/>
    </row>
    <row r="2" spans="1:39" s="534" customFormat="1" x14ac:dyDescent="0.2">
      <c r="A2"/>
      <c r="B2" s="58"/>
      <c r="C2" s="706"/>
      <c r="D2" s="58"/>
      <c r="E2" s="58"/>
      <c r="F2" s="58"/>
      <c r="G2" s="58"/>
      <c r="H2" s="58"/>
      <c r="I2" s="58"/>
      <c r="J2" s="58"/>
      <c r="K2" s="720"/>
      <c r="L2" s="720"/>
      <c r="M2" s="720"/>
      <c r="N2" s="720"/>
      <c r="O2" s="720"/>
      <c r="P2" s="720"/>
      <c r="R2" s="58"/>
    </row>
    <row r="3" spans="1:39" s="534" customFormat="1" x14ac:dyDescent="0.2">
      <c r="A3"/>
      <c r="B3" s="58"/>
      <c r="C3" s="706"/>
      <c r="D3" s="58"/>
      <c r="E3" s="58"/>
      <c r="F3" s="58"/>
      <c r="G3" s="58"/>
      <c r="H3" s="58"/>
      <c r="I3" s="58"/>
      <c r="J3" s="58"/>
      <c r="K3" s="720"/>
      <c r="L3" s="720"/>
      <c r="M3" s="720"/>
      <c r="N3" s="720"/>
      <c r="O3" s="720"/>
      <c r="P3" s="720"/>
      <c r="R3" s="58"/>
    </row>
    <row r="4" spans="1:39" s="534" customFormat="1" x14ac:dyDescent="0.2">
      <c r="A4"/>
      <c r="B4" s="58"/>
      <c r="C4" s="706"/>
      <c r="D4" s="58"/>
      <c r="E4" s="58"/>
      <c r="F4" s="58"/>
      <c r="G4" s="58"/>
      <c r="H4" s="58"/>
      <c r="I4" s="58"/>
      <c r="J4" s="58"/>
      <c r="K4" s="720"/>
      <c r="L4" s="720"/>
      <c r="M4" s="720"/>
      <c r="N4" s="720"/>
      <c r="O4" s="720"/>
      <c r="P4" s="720"/>
      <c r="R4" s="58"/>
    </row>
    <row r="5" spans="1:39" s="534" customFormat="1" x14ac:dyDescent="0.2">
      <c r="A5"/>
      <c r="B5" s="58"/>
      <c r="C5" s="706"/>
      <c r="D5" s="58"/>
      <c r="E5" s="58"/>
      <c r="F5" s="58"/>
      <c r="G5" s="58"/>
      <c r="H5" s="58"/>
      <c r="I5" s="58"/>
      <c r="J5" s="58"/>
      <c r="K5" s="720"/>
      <c r="L5" s="720"/>
      <c r="M5" s="720"/>
      <c r="N5" s="720"/>
      <c r="O5" s="720"/>
      <c r="P5" s="720"/>
      <c r="R5" s="58"/>
    </row>
    <row r="6" spans="1:39" s="534" customFormat="1" x14ac:dyDescent="0.2">
      <c r="A6"/>
      <c r="B6" s="58"/>
      <c r="C6" s="706"/>
      <c r="D6" s="58"/>
      <c r="E6" s="58"/>
      <c r="F6" s="58"/>
      <c r="G6" s="58"/>
      <c r="H6" s="58"/>
      <c r="I6" s="58"/>
      <c r="J6" s="58"/>
      <c r="K6" s="720"/>
      <c r="L6" s="720"/>
      <c r="M6" s="720"/>
      <c r="N6" s="720"/>
      <c r="O6" s="720"/>
      <c r="P6" s="720"/>
      <c r="R6" s="58"/>
    </row>
    <row r="7" spans="1:39" s="534" customFormat="1" x14ac:dyDescent="0.2">
      <c r="A7"/>
      <c r="B7" s="58"/>
      <c r="C7" s="706"/>
      <c r="D7" s="58"/>
      <c r="E7" s="58"/>
      <c r="F7" s="58"/>
      <c r="G7" s="58"/>
      <c r="H7" s="58"/>
      <c r="I7" s="58"/>
      <c r="J7" s="58"/>
      <c r="K7" s="720"/>
      <c r="L7" s="720"/>
      <c r="M7" s="720"/>
      <c r="N7" s="720"/>
      <c r="O7" s="720"/>
      <c r="P7" s="720"/>
      <c r="R7" s="58"/>
    </row>
    <row r="8" spans="1:39" s="534" customFormat="1" x14ac:dyDescent="0.2">
      <c r="A8"/>
      <c r="B8" s="58"/>
      <c r="C8" s="706"/>
      <c r="D8" s="58"/>
      <c r="E8" s="58"/>
      <c r="F8" s="58"/>
      <c r="G8" s="58"/>
      <c r="H8" s="58"/>
      <c r="I8" s="58"/>
      <c r="J8" s="58"/>
      <c r="K8" s="720"/>
      <c r="L8" s="720"/>
      <c r="M8" s="720"/>
      <c r="N8" s="720"/>
      <c r="O8" s="720"/>
      <c r="P8" s="720"/>
      <c r="R8" s="58"/>
    </row>
    <row r="9" spans="1:39" s="534" customFormat="1" x14ac:dyDescent="0.2">
      <c r="A9"/>
      <c r="B9" s="58"/>
      <c r="C9" s="706"/>
      <c r="D9" s="58"/>
      <c r="E9" s="58"/>
      <c r="F9" s="58"/>
      <c r="G9" s="58"/>
      <c r="H9" s="58"/>
      <c r="I9" s="58"/>
      <c r="J9" s="58"/>
      <c r="K9" s="720"/>
      <c r="L9" s="720"/>
      <c r="M9" s="720"/>
      <c r="N9" s="720"/>
      <c r="O9" s="720"/>
      <c r="P9" s="720"/>
      <c r="R9" s="58"/>
    </row>
    <row r="10" spans="1:39" s="534" customFormat="1" x14ac:dyDescent="0.2">
      <c r="A10"/>
      <c r="B10" s="58"/>
      <c r="C10" s="706"/>
      <c r="D10" s="58"/>
      <c r="E10" s="58"/>
      <c r="F10" s="58"/>
      <c r="G10" s="58"/>
      <c r="H10" s="58"/>
      <c r="I10" s="58"/>
      <c r="J10" s="58"/>
      <c r="K10" s="720"/>
      <c r="L10" s="720"/>
      <c r="M10" s="720"/>
      <c r="N10" s="720"/>
      <c r="O10" s="720"/>
      <c r="P10" s="720"/>
      <c r="R10" s="58"/>
    </row>
    <row r="11" spans="1:39" ht="23.25" x14ac:dyDescent="0.2">
      <c r="A11" s="259"/>
      <c r="B11" s="260" t="s">
        <v>98</v>
      </c>
      <c r="C11" s="707"/>
      <c r="D11" s="246"/>
      <c r="E11" s="246"/>
      <c r="F11" s="246"/>
      <c r="G11" s="246"/>
      <c r="H11" s="246"/>
      <c r="I11" s="246"/>
      <c r="J11" s="246"/>
      <c r="K11" s="721"/>
      <c r="L11" s="721"/>
      <c r="M11" s="721"/>
      <c r="N11" s="721"/>
      <c r="O11" s="721"/>
      <c r="P11" s="721"/>
      <c r="Q11" s="245"/>
      <c r="R11" s="246"/>
      <c r="S11" s="245"/>
      <c r="T11" s="245"/>
      <c r="U11" s="245"/>
      <c r="V11" s="245"/>
      <c r="W11" s="245"/>
      <c r="X11" s="245"/>
      <c r="Y11" s="245"/>
      <c r="Z11" s="245"/>
      <c r="AA11" s="245"/>
      <c r="AB11" s="245"/>
      <c r="AC11" s="245"/>
      <c r="AD11" s="245"/>
      <c r="AE11" s="245"/>
      <c r="AF11" s="245"/>
      <c r="AG11" s="245"/>
      <c r="AH11" s="245"/>
      <c r="AI11" s="245"/>
      <c r="AJ11" s="245"/>
      <c r="AK11" s="245"/>
      <c r="AL11" s="245"/>
      <c r="AM11" s="245"/>
    </row>
    <row r="12" spans="1:39" ht="15" x14ac:dyDescent="0.2">
      <c r="A12" s="259"/>
      <c r="B12" s="63" t="s">
        <v>64</v>
      </c>
      <c r="C12" s="707"/>
      <c r="D12" s="246"/>
      <c r="E12" s="246"/>
      <c r="F12" s="246"/>
      <c r="G12" s="246"/>
      <c r="H12" s="246"/>
      <c r="I12" s="246"/>
      <c r="J12" s="246"/>
      <c r="K12" s="721"/>
      <c r="L12" s="721"/>
      <c r="M12" s="721"/>
      <c r="N12" s="721"/>
      <c r="O12" s="721"/>
      <c r="P12" s="721"/>
      <c r="Q12" s="245"/>
      <c r="R12" s="245"/>
      <c r="S12" s="245"/>
      <c r="T12" s="245"/>
      <c r="U12" s="245"/>
      <c r="V12" s="245"/>
      <c r="W12" s="245"/>
      <c r="X12" s="245"/>
      <c r="Y12" s="245"/>
      <c r="Z12" s="245"/>
      <c r="AA12" s="245"/>
      <c r="AB12" s="245"/>
      <c r="AC12" s="245"/>
      <c r="AD12" s="245"/>
      <c r="AE12" s="245"/>
      <c r="AF12" s="245"/>
      <c r="AG12" s="245"/>
      <c r="AH12" s="245"/>
      <c r="AI12" s="245"/>
      <c r="AJ12" s="245"/>
      <c r="AK12" s="245"/>
    </row>
    <row r="13" spans="1:39" ht="14.25" x14ac:dyDescent="0.2">
      <c r="A13" s="259"/>
      <c r="B13" s="100" t="s">
        <v>248</v>
      </c>
      <c r="C13" s="707"/>
      <c r="D13" s="246"/>
      <c r="E13" s="246"/>
      <c r="F13" s="246"/>
      <c r="G13" s="246"/>
      <c r="H13" s="246"/>
      <c r="I13" s="246"/>
      <c r="J13" s="246"/>
      <c r="K13" s="721"/>
      <c r="L13" s="721"/>
      <c r="M13" s="721"/>
      <c r="N13" s="721"/>
      <c r="O13" s="721"/>
      <c r="P13" s="721"/>
      <c r="Q13" s="245"/>
      <c r="R13" s="246"/>
      <c r="S13" s="245"/>
      <c r="T13" s="245"/>
      <c r="U13" s="245"/>
      <c r="V13" s="245"/>
      <c r="W13" s="245"/>
      <c r="X13" s="245"/>
      <c r="Y13" s="245"/>
      <c r="Z13" s="245"/>
      <c r="AA13" s="245"/>
      <c r="AB13" s="245"/>
      <c r="AC13" s="245"/>
      <c r="AD13" s="245"/>
      <c r="AE13" s="245"/>
      <c r="AF13" s="245"/>
      <c r="AG13" s="245"/>
      <c r="AH13" s="245"/>
      <c r="AI13" s="245"/>
      <c r="AJ13" s="245"/>
      <c r="AK13" s="245"/>
      <c r="AL13" s="245"/>
      <c r="AM13" s="245"/>
    </row>
    <row r="14" spans="1:39" ht="14.25" x14ac:dyDescent="0.2">
      <c r="A14" s="259"/>
      <c r="B14" s="100" t="s">
        <v>249</v>
      </c>
      <c r="C14" s="707"/>
      <c r="D14" s="246"/>
      <c r="E14" s="246"/>
      <c r="F14" s="246"/>
      <c r="G14" s="246"/>
      <c r="H14" s="246"/>
      <c r="I14" s="246"/>
      <c r="J14" s="246"/>
      <c r="K14" s="721"/>
      <c r="L14" s="721"/>
      <c r="M14" s="721"/>
      <c r="N14" s="721"/>
      <c r="O14" s="721"/>
      <c r="P14" s="721"/>
      <c r="Q14" s="245"/>
      <c r="R14" s="246"/>
      <c r="S14" s="245"/>
      <c r="T14" s="245"/>
      <c r="U14" s="245"/>
      <c r="V14" s="245"/>
      <c r="W14" s="245"/>
      <c r="X14" s="245"/>
      <c r="Y14" s="245"/>
      <c r="Z14" s="245"/>
      <c r="AA14" s="245"/>
      <c r="AB14" s="245"/>
      <c r="AC14" s="245"/>
      <c r="AD14" s="245"/>
      <c r="AE14" s="245"/>
      <c r="AF14" s="245"/>
      <c r="AG14" s="245"/>
      <c r="AH14" s="245"/>
      <c r="AI14" s="245"/>
      <c r="AJ14" s="245"/>
      <c r="AK14" s="245"/>
      <c r="AL14" s="245"/>
      <c r="AM14" s="245"/>
    </row>
    <row r="15" spans="1:39" ht="15" customHeight="1" x14ac:dyDescent="0.2">
      <c r="A15" s="259"/>
      <c r="B15" s="100" t="s">
        <v>250</v>
      </c>
      <c r="C15" s="708"/>
      <c r="D15" s="260"/>
      <c r="E15" s="260"/>
      <c r="F15" s="260"/>
      <c r="G15" s="260"/>
      <c r="H15" s="260"/>
      <c r="I15" s="260"/>
      <c r="J15" s="246"/>
      <c r="K15" s="721"/>
      <c r="L15" s="721"/>
      <c r="M15" s="721"/>
      <c r="N15" s="721"/>
      <c r="O15" s="721"/>
      <c r="P15" s="721"/>
      <c r="Q15" s="245"/>
      <c r="R15" s="246"/>
      <c r="S15" s="245"/>
      <c r="T15" s="245"/>
      <c r="U15" s="245"/>
      <c r="V15" s="245"/>
      <c r="W15" s="245"/>
      <c r="X15" s="245"/>
      <c r="Y15" s="245"/>
      <c r="Z15" s="245"/>
      <c r="AA15" s="245"/>
      <c r="AB15" s="245"/>
      <c r="AC15" s="245"/>
      <c r="AD15" s="245"/>
      <c r="AE15" s="245"/>
      <c r="AF15" s="245"/>
      <c r="AG15" s="245"/>
      <c r="AH15" s="245"/>
      <c r="AI15" s="245"/>
      <c r="AJ15" s="245"/>
      <c r="AK15" s="245"/>
      <c r="AL15" s="245"/>
      <c r="AM15" s="245"/>
    </row>
    <row r="16" spans="1:39" ht="13.5" customHeight="1" x14ac:dyDescent="0.2">
      <c r="A16" s="259"/>
      <c r="C16" s="708"/>
      <c r="D16" s="260"/>
      <c r="E16" s="260"/>
      <c r="F16" s="260"/>
      <c r="G16" s="260"/>
      <c r="H16" s="260"/>
      <c r="I16" s="260"/>
      <c r="J16" s="246"/>
      <c r="K16" s="721"/>
      <c r="L16" s="721"/>
      <c r="M16" s="721"/>
      <c r="N16" s="721"/>
      <c r="O16" s="721"/>
      <c r="P16" s="721"/>
      <c r="Q16" s="245"/>
      <c r="R16" s="246"/>
      <c r="S16" s="245"/>
      <c r="T16" s="245"/>
      <c r="U16" s="245"/>
      <c r="V16" s="245"/>
      <c r="W16" s="245"/>
      <c r="X16" s="245"/>
      <c r="Y16" s="245"/>
      <c r="Z16" s="245"/>
      <c r="AA16" s="245"/>
      <c r="AB16" s="245"/>
      <c r="AC16" s="245"/>
      <c r="AD16" s="245"/>
      <c r="AE16" s="245"/>
      <c r="AF16" s="245"/>
      <c r="AG16" s="245"/>
      <c r="AH16" s="245"/>
      <c r="AI16" s="245"/>
      <c r="AJ16" s="245"/>
      <c r="AK16" s="245"/>
      <c r="AL16" s="245"/>
      <c r="AM16" s="245"/>
    </row>
    <row r="17" spans="1:39" s="177" customFormat="1" x14ac:dyDescent="0.2">
      <c r="A17" s="557"/>
      <c r="B17" s="563"/>
      <c r="C17" s="709"/>
      <c r="D17" s="1044" t="s">
        <v>135</v>
      </c>
      <c r="E17" s="1044"/>
      <c r="F17" s="1044"/>
      <c r="G17" s="1044"/>
      <c r="H17" s="1044"/>
      <c r="I17" s="1044"/>
      <c r="J17" s="563"/>
      <c r="K17" s="1044" t="s">
        <v>123</v>
      </c>
      <c r="L17" s="1044"/>
      <c r="M17" s="1044"/>
      <c r="N17" s="1044"/>
      <c r="O17" s="1044"/>
      <c r="P17" s="1044"/>
      <c r="Q17" s="272"/>
      <c r="R17" s="563"/>
      <c r="S17" s="272"/>
      <c r="T17" s="272"/>
      <c r="U17" s="272"/>
      <c r="V17" s="272"/>
      <c r="W17" s="272"/>
      <c r="X17" s="272"/>
      <c r="Y17" s="272"/>
      <c r="Z17" s="272"/>
      <c r="AA17" s="272"/>
      <c r="AB17" s="272"/>
      <c r="AC17" s="272"/>
      <c r="AD17" s="272"/>
      <c r="AE17" s="272"/>
      <c r="AF17" s="272"/>
      <c r="AG17" s="272"/>
      <c r="AH17" s="272"/>
      <c r="AI17" s="272"/>
      <c r="AJ17" s="272"/>
      <c r="AK17" s="272"/>
      <c r="AL17" s="272"/>
      <c r="AM17" s="272"/>
    </row>
    <row r="18" spans="1:39" s="177" customFormat="1" ht="75" customHeight="1" x14ac:dyDescent="0.2">
      <c r="A18" s="557"/>
      <c r="B18" s="558"/>
      <c r="C18" s="710" t="s">
        <v>121</v>
      </c>
      <c r="D18" s="559" t="s">
        <v>274</v>
      </c>
      <c r="E18" s="559" t="s">
        <v>275</v>
      </c>
      <c r="F18" s="559" t="s">
        <v>244</v>
      </c>
      <c r="G18" s="559" t="s">
        <v>244</v>
      </c>
      <c r="H18" s="560" t="s">
        <v>244</v>
      </c>
      <c r="I18" s="560" t="s">
        <v>244</v>
      </c>
      <c r="J18" s="553" t="s">
        <v>122</v>
      </c>
      <c r="K18" s="772" t="s">
        <v>1</v>
      </c>
      <c r="L18" s="772" t="s">
        <v>2</v>
      </c>
      <c r="M18" s="772" t="s">
        <v>241</v>
      </c>
      <c r="N18" s="772" t="s">
        <v>266</v>
      </c>
      <c r="O18" s="772" t="s">
        <v>450</v>
      </c>
      <c r="P18" s="981" t="s">
        <v>403</v>
      </c>
      <c r="Q18" s="561"/>
      <c r="R18" s="244" t="s">
        <v>147</v>
      </c>
      <c r="S18" s="244" t="s">
        <v>32</v>
      </c>
      <c r="T18" s="272"/>
      <c r="U18" t="s">
        <v>157</v>
      </c>
      <c r="V18"/>
      <c r="W18"/>
      <c r="X18"/>
      <c r="Y18"/>
      <c r="Z18"/>
      <c r="AA18"/>
      <c r="AB18"/>
      <c r="AC18"/>
      <c r="AD18" s="562"/>
      <c r="AE18" s="272"/>
      <c r="AF18" s="272"/>
      <c r="AG18" s="272"/>
      <c r="AH18" s="272"/>
      <c r="AI18" s="272"/>
      <c r="AJ18" s="272"/>
      <c r="AK18" s="272"/>
      <c r="AL18" s="272"/>
      <c r="AM18" s="272"/>
    </row>
    <row r="19" spans="1:39" ht="26.25" thickBot="1" x14ac:dyDescent="0.25">
      <c r="A19" s="555"/>
      <c r="B19" s="554"/>
      <c r="C19" s="711"/>
      <c r="D19" s="549"/>
      <c r="E19" s="550"/>
      <c r="F19" s="550"/>
      <c r="G19" s="551"/>
      <c r="I19" s="742" t="s">
        <v>166</v>
      </c>
      <c r="J19" s="705"/>
      <c r="K19" s="771" t="s">
        <v>168</v>
      </c>
      <c r="L19" s="771" t="s">
        <v>168</v>
      </c>
      <c r="M19" s="771" t="s">
        <v>168</v>
      </c>
      <c r="N19" s="771" t="s">
        <v>235</v>
      </c>
      <c r="O19" s="771" t="s">
        <v>168</v>
      </c>
      <c r="P19" s="982" t="s">
        <v>168</v>
      </c>
      <c r="Q19" s="1045"/>
      <c r="R19" s="1045"/>
      <c r="S19" s="1045"/>
      <c r="T19" s="245"/>
      <c r="U19"/>
      <c r="V19"/>
      <c r="W19"/>
      <c r="X19"/>
      <c r="Y19"/>
      <c r="Z19"/>
      <c r="AA19"/>
      <c r="AB19"/>
      <c r="AC19"/>
      <c r="AD19" s="261"/>
      <c r="AE19" s="245"/>
      <c r="AF19" s="245"/>
      <c r="AG19" s="245"/>
      <c r="AH19" s="245"/>
      <c r="AI19" s="245"/>
      <c r="AJ19" s="245"/>
      <c r="AK19" s="245"/>
      <c r="AL19" s="245"/>
      <c r="AM19" s="245"/>
    </row>
    <row r="20" spans="1:39" x14ac:dyDescent="0.2">
      <c r="A20" s="501">
        <v>1</v>
      </c>
      <c r="B20" s="552" t="str">
        <f>CONCATENATE('3. Consumption by Rate Class'!B25,"-",'3. Consumption by Rate Class'!C25)</f>
        <v>2006-January</v>
      </c>
      <c r="C20" s="980">
        <v>9829203.4800000004</v>
      </c>
      <c r="D20" s="697">
        <v>-587210</v>
      </c>
      <c r="E20" s="697">
        <v>-424299</v>
      </c>
      <c r="F20" s="697"/>
      <c r="G20" s="697"/>
      <c r="H20" s="698"/>
      <c r="I20" s="698"/>
      <c r="J20" s="556">
        <f>SUM(C20:I20)</f>
        <v>8817694.4800000004</v>
      </c>
      <c r="K20" s="722">
        <f>IF(K$18='5.Variables'!$B$16,+'5.Variables'!$C27,+IF(K$18='5.Variables'!$B$39,+'5.Variables'!$C50,+IF(K$18='5.Variables'!$B$62,+'5.Variables'!$C64,+IF(K$18='5.Variables'!$B$76,+'5.Variables'!$C78,+IF(K$18='5.Variables'!$B$90,+'5.Variables'!$C92,+IF(K$18='5.Variables'!$B$104,+'5.Variables'!$C106,0))))))</f>
        <v>735.89999999999986</v>
      </c>
      <c r="L20" s="722">
        <f>IF(L$18='5.Variables'!$B$16,+'5.Variables'!$C27,+IF(L$18='5.Variables'!$B$39,+'5.Variables'!$C50,+IF(L$18='5.Variables'!$B$62,+'5.Variables'!$C64,+IF(L$18='5.Variables'!$B$76,+'5.Variables'!$C78,+IF(L$18='5.Variables'!$B$90,+'5.Variables'!$C92,+IF(L$18='5.Variables'!$B$104,+'5.Variables'!$C106,0))))))</f>
        <v>0</v>
      </c>
      <c r="M20" s="722">
        <f>IF(M$18='5.Variables'!$B$16,+'5.Variables'!$C26,+IF(M$18='5.Variables'!$B$39,+'5.Variables'!$C50,+IF(M$18='5.Variables'!$B$62,+'5.Variables'!$C64,+IF(M$18='5.Variables'!$B$76,+'5.Variables'!$C78,+IF(M$18='5.Variables'!$B$90,+'5.Variables'!$C92,+IF(M$18='5.Variables'!$B$104,+'5.Variables'!$C106,0))))))</f>
        <v>31</v>
      </c>
      <c r="N20" s="722">
        <f>IF(N$18='5.Variables'!$B$16,+'5.Variables'!$C26,+IF(N$18='5.Variables'!$B$39,+'5.Variables'!$C50,+IF(N$18='5.Variables'!$B$62,+'5.Variables'!$C64,+IF(N$18='5.Variables'!$B$76,+'5.Variables'!$C78,+IF(N$18='5.Variables'!$B$90,+'5.Variables'!$C92,+IF(N$18='5.Variables'!$B$104,+'5.Variables'!$C106,0))))))</f>
        <v>353.3</v>
      </c>
      <c r="O20" s="722">
        <f>IF(O$18='5.Variables'!$B$16,+'5.Variables'!$C26,+IF(O$18='5.Variables'!$B$39,+'5.Variables'!$C50,+IF(O$18='5.Variables'!$B$62,+'5.Variables'!$C64,+IF(O$18='5.Variables'!$B$76,+'5.Variables'!$C78,+IF(O$18='5.Variables'!$B$90,+'5.Variables'!$C92,+IF(O$18='5.Variables'!$B$104,+'5.Variables'!$C106,0))))))</f>
        <v>9.09</v>
      </c>
      <c r="P20" s="983">
        <f>IF(P$18='5.Variables'!$B$16,+'5.Variables'!$C26,+IF(P$18='5.Variables'!$B$39,+'5.Variables'!$C50,+IF(P$18='5.Variables'!$B$62,+'5.Variables'!$C64,+IF(P$18='5.Variables'!$B$76,+'5.Variables'!$C78,+IF(P$18='5.Variables'!$B$90,+'5.Variables'!$C92,+IF(P$18='5.Variables'!$B$104,+'5.Variables'!$C106,0))))))</f>
        <v>1</v>
      </c>
      <c r="Q20" s="245"/>
      <c r="R20" s="556">
        <f>$V$34+(K20*$V$35)+(L20*$V$36)+(M20*$V$37)+(N20*$V$38)+(O20*$V$39)</f>
        <v>9010637.2272256538</v>
      </c>
      <c r="S20" s="264"/>
      <c r="T20" s="245"/>
      <c r="U20" s="547" t="s">
        <v>7</v>
      </c>
      <c r="V20" s="547"/>
      <c r="W20"/>
      <c r="X20"/>
      <c r="Y20"/>
      <c r="Z20"/>
      <c r="AA20"/>
      <c r="AB20"/>
      <c r="AC20"/>
      <c r="AD20" s="261"/>
      <c r="AE20" s="245"/>
      <c r="AF20" s="245"/>
      <c r="AG20" s="245"/>
      <c r="AH20" s="245"/>
      <c r="AI20" s="245"/>
      <c r="AJ20" s="245"/>
      <c r="AK20" s="245"/>
      <c r="AL20" s="245"/>
      <c r="AM20" s="245"/>
    </row>
    <row r="21" spans="1:39" x14ac:dyDescent="0.2">
      <c r="A21" s="501">
        <f>+A20+1</f>
        <v>2</v>
      </c>
      <c r="B21" s="262" t="str">
        <f>CONCATENATE('3. Consumption by Rate Class'!B26,"-",'3. Consumption by Rate Class'!C26)</f>
        <v>2006-February</v>
      </c>
      <c r="C21" s="980">
        <v>9080914.7599999998</v>
      </c>
      <c r="D21" s="697">
        <v>-532374</v>
      </c>
      <c r="E21" s="697">
        <v>-372026</v>
      </c>
      <c r="F21" s="699"/>
      <c r="G21" s="699"/>
      <c r="H21" s="699"/>
      <c r="I21" s="699"/>
      <c r="J21" s="263">
        <f t="shared" ref="J21:J84" si="0">SUM(C21:I21)</f>
        <v>8176514.7599999998</v>
      </c>
      <c r="K21" s="722">
        <f>IF(K$18='5.Variables'!$B$16,+'5.Variables'!$D27,+IF(K$18='5.Variables'!$B$39,+'5.Variables'!$D50,+IF(K$18='5.Variables'!$B$62,+'5.Variables'!$D64,+IF(K$18='5.Variables'!$B$76,+'5.Variables'!$D78,+IF(K$18='5.Variables'!$B$90,+'5.Variables'!$D92,+IF(K$18='5.Variables'!$B$104,+'5.Variables'!$D106,0))))))</f>
        <v>721.30000000000007</v>
      </c>
      <c r="L21" s="722">
        <f>IF(L$18='5.Variables'!$B$16,+'5.Variables'!$D27,+IF(L$18='5.Variables'!$B$39,+'5.Variables'!$D50,+IF(L$18='5.Variables'!$B$62,+'5.Variables'!$D64,+IF(L$18='5.Variables'!$B$76,+'5.Variables'!$D78,+IF(L$18='5.Variables'!$B$90,+'5.Variables'!$D92,+IF(L$18='5.Variables'!$B$104,+'5.Variables'!$D106,0))))))</f>
        <v>0</v>
      </c>
      <c r="M21" s="722">
        <f>IF(M$18='5.Variables'!$B$16,+'5.Variables'!$D26,+IF(M$18='5.Variables'!$B$39,+'5.Variables'!$D50,+IF(M$18='5.Variables'!$B$62,+'5.Variables'!$D64,+IF(M$18='5.Variables'!$B$76,+'5.Variables'!$D78,+IF(M$18='5.Variables'!$B$90,+'5.Variables'!$D92,+IF(M$18='5.Variables'!$B$104,+'5.Variables'!$D106,0))))))</f>
        <v>28</v>
      </c>
      <c r="N21" s="722">
        <f>IF(N$18='5.Variables'!$B$16,+'5.Variables'!$D26,+IF(N$18='5.Variables'!$B$39,+'5.Variables'!$D50,+IF(N$18='5.Variables'!$B$62,+'5.Variables'!$D64,+IF(N$18='5.Variables'!$B$76,+'5.Variables'!$D78,+IF(N$18='5.Variables'!$B$90,+'5.Variables'!$D92,+IF(N$18='5.Variables'!$B$104,+'5.Variables'!$D106,0))))))</f>
        <v>353.6</v>
      </c>
      <c r="O21" s="722">
        <f>IF(O$18='5.Variables'!$B$16,+'5.Variables'!$D26,+IF(O$18='5.Variables'!$B$39,+'5.Variables'!$D50,+IF(O$18='5.Variables'!$B$62,+'5.Variables'!$D64,+IF(O$18='5.Variables'!$B$76,+'5.Variables'!$D78,+IF(O$18='5.Variables'!$B$90,+'5.Variables'!$D92,+IF(O$18='5.Variables'!$B$104,+'5.Variables'!$D106,0))))))</f>
        <v>10.19</v>
      </c>
      <c r="P21" s="983">
        <f>IF(P$18='5.Variables'!$B$16,+'5.Variables'!$D26,+IF(P$18='5.Variables'!$B$39,+'5.Variables'!$D50,+IF(P$18='5.Variables'!$B$62,+'5.Variables'!$D64,+IF(P$18='5.Variables'!$B$76,+'5.Variables'!$D78,+IF(P$18='5.Variables'!$B$90,+'5.Variables'!$D92,+IF(P$18='5.Variables'!$B$104,+'5.Variables'!$D106,0))))))</f>
        <v>0</v>
      </c>
      <c r="Q21" s="245"/>
      <c r="R21" s="556">
        <f t="shared" ref="R21:R84" si="1">$V$34+(K21*$V$35)+(L21*$V$36)+(M21*$V$37)+(N21*$V$38)+(O21*$V$39)</f>
        <v>8334443.5813392345</v>
      </c>
      <c r="S21" s="264"/>
      <c r="T21" s="245"/>
      <c r="U21" s="544" t="s">
        <v>8</v>
      </c>
      <c r="V21" s="544">
        <v>0.94487147477508204</v>
      </c>
      <c r="W21"/>
      <c r="X21"/>
      <c r="Y21"/>
      <c r="Z21"/>
      <c r="AA21"/>
      <c r="AB21"/>
      <c r="AC21"/>
      <c r="AD21" s="261"/>
      <c r="AE21" s="245"/>
      <c r="AF21" s="245"/>
      <c r="AG21" s="245"/>
      <c r="AH21" s="245"/>
      <c r="AI21" s="245"/>
      <c r="AJ21" s="245"/>
      <c r="AK21" s="245"/>
      <c r="AL21" s="245"/>
      <c r="AM21" s="245"/>
    </row>
    <row r="22" spans="1:39" x14ac:dyDescent="0.2">
      <c r="A22" s="501">
        <f t="shared" ref="A22:A85" si="2">+A21+1</f>
        <v>3</v>
      </c>
      <c r="B22" s="262" t="str">
        <f>CONCATENATE('3. Consumption by Rate Class'!B27,"-",'3. Consumption by Rate Class'!C27)</f>
        <v>2006-March</v>
      </c>
      <c r="C22" s="694">
        <v>9372224.9199999999</v>
      </c>
      <c r="D22" s="700">
        <v>-601564</v>
      </c>
      <c r="E22" s="700">
        <v>-339535</v>
      </c>
      <c r="F22" s="700"/>
      <c r="G22" s="700"/>
      <c r="H22" s="701"/>
      <c r="I22" s="701"/>
      <c r="J22" s="263">
        <f t="shared" si="0"/>
        <v>8431125.9199999999</v>
      </c>
      <c r="K22" s="722">
        <f>IF(K$18='5.Variables'!$B$16,+'5.Variables'!$E27,+IF(K$18='5.Variables'!$B$39,+'5.Variables'!$E50,+IF(K$18='5.Variables'!$B$62,+'5.Variables'!$E64,+IF(K$18='5.Variables'!$B$76,+'5.Variables'!$E78,+IF(K$18='5.Variables'!$B$90,+'5.Variables'!$E92,+IF(K$18='5.Variables'!$B$104,+'5.Variables'!$E106,0))))))</f>
        <v>596.49999999999989</v>
      </c>
      <c r="L22" s="722">
        <f>IF(L$18='5.Variables'!$B$16,+'5.Variables'!$E27,+IF(L$18='5.Variables'!$B$39,+'5.Variables'!$E50,+IF(L$18='5.Variables'!$B$62,+'5.Variables'!$E64,+IF(L$18='5.Variables'!$B$76,+'5.Variables'!$E78,+IF(L$18='5.Variables'!$B$90,+'5.Variables'!$E92,+IF(L$18='5.Variables'!$B$104,+'5.Variables'!$E106,0))))))</f>
        <v>0</v>
      </c>
      <c r="M22" s="722">
        <f>IF(M$18='5.Variables'!$B$16,+'5.Variables'!$E26,+IF(M$18='5.Variables'!$B$39,+'5.Variables'!$E50,+IF(M$18='5.Variables'!$B$62,+'5.Variables'!$E64,+IF(M$18='5.Variables'!$B$76,+'5.Variables'!$E78,+IF(M$18='5.Variables'!$B$90,+'5.Variables'!$E92,+IF(M$18='5.Variables'!$B$104,+'5.Variables'!$E106,0))))))</f>
        <v>31</v>
      </c>
      <c r="N22" s="722">
        <f>IF(N$18='5.Variables'!$B$16,+'5.Variables'!$E26,+IF(N$18='5.Variables'!$B$39,+'5.Variables'!$E50,+IF(N$18='5.Variables'!$B$62,+'5.Variables'!$E64,+IF(N$18='5.Variables'!$B$76,+'5.Variables'!$E78,+IF(N$18='5.Variables'!$B$90,+'5.Variables'!$E92,+IF(N$18='5.Variables'!$B$104,+'5.Variables'!$E106,0))))))</f>
        <v>353.9</v>
      </c>
      <c r="O22" s="722">
        <f>IF(O$18='5.Variables'!$B$16,+'5.Variables'!$E26,+IF(O$18='5.Variables'!$B$39,+'5.Variables'!$E50,+IF(O$18='5.Variables'!$B$62,+'5.Variables'!$E64,+IF(O$18='5.Variables'!$B$76,+'5.Variables'!$E78,+IF(O$18='5.Variables'!$B$90,+'5.Variables'!$E92,+IF(O$18='5.Variables'!$B$104,+'5.Variables'!$E106,0))))))</f>
        <v>11.51</v>
      </c>
      <c r="P22" s="983">
        <f>IF(P$18='5.Variables'!$B$16,+'5.Variables'!$E26,+IF(P$18='5.Variables'!$B$39,+'5.Variables'!$E50,+IF(P$18='5.Variables'!$B$62,+'5.Variables'!$E64,+IF(P$18='5.Variables'!$B$76,+'5.Variables'!$E78,+IF(P$18='5.Variables'!$B$90,+'5.Variables'!$E92,+IF(P$18='5.Variables'!$B$104,+'5.Variables'!$E106,0))))))</f>
        <v>1</v>
      </c>
      <c r="Q22" s="245"/>
      <c r="R22" s="556">
        <f t="shared" si="1"/>
        <v>8473996.7894183118</v>
      </c>
      <c r="S22" s="265"/>
      <c r="T22" s="245"/>
      <c r="U22" s="544" t="s">
        <v>9</v>
      </c>
      <c r="V22" s="544">
        <v>0.89278210384363854</v>
      </c>
      <c r="W22"/>
      <c r="X22"/>
      <c r="Y22"/>
      <c r="Z22"/>
      <c r="AA22"/>
      <c r="AB22"/>
      <c r="AC22"/>
      <c r="AD22" s="261"/>
      <c r="AE22" s="245"/>
      <c r="AF22" s="245"/>
      <c r="AG22" s="245"/>
      <c r="AH22" s="245"/>
      <c r="AI22" s="245"/>
      <c r="AJ22" s="245"/>
      <c r="AK22" s="245"/>
      <c r="AL22" s="245"/>
      <c r="AM22" s="245"/>
    </row>
    <row r="23" spans="1:39" x14ac:dyDescent="0.2">
      <c r="A23" s="501">
        <f t="shared" si="2"/>
        <v>4</v>
      </c>
      <c r="B23" s="262" t="str">
        <f>CONCATENATE('3. Consumption by Rate Class'!B28,"-",'3. Consumption by Rate Class'!C28)</f>
        <v>2006-April</v>
      </c>
      <c r="C23" s="694">
        <v>7657227.3200000003</v>
      </c>
      <c r="D23" s="700">
        <v>-531454</v>
      </c>
      <c r="E23" s="700">
        <v>-420190</v>
      </c>
      <c r="F23" s="700"/>
      <c r="G23" s="700"/>
      <c r="H23" s="701"/>
      <c r="I23" s="701"/>
      <c r="J23" s="263">
        <f t="shared" si="0"/>
        <v>6705583.3200000003</v>
      </c>
      <c r="K23" s="722">
        <f>IF(K$18='5.Variables'!$B$16,+'5.Variables'!$F27,+IF(K$18='5.Variables'!$B$39,+'5.Variables'!$F50,+IF(K$18='5.Variables'!$B$62,+'5.Variables'!$F64,+IF(K$18='5.Variables'!$B$76,+'5.Variables'!$F78,+IF(K$18='5.Variables'!$B$90,+'5.Variables'!$F92,+IF(K$18='5.Variables'!$B$104,+'5.Variables'!$F106,0))))))</f>
        <v>322.60000000000008</v>
      </c>
      <c r="L23" s="722">
        <f>IF(L$18='5.Variables'!$B$16,+'5.Variables'!$F27,+IF(L$18='5.Variables'!$B$39,+'5.Variables'!$F50,+IF(L$18='5.Variables'!$B$62,+'5.Variables'!$F64,+IF(L$18='5.Variables'!$B$76,+'5.Variables'!$F78,+IF(L$18='5.Variables'!$B$90,+'5.Variables'!$F92,+IF(L$18='5.Variables'!$B$104,+'5.Variables'!$F106,0))))))</f>
        <v>0</v>
      </c>
      <c r="M23" s="722">
        <f>IF(M$18='5.Variables'!$B$16,+'5.Variables'!$F26,+IF(M$18='5.Variables'!$B$39,+'5.Variables'!$F50,+IF(M$18='5.Variables'!$B$62,+'5.Variables'!$F64,+IF(M$18='5.Variables'!$B$76,+'5.Variables'!$F78,+IF(M$18='5.Variables'!$B$90,+'5.Variables'!$F92,+IF(M$18='5.Variables'!$B$104,+'5.Variables'!$F106,0))))))</f>
        <v>30</v>
      </c>
      <c r="N23" s="722">
        <f>IF(N$18='5.Variables'!$B$16,+'5.Variables'!$F26,+IF(N$18='5.Variables'!$B$39,+'5.Variables'!$F50,+IF(N$18='5.Variables'!$B$62,+'5.Variables'!$F64,+IF(N$18='5.Variables'!$B$76,+'5.Variables'!$F78,+IF(N$18='5.Variables'!$B$90,+'5.Variables'!$F92,+IF(N$18='5.Variables'!$B$104,+'5.Variables'!$F106,0))))))</f>
        <v>354.3</v>
      </c>
      <c r="O23" s="722">
        <f>IF(O$18='5.Variables'!$B$16,+'5.Variables'!$F26,+IF(O$18='5.Variables'!$B$39,+'5.Variables'!$F50,+IF(O$18='5.Variables'!$B$62,+'5.Variables'!$F64,+IF(O$18='5.Variables'!$B$76,+'5.Variables'!$F78,+IF(O$18='5.Variables'!$B$90,+'5.Variables'!$F92,+IF(O$18='5.Variables'!$B$104,+'5.Variables'!$F106,0))))))</f>
        <v>13.28</v>
      </c>
      <c r="P23" s="983">
        <f>IF(P$18='5.Variables'!$B$16,+'5.Variables'!$F26,+IF(P$18='5.Variables'!$B$39,+'5.Variables'!$F50,+IF(P$18='5.Variables'!$B$62,+'5.Variables'!$F64,+IF(P$18='5.Variables'!$B$76,+'5.Variables'!$F78,+IF(P$18='5.Variables'!$B$90,+'5.Variables'!$F92,+IF(P$18='5.Variables'!$B$104,+'5.Variables'!$F106,0))))))</f>
        <v>0</v>
      </c>
      <c r="Q23" s="245"/>
      <c r="R23" s="556">
        <f t="shared" si="1"/>
        <v>7331298.5144084441</v>
      </c>
      <c r="S23" s="265"/>
      <c r="T23" s="245"/>
      <c r="U23" s="544" t="s">
        <v>10</v>
      </c>
      <c r="V23" s="544">
        <v>0.8880379491464544</v>
      </c>
      <c r="W23"/>
      <c r="X23"/>
      <c r="Y23"/>
      <c r="Z23"/>
      <c r="AA23"/>
      <c r="AB23"/>
      <c r="AC23"/>
      <c r="AD23" s="261"/>
      <c r="AE23" s="245"/>
      <c r="AF23" s="245"/>
      <c r="AG23" s="245"/>
      <c r="AH23" s="245"/>
      <c r="AI23" s="245"/>
      <c r="AJ23" s="245"/>
      <c r="AK23" s="245"/>
      <c r="AL23" s="245"/>
      <c r="AM23" s="245"/>
    </row>
    <row r="24" spans="1:39" x14ac:dyDescent="0.2">
      <c r="A24" s="501">
        <f t="shared" si="2"/>
        <v>5</v>
      </c>
      <c r="B24" s="262" t="str">
        <f>CONCATENATE('3. Consumption by Rate Class'!B29,"-",'3. Consumption by Rate Class'!C29)</f>
        <v>2006-May</v>
      </c>
      <c r="C24" s="694">
        <v>7818047</v>
      </c>
      <c r="D24" s="700">
        <v>-672250</v>
      </c>
      <c r="E24" s="700">
        <v>-475710</v>
      </c>
      <c r="F24" s="700"/>
      <c r="G24" s="700"/>
      <c r="H24" s="701"/>
      <c r="I24" s="701"/>
      <c r="J24" s="263">
        <f t="shared" si="0"/>
        <v>6670087</v>
      </c>
      <c r="K24" s="722">
        <f>IF(K$18='5.Variables'!$B$16,+'5.Variables'!$G27,+IF(K$18='5.Variables'!$B$39,+'5.Variables'!$G50,+IF(K$18='5.Variables'!$B$62,+'5.Variables'!$G64,+IF(K$18='5.Variables'!$B$76,+'5.Variables'!$G78,+IF(K$18='5.Variables'!$B$90,+'5.Variables'!$G92,+IF(K$18='5.Variables'!$B$104,+'5.Variables'!$G106,0))))))</f>
        <v>129.39999999999998</v>
      </c>
      <c r="L24" s="722">
        <f>IF(L$18='5.Variables'!$B$16,+'5.Variables'!$G27,+IF(L$18='5.Variables'!$B$39,+'5.Variables'!$G50,+IF(L$18='5.Variables'!$B$62,+'5.Variables'!$G64,+IF(L$18='5.Variables'!$B$76,+'5.Variables'!$G78,+IF(L$18='5.Variables'!$B$90,+'5.Variables'!$G92,+IF(L$18='5.Variables'!$B$104,+'5.Variables'!$G106,0))))))</f>
        <v>17.100000000000001</v>
      </c>
      <c r="M24" s="722">
        <f>IF(M$18='5.Variables'!$B$16,+'5.Variables'!$G26,+IF(M$18='5.Variables'!$B$39,+'5.Variables'!$G50,+IF(M$18='5.Variables'!$B$62,+'5.Variables'!$G64,+IF(M$18='5.Variables'!$B$76,+'5.Variables'!$G78,+IF(M$18='5.Variables'!$B$90,+'5.Variables'!$G92,+IF(M$18='5.Variables'!$B$104,+'5.Variables'!$G106,0))))))</f>
        <v>31</v>
      </c>
      <c r="N24" s="722">
        <f>IF(N$18='5.Variables'!$B$16,+'5.Variables'!$G26,+IF(N$18='5.Variables'!$B$39,+'5.Variables'!$G50,+IF(N$18='5.Variables'!$B$62,+'5.Variables'!$G64,+IF(N$18='5.Variables'!$B$76,+'5.Variables'!$G78,+IF(N$18='5.Variables'!$B$90,+'5.Variables'!$G92,+IF(N$18='5.Variables'!$B$104,+'5.Variables'!$G106,0))))))</f>
        <v>354.7</v>
      </c>
      <c r="O24" s="722">
        <f>IF(O$18='5.Variables'!$B$16,+'5.Variables'!$G26,+IF(O$18='5.Variables'!$B$39,+'5.Variables'!$G50,+IF(O$18='5.Variables'!$B$62,+'5.Variables'!$G64,+IF(O$18='5.Variables'!$B$76,+'5.Variables'!$G78,+IF(O$18='5.Variables'!$B$90,+'5.Variables'!$G92,+IF(O$18='5.Variables'!$B$104,+'5.Variables'!$G106,0))))))</f>
        <v>14.52</v>
      </c>
      <c r="P24" s="983">
        <f>IF(P$18='5.Variables'!$B$16,+'5.Variables'!$G26,+IF(P$18='5.Variables'!$B$39,+'5.Variables'!$G50,+IF(P$18='5.Variables'!$B$62,+'5.Variables'!$G64,+IF(P$18='5.Variables'!$B$76,+'5.Variables'!$G78,+IF(P$18='5.Variables'!$B$90,+'5.Variables'!$G92,+IF(P$18='5.Variables'!$B$104,+'5.Variables'!$G106,0))))))</f>
        <v>0</v>
      </c>
      <c r="Q24" s="245"/>
      <c r="R24" s="556">
        <f t="shared" si="1"/>
        <v>7138579.5893655987</v>
      </c>
      <c r="S24" s="265"/>
      <c r="T24" s="245"/>
      <c r="U24" s="544" t="s">
        <v>11</v>
      </c>
      <c r="V24" s="544">
        <v>280576.90800013847</v>
      </c>
      <c r="W24"/>
      <c r="X24"/>
      <c r="Y24"/>
      <c r="Z24"/>
      <c r="AA24"/>
      <c r="AB24"/>
      <c r="AC24"/>
      <c r="AD24" s="261"/>
      <c r="AE24" s="245"/>
      <c r="AF24" s="245"/>
      <c r="AG24" s="245"/>
      <c r="AH24" s="245"/>
      <c r="AI24" s="245"/>
      <c r="AJ24" s="245"/>
      <c r="AK24" s="245"/>
      <c r="AL24" s="245"/>
      <c r="AM24" s="245"/>
    </row>
    <row r="25" spans="1:39" ht="13.5" thickBot="1" x14ac:dyDescent="0.25">
      <c r="A25" s="501">
        <f t="shared" si="2"/>
        <v>6</v>
      </c>
      <c r="B25" s="262" t="str">
        <f>CONCATENATE('3. Consumption by Rate Class'!B30,"-",'3. Consumption by Rate Class'!C30)</f>
        <v>2006-June</v>
      </c>
      <c r="C25" s="694">
        <v>8087108</v>
      </c>
      <c r="D25" s="700">
        <v>-508427</v>
      </c>
      <c r="E25" s="700">
        <v>-370003</v>
      </c>
      <c r="F25" s="700"/>
      <c r="G25" s="700"/>
      <c r="H25" s="701"/>
      <c r="I25" s="701"/>
      <c r="J25" s="263">
        <f t="shared" si="0"/>
        <v>7208678</v>
      </c>
      <c r="K25" s="722">
        <f>IF(K$18='5.Variables'!$B$16,+'5.Variables'!$H27,+IF(K$18='5.Variables'!$B$39,+'5.Variables'!$H50,+IF(K$18='5.Variables'!$B$62,+'5.Variables'!$H64,+IF(K$18='5.Variables'!$B$76,+'5.Variables'!$H78,+IF(K$18='5.Variables'!$B$90,+'5.Variables'!$H92,+IF(K$18='5.Variables'!$B$104,+'5.Variables'!$H106,0))))))</f>
        <v>27.399999999999995</v>
      </c>
      <c r="L25" s="722">
        <f>IF(L$18='5.Variables'!$B$16,+'5.Variables'!$H27,+IF(L$18='5.Variables'!$B$39,+'5.Variables'!$H50,+IF(L$18='5.Variables'!$B$62,+'5.Variables'!$H64,+IF(L$18='5.Variables'!$B$76,+'5.Variables'!$H78,+IF(L$18='5.Variables'!$B$90,+'5.Variables'!$H92,+IF(L$18='5.Variables'!$B$104,+'5.Variables'!$H106,0))))))</f>
        <v>48.800000000000004</v>
      </c>
      <c r="M25" s="722">
        <f>IF(M$18='5.Variables'!$B$16,+'5.Variables'!$H26,+IF(M$18='5.Variables'!$B$39,+'5.Variables'!$H50,+IF(M$18='5.Variables'!$B$62,+'5.Variables'!$H64,+IF(M$18='5.Variables'!$B$76,+'5.Variables'!$H78,+IF(M$18='5.Variables'!$B$90,+'5.Variables'!$H92,+IF(M$18='5.Variables'!$B$104,+'5.Variables'!$H106,0))))))</f>
        <v>30</v>
      </c>
      <c r="N25" s="722">
        <f>IF(N$18='5.Variables'!$B$16,+'5.Variables'!$H26,+IF(N$18='5.Variables'!$B$39,+'5.Variables'!$H50,+IF(N$18='5.Variables'!$B$62,+'5.Variables'!$H64,+IF(N$18='5.Variables'!$B$76,+'5.Variables'!$H78,+IF(N$18='5.Variables'!$B$90,+'5.Variables'!$H92,+IF(N$18='5.Variables'!$B$104,+'5.Variables'!$H106,0))))))</f>
        <v>355.2</v>
      </c>
      <c r="O25" s="722">
        <f>IF(O$18='5.Variables'!$B$16,+'5.Variables'!$H26,+IF(O$18='5.Variables'!$B$39,+'5.Variables'!$H50,+IF(O$18='5.Variables'!$B$62,+'5.Variables'!$H64,+IF(O$18='5.Variables'!$B$76,+'5.Variables'!$H78,+IF(O$18='5.Variables'!$B$90,+'5.Variables'!$H92,+IF(O$18='5.Variables'!$B$104,+'5.Variables'!$H106,0))))))</f>
        <v>15.35</v>
      </c>
      <c r="P25" s="983">
        <f>IF(P$18='5.Variables'!$B$16,+'5.Variables'!$H26,+IF(P$18='5.Variables'!$B$39,+'5.Variables'!$H50,+IF(P$18='5.Variables'!$B$62,+'5.Variables'!$H64,+IF(P$18='5.Variables'!$B$76,+'5.Variables'!$H78,+IF(P$18='5.Variables'!$B$90,+'5.Variables'!$H92,+IF(P$18='5.Variables'!$B$104,+'5.Variables'!$H106,0))))))</f>
        <v>0</v>
      </c>
      <c r="Q25" s="245"/>
      <c r="R25" s="556">
        <f t="shared" si="1"/>
        <v>7097387.0044978103</v>
      </c>
      <c r="S25" s="265"/>
      <c r="T25" s="245"/>
      <c r="U25" s="545" t="s">
        <v>12</v>
      </c>
      <c r="V25" s="545">
        <v>119</v>
      </c>
      <c r="W25"/>
      <c r="X25"/>
      <c r="Y25"/>
      <c r="Z25"/>
      <c r="AA25"/>
      <c r="AB25"/>
      <c r="AC25"/>
      <c r="AD25" s="261"/>
      <c r="AE25" s="245"/>
      <c r="AF25" s="245"/>
      <c r="AG25" s="245"/>
      <c r="AH25" s="245"/>
      <c r="AI25" s="245"/>
      <c r="AJ25" s="245"/>
      <c r="AK25" s="245"/>
      <c r="AL25" s="245"/>
      <c r="AM25" s="245"/>
    </row>
    <row r="26" spans="1:39" x14ac:dyDescent="0.2">
      <c r="A26" s="501">
        <f t="shared" si="2"/>
        <v>7</v>
      </c>
      <c r="B26" s="262" t="str">
        <f>CONCATENATE('3. Consumption by Rate Class'!B31,"-",'3. Consumption by Rate Class'!C31)</f>
        <v>2006-July</v>
      </c>
      <c r="C26" s="694">
        <v>8926444</v>
      </c>
      <c r="D26" s="700">
        <v>-590461</v>
      </c>
      <c r="E26" s="700">
        <v>-448504</v>
      </c>
      <c r="F26" s="700"/>
      <c r="G26" s="700"/>
      <c r="H26" s="701"/>
      <c r="I26" s="701"/>
      <c r="J26" s="263">
        <f t="shared" si="0"/>
        <v>7887479</v>
      </c>
      <c r="K26" s="722">
        <f>IF(K$18='5.Variables'!$B$16,+'5.Variables'!$I27,+IF(K$18='5.Variables'!$B$39,+'5.Variables'!$I50,+IF(K$18='5.Variables'!$B$62,+'5.Variables'!$I64,+IF(K$18='5.Variables'!$B$76,+'5.Variables'!$I78,+IF(K$18='5.Variables'!$B$90,+'5.Variables'!$I92,+IF(K$18='5.Variables'!$B$104,+'5.Variables'!$I106,0))))))</f>
        <v>0</v>
      </c>
      <c r="L26" s="722">
        <f>IF(L$18='5.Variables'!$B$16,+'5.Variables'!$I27,+IF(L$18='5.Variables'!$B$39,+'5.Variables'!$I50,+IF(L$18='5.Variables'!$B$62,+'5.Variables'!$I64,+IF(L$18='5.Variables'!$B$76,+'5.Variables'!$I78,+IF(L$18='5.Variables'!$B$90,+'5.Variables'!$I92,+IF(L$18='5.Variables'!$B$104,+'5.Variables'!$I106,0))))))</f>
        <v>124.89999999999999</v>
      </c>
      <c r="M26" s="722">
        <f>IF(M$18='5.Variables'!$B$16,+'5.Variables'!$I26,+IF(M$18='5.Variables'!$B$39,+'5.Variables'!$I50,+IF(M$18='5.Variables'!$B$62,+'5.Variables'!$I64,+IF(M$18='5.Variables'!$B$76,+'5.Variables'!$I78,+IF(M$18='5.Variables'!$B$90,+'5.Variables'!$I92,+IF(M$18='5.Variables'!$B$104,+'5.Variables'!$I106,0))))))</f>
        <v>31</v>
      </c>
      <c r="N26" s="722">
        <f>IF(N$18='5.Variables'!$B$16,+'5.Variables'!$I26,+IF(N$18='5.Variables'!$B$39,+'5.Variables'!$I50,+IF(N$18='5.Variables'!$B$62,+'5.Variables'!$I64,+IF(N$18='5.Variables'!$B$76,+'5.Variables'!$I78,+IF(N$18='5.Variables'!$B$90,+'5.Variables'!$I92,+IF(N$18='5.Variables'!$B$104,+'5.Variables'!$I106,0))))))</f>
        <v>355.6</v>
      </c>
      <c r="O26" s="722">
        <f>IF(O$18='5.Variables'!$B$16,+'5.Variables'!$I26,+IF(O$18='5.Variables'!$B$39,+'5.Variables'!$I50,+IF(O$18='5.Variables'!$B$62,+'5.Variables'!$I64,+IF(O$18='5.Variables'!$B$76,+'5.Variables'!$I78,+IF(O$18='5.Variables'!$B$90,+'5.Variables'!$I92,+IF(O$18='5.Variables'!$B$104,+'5.Variables'!$I106,0))))))</f>
        <v>15.15</v>
      </c>
      <c r="P26" s="983">
        <f>IF(P$18='5.Variables'!$B$16,+'5.Variables'!$I26,+IF(P$18='5.Variables'!$B$39,+'5.Variables'!$I50,+IF(P$18='5.Variables'!$B$62,+'5.Variables'!$I64,+IF(P$18='5.Variables'!$B$76,+'5.Variables'!$I78,+IF(P$18='5.Variables'!$B$90,+'5.Variables'!$I92,+IF(P$18='5.Variables'!$B$104,+'5.Variables'!$I106,0))))))</f>
        <v>1</v>
      </c>
      <c r="Q26" s="245"/>
      <c r="R26" s="556">
        <f t="shared" si="1"/>
        <v>8452519.7922976576</v>
      </c>
      <c r="S26" s="265"/>
      <c r="T26" s="245"/>
      <c r="U26"/>
      <c r="V26"/>
      <c r="W26"/>
      <c r="X26"/>
      <c r="Y26"/>
      <c r="Z26"/>
      <c r="AA26"/>
      <c r="AB26"/>
      <c r="AC26"/>
      <c r="AD26" s="261"/>
      <c r="AE26" s="245"/>
      <c r="AF26" s="245"/>
      <c r="AG26" s="245"/>
      <c r="AH26" s="245"/>
      <c r="AI26" s="245"/>
      <c r="AJ26" s="245"/>
      <c r="AK26" s="245"/>
      <c r="AL26" s="245"/>
      <c r="AM26" s="245"/>
    </row>
    <row r="27" spans="1:39" ht="13.5" thickBot="1" x14ac:dyDescent="0.25">
      <c r="A27" s="501">
        <f t="shared" si="2"/>
        <v>8</v>
      </c>
      <c r="B27" s="262" t="str">
        <f>CONCATENATE('3. Consumption by Rate Class'!B32,"-",'3. Consumption by Rate Class'!C32)</f>
        <v>2006-August</v>
      </c>
      <c r="C27" s="694">
        <v>8353382</v>
      </c>
      <c r="D27" s="700">
        <v>-510585</v>
      </c>
      <c r="E27" s="700">
        <v>-427954</v>
      </c>
      <c r="F27" s="700"/>
      <c r="G27" s="700"/>
      <c r="H27" s="701"/>
      <c r="I27" s="701"/>
      <c r="J27" s="263">
        <f t="shared" si="0"/>
        <v>7414843</v>
      </c>
      <c r="K27" s="722">
        <f>IF(K$18='5.Variables'!$B$16,+'5.Variables'!$J27,+IF(K$18='5.Variables'!$B$39,+'5.Variables'!$J50,+IF(K$18='5.Variables'!$B$62,+'5.Variables'!$J64,+IF(K$18='5.Variables'!$B$76,+'5.Variables'!$J78,+IF(K$18='5.Variables'!$B$90,+'5.Variables'!$J92,+IF(K$18='5.Variables'!$B$104,+'5.Variables'!$J106,0))))))</f>
        <v>22.7</v>
      </c>
      <c r="L27" s="722">
        <f>IF(L$18='5.Variables'!$B$16,+'5.Variables'!$J27,+IF(L$18='5.Variables'!$B$39,+'5.Variables'!$J50,+IF(L$18='5.Variables'!$B$62,+'5.Variables'!$J64,+IF(L$18='5.Variables'!$B$76,+'5.Variables'!$J78,+IF(L$18='5.Variables'!$B$90,+'5.Variables'!$J92,+IF(L$18='5.Variables'!$B$104,+'5.Variables'!$J106,0))))))</f>
        <v>57.7</v>
      </c>
      <c r="M27" s="722">
        <f>IF(M$18='5.Variables'!$B$16,+'5.Variables'!$J26,+IF(M$18='5.Variables'!$B$39,+'5.Variables'!$J50,+IF(M$18='5.Variables'!$B$62,+'5.Variables'!$J64,+IF(M$18='5.Variables'!$B$76,+'5.Variables'!$J78,+IF(M$18='5.Variables'!$B$90,+'5.Variables'!$J92,+IF(M$18='5.Variables'!$B$104,+'5.Variables'!$J106,0))))))</f>
        <v>31</v>
      </c>
      <c r="N27" s="722">
        <f>IF(N$18='5.Variables'!$B$16,+'5.Variables'!$J26,+IF(N$18='5.Variables'!$B$39,+'5.Variables'!$J50,+IF(N$18='5.Variables'!$B$62,+'5.Variables'!$J64,+IF(N$18='5.Variables'!$B$76,+'5.Variables'!$J78,+IF(N$18='5.Variables'!$B$90,+'5.Variables'!$J92,+IF(N$18='5.Variables'!$B$104,+'5.Variables'!$J106,0))))))</f>
        <v>356.1</v>
      </c>
      <c r="O27" s="722">
        <f>IF(O$18='5.Variables'!$B$16,+'5.Variables'!$J26,+IF(O$18='5.Variables'!$B$39,+'5.Variables'!$J50,+IF(O$18='5.Variables'!$B$62,+'5.Variables'!$J64,+IF(O$18='5.Variables'!$B$76,+'5.Variables'!$J78,+IF(O$18='5.Variables'!$B$90,+'5.Variables'!$J92,+IF(O$18='5.Variables'!$B$104,+'5.Variables'!$J106,0))))))</f>
        <v>14.03</v>
      </c>
      <c r="P27" s="983">
        <f>IF(P$18='5.Variables'!$B$16,+'5.Variables'!$J26,+IF(P$18='5.Variables'!$B$39,+'5.Variables'!$J50,+IF(P$18='5.Variables'!$B$62,+'5.Variables'!$J64,+IF(P$18='5.Variables'!$B$76,+'5.Variables'!$J78,+IF(P$18='5.Variables'!$B$90,+'5.Variables'!$J92,+IF(P$18='5.Variables'!$B$104,+'5.Variables'!$J106,0))))))</f>
        <v>0</v>
      </c>
      <c r="Q27" s="245"/>
      <c r="R27" s="556">
        <f t="shared" si="1"/>
        <v>7443285.9342017043</v>
      </c>
      <c r="S27" s="265"/>
      <c r="T27" s="245"/>
      <c r="U27" t="s">
        <v>13</v>
      </c>
      <c r="V27"/>
      <c r="W27"/>
      <c r="X27"/>
      <c r="Y27"/>
      <c r="Z27"/>
      <c r="AA27"/>
      <c r="AB27"/>
      <c r="AC27"/>
      <c r="AD27" s="261"/>
      <c r="AE27" s="245"/>
      <c r="AF27" s="245"/>
      <c r="AG27" s="245"/>
      <c r="AH27" s="245"/>
      <c r="AI27" s="245"/>
      <c r="AJ27" s="245"/>
      <c r="AK27" s="245"/>
      <c r="AL27" s="245"/>
      <c r="AM27" s="245"/>
    </row>
    <row r="28" spans="1:39" x14ac:dyDescent="0.2">
      <c r="A28" s="501">
        <f t="shared" si="2"/>
        <v>9</v>
      </c>
      <c r="B28" s="262" t="str">
        <f>CONCATENATE('3. Consumption by Rate Class'!B33,"-",'3. Consumption by Rate Class'!C33)</f>
        <v>2006-September</v>
      </c>
      <c r="C28" s="694">
        <v>7595028</v>
      </c>
      <c r="D28" s="700">
        <v>-570578</v>
      </c>
      <c r="E28" s="700">
        <v>-487270</v>
      </c>
      <c r="F28" s="700"/>
      <c r="G28" s="700"/>
      <c r="H28" s="701"/>
      <c r="I28" s="701"/>
      <c r="J28" s="263">
        <f t="shared" si="0"/>
        <v>6537180</v>
      </c>
      <c r="K28" s="722">
        <f>IF(K$18='5.Variables'!$B$16,+'5.Variables'!$K27,+IF(K$18='5.Variables'!$B$39,+'5.Variables'!$K50,+IF(K$18='5.Variables'!$B$62,+'5.Variables'!$K64,+IF(K$18='5.Variables'!$B$76,+'5.Variables'!$K78,+IF(K$18='5.Variables'!$B$90,+'5.Variables'!$K92,+IF(K$18='5.Variables'!$B$104,+'5.Variables'!$K106,0))))))</f>
        <v>126.40000000000002</v>
      </c>
      <c r="L28" s="722">
        <f>IF(L$18='5.Variables'!$B$16,+'5.Variables'!$K27,+IF(L$18='5.Variables'!$B$39,+'5.Variables'!$K50,+IF(L$18='5.Variables'!$B$62,+'5.Variables'!$K64,+IF(L$18='5.Variables'!$B$76,+'5.Variables'!$K78,+IF(L$18='5.Variables'!$B$90,+'5.Variables'!$K92,+IF(L$18='5.Variables'!$B$104,+'5.Variables'!$K106,0))))))</f>
        <v>3.2</v>
      </c>
      <c r="M28" s="722">
        <f>IF(M$18='5.Variables'!$B$16,+'5.Variables'!$K26,+IF(M$18='5.Variables'!$B$39,+'5.Variables'!$K50,+IF(M$18='5.Variables'!$B$62,+'5.Variables'!$K64,+IF(M$18='5.Variables'!$B$76,+'5.Variables'!$K78,+IF(M$18='5.Variables'!$B$90,+'5.Variables'!$K92,+IF(M$18='5.Variables'!$B$104,+'5.Variables'!$K106,0))))))</f>
        <v>30</v>
      </c>
      <c r="N28" s="722">
        <f>IF(N$18='5.Variables'!$B$16,+'5.Variables'!$K26,+IF(N$18='5.Variables'!$B$39,+'5.Variables'!$K50,+IF(N$18='5.Variables'!$B$62,+'5.Variables'!$K64,+IF(N$18='5.Variables'!$B$76,+'5.Variables'!$K78,+IF(N$18='5.Variables'!$B$90,+'5.Variables'!$K92,+IF(N$18='5.Variables'!$B$104,+'5.Variables'!$K106,0))))))</f>
        <v>356.4</v>
      </c>
      <c r="O28" s="722">
        <f>IF(O$18='5.Variables'!$B$16,+'5.Variables'!$K26,+IF(O$18='5.Variables'!$B$39,+'5.Variables'!$K50,+IF(O$18='5.Variables'!$B$62,+'5.Variables'!$K64,+IF(O$18='5.Variables'!$B$76,+'5.Variables'!$K78,+IF(O$18='5.Variables'!$B$90,+'5.Variables'!$K92,+IF(O$18='5.Variables'!$B$104,+'5.Variables'!$K106,0))))))</f>
        <v>12.29</v>
      </c>
      <c r="P28" s="983">
        <f>IF(P$18='5.Variables'!$B$16,+'5.Variables'!$K26,+IF(P$18='5.Variables'!$B$39,+'5.Variables'!$K50,+IF(P$18='5.Variables'!$B$62,+'5.Variables'!$K64,+IF(P$18='5.Variables'!$B$76,+'5.Variables'!$K78,+IF(P$18='5.Variables'!$B$90,+'5.Variables'!$K92,+IF(P$18='5.Variables'!$B$104,+'5.Variables'!$K106,0))))))</f>
        <v>0</v>
      </c>
      <c r="Q28" s="245"/>
      <c r="R28" s="556">
        <f t="shared" si="1"/>
        <v>6731138.0047454238</v>
      </c>
      <c r="S28" s="265"/>
      <c r="T28" s="245"/>
      <c r="U28" s="546"/>
      <c r="V28" s="546" t="s">
        <v>18</v>
      </c>
      <c r="W28" s="546" t="s">
        <v>19</v>
      </c>
      <c r="X28" s="546" t="s">
        <v>20</v>
      </c>
      <c r="Y28" s="546" t="s">
        <v>21</v>
      </c>
      <c r="Z28" s="546" t="s">
        <v>22</v>
      </c>
      <c r="AA28"/>
      <c r="AB28"/>
      <c r="AC28"/>
      <c r="AD28" s="261"/>
      <c r="AE28" s="245"/>
      <c r="AF28" s="245"/>
      <c r="AG28" s="245"/>
      <c r="AH28" s="245"/>
      <c r="AI28" s="245"/>
      <c r="AJ28" s="245"/>
      <c r="AK28" s="245"/>
      <c r="AL28" s="245"/>
      <c r="AM28" s="245"/>
    </row>
    <row r="29" spans="1:39" x14ac:dyDescent="0.2">
      <c r="A29" s="501">
        <f t="shared" si="2"/>
        <v>10</v>
      </c>
      <c r="B29" s="262" t="str">
        <f>CONCATENATE('3. Consumption by Rate Class'!B34,"-",'3. Consumption by Rate Class'!C34)</f>
        <v>2006-October</v>
      </c>
      <c r="C29" s="694">
        <v>8360180</v>
      </c>
      <c r="D29" s="700">
        <v>-510368</v>
      </c>
      <c r="E29" s="700">
        <v>-483753</v>
      </c>
      <c r="F29" s="700"/>
      <c r="G29" s="700"/>
      <c r="H29" s="701"/>
      <c r="I29" s="701"/>
      <c r="J29" s="263">
        <f t="shared" si="0"/>
        <v>7366059</v>
      </c>
      <c r="K29" s="722">
        <f>IF(K$18='5.Variables'!$B$16,+'5.Variables'!$L27,+IF(K$18='5.Variables'!$B$39,+'5.Variables'!$L50,+IF(K$18='5.Variables'!$B$62,+'5.Variables'!$L64,+IF(K$18='5.Variables'!$B$76,+'5.Variables'!$L78,+IF(K$18='5.Variables'!$B$90,+'5.Variables'!$L92,+IF(K$18='5.Variables'!$B$104,+'5.Variables'!$L106,0))))))</f>
        <v>338.9</v>
      </c>
      <c r="L29" s="722">
        <f>IF(L$18='5.Variables'!$B$16,+'5.Variables'!$L27,+IF(L$18='5.Variables'!$B$39,+'5.Variables'!$L50,+IF(L$18='5.Variables'!$B$62,+'5.Variables'!$L64,+IF(L$18='5.Variables'!$B$76,+'5.Variables'!$L78,+IF(L$18='5.Variables'!$B$90,+'5.Variables'!$L92,+IF(L$18='5.Variables'!$B$104,+'5.Variables'!$L106,0))))))</f>
        <v>0</v>
      </c>
      <c r="M29" s="722">
        <f>IF(M$18='5.Variables'!$B$16,+'5.Variables'!$L26,+IF(M$18='5.Variables'!$B$39,+'5.Variables'!$L50,+IF(M$18='5.Variables'!$B$62,+'5.Variables'!$L64,+IF(M$18='5.Variables'!$B$76,+'5.Variables'!$L78,+IF(M$18='5.Variables'!$B$90,+'5.Variables'!$L92,+IF(M$18='5.Variables'!$B$104,+'5.Variables'!$L106,0))))))</f>
        <v>31</v>
      </c>
      <c r="N29" s="722">
        <f>IF(N$18='5.Variables'!$B$16,+'5.Variables'!$L26,+IF(N$18='5.Variables'!$B$39,+'5.Variables'!$L50,+IF(N$18='5.Variables'!$B$62,+'5.Variables'!$L64,+IF(N$18='5.Variables'!$B$76,+'5.Variables'!$L78,+IF(N$18='5.Variables'!$B$90,+'5.Variables'!$L92,+IF(N$18='5.Variables'!$B$104,+'5.Variables'!$L106,0))))))</f>
        <v>356.7</v>
      </c>
      <c r="O29" s="722">
        <f>IF(O$18='5.Variables'!$B$16,+'5.Variables'!$L26,+IF(O$18='5.Variables'!$B$39,+'5.Variables'!$L50,+IF(O$18='5.Variables'!$B$62,+'5.Variables'!$L64,+IF(O$18='5.Variables'!$B$76,+'5.Variables'!$L78,+IF(O$18='5.Variables'!$B$90,+'5.Variables'!$L92,+IF(O$18='5.Variables'!$B$104,+'5.Variables'!$L106,0))))))</f>
        <v>10.51</v>
      </c>
      <c r="P29" s="983">
        <f>IF(P$18='5.Variables'!$B$16,+'5.Variables'!$L26,+IF(P$18='5.Variables'!$B$39,+'5.Variables'!$L50,+IF(P$18='5.Variables'!$B$62,+'5.Variables'!$L64,+IF(P$18='5.Variables'!$B$76,+'5.Variables'!$L78,+IF(P$18='5.Variables'!$B$90,+'5.Variables'!$L92,+IF(P$18='5.Variables'!$B$104,+'5.Variables'!$L106,0))))))</f>
        <v>0</v>
      </c>
      <c r="Q29" s="245"/>
      <c r="R29" s="556">
        <f t="shared" si="1"/>
        <v>7606954.2078535566</v>
      </c>
      <c r="S29" s="265"/>
      <c r="T29" s="245"/>
      <c r="U29" s="544" t="s">
        <v>14</v>
      </c>
      <c r="V29" s="544">
        <v>5</v>
      </c>
      <c r="W29" s="544">
        <v>74073094495276.703</v>
      </c>
      <c r="X29" s="544">
        <v>14814618899055.34</v>
      </c>
      <c r="Y29" s="544">
        <v>188.18570658615812</v>
      </c>
      <c r="Z29" s="544">
        <v>4.5316991680939856E-53</v>
      </c>
      <c r="AA29"/>
      <c r="AB29"/>
      <c r="AC29"/>
      <c r="AD29" s="261"/>
      <c r="AE29" s="245"/>
      <c r="AF29" s="245"/>
      <c r="AG29" s="245"/>
      <c r="AH29" s="245"/>
      <c r="AI29" s="245"/>
      <c r="AJ29" s="245"/>
      <c r="AK29" s="245"/>
      <c r="AL29" s="245"/>
      <c r="AM29" s="245"/>
    </row>
    <row r="30" spans="1:39" x14ac:dyDescent="0.2">
      <c r="A30" s="501">
        <f t="shared" si="2"/>
        <v>11</v>
      </c>
      <c r="B30" s="262" t="str">
        <f>CONCATENATE('3. Consumption by Rate Class'!B35,"-",'3. Consumption by Rate Class'!C35)</f>
        <v>2006-November</v>
      </c>
      <c r="C30" s="694">
        <v>8538261</v>
      </c>
      <c r="D30" s="700">
        <v>-502646</v>
      </c>
      <c r="E30" s="700">
        <v>-454895</v>
      </c>
      <c r="F30" s="700"/>
      <c r="G30" s="700"/>
      <c r="H30" s="701"/>
      <c r="I30" s="701"/>
      <c r="J30" s="263">
        <f t="shared" si="0"/>
        <v>7580720</v>
      </c>
      <c r="K30" s="722">
        <f>IF(K$18='5.Variables'!$B$16,+'5.Variables'!$M27,+IF(K$18='5.Variables'!$B$39,+'5.Variables'!$M50,+IF(K$18='5.Variables'!$B$62,+'5.Variables'!$M64,+IF(K$18='5.Variables'!$B$76,+'5.Variables'!$M78,+IF(K$18='5.Variables'!$B$90,+'5.Variables'!$M92,+IF(K$18='5.Variables'!$B$104,+'5.Variables'!$M106,0))))))</f>
        <v>415.5</v>
      </c>
      <c r="L30" s="722">
        <f>IF(L$18='5.Variables'!$B$16,+'5.Variables'!$M27,+IF(L$18='5.Variables'!$B$39,+'5.Variables'!$M50,+IF(L$18='5.Variables'!$B$62,+'5.Variables'!$M64,+IF(L$18='5.Variables'!$B$76,+'5.Variables'!$M78,+IF(L$18='5.Variables'!$B$90,+'5.Variables'!$M92,+IF(L$18='5.Variables'!$B$104,+'5.Variables'!$M106,0))))))</f>
        <v>0</v>
      </c>
      <c r="M30" s="722">
        <f>IF(M$18='5.Variables'!$B$16,+'5.Variables'!$M26,+IF(M$18='5.Variables'!$B$39,+'5.Variables'!$M50,+IF(M$18='5.Variables'!$B$62,+'5.Variables'!$M64,+IF(M$18='5.Variables'!$B$76,+'5.Variables'!$M78,+IF(M$18='5.Variables'!$B$90,+'5.Variables'!$M92,+IF(M$18='5.Variables'!$B$104,+'5.Variables'!$M106,0))))))</f>
        <v>30</v>
      </c>
      <c r="N30" s="722">
        <f>IF(N$18='5.Variables'!$B$16,+'5.Variables'!$M26,+IF(N$18='5.Variables'!$B$39,+'5.Variables'!$M50,+IF(N$18='5.Variables'!$B$62,+'5.Variables'!$M64,+IF(N$18='5.Variables'!$B$76,+'5.Variables'!$M78,+IF(N$18='5.Variables'!$B$90,+'5.Variables'!$M92,+IF(N$18='5.Variables'!$B$104,+'5.Variables'!$M106,0))))))</f>
        <v>356.7</v>
      </c>
      <c r="O30" s="722">
        <f>IF(O$18='5.Variables'!$B$16,+'5.Variables'!$M26,+IF(O$18='5.Variables'!$B$39,+'5.Variables'!$M50,+IF(O$18='5.Variables'!$B$62,+'5.Variables'!$M64,+IF(O$18='5.Variables'!$B$76,+'5.Variables'!$M78,+IF(O$18='5.Variables'!$B$90,+'5.Variables'!$M92,+IF(O$18='5.Variables'!$B$104,+'5.Variables'!$M106,0))))))</f>
        <v>9.2799999999999994</v>
      </c>
      <c r="P30" s="983">
        <f>IF(P$18='5.Variables'!$B$16,+'5.Variables'!$M26,+IF(P$18='5.Variables'!$B$39,+'5.Variables'!$M50,+IF(P$18='5.Variables'!$B$62,+'5.Variables'!$M64,+IF(P$18='5.Variables'!$B$76,+'5.Variables'!$M78,+IF(P$18='5.Variables'!$B$90,+'5.Variables'!$M92,+IF(P$18='5.Variables'!$B$104,+'5.Variables'!$M106,0))))))</f>
        <v>0</v>
      </c>
      <c r="Q30" s="245"/>
      <c r="R30" s="556">
        <f t="shared" si="1"/>
        <v>7694754.3936128523</v>
      </c>
      <c r="S30" s="265"/>
      <c r="T30" s="245"/>
      <c r="U30" s="544" t="s">
        <v>15</v>
      </c>
      <c r="V30" s="544">
        <v>113</v>
      </c>
      <c r="W30" s="544">
        <v>8895744347229.7539</v>
      </c>
      <c r="X30" s="544">
        <v>78723401302.918182</v>
      </c>
      <c r="Y30" s="544"/>
      <c r="Z30" s="544"/>
      <c r="AA30"/>
      <c r="AB30"/>
      <c r="AC30"/>
      <c r="AD30" s="261"/>
      <c r="AE30" s="245"/>
      <c r="AF30" s="245"/>
      <c r="AG30" s="245"/>
      <c r="AH30" s="245"/>
      <c r="AI30" s="245"/>
      <c r="AJ30" s="245"/>
      <c r="AK30" s="245"/>
      <c r="AL30" s="245"/>
      <c r="AM30" s="245"/>
    </row>
    <row r="31" spans="1:39" ht="13.5" thickBot="1" x14ac:dyDescent="0.25">
      <c r="A31" s="501">
        <f t="shared" si="2"/>
        <v>12</v>
      </c>
      <c r="B31" s="520" t="str">
        <f>CONCATENATE('3. Consumption by Rate Class'!B36,"-",'3. Consumption by Rate Class'!C36)</f>
        <v>2006-December</v>
      </c>
      <c r="C31" s="695">
        <v>9176860</v>
      </c>
      <c r="D31" s="702">
        <v>-487530</v>
      </c>
      <c r="E31" s="702">
        <v>-466742</v>
      </c>
      <c r="F31" s="702"/>
      <c r="G31" s="702"/>
      <c r="H31" s="703"/>
      <c r="I31" s="703"/>
      <c r="J31" s="263">
        <f t="shared" si="0"/>
        <v>8222588</v>
      </c>
      <c r="K31" s="722">
        <f>IF(K$18='5.Variables'!$B$16,+'5.Variables'!$N27,+IF(K$18='5.Variables'!$B$39,+'5.Variables'!$N50,+IF(K$18='5.Variables'!$B$62,+'5.Variables'!$N64,+IF(K$18='5.Variables'!$B$76,+'5.Variables'!$N78,+IF(K$18='5.Variables'!$B$90,+'5.Variables'!$N92,+IF(K$18='5.Variables'!$B$104,+'5.Variables'!$N106,0))))))</f>
        <v>603.5</v>
      </c>
      <c r="L31" s="722">
        <f>IF(L$18='5.Variables'!$B$16,+'5.Variables'!$N27,+IF(L$18='5.Variables'!$B$39,+'5.Variables'!$N50,+IF(L$18='5.Variables'!$B$62,+'5.Variables'!$N64,+IF(L$18='5.Variables'!$B$76,+'5.Variables'!$N78,+IF(L$18='5.Variables'!$B$90,+'5.Variables'!$N92,+IF(L$18='5.Variables'!$B$104,+'5.Variables'!$N106,0))))))</f>
        <v>0</v>
      </c>
      <c r="M31" s="722">
        <f>IF(M$18='5.Variables'!$B$16,+'5.Variables'!$N26,+IF(M$18='5.Variables'!$B$39,+'5.Variables'!$N50,+IF(M$18='5.Variables'!$B$62,+'5.Variables'!$N64,+IF(M$18='5.Variables'!$B$76,+'5.Variables'!$N78,+IF(M$18='5.Variables'!$B$90,+'5.Variables'!$N92,+IF(M$18='5.Variables'!$B$104,+'5.Variables'!$N106,0))))))</f>
        <v>31</v>
      </c>
      <c r="N31" s="722">
        <f>IF(N$18='5.Variables'!$B$16,+'5.Variables'!$N26,+IF(N$18='5.Variables'!$B$39,+'5.Variables'!$N50,+IF(N$18='5.Variables'!$B$62,+'5.Variables'!$N64,+IF(N$18='5.Variables'!$B$76,+'5.Variables'!$N78,+IF(N$18='5.Variables'!$B$90,+'5.Variables'!$N92,+IF(N$18='5.Variables'!$B$104,+'5.Variables'!$N106,0))))))</f>
        <v>356.8</v>
      </c>
      <c r="O31" s="722">
        <f>IF(O$18='5.Variables'!$B$16,+'5.Variables'!$N26,+IF(O$18='5.Variables'!$B$39,+'5.Variables'!$N50,+IF(O$18='5.Variables'!$B$62,+'5.Variables'!$N64,+IF(O$18='5.Variables'!$B$76,+'5.Variables'!$N78,+IF(O$18='5.Variables'!$B$90,+'5.Variables'!$N92,+IF(O$18='5.Variables'!$B$104,+'5.Variables'!$N106,0))))))</f>
        <v>8.4700000000000006</v>
      </c>
      <c r="P31" s="983">
        <f>IF(P$18='5.Variables'!$B$16,+'5.Variables'!$N26,+IF(P$18='5.Variables'!$B$39,+'5.Variables'!$N50,+IF(P$18='5.Variables'!$B$62,+'5.Variables'!$N64,+IF(P$18='5.Variables'!$B$76,+'5.Variables'!$N78,+IF(P$18='5.Variables'!$B$90,+'5.Variables'!$N92,+IF(P$18='5.Variables'!$B$104,+'5.Variables'!$N106,0))))))</f>
        <v>1</v>
      </c>
      <c r="Q31" s="245"/>
      <c r="R31" s="556">
        <f t="shared" si="1"/>
        <v>8519665.7861942556</v>
      </c>
      <c r="S31" s="265">
        <f>SUM(R20:R31)</f>
        <v>93834660.825160488</v>
      </c>
      <c r="T31" s="245"/>
      <c r="U31" s="545" t="s">
        <v>16</v>
      </c>
      <c r="V31" s="545">
        <v>118</v>
      </c>
      <c r="W31" s="545">
        <v>82968838842506.453</v>
      </c>
      <c r="X31" s="545"/>
      <c r="Y31" s="545"/>
      <c r="Z31" s="545"/>
      <c r="AA31"/>
      <c r="AB31"/>
      <c r="AC31"/>
      <c r="AD31" s="261"/>
      <c r="AE31" s="245"/>
      <c r="AF31" s="245"/>
      <c r="AG31" s="245"/>
      <c r="AH31" s="245"/>
      <c r="AI31" s="245"/>
      <c r="AJ31" s="245"/>
      <c r="AK31" s="245"/>
      <c r="AL31" s="245"/>
      <c r="AM31" s="245"/>
    </row>
    <row r="32" spans="1:39" ht="13.5" thickBot="1" x14ac:dyDescent="0.25">
      <c r="A32" s="501">
        <f t="shared" si="2"/>
        <v>13</v>
      </c>
      <c r="B32" s="262" t="str">
        <f>CONCATENATE('3. Consumption by Rate Class'!B37,"-",'3. Consumption by Rate Class'!C37)</f>
        <v>2007-January</v>
      </c>
      <c r="C32" s="694">
        <v>10153438.699999999</v>
      </c>
      <c r="D32" s="700">
        <v>-396426</v>
      </c>
      <c r="E32" s="700">
        <v>-421933</v>
      </c>
      <c r="F32" s="700"/>
      <c r="G32" s="700"/>
      <c r="H32" s="701"/>
      <c r="I32" s="701"/>
      <c r="J32" s="263">
        <f t="shared" si="0"/>
        <v>9335079.6999999993</v>
      </c>
      <c r="K32" s="722">
        <f>IF(K$18='5.Variables'!$B$16,+'5.Variables'!$C28,+IF(K$18='5.Variables'!$B$39,+'5.Variables'!$C51,+IF(K$18='5.Variables'!$B$62,+'5.Variables'!$C65,+IF(K$18='5.Variables'!$B$76,+'5.Variables'!$C79,+IF(K$18='5.Variables'!$B$90,+'5.Variables'!$C93,+IF(K$18='5.Variables'!$B$104,+'5.Variables'!$C107,0))))))</f>
        <v>792.09999999999991</v>
      </c>
      <c r="L32" s="722">
        <f>IF(L$18='5.Variables'!$B$16,+'5.Variables'!$C27,+IF(L$18='5.Variables'!$B$39,+'5.Variables'!$C51,+IF(L$18='5.Variables'!$B$62,+'5.Variables'!$C65,+IF(L$18='5.Variables'!$B$76,+'5.Variables'!$C79,+IF(L$18='5.Variables'!$B$90,+'5.Variables'!$C93,+IF(L$18='5.Variables'!$B$104,+'5.Variables'!$C107,0))))))</f>
        <v>0</v>
      </c>
      <c r="M32" s="722">
        <f>IF(M$18='5.Variables'!$B$16,+'5.Variables'!$C27,+IF(M$18='5.Variables'!$B$39,+'5.Variables'!$C51,+IF(M$18='5.Variables'!$B$62,+'5.Variables'!$C65,+IF(M$18='5.Variables'!$B$76,+'5.Variables'!$C79,+IF(M$18='5.Variables'!$B$90,+'5.Variables'!$C93,+IF(M$18='5.Variables'!$B$104,+'5.Variables'!$C107,0))))))</f>
        <v>31</v>
      </c>
      <c r="N32" s="722">
        <f>IF(N$18='5.Variables'!$B$16,+'5.Variables'!$C27,+IF(N$18='5.Variables'!$B$39,+'5.Variables'!$C51,+IF(N$18='5.Variables'!$B$62,+'5.Variables'!$C65,+IF(N$18='5.Variables'!$B$76,+'5.Variables'!$C79,+IF(N$18='5.Variables'!$B$90,+'5.Variables'!$C93,+IF(N$18='5.Variables'!$B$104,+'5.Variables'!$C107,0))))))</f>
        <v>356.9</v>
      </c>
      <c r="O32" s="722">
        <f>IF(O$18='5.Variables'!$B$16,+'5.Variables'!$C27,+IF(O$18='5.Variables'!$B$39,+'5.Variables'!$C51,+IF(O$18='5.Variables'!$B$62,+'5.Variables'!$C65,+IF(O$18='5.Variables'!$B$76,+'5.Variables'!$C79,+IF(O$18='5.Variables'!$B$90,+'5.Variables'!$C93,+IF(O$18='5.Variables'!$B$104,+'5.Variables'!$C107,0))))))</f>
        <v>9.09</v>
      </c>
      <c r="P32" s="983">
        <f>IF(P$18='5.Variables'!$B$16,+'5.Variables'!$C27,+IF(P$18='5.Variables'!$B$39,+'5.Variables'!$C51,+IF(P$18='5.Variables'!$B$62,+'5.Variables'!$C65,+IF(P$18='5.Variables'!$B$76,+'5.Variables'!$C79,+IF(P$18='5.Variables'!$B$90,+'5.Variables'!$C93,+IF(P$18='5.Variables'!$B$104,+'5.Variables'!$C107,0))))))</f>
        <v>1</v>
      </c>
      <c r="Q32" s="245"/>
      <c r="R32" s="556">
        <f t="shared" si="1"/>
        <v>9107217.1711037923</v>
      </c>
      <c r="S32" s="265"/>
      <c r="T32" s="245"/>
      <c r="U32"/>
      <c r="V32"/>
      <c r="W32"/>
      <c r="X32"/>
      <c r="Y32"/>
      <c r="Z32"/>
      <c r="AA32"/>
      <c r="AB32"/>
      <c r="AC32"/>
      <c r="AD32" s="261"/>
      <c r="AE32" s="245"/>
      <c r="AF32" s="245"/>
      <c r="AG32" s="245"/>
      <c r="AH32" s="245"/>
      <c r="AI32" s="245"/>
      <c r="AJ32" s="245"/>
      <c r="AK32" s="245"/>
      <c r="AL32" s="245"/>
      <c r="AM32" s="245"/>
    </row>
    <row r="33" spans="1:39" x14ac:dyDescent="0.2">
      <c r="A33" s="501">
        <f t="shared" si="2"/>
        <v>14</v>
      </c>
      <c r="B33" s="262" t="str">
        <f>CONCATENATE('3. Consumption by Rate Class'!B38,"-",'3. Consumption by Rate Class'!C38)</f>
        <v>2007-February</v>
      </c>
      <c r="C33" s="694">
        <v>9499243.9000000004</v>
      </c>
      <c r="D33" s="700">
        <v>-420592</v>
      </c>
      <c r="E33" s="700">
        <v>-412418</v>
      </c>
      <c r="F33" s="700"/>
      <c r="G33" s="700"/>
      <c r="H33" s="701"/>
      <c r="I33" s="701"/>
      <c r="J33" s="263">
        <f t="shared" si="0"/>
        <v>8666233.9000000004</v>
      </c>
      <c r="K33" s="722">
        <f>IF(K$18='5.Variables'!$B$16,+'5.Variables'!$D28,+IF(K$18='5.Variables'!$B$39,+'5.Variables'!$D51,+IF(K$18='5.Variables'!$B$62,+'5.Variables'!$D65,+IF(K$18='5.Variables'!$B$76,+'5.Variables'!$D79,+IF(K$18='5.Variables'!$B$90,+'5.Variables'!$D93,+IF(K$18='5.Variables'!$B$104,+'5.Variables'!$D107,0))))))</f>
        <v>814.3</v>
      </c>
      <c r="L33" s="722">
        <f>IF(L$18='5.Variables'!$B$16,+'5.Variables'!$D27,+IF(L$18='5.Variables'!$B$39,+'5.Variables'!$D51,+IF(L$18='5.Variables'!$B$62,+'5.Variables'!$D65,+IF(L$18='5.Variables'!$B$76,+'5.Variables'!$D79,+IF(L$18='5.Variables'!$B$90,+'5.Variables'!$D93,+IF(L$18='5.Variables'!$B$104,+'5.Variables'!$D107,0))))))</f>
        <v>0</v>
      </c>
      <c r="M33" s="722">
        <f>IF(M$18='5.Variables'!$B$16,+'5.Variables'!$D27,+IF(M$18='5.Variables'!$B$39,+'5.Variables'!$D51,+IF(M$18='5.Variables'!$B$62,+'5.Variables'!$D65,+IF(M$18='5.Variables'!$B$76,+'5.Variables'!$D79,+IF(M$18='5.Variables'!$B$90,+'5.Variables'!$D93,+IF(M$18='5.Variables'!$B$104,+'5.Variables'!$D107,0))))))</f>
        <v>28</v>
      </c>
      <c r="N33" s="722">
        <f>IF(N$18='5.Variables'!$B$16,+'5.Variables'!$D27,+IF(N$18='5.Variables'!$B$39,+'5.Variables'!$D51,+IF(N$18='5.Variables'!$B$62,+'5.Variables'!$D65,+IF(N$18='5.Variables'!$B$76,+'5.Variables'!$D79,+IF(N$18='5.Variables'!$B$90,+'5.Variables'!$D93,+IF(N$18='5.Variables'!$B$104,+'5.Variables'!$D107,0))))))</f>
        <v>357.1</v>
      </c>
      <c r="O33" s="722">
        <f>IF(O$18='5.Variables'!$B$16,+'5.Variables'!$D27,+IF(O$18='5.Variables'!$B$39,+'5.Variables'!$D51,+IF(O$18='5.Variables'!$B$62,+'5.Variables'!$D65,+IF(O$18='5.Variables'!$B$76,+'5.Variables'!$D79,+IF(O$18='5.Variables'!$B$90,+'5.Variables'!$D93,+IF(O$18='5.Variables'!$B$104,+'5.Variables'!$D107,0))))))</f>
        <v>10.19</v>
      </c>
      <c r="P33" s="983">
        <f>IF(P$18='5.Variables'!$B$16,+'5.Variables'!$D27,+IF(P$18='5.Variables'!$B$39,+'5.Variables'!$D51,+IF(P$18='5.Variables'!$B$62,+'5.Variables'!$D65,+IF(P$18='5.Variables'!$B$76,+'5.Variables'!$D79,+IF(P$18='5.Variables'!$B$90,+'5.Variables'!$D93,+IF(P$18='5.Variables'!$B$104,+'5.Variables'!$D107,0))))))</f>
        <v>0</v>
      </c>
      <c r="Q33" s="245"/>
      <c r="R33" s="556">
        <f t="shared" si="1"/>
        <v>8552116.9412158541</v>
      </c>
      <c r="S33" s="265"/>
      <c r="T33" s="245"/>
      <c r="U33" s="546"/>
      <c r="V33" s="546" t="s">
        <v>23</v>
      </c>
      <c r="W33" s="546" t="s">
        <v>11</v>
      </c>
      <c r="X33" s="546" t="s">
        <v>24</v>
      </c>
      <c r="Y33" s="546" t="s">
        <v>25</v>
      </c>
      <c r="Z33" s="546" t="s">
        <v>26</v>
      </c>
      <c r="AA33" s="546" t="s">
        <v>27</v>
      </c>
      <c r="AB33" s="546" t="s">
        <v>28</v>
      </c>
      <c r="AC33" s="546" t="s">
        <v>29</v>
      </c>
      <c r="AD33" s="261"/>
      <c r="AE33" s="245"/>
      <c r="AF33" s="245"/>
      <c r="AG33" s="245"/>
      <c r="AH33" s="245"/>
      <c r="AI33" s="245"/>
      <c r="AJ33" s="245"/>
      <c r="AK33" s="245"/>
      <c r="AL33" s="245"/>
      <c r="AM33" s="245"/>
    </row>
    <row r="34" spans="1:39" x14ac:dyDescent="0.2">
      <c r="A34" s="501">
        <f t="shared" si="2"/>
        <v>15</v>
      </c>
      <c r="B34" s="262" t="str">
        <f>CONCATENATE('3. Consumption by Rate Class'!B39,"-",'3. Consumption by Rate Class'!C39)</f>
        <v>2007-March</v>
      </c>
      <c r="C34" s="694">
        <v>9317383.0999999996</v>
      </c>
      <c r="D34" s="700">
        <v>-459043</v>
      </c>
      <c r="E34" s="700">
        <v>-418480</v>
      </c>
      <c r="F34" s="700"/>
      <c r="G34" s="700"/>
      <c r="H34" s="701"/>
      <c r="I34" s="701"/>
      <c r="J34" s="263">
        <f t="shared" si="0"/>
        <v>8439860.0999999996</v>
      </c>
      <c r="K34" s="722">
        <f>IF(K$18='5.Variables'!$B$16,+'5.Variables'!$E28,+IF(K$18='5.Variables'!$B$39,+'5.Variables'!$E51,+IF(K$18='5.Variables'!$B$62,+'5.Variables'!$E65,+IF(K$18='5.Variables'!$B$76,+'5.Variables'!$E79,+IF(K$18='5.Variables'!$B$90,+'5.Variables'!$E93,+IF(K$18='5.Variables'!$B$104,+'5.Variables'!$E107,0))))))</f>
        <v>647</v>
      </c>
      <c r="L34" s="722">
        <f>IF(L$18='5.Variables'!$B$16,+'5.Variables'!$E27,+IF(L$18='5.Variables'!$B$39,+'5.Variables'!$E51,+IF(L$18='5.Variables'!$B$62,+'5.Variables'!$E65,+IF(L$18='5.Variables'!$B$76,+'5.Variables'!$E79,+IF(L$18='5.Variables'!$B$90,+'5.Variables'!$E93,+IF(L$18='5.Variables'!$B$104,+'5.Variables'!$E107,0))))))</f>
        <v>0</v>
      </c>
      <c r="M34" s="722">
        <f>IF(M$18='5.Variables'!$B$16,+'5.Variables'!$E27,+IF(M$18='5.Variables'!$B$39,+'5.Variables'!$E51,+IF(M$18='5.Variables'!$B$62,+'5.Variables'!$E65,+IF(M$18='5.Variables'!$B$76,+'5.Variables'!$E79,+IF(M$18='5.Variables'!$B$90,+'5.Variables'!$E93,+IF(M$18='5.Variables'!$B$104,+'5.Variables'!$E107,0))))))</f>
        <v>31</v>
      </c>
      <c r="N34" s="722">
        <f>IF(N$18='5.Variables'!$B$16,+'5.Variables'!$E27,+IF(N$18='5.Variables'!$B$39,+'5.Variables'!$E51,+IF(N$18='5.Variables'!$B$62,+'5.Variables'!$E65,+IF(N$18='5.Variables'!$B$76,+'5.Variables'!$E79,+IF(N$18='5.Variables'!$B$90,+'5.Variables'!$E93,+IF(N$18='5.Variables'!$B$104,+'5.Variables'!$E107,0))))))</f>
        <v>357.2</v>
      </c>
      <c r="O34" s="722">
        <f>IF(O$18='5.Variables'!$B$16,+'5.Variables'!$E27,+IF(O$18='5.Variables'!$B$39,+'5.Variables'!$E51,+IF(O$18='5.Variables'!$B$62,+'5.Variables'!$E65,+IF(O$18='5.Variables'!$B$76,+'5.Variables'!$E79,+IF(O$18='5.Variables'!$B$90,+'5.Variables'!$E93,+IF(O$18='5.Variables'!$B$104,+'5.Variables'!$E107,0))))))</f>
        <v>11.51</v>
      </c>
      <c r="P34" s="983">
        <f>IF(P$18='5.Variables'!$B$16,+'5.Variables'!$E27,+IF(P$18='5.Variables'!$B$39,+'5.Variables'!$E51,+IF(P$18='5.Variables'!$B$62,+'5.Variables'!$E65,+IF(P$18='5.Variables'!$B$76,+'5.Variables'!$E79,+IF(P$18='5.Variables'!$B$90,+'5.Variables'!$E93,+IF(P$18='5.Variables'!$B$104,+'5.Variables'!$E107,0))))))</f>
        <v>1</v>
      </c>
      <c r="Q34" s="245"/>
      <c r="R34" s="556">
        <f t="shared" si="1"/>
        <v>8559248.0218483694</v>
      </c>
      <c r="S34" s="265"/>
      <c r="T34" s="245"/>
      <c r="U34" s="544" t="s">
        <v>17</v>
      </c>
      <c r="V34" s="544">
        <v>9141169.2919811551</v>
      </c>
      <c r="W34" s="544">
        <v>1992633.2043954125</v>
      </c>
      <c r="X34" s="544">
        <v>4.5874821677252386</v>
      </c>
      <c r="Y34" s="544">
        <v>1.167908526553345E-5</v>
      </c>
      <c r="Z34" s="544">
        <v>5193403.5239154622</v>
      </c>
      <c r="AA34" s="544">
        <v>13088935.060046848</v>
      </c>
      <c r="AB34" s="544">
        <v>5193403.5239154622</v>
      </c>
      <c r="AC34" s="544">
        <v>13088935.060046848</v>
      </c>
      <c r="AD34" s="261"/>
      <c r="AE34" s="245"/>
      <c r="AF34" s="245"/>
      <c r="AG34" s="245"/>
      <c r="AH34" s="245"/>
      <c r="AI34" s="245"/>
      <c r="AJ34" s="245"/>
      <c r="AK34" s="245"/>
      <c r="AL34" s="245"/>
      <c r="AM34" s="245"/>
    </row>
    <row r="35" spans="1:39" ht="15" x14ac:dyDescent="0.25">
      <c r="A35" s="501">
        <f t="shared" si="2"/>
        <v>16</v>
      </c>
      <c r="B35" s="262" t="str">
        <f>CONCATENATE('3. Consumption by Rate Class'!B40,"-",'3. Consumption by Rate Class'!C40)</f>
        <v>2007-April</v>
      </c>
      <c r="C35" s="694">
        <v>7875440.9000000004</v>
      </c>
      <c r="D35" s="700">
        <v>-455936</v>
      </c>
      <c r="E35" s="700">
        <v>-318173</v>
      </c>
      <c r="F35" s="700"/>
      <c r="G35" s="700"/>
      <c r="H35" s="701"/>
      <c r="I35" s="701"/>
      <c r="J35" s="263">
        <f t="shared" si="0"/>
        <v>7101331.9000000004</v>
      </c>
      <c r="K35" s="722">
        <f>IF(K$18='5.Variables'!$B$16,+'5.Variables'!$F28,+IF(K$18='5.Variables'!$B$39,+'5.Variables'!$F51,+IF(K$18='5.Variables'!$B$62,+'5.Variables'!$F65,+IF(K$18='5.Variables'!$B$76,+'5.Variables'!$F79,+IF(K$18='5.Variables'!$B$90,+'5.Variables'!$F93,+IF(K$18='5.Variables'!$B$104,+'5.Variables'!$F107,0))))))</f>
        <v>271.10000000000002</v>
      </c>
      <c r="L35" s="722">
        <f>IF(L$18='5.Variables'!$B$16,+'5.Variables'!$F27,+IF(L$18='5.Variables'!$B$39,+'5.Variables'!$F51,+IF(L$18='5.Variables'!$B$62,+'5.Variables'!$F65,+IF(L$18='5.Variables'!$B$76,+'5.Variables'!$F79,+IF(L$18='5.Variables'!$B$90,+'5.Variables'!$F93,+IF(L$18='5.Variables'!$B$104,+'5.Variables'!$F107,0))))))</f>
        <v>0</v>
      </c>
      <c r="M35" s="722">
        <f>IF(M$18='5.Variables'!$B$16,+'5.Variables'!$F27,+IF(M$18='5.Variables'!$B$39,+'5.Variables'!$F51,+IF(M$18='5.Variables'!$B$62,+'5.Variables'!$F65,+IF(M$18='5.Variables'!$B$76,+'5.Variables'!$F79,+IF(M$18='5.Variables'!$B$90,+'5.Variables'!$F93,+IF(M$18='5.Variables'!$B$104,+'5.Variables'!$F107,0))))))</f>
        <v>30</v>
      </c>
      <c r="N35" s="722">
        <f>IF(N$18='5.Variables'!$B$16,+'5.Variables'!$F27,+IF(N$18='5.Variables'!$B$39,+'5.Variables'!$F51,+IF(N$18='5.Variables'!$B$62,+'5.Variables'!$F65,+IF(N$18='5.Variables'!$B$76,+'5.Variables'!$F79,+IF(N$18='5.Variables'!$B$90,+'5.Variables'!$F93,+IF(N$18='5.Variables'!$B$104,+'5.Variables'!$F107,0))))))</f>
        <v>357.4</v>
      </c>
      <c r="O35" s="722">
        <f>IF(O$18='5.Variables'!$B$16,+'5.Variables'!$F27,+IF(O$18='5.Variables'!$B$39,+'5.Variables'!$F51,+IF(O$18='5.Variables'!$B$62,+'5.Variables'!$F65,+IF(O$18='5.Variables'!$B$76,+'5.Variables'!$F79,+IF(O$18='5.Variables'!$B$90,+'5.Variables'!$F93,+IF(O$18='5.Variables'!$B$104,+'5.Variables'!$F107,0))))))</f>
        <v>13.28</v>
      </c>
      <c r="P35" s="983">
        <f>IF(P$18='5.Variables'!$B$16,+'5.Variables'!$F27,+IF(P$18='5.Variables'!$B$39,+'5.Variables'!$F51,+IF(P$18='5.Variables'!$B$62,+'5.Variables'!$F65,+IF(P$18='5.Variables'!$B$76,+'5.Variables'!$F79,+IF(P$18='5.Variables'!$B$90,+'5.Variables'!$F93,+IF(P$18='5.Variables'!$B$104,+'5.Variables'!$F107,0))))))</f>
        <v>0</v>
      </c>
      <c r="Q35" s="245"/>
      <c r="R35" s="556">
        <f t="shared" si="1"/>
        <v>7092144.5609346582</v>
      </c>
      <c r="S35" s="265"/>
      <c r="T35" s="517"/>
      <c r="U35" s="800" t="s">
        <v>1</v>
      </c>
      <c r="V35" s="544">
        <v>3226.60602449211</v>
      </c>
      <c r="W35" s="544">
        <v>160.32624447237924</v>
      </c>
      <c r="X35" s="544">
        <v>20.125251702306198</v>
      </c>
      <c r="Y35" s="544">
        <v>3.6720412329575193E-39</v>
      </c>
      <c r="Z35" s="544">
        <v>2908.9708178447186</v>
      </c>
      <c r="AA35" s="544">
        <v>3544.2412311395015</v>
      </c>
      <c r="AB35" s="544">
        <v>2908.9708178447186</v>
      </c>
      <c r="AC35" s="544">
        <v>3544.2412311395015</v>
      </c>
      <c r="AD35" s="261"/>
      <c r="AE35" s="245"/>
      <c r="AF35" s="245"/>
      <c r="AG35" s="245"/>
      <c r="AH35" s="245"/>
      <c r="AI35" s="245"/>
      <c r="AJ35" s="245"/>
      <c r="AK35" s="245"/>
      <c r="AL35" s="245"/>
      <c r="AM35" s="245"/>
    </row>
    <row r="36" spans="1:39" ht="15" x14ac:dyDescent="0.25">
      <c r="A36" s="501">
        <f t="shared" si="2"/>
        <v>17</v>
      </c>
      <c r="B36" s="262" t="str">
        <f>CONCATENATE('3. Consumption by Rate Class'!B41,"-",'3. Consumption by Rate Class'!C41)</f>
        <v>2007-May</v>
      </c>
      <c r="C36" s="694">
        <v>7716472.7000000002</v>
      </c>
      <c r="D36" s="700">
        <v>-499128</v>
      </c>
      <c r="E36" s="700">
        <v>-337283</v>
      </c>
      <c r="F36" s="700"/>
      <c r="G36" s="700"/>
      <c r="H36" s="701"/>
      <c r="I36" s="701"/>
      <c r="J36" s="263">
        <f t="shared" si="0"/>
        <v>6880061.7000000002</v>
      </c>
      <c r="K36" s="722">
        <f>IF(K$18='5.Variables'!$B$16,+'5.Variables'!$G28,+IF(K$18='5.Variables'!$B$39,+'5.Variables'!$G51,+IF(K$18='5.Variables'!$B$62,+'5.Variables'!$G65,+IF(K$18='5.Variables'!$B$76,+'5.Variables'!$G79,+IF(K$18='5.Variables'!$B$90,+'5.Variables'!$G93,+IF(K$18='5.Variables'!$B$104,+'5.Variables'!$G107,0))))))</f>
        <v>160.80000000000001</v>
      </c>
      <c r="L36" s="722">
        <f>IF(L$18='5.Variables'!$B$16,+'5.Variables'!$G27,+IF(L$18='5.Variables'!$B$39,+'5.Variables'!$G51,+IF(L$18='5.Variables'!$B$62,+'5.Variables'!$G65,+IF(L$18='5.Variables'!$B$76,+'5.Variables'!$G79,+IF(L$18='5.Variables'!$B$90,+'5.Variables'!$G93,+IF(L$18='5.Variables'!$B$104,+'5.Variables'!$G107,0))))))</f>
        <v>14.7</v>
      </c>
      <c r="M36" s="722">
        <f>IF(M$18='5.Variables'!$B$16,+'5.Variables'!$G27,+IF(M$18='5.Variables'!$B$39,+'5.Variables'!$G51,+IF(M$18='5.Variables'!$B$62,+'5.Variables'!$G65,+IF(M$18='5.Variables'!$B$76,+'5.Variables'!$G79,+IF(M$18='5.Variables'!$B$90,+'5.Variables'!$G93,+IF(M$18='5.Variables'!$B$104,+'5.Variables'!$G107,0))))))</f>
        <v>31</v>
      </c>
      <c r="N36" s="722">
        <f>IF(N$18='5.Variables'!$B$16,+'5.Variables'!$G27,+IF(N$18='5.Variables'!$B$39,+'5.Variables'!$G51,+IF(N$18='5.Variables'!$B$62,+'5.Variables'!$G65,+IF(N$18='5.Variables'!$B$76,+'5.Variables'!$G79,+IF(N$18='5.Variables'!$B$90,+'5.Variables'!$G93,+IF(N$18='5.Variables'!$B$104,+'5.Variables'!$G107,0))))))</f>
        <v>357.7</v>
      </c>
      <c r="O36" s="722">
        <f>IF(O$18='5.Variables'!$B$16,+'5.Variables'!$G27,+IF(O$18='5.Variables'!$B$39,+'5.Variables'!$G51,+IF(O$18='5.Variables'!$B$62,+'5.Variables'!$G65,+IF(O$18='5.Variables'!$B$76,+'5.Variables'!$G79,+IF(O$18='5.Variables'!$B$90,+'5.Variables'!$G93,+IF(O$18='5.Variables'!$B$104,+'5.Variables'!$G107,0))))))</f>
        <v>14.52</v>
      </c>
      <c r="P36" s="983">
        <f>IF(P$18='5.Variables'!$B$16,+'5.Variables'!$G27,+IF(P$18='5.Variables'!$B$39,+'5.Variables'!$G51,+IF(P$18='5.Variables'!$B$62,+'5.Variables'!$G65,+IF(P$18='5.Variables'!$B$76,+'5.Variables'!$G79,+IF(P$18='5.Variables'!$B$90,+'5.Variables'!$G93,+IF(P$18='5.Variables'!$B$104,+'5.Variables'!$G107,0))))))</f>
        <v>0</v>
      </c>
      <c r="Q36" s="245"/>
      <c r="R36" s="556">
        <f t="shared" si="1"/>
        <v>7129824.003701129</v>
      </c>
      <c r="S36" s="265"/>
      <c r="T36" s="517"/>
      <c r="U36" s="800" t="s">
        <v>2</v>
      </c>
      <c r="V36" s="544">
        <v>16433.994132607379</v>
      </c>
      <c r="W36" s="544">
        <v>1061.9930853482899</v>
      </c>
      <c r="X36" s="544">
        <v>15.474671501479415</v>
      </c>
      <c r="Y36" s="544">
        <v>1.1052452769872076E-29</v>
      </c>
      <c r="Z36" s="544">
        <v>14329.994290081167</v>
      </c>
      <c r="AA36" s="544">
        <v>18537.993975133591</v>
      </c>
      <c r="AB36" s="544">
        <v>14329.994290081167</v>
      </c>
      <c r="AC36" s="544">
        <v>18537.993975133591</v>
      </c>
      <c r="AD36" s="261"/>
      <c r="AE36" s="245"/>
      <c r="AF36" s="245"/>
      <c r="AG36" s="245"/>
      <c r="AH36" s="245"/>
      <c r="AI36" s="245"/>
      <c r="AJ36" s="245"/>
      <c r="AK36" s="245"/>
      <c r="AL36" s="245"/>
      <c r="AM36" s="245"/>
    </row>
    <row r="37" spans="1:39" ht="15" x14ac:dyDescent="0.25">
      <c r="A37" s="501">
        <f t="shared" si="2"/>
        <v>18</v>
      </c>
      <c r="B37" s="262" t="str">
        <f>CONCATENATE('3. Consumption by Rate Class'!B42,"-",'3. Consumption by Rate Class'!C42)</f>
        <v>2007-June</v>
      </c>
      <c r="C37" s="694">
        <v>8160904.9000000004</v>
      </c>
      <c r="D37" s="700">
        <v>-434332</v>
      </c>
      <c r="E37" s="700">
        <v>-343537</v>
      </c>
      <c r="F37" s="700"/>
      <c r="G37" s="700"/>
      <c r="H37" s="701"/>
      <c r="I37" s="701"/>
      <c r="J37" s="263">
        <f t="shared" si="0"/>
        <v>7383035.9000000004</v>
      </c>
      <c r="K37" s="722">
        <f>IF(K$18='5.Variables'!$B$16,+'5.Variables'!$H28,+IF(K$18='5.Variables'!$B$39,+'5.Variables'!$H51,+IF(K$18='5.Variables'!$B$62,+'5.Variables'!$H65,+IF(K$18='5.Variables'!$B$76,+'5.Variables'!$H79,+IF(K$18='5.Variables'!$B$90,+'5.Variables'!$H93,+IF(K$18='5.Variables'!$B$104,+'5.Variables'!$H107,0))))))</f>
        <v>38.400000000000006</v>
      </c>
      <c r="L37" s="722">
        <f>IF(L$18='5.Variables'!$B$16,+'5.Variables'!$H27,+IF(L$18='5.Variables'!$B$39,+'5.Variables'!$H51,+IF(L$18='5.Variables'!$B$62,+'5.Variables'!$H65,+IF(L$18='5.Variables'!$B$76,+'5.Variables'!$H79,+IF(L$18='5.Variables'!$B$90,+'5.Variables'!$H93,+IF(L$18='5.Variables'!$B$104,+'5.Variables'!$H107,0))))))</f>
        <v>60.9</v>
      </c>
      <c r="M37" s="722">
        <f>IF(M$18='5.Variables'!$B$16,+'5.Variables'!$H27,+IF(M$18='5.Variables'!$B$39,+'5.Variables'!$H51,+IF(M$18='5.Variables'!$B$62,+'5.Variables'!$H65,+IF(M$18='5.Variables'!$B$76,+'5.Variables'!$H79,+IF(M$18='5.Variables'!$B$90,+'5.Variables'!$H93,+IF(M$18='5.Variables'!$B$104,+'5.Variables'!$H107,0))))))</f>
        <v>30</v>
      </c>
      <c r="N37" s="722">
        <f>IF(N$18='5.Variables'!$B$16,+'5.Variables'!$H27,+IF(N$18='5.Variables'!$B$39,+'5.Variables'!$H51,+IF(N$18='5.Variables'!$B$62,+'5.Variables'!$H65,+IF(N$18='5.Variables'!$B$76,+'5.Variables'!$H79,+IF(N$18='5.Variables'!$B$90,+'5.Variables'!$H93,+IF(N$18='5.Variables'!$B$104,+'5.Variables'!$H107,0))))))</f>
        <v>358</v>
      </c>
      <c r="O37" s="722">
        <f>IF(O$18='5.Variables'!$B$16,+'5.Variables'!$H27,+IF(O$18='5.Variables'!$B$39,+'5.Variables'!$H51,+IF(O$18='5.Variables'!$B$62,+'5.Variables'!$H65,+IF(O$18='5.Variables'!$B$76,+'5.Variables'!$H79,+IF(O$18='5.Variables'!$B$90,+'5.Variables'!$H93,+IF(O$18='5.Variables'!$B$104,+'5.Variables'!$H107,0))))))</f>
        <v>15.35</v>
      </c>
      <c r="P37" s="983">
        <f>IF(P$18='5.Variables'!$B$16,+'5.Variables'!$H27,+IF(P$18='5.Variables'!$B$39,+'5.Variables'!$H51,+IF(P$18='5.Variables'!$B$62,+'5.Variables'!$H65,+IF(P$18='5.Variables'!$B$76,+'5.Variables'!$H79,+IF(P$18='5.Variables'!$B$90,+'5.Variables'!$H93,+IF(P$18='5.Variables'!$B$104,+'5.Variables'!$H107,0))))))</f>
        <v>0</v>
      </c>
      <c r="Q37" s="245"/>
      <c r="R37" s="556">
        <f t="shared" si="1"/>
        <v>7265810.199450857</v>
      </c>
      <c r="S37" s="265"/>
      <c r="T37" s="517"/>
      <c r="U37" s="800" t="s">
        <v>241</v>
      </c>
      <c r="V37" s="544">
        <v>196321.71043515016</v>
      </c>
      <c r="W37" s="544">
        <v>32452.785336985144</v>
      </c>
      <c r="X37" s="544">
        <v>6.0494564148061016</v>
      </c>
      <c r="Y37" s="544">
        <v>1.9282878285547795E-8</v>
      </c>
      <c r="Z37" s="544">
        <v>132026.88951721505</v>
      </c>
      <c r="AA37" s="544">
        <v>260616.53135308527</v>
      </c>
      <c r="AB37" s="544">
        <v>132026.88951721505</v>
      </c>
      <c r="AC37" s="544">
        <v>260616.53135308527</v>
      </c>
      <c r="AD37" s="261"/>
      <c r="AE37" s="245"/>
      <c r="AF37" s="245"/>
      <c r="AG37" s="245"/>
      <c r="AH37" s="245"/>
      <c r="AI37" s="245"/>
      <c r="AJ37" s="245"/>
      <c r="AK37" s="245"/>
      <c r="AL37" s="245"/>
      <c r="AM37" s="245"/>
    </row>
    <row r="38" spans="1:39" ht="15" x14ac:dyDescent="0.25">
      <c r="A38" s="501">
        <f t="shared" si="2"/>
        <v>19</v>
      </c>
      <c r="B38" s="262" t="str">
        <f>CONCATENATE('3. Consumption by Rate Class'!B43,"-",'3. Consumption by Rate Class'!C43)</f>
        <v>2007-July</v>
      </c>
      <c r="C38" s="694">
        <v>8340394.5</v>
      </c>
      <c r="D38" s="700">
        <v>-513211</v>
      </c>
      <c r="E38" s="700">
        <v>-380190</v>
      </c>
      <c r="F38" s="700"/>
      <c r="G38" s="700"/>
      <c r="H38" s="701"/>
      <c r="I38" s="701"/>
      <c r="J38" s="263">
        <f t="shared" si="0"/>
        <v>7446993.5</v>
      </c>
      <c r="K38" s="722">
        <f>IF(K$18='5.Variables'!$B$16,+'5.Variables'!$I28,+IF(K$18='5.Variables'!$B$39,+'5.Variables'!$I51,+IF(K$18='5.Variables'!$B$62,+'5.Variables'!$I65,+IF(K$18='5.Variables'!$B$76,+'5.Variables'!$I79,+IF(K$18='5.Variables'!$B$90,+'5.Variables'!$I93,+IF(K$18='5.Variables'!$B$104,+'5.Variables'!$I107,0))))))</f>
        <v>14.3</v>
      </c>
      <c r="L38" s="722">
        <f>IF(L$18='5.Variables'!$B$16,+'5.Variables'!$I27,+IF(L$18='5.Variables'!$B$39,+'5.Variables'!$I51,+IF(L$18='5.Variables'!$B$62,+'5.Variables'!$I65,+IF(L$18='5.Variables'!$B$76,+'5.Variables'!$I79,+IF(L$18='5.Variables'!$B$90,+'5.Variables'!$I93,+IF(L$18='5.Variables'!$B$104,+'5.Variables'!$I107,0))))))</f>
        <v>54.3</v>
      </c>
      <c r="M38" s="722">
        <f>IF(M$18='5.Variables'!$B$16,+'5.Variables'!$I27,+IF(M$18='5.Variables'!$B$39,+'5.Variables'!$I51,+IF(M$18='5.Variables'!$B$62,+'5.Variables'!$I65,+IF(M$18='5.Variables'!$B$76,+'5.Variables'!$I79,+IF(M$18='5.Variables'!$B$90,+'5.Variables'!$I93,+IF(M$18='5.Variables'!$B$104,+'5.Variables'!$I107,0))))))</f>
        <v>31</v>
      </c>
      <c r="N38" s="722">
        <f>IF(N$18='5.Variables'!$B$16,+'5.Variables'!$I27,+IF(N$18='5.Variables'!$B$39,+'5.Variables'!$I51,+IF(N$18='5.Variables'!$B$62,+'5.Variables'!$I65,+IF(N$18='5.Variables'!$B$76,+'5.Variables'!$I79,+IF(N$18='5.Variables'!$B$90,+'5.Variables'!$I93,+IF(N$18='5.Variables'!$B$104,+'5.Variables'!$I107,0))))))</f>
        <v>358.3</v>
      </c>
      <c r="O38" s="722">
        <f>IF(O$18='5.Variables'!$B$16,+'5.Variables'!$I27,+IF(O$18='5.Variables'!$B$39,+'5.Variables'!$I51,+IF(O$18='5.Variables'!$B$62,+'5.Variables'!$I65,+IF(O$18='5.Variables'!$B$76,+'5.Variables'!$I79,+IF(O$18='5.Variables'!$B$90,+'5.Variables'!$I93,+IF(O$18='5.Variables'!$B$104,+'5.Variables'!$I107,0))))))</f>
        <v>15.15</v>
      </c>
      <c r="P38" s="983">
        <f>IF(P$18='5.Variables'!$B$16,+'5.Variables'!$I27,+IF(P$18='5.Variables'!$B$39,+'5.Variables'!$I51,+IF(P$18='5.Variables'!$B$62,+'5.Variables'!$I65,+IF(P$18='5.Variables'!$B$76,+'5.Variables'!$I79,+IF(P$18='5.Variables'!$B$90,+'5.Variables'!$I93,+IF(P$18='5.Variables'!$B$104,+'5.Variables'!$I107,0))))))</f>
        <v>1</v>
      </c>
      <c r="Q38" s="245"/>
      <c r="R38" s="556">
        <f t="shared" si="1"/>
        <v>7274853.7866620785</v>
      </c>
      <c r="S38" s="265"/>
      <c r="T38" s="517"/>
      <c r="U38" s="800" t="s">
        <v>266</v>
      </c>
      <c r="V38" s="544">
        <v>-23543.142971755144</v>
      </c>
      <c r="W38" s="544">
        <v>4606.8512324329495</v>
      </c>
      <c r="X38" s="544">
        <v>-5.1104630438264982</v>
      </c>
      <c r="Y38" s="544">
        <v>1.3200753439647077E-6</v>
      </c>
      <c r="Z38" s="544">
        <v>-32670.146152196532</v>
      </c>
      <c r="AA38" s="544">
        <v>-14416.139791313753</v>
      </c>
      <c r="AB38" s="544">
        <v>-32670.146152196532</v>
      </c>
      <c r="AC38" s="544">
        <v>-14416.139791313753</v>
      </c>
      <c r="AD38" s="261"/>
      <c r="AE38" s="245"/>
      <c r="AF38" s="245"/>
      <c r="AG38" s="245"/>
      <c r="AH38" s="245"/>
      <c r="AI38" s="245"/>
      <c r="AJ38" s="245"/>
      <c r="AK38" s="245"/>
      <c r="AL38" s="245"/>
      <c r="AM38" s="245"/>
    </row>
    <row r="39" spans="1:39" ht="15" x14ac:dyDescent="0.25">
      <c r="A39" s="501">
        <f t="shared" si="2"/>
        <v>20</v>
      </c>
      <c r="B39" s="262" t="str">
        <f>CONCATENATE('3. Consumption by Rate Class'!B44,"-",'3. Consumption by Rate Class'!C44)</f>
        <v>2007-August</v>
      </c>
      <c r="C39" s="694">
        <v>8473769</v>
      </c>
      <c r="D39" s="700">
        <v>-473393</v>
      </c>
      <c r="E39" s="700">
        <v>-369017</v>
      </c>
      <c r="F39" s="700"/>
      <c r="G39" s="700"/>
      <c r="H39" s="701"/>
      <c r="I39" s="701"/>
      <c r="J39" s="263">
        <f t="shared" si="0"/>
        <v>7631359</v>
      </c>
      <c r="K39" s="722">
        <f>IF(K$18='5.Variables'!$B$16,+'5.Variables'!$J28,+IF(K$18='5.Variables'!$B$39,+'5.Variables'!$J51,+IF(K$18='5.Variables'!$B$62,+'5.Variables'!$J65,+IF(K$18='5.Variables'!$B$76,+'5.Variables'!$J79,+IF(K$18='5.Variables'!$B$90,+'5.Variables'!$J93,+IF(K$18='5.Variables'!$B$104,+'5.Variables'!$J107,0))))))</f>
        <v>25.9</v>
      </c>
      <c r="L39" s="722">
        <f>IF(L$18='5.Variables'!$B$16,+'5.Variables'!$J27,+IF(L$18='5.Variables'!$B$39,+'5.Variables'!$J51,+IF(L$18='5.Variables'!$B$62,+'5.Variables'!$J65,+IF(L$18='5.Variables'!$B$76,+'5.Variables'!$J79,+IF(L$18='5.Variables'!$B$90,+'5.Variables'!$J93,+IF(L$18='5.Variables'!$B$104,+'5.Variables'!$J107,0))))))</f>
        <v>67.5</v>
      </c>
      <c r="M39" s="722">
        <f>IF(M$18='5.Variables'!$B$16,+'5.Variables'!$J27,+IF(M$18='5.Variables'!$B$39,+'5.Variables'!$J51,+IF(M$18='5.Variables'!$B$62,+'5.Variables'!$J65,+IF(M$18='5.Variables'!$B$76,+'5.Variables'!$J79,+IF(M$18='5.Variables'!$B$90,+'5.Variables'!$J93,+IF(M$18='5.Variables'!$B$104,+'5.Variables'!$J107,0))))))</f>
        <v>31</v>
      </c>
      <c r="N39" s="722">
        <f>IF(N$18='5.Variables'!$B$16,+'5.Variables'!$J27,+IF(N$18='5.Variables'!$B$39,+'5.Variables'!$J51,+IF(N$18='5.Variables'!$B$62,+'5.Variables'!$J65,+IF(N$18='5.Variables'!$B$76,+'5.Variables'!$J79,+IF(N$18='5.Variables'!$B$90,+'5.Variables'!$J93,+IF(N$18='5.Variables'!$B$104,+'5.Variables'!$J107,0))))))</f>
        <v>358.7</v>
      </c>
      <c r="O39" s="722">
        <f>IF(O$18='5.Variables'!$B$16,+'5.Variables'!$J27,+IF(O$18='5.Variables'!$B$39,+'5.Variables'!$J51,+IF(O$18='5.Variables'!$B$62,+'5.Variables'!$J65,+IF(O$18='5.Variables'!$B$76,+'5.Variables'!$J79,+IF(O$18='5.Variables'!$B$90,+'5.Variables'!$J93,+IF(O$18='5.Variables'!$B$104,+'5.Variables'!$J107,0))))))</f>
        <v>14.03</v>
      </c>
      <c r="P39" s="983">
        <f>IF(P$18='5.Variables'!$B$16,+'5.Variables'!$J27,+IF(P$18='5.Variables'!$B$39,+'5.Variables'!$J51,+IF(P$18='5.Variables'!$B$62,+'5.Variables'!$J65,+IF(P$18='5.Variables'!$B$76,+'5.Variables'!$J79,+IF(P$18='5.Variables'!$B$90,+'5.Variables'!$J93,+IF(P$18='5.Variables'!$B$104,+'5.Variables'!$J107,0))))))</f>
        <v>0</v>
      </c>
      <c r="Q39" s="245"/>
      <c r="R39" s="556">
        <f t="shared" si="1"/>
        <v>7553452.044253068</v>
      </c>
      <c r="S39" s="265"/>
      <c r="T39" s="517"/>
      <c r="U39" s="800" t="s">
        <v>450</v>
      </c>
      <c r="V39" s="544">
        <v>-30051.930665325555</v>
      </c>
      <c r="W39" s="544">
        <v>20904.131110935585</v>
      </c>
      <c r="X39" s="544">
        <v>-1.4376072607774872</v>
      </c>
      <c r="Y39" s="544">
        <v>0.15330898694536535</v>
      </c>
      <c r="Z39" s="544">
        <v>-71466.784652940143</v>
      </c>
      <c r="AA39" s="544">
        <v>11362.923322289025</v>
      </c>
      <c r="AB39" s="544">
        <v>-71466.784652940143</v>
      </c>
      <c r="AC39" s="544">
        <v>11362.923322289025</v>
      </c>
      <c r="AD39" s="800"/>
      <c r="AE39" s="245"/>
      <c r="AF39" s="245"/>
      <c r="AG39" s="245"/>
      <c r="AH39" s="245"/>
      <c r="AI39" s="245"/>
      <c r="AJ39" s="245"/>
      <c r="AK39" s="245"/>
      <c r="AL39" s="245"/>
      <c r="AM39" s="245"/>
    </row>
    <row r="40" spans="1:39" ht="15" x14ac:dyDescent="0.25">
      <c r="A40" s="501">
        <f t="shared" si="2"/>
        <v>21</v>
      </c>
      <c r="B40" s="262" t="str">
        <f>CONCATENATE('3. Consumption by Rate Class'!B45,"-",'3. Consumption by Rate Class'!C45)</f>
        <v>2007-September</v>
      </c>
      <c r="C40" s="694">
        <v>7807416.2999999998</v>
      </c>
      <c r="D40" s="700">
        <v>-466359</v>
      </c>
      <c r="E40" s="700">
        <v>-367469</v>
      </c>
      <c r="F40" s="700"/>
      <c r="G40" s="700"/>
      <c r="H40" s="701"/>
      <c r="I40" s="701"/>
      <c r="J40" s="263">
        <f t="shared" si="0"/>
        <v>6973588.2999999998</v>
      </c>
      <c r="K40" s="722">
        <f>IF(K$18='5.Variables'!$B$16,+'5.Variables'!$K28,+IF(K$18='5.Variables'!$B$39,+'5.Variables'!$K51,+IF(K$18='5.Variables'!$B$62,+'5.Variables'!$K65,+IF(K$18='5.Variables'!$B$76,+'5.Variables'!$K79,+IF(K$18='5.Variables'!$B$90,+'5.Variables'!$K93,+IF(K$18='5.Variables'!$B$104,+'5.Variables'!$K107,0))))))</f>
        <v>82.399999999999991</v>
      </c>
      <c r="L40" s="722">
        <f>IF(L$18='5.Variables'!$B$16,+'5.Variables'!$K27,+IF(L$18='5.Variables'!$B$39,+'5.Variables'!$K51,+IF(L$18='5.Variables'!$B$62,+'5.Variables'!$K65,+IF(L$18='5.Variables'!$B$76,+'5.Variables'!$K79,+IF(L$18='5.Variables'!$B$90,+'5.Variables'!$K93,+IF(L$18='5.Variables'!$B$104,+'5.Variables'!$K107,0))))))</f>
        <v>22.4</v>
      </c>
      <c r="M40" s="722">
        <f>IF(M$18='5.Variables'!$B$16,+'5.Variables'!$K27,+IF(M$18='5.Variables'!$B$39,+'5.Variables'!$K51,+IF(M$18='5.Variables'!$B$62,+'5.Variables'!$K65,+IF(M$18='5.Variables'!$B$76,+'5.Variables'!$K79,+IF(M$18='5.Variables'!$B$90,+'5.Variables'!$K93,+IF(M$18='5.Variables'!$B$104,+'5.Variables'!$K107,0))))))</f>
        <v>30</v>
      </c>
      <c r="N40" s="722">
        <f>IF(N$18='5.Variables'!$B$16,+'5.Variables'!$K27,+IF(N$18='5.Variables'!$B$39,+'5.Variables'!$K51,+IF(N$18='5.Variables'!$B$62,+'5.Variables'!$K65,+IF(N$18='5.Variables'!$B$76,+'5.Variables'!$K79,+IF(N$18='5.Variables'!$B$90,+'5.Variables'!$K93,+IF(N$18='5.Variables'!$B$104,+'5.Variables'!$K107,0))))))</f>
        <v>359.1</v>
      </c>
      <c r="O40" s="722">
        <f>IF(O$18='5.Variables'!$B$16,+'5.Variables'!$K27,+IF(O$18='5.Variables'!$B$39,+'5.Variables'!$K51,+IF(O$18='5.Variables'!$B$62,+'5.Variables'!$K65,+IF(O$18='5.Variables'!$B$76,+'5.Variables'!$K79,+IF(O$18='5.Variables'!$B$90,+'5.Variables'!$K93,+IF(O$18='5.Variables'!$B$104,+'5.Variables'!$K107,0))))))</f>
        <v>12.29</v>
      </c>
      <c r="P40" s="983">
        <f>IF(P$18='5.Variables'!$B$16,+'5.Variables'!$K27,+IF(P$18='5.Variables'!$B$39,+'5.Variables'!$K51,+IF(P$18='5.Variables'!$B$62,+'5.Variables'!$K65,+IF(P$18='5.Variables'!$B$76,+'5.Variables'!$K79,+IF(P$18='5.Variables'!$B$90,+'5.Variables'!$K93,+IF(P$18='5.Variables'!$B$104,+'5.Variables'!$K107,0))))))</f>
        <v>0</v>
      </c>
      <c r="Q40" s="245"/>
      <c r="R40" s="556">
        <f t="shared" si="1"/>
        <v>6841133.54099009</v>
      </c>
      <c r="S40" s="265"/>
      <c r="T40" s="517"/>
      <c r="U40" s="800"/>
      <c r="V40" s="544"/>
      <c r="W40" s="544"/>
      <c r="X40" s="544"/>
      <c r="Y40" s="544"/>
      <c r="Z40" s="544"/>
      <c r="AA40" s="544"/>
      <c r="AB40" s="544"/>
      <c r="AC40" s="544"/>
      <c r="AD40" s="800"/>
      <c r="AE40" s="245"/>
      <c r="AF40" s="245"/>
      <c r="AG40" s="245"/>
      <c r="AH40" s="245"/>
      <c r="AI40" s="245"/>
      <c r="AJ40" s="245"/>
      <c r="AK40" s="245"/>
      <c r="AL40" s="245"/>
      <c r="AM40" s="245"/>
    </row>
    <row r="41" spans="1:39" x14ac:dyDescent="0.2">
      <c r="A41" s="501">
        <f t="shared" si="2"/>
        <v>22</v>
      </c>
      <c r="B41" s="262" t="str">
        <f>CONCATENATE('3. Consumption by Rate Class'!B46,"-",'3. Consumption by Rate Class'!C46)</f>
        <v>2007-October</v>
      </c>
      <c r="C41" s="694">
        <v>8209376</v>
      </c>
      <c r="D41" s="700">
        <v>-520885</v>
      </c>
      <c r="E41" s="700">
        <v>-392899</v>
      </c>
      <c r="F41" s="700"/>
      <c r="G41" s="700"/>
      <c r="H41" s="701"/>
      <c r="I41" s="701"/>
      <c r="J41" s="263">
        <f t="shared" si="0"/>
        <v>7295592</v>
      </c>
      <c r="K41" s="722">
        <f>IF(K$18='5.Variables'!$B$16,+'5.Variables'!$L28,+IF(K$18='5.Variables'!$B$39,+'5.Variables'!$L51,+IF(K$18='5.Variables'!$B$62,+'5.Variables'!$L65,+IF(K$18='5.Variables'!$B$76,+'5.Variables'!$L79,+IF(K$18='5.Variables'!$B$90,+'5.Variables'!$L93,+IF(K$18='5.Variables'!$B$104,+'5.Variables'!$L107,0))))))</f>
        <v>230.49999999999994</v>
      </c>
      <c r="L41" s="722">
        <f>IF(L$18='5.Variables'!$B$16,+'5.Variables'!$L27,+IF(L$18='5.Variables'!$B$39,+'5.Variables'!$L51,+IF(L$18='5.Variables'!$B$62,+'5.Variables'!$L65,+IF(L$18='5.Variables'!$B$76,+'5.Variables'!$L79,+IF(L$18='5.Variables'!$B$90,+'5.Variables'!$L93,+IF(L$18='5.Variables'!$B$104,+'5.Variables'!$L107,0))))))</f>
        <v>0.5</v>
      </c>
      <c r="M41" s="722">
        <f>IF(M$18='5.Variables'!$B$16,+'5.Variables'!$L27,+IF(M$18='5.Variables'!$B$39,+'5.Variables'!$L51,+IF(M$18='5.Variables'!$B$62,+'5.Variables'!$L65,+IF(M$18='5.Variables'!$B$76,+'5.Variables'!$L79,+IF(M$18='5.Variables'!$B$90,+'5.Variables'!$L93,+IF(M$18='5.Variables'!$B$104,+'5.Variables'!$L107,0))))))</f>
        <v>31</v>
      </c>
      <c r="N41" s="722">
        <f>IF(N$18='5.Variables'!$B$16,+'5.Variables'!$L27,+IF(N$18='5.Variables'!$B$39,+'5.Variables'!$L51,+IF(N$18='5.Variables'!$B$62,+'5.Variables'!$L65,+IF(N$18='5.Variables'!$B$76,+'5.Variables'!$L79,+IF(N$18='5.Variables'!$B$90,+'5.Variables'!$L93,+IF(N$18='5.Variables'!$B$104,+'5.Variables'!$L107,0))))))</f>
        <v>359.4</v>
      </c>
      <c r="O41" s="722">
        <f>IF(O$18='5.Variables'!$B$16,+'5.Variables'!$L27,+IF(O$18='5.Variables'!$B$39,+'5.Variables'!$L51,+IF(O$18='5.Variables'!$B$62,+'5.Variables'!$L65,+IF(O$18='5.Variables'!$B$76,+'5.Variables'!$L79,+IF(O$18='5.Variables'!$B$90,+'5.Variables'!$L93,+IF(O$18='5.Variables'!$B$104,+'5.Variables'!$L107,0))))))</f>
        <v>10.51</v>
      </c>
      <c r="P41" s="983">
        <f>IF(P$18='5.Variables'!$B$16,+'5.Variables'!$L27,+IF(P$18='5.Variables'!$B$39,+'5.Variables'!$L51,+IF(P$18='5.Variables'!$B$62,+'5.Variables'!$L65,+IF(P$18='5.Variables'!$B$76,+'5.Variables'!$L79,+IF(P$18='5.Variables'!$B$90,+'5.Variables'!$L93,+IF(P$18='5.Variables'!$B$104,+'5.Variables'!$L107,0))))))</f>
        <v>0</v>
      </c>
      <c r="Q41" s="245"/>
      <c r="R41" s="556">
        <f t="shared" si="1"/>
        <v>7201840.6258411752</v>
      </c>
      <c r="S41" s="265"/>
      <c r="T41" s="245"/>
      <c r="U41"/>
      <c r="V41"/>
      <c r="W41"/>
      <c r="X41"/>
      <c r="Y41"/>
      <c r="Z41"/>
      <c r="AA41"/>
      <c r="AB41"/>
      <c r="AC41"/>
      <c r="AD41" s="261"/>
      <c r="AE41" s="245"/>
      <c r="AF41" s="245"/>
      <c r="AG41" s="245"/>
      <c r="AH41" s="245"/>
      <c r="AI41" s="245"/>
      <c r="AJ41" s="245"/>
      <c r="AK41" s="245"/>
      <c r="AL41" s="245"/>
      <c r="AM41" s="245"/>
    </row>
    <row r="42" spans="1:39" x14ac:dyDescent="0.2">
      <c r="A42" s="501">
        <f t="shared" si="2"/>
        <v>23</v>
      </c>
      <c r="B42" s="262" t="str">
        <f>CONCATENATE('3. Consumption by Rate Class'!B47,"-",'3. Consumption by Rate Class'!C47)</f>
        <v>2007-November</v>
      </c>
      <c r="C42" s="694">
        <v>8971405.3000000007</v>
      </c>
      <c r="D42" s="700">
        <v>-474643</v>
      </c>
      <c r="E42" s="700">
        <v>-369038</v>
      </c>
      <c r="F42" s="700"/>
      <c r="G42" s="700"/>
      <c r="H42" s="701"/>
      <c r="I42" s="701"/>
      <c r="J42" s="263">
        <f t="shared" si="0"/>
        <v>8127724.3000000007</v>
      </c>
      <c r="K42" s="722">
        <f>IF(K$18='5.Variables'!$B$16,+'5.Variables'!$M28,+IF(K$18='5.Variables'!$B$39,+'5.Variables'!$M51,+IF(K$18='5.Variables'!$B$62,+'5.Variables'!$M65,+IF(K$18='5.Variables'!$B$76,+'5.Variables'!$M79,+IF(K$18='5.Variables'!$B$90,+'5.Variables'!$M93,+IF(K$18='5.Variables'!$B$104,+'5.Variables'!$M107,0))))))</f>
        <v>475</v>
      </c>
      <c r="L42" s="722">
        <f>IF(L$18='5.Variables'!$B$16,+'5.Variables'!$M27,+IF(L$18='5.Variables'!$B$39,+'5.Variables'!$M51,+IF(L$18='5.Variables'!$B$62,+'5.Variables'!$M65,+IF(L$18='5.Variables'!$B$76,+'5.Variables'!$M79,+IF(L$18='5.Variables'!$B$90,+'5.Variables'!$M93,+IF(L$18='5.Variables'!$B$104,+'5.Variables'!$M107,0))))))</f>
        <v>0</v>
      </c>
      <c r="M42" s="722">
        <f>IF(M$18='5.Variables'!$B$16,+'5.Variables'!$M27,+IF(M$18='5.Variables'!$B$39,+'5.Variables'!$M51,+IF(M$18='5.Variables'!$B$62,+'5.Variables'!$M65,+IF(M$18='5.Variables'!$B$76,+'5.Variables'!$M79,+IF(M$18='5.Variables'!$B$90,+'5.Variables'!$M93,+IF(M$18='5.Variables'!$B$104,+'5.Variables'!$M107,0))))))</f>
        <v>30</v>
      </c>
      <c r="N42" s="722">
        <f>IF(N$18='5.Variables'!$B$16,+'5.Variables'!$M27,+IF(N$18='5.Variables'!$B$39,+'5.Variables'!$M51,+IF(N$18='5.Variables'!$B$62,+'5.Variables'!$M65,+IF(N$18='5.Variables'!$B$76,+'5.Variables'!$M79,+IF(N$18='5.Variables'!$B$90,+'5.Variables'!$M93,+IF(N$18='5.Variables'!$B$104,+'5.Variables'!$M107,0))))))</f>
        <v>359.7</v>
      </c>
      <c r="O42" s="722">
        <f>IF(O$18='5.Variables'!$B$16,+'5.Variables'!$M27,+IF(O$18='5.Variables'!$B$39,+'5.Variables'!$M51,+IF(O$18='5.Variables'!$B$62,+'5.Variables'!$M65,+IF(O$18='5.Variables'!$B$76,+'5.Variables'!$M79,+IF(O$18='5.Variables'!$B$90,+'5.Variables'!$M93,+IF(O$18='5.Variables'!$B$104,+'5.Variables'!$M107,0))))))</f>
        <v>9.2799999999999994</v>
      </c>
      <c r="P42" s="983">
        <f>IF(P$18='5.Variables'!$B$16,+'5.Variables'!$M27,+IF(P$18='5.Variables'!$B$39,+'5.Variables'!$M51,+IF(P$18='5.Variables'!$B$62,+'5.Variables'!$M65,+IF(P$18='5.Variables'!$B$76,+'5.Variables'!$M79,+IF(P$18='5.Variables'!$B$90,+'5.Variables'!$M93,+IF(P$18='5.Variables'!$B$104,+'5.Variables'!$M107,0))))))</f>
        <v>0</v>
      </c>
      <c r="Q42" s="245"/>
      <c r="R42" s="556">
        <f t="shared" si="1"/>
        <v>7816108.0231548641</v>
      </c>
      <c r="S42" s="265"/>
      <c r="T42" s="245"/>
      <c r="U42"/>
      <c r="V42"/>
      <c r="W42"/>
      <c r="X42"/>
      <c r="Y42"/>
      <c r="Z42"/>
      <c r="AA42"/>
      <c r="AB42"/>
      <c r="AC42"/>
      <c r="AD42" s="261"/>
      <c r="AE42" s="245"/>
      <c r="AF42" s="245"/>
      <c r="AG42" s="245"/>
      <c r="AH42" s="245"/>
      <c r="AI42" s="245"/>
      <c r="AJ42" s="245"/>
      <c r="AK42" s="245"/>
      <c r="AL42" s="245"/>
      <c r="AM42" s="245"/>
    </row>
    <row r="43" spans="1:39" ht="13.5" customHeight="1" x14ac:dyDescent="0.2">
      <c r="A43" s="501">
        <f t="shared" si="2"/>
        <v>24</v>
      </c>
      <c r="B43" s="520" t="str">
        <f>CONCATENATE('3. Consumption by Rate Class'!B48,"-",'3. Consumption by Rate Class'!C48)</f>
        <v>2007-December</v>
      </c>
      <c r="C43" s="695">
        <v>10183340.9</v>
      </c>
      <c r="D43" s="702">
        <v>-492249</v>
      </c>
      <c r="E43" s="702">
        <v>-357902</v>
      </c>
      <c r="F43" s="702"/>
      <c r="G43" s="702"/>
      <c r="H43" s="703"/>
      <c r="I43" s="703"/>
      <c r="J43" s="263">
        <f t="shared" si="0"/>
        <v>9333189.9000000004</v>
      </c>
      <c r="K43" s="722">
        <f>IF(K$18='5.Variables'!$B$16,+'5.Variables'!$N28,+IF(K$18='5.Variables'!$B$39,+'5.Variables'!$N51,+IF(K$18='5.Variables'!$B$62,+'5.Variables'!$N65,+IF(K$18='5.Variables'!$B$76,+'5.Variables'!$N79,+IF(K$18='5.Variables'!$B$90,+'5.Variables'!$N93,+IF(K$18='5.Variables'!$B$104,+'5.Variables'!$N107,0))))))</f>
        <v>765.69999999999982</v>
      </c>
      <c r="L43" s="722">
        <f>IF(L$18='5.Variables'!$B$16,+'5.Variables'!$N27,+IF(L$18='5.Variables'!$B$39,+'5.Variables'!$N51,+IF(L$18='5.Variables'!$B$62,+'5.Variables'!$N65,+IF(L$18='5.Variables'!$B$76,+'5.Variables'!$N79,+IF(L$18='5.Variables'!$B$90,+'5.Variables'!$N93,+IF(L$18='5.Variables'!$B$104,+'5.Variables'!$N107,0))))))</f>
        <v>0</v>
      </c>
      <c r="M43" s="722">
        <f>IF(M$18='5.Variables'!$B$16,+'5.Variables'!$N27,+IF(M$18='5.Variables'!$B$39,+'5.Variables'!$N51,+IF(M$18='5.Variables'!$B$62,+'5.Variables'!$N65,+IF(M$18='5.Variables'!$B$76,+'5.Variables'!$N79,+IF(M$18='5.Variables'!$B$90,+'5.Variables'!$N93,+IF(M$18='5.Variables'!$B$104,+'5.Variables'!$N107,0))))))</f>
        <v>31</v>
      </c>
      <c r="N43" s="722">
        <f>IF(N$18='5.Variables'!$B$16,+'5.Variables'!$N27,+IF(N$18='5.Variables'!$B$39,+'5.Variables'!$N51,+IF(N$18='5.Variables'!$B$62,+'5.Variables'!$N65,+IF(N$18='5.Variables'!$B$76,+'5.Variables'!$N79,+IF(N$18='5.Variables'!$B$90,+'5.Variables'!$N93,+IF(N$18='5.Variables'!$B$104,+'5.Variables'!$N107,0))))))</f>
        <v>359.9</v>
      </c>
      <c r="O43" s="722">
        <f>IF(O$18='5.Variables'!$B$16,+'5.Variables'!$N27,+IF(O$18='5.Variables'!$B$39,+'5.Variables'!$N51,+IF(O$18='5.Variables'!$B$62,+'5.Variables'!$N65,+IF(O$18='5.Variables'!$B$76,+'5.Variables'!$N79,+IF(O$18='5.Variables'!$B$90,+'5.Variables'!$N93,+IF(O$18='5.Variables'!$B$104,+'5.Variables'!$N107,0))))))</f>
        <v>8.4700000000000006</v>
      </c>
      <c r="P43" s="983">
        <f>IF(P$18='5.Variables'!$B$16,+'5.Variables'!$N27,+IF(P$18='5.Variables'!$B$39,+'5.Variables'!$N51,+IF(P$18='5.Variables'!$B$62,+'5.Variables'!$N65,+IF(P$18='5.Variables'!$B$76,+'5.Variables'!$N79,+IF(P$18='5.Variables'!$B$90,+'5.Variables'!$N93,+IF(P$18='5.Variables'!$B$104,+'5.Variables'!$N107,0))))))</f>
        <v>1</v>
      </c>
      <c r="Q43" s="245"/>
      <c r="R43" s="556">
        <f t="shared" si="1"/>
        <v>8970037.5401544366</v>
      </c>
      <c r="S43" s="265">
        <f>SUM(R32:R43)</f>
        <v>93363786.459310383</v>
      </c>
      <c r="T43" s="245"/>
      <c r="U43"/>
      <c r="V43"/>
      <c r="W43"/>
      <c r="X43"/>
      <c r="Y43"/>
      <c r="Z43"/>
      <c r="AA43"/>
      <c r="AB43"/>
      <c r="AC43"/>
      <c r="AD43" s="261"/>
      <c r="AE43" s="245"/>
      <c r="AF43" s="245"/>
      <c r="AG43" s="245"/>
      <c r="AH43" s="245"/>
      <c r="AI43" s="245"/>
      <c r="AJ43" s="245"/>
      <c r="AK43" s="245"/>
      <c r="AL43" s="245"/>
      <c r="AM43" s="245"/>
    </row>
    <row r="44" spans="1:39" x14ac:dyDescent="0.2">
      <c r="A44" s="501">
        <f t="shared" si="2"/>
        <v>25</v>
      </c>
      <c r="B44" s="262" t="str">
        <f>CONCATENATE('3. Consumption by Rate Class'!B49,"-",'3. Consumption by Rate Class'!C49)</f>
        <v>2008-January</v>
      </c>
      <c r="C44" s="694">
        <v>10409337</v>
      </c>
      <c r="D44" s="700">
        <v>-384819</v>
      </c>
      <c r="E44" s="700">
        <v>-250341</v>
      </c>
      <c r="F44" s="700"/>
      <c r="G44" s="700"/>
      <c r="H44" s="701"/>
      <c r="I44" s="701"/>
      <c r="J44" s="263">
        <f t="shared" si="0"/>
        <v>9774177</v>
      </c>
      <c r="K44" s="722">
        <f>IF(K$18='5.Variables'!$B$16,+'5.Variables'!$C29,+IF(K$18='5.Variables'!$B$39,+'5.Variables'!$C52,+IF(K$18='5.Variables'!$B$62,+'5.Variables'!$C66,+IF(K$18='5.Variables'!$B$76,+'5.Variables'!$C80,+IF(K$18='5.Variables'!$B$90,+'5.Variables'!$C94,+IF(K$18='5.Variables'!$B$104,+'5.Variables'!$C108,0))))))</f>
        <v>764.8</v>
      </c>
      <c r="L44" s="722">
        <f>IF(L$18='5.Variables'!$B$16,+'5.Variables'!$C28,+IF(L$18='5.Variables'!$B$39,+'5.Variables'!$C52,+IF(L$18='5.Variables'!$B$62,+'5.Variables'!$C66,+IF(L$18='5.Variables'!$B$76,+'5.Variables'!$C80,+IF(L$18='5.Variables'!$B$90,+'5.Variables'!$C94,+IF(L$18='5.Variables'!$B$104,+'5.Variables'!$C108,0))))))</f>
        <v>0</v>
      </c>
      <c r="M44" s="722">
        <f>IF(M$18='5.Variables'!$B$16,+'5.Variables'!$C28,+IF(M$18='5.Variables'!$B$39,+'5.Variables'!$C52,+IF(M$18='5.Variables'!$B$62,+'5.Variables'!$C66,+IF(M$18='5.Variables'!$B$76,+'5.Variables'!$C80,+IF(M$18='5.Variables'!$B$90,+'5.Variables'!$C94,+IF(M$18='5.Variables'!$B$104,+'5.Variables'!$C108,0))))))</f>
        <v>31</v>
      </c>
      <c r="N44" s="722">
        <f>IF(N$18='5.Variables'!$B$16,+'5.Variables'!$C28,+IF(N$18='5.Variables'!$B$39,+'5.Variables'!$C52,+IF(N$18='5.Variables'!$B$62,+'5.Variables'!$C66,+IF(N$18='5.Variables'!$B$76,+'5.Variables'!$C80,+IF(N$18='5.Variables'!$B$90,+'5.Variables'!$C94,+IF(N$18='5.Variables'!$B$104,+'5.Variables'!$C108,0))))))</f>
        <v>360</v>
      </c>
      <c r="O44" s="722">
        <f>IF(O$18='5.Variables'!$B$16,+'5.Variables'!$C28,+IF(O$18='5.Variables'!$B$39,+'5.Variables'!$C52,+IF(O$18='5.Variables'!$B$62,+'5.Variables'!$C66,+IF(O$18='5.Variables'!$B$76,+'5.Variables'!$C80,+IF(O$18='5.Variables'!$B$90,+'5.Variables'!$C94,+IF(O$18='5.Variables'!$B$104,+'5.Variables'!$C108,0))))))</f>
        <v>9.09</v>
      </c>
      <c r="P44" s="983">
        <f>IF(P$18='5.Variables'!$B$16,+'5.Variables'!$C28,+IF(P$18='5.Variables'!$B$39,+'5.Variables'!$C52,+IF(P$18='5.Variables'!$B$62,+'5.Variables'!$C66,+IF(P$18='5.Variables'!$B$76,+'5.Variables'!$C80,+IF(P$18='5.Variables'!$B$90,+'5.Variables'!$C94,+IF(P$18='5.Variables'!$B$104,+'5.Variables'!$C108,0))))))</f>
        <v>1</v>
      </c>
      <c r="Q44" s="245"/>
      <c r="R44" s="556">
        <f t="shared" si="1"/>
        <v>8946147.0834227148</v>
      </c>
      <c r="S44" s="265"/>
      <c r="T44" s="245"/>
      <c r="U44" s="266" t="s">
        <v>165</v>
      </c>
      <c r="V44" s="259"/>
      <c r="W44" s="259"/>
      <c r="X44" s="259"/>
      <c r="Y44" s="259"/>
      <c r="Z44" s="259"/>
      <c r="AA44" s="259"/>
      <c r="AB44" s="259"/>
      <c r="AC44" s="259"/>
      <c r="AD44" s="261"/>
      <c r="AE44" s="245"/>
      <c r="AF44" s="245"/>
      <c r="AG44" s="245"/>
      <c r="AH44" s="245"/>
      <c r="AI44" s="245"/>
      <c r="AJ44" s="245"/>
      <c r="AK44" s="245"/>
      <c r="AL44" s="245"/>
      <c r="AM44" s="245"/>
    </row>
    <row r="45" spans="1:39" x14ac:dyDescent="0.2">
      <c r="A45" s="501">
        <f t="shared" si="2"/>
        <v>26</v>
      </c>
      <c r="B45" s="262" t="str">
        <f>CONCATENATE('3. Consumption by Rate Class'!B50,"-",'3. Consumption by Rate Class'!C50)</f>
        <v>2008-February</v>
      </c>
      <c r="C45" s="694">
        <v>9792900</v>
      </c>
      <c r="D45" s="700">
        <v>-484702</v>
      </c>
      <c r="E45" s="700">
        <v>-329910</v>
      </c>
      <c r="F45" s="700"/>
      <c r="G45" s="700"/>
      <c r="H45" s="701"/>
      <c r="I45" s="701"/>
      <c r="J45" s="263">
        <f t="shared" si="0"/>
        <v>8978288</v>
      </c>
      <c r="K45" s="722">
        <f>IF(K$18='5.Variables'!$B$16,+'5.Variables'!$D29,+IF(K$18='5.Variables'!$B$39,+'5.Variables'!$D52,+IF(K$18='5.Variables'!$B$62,+'5.Variables'!$D66,+IF(K$18='5.Variables'!$B$76,+'5.Variables'!$D80,+IF(K$18='5.Variables'!$B$90,+'5.Variables'!$D94,+IF(K$18='5.Variables'!$B$104,+'5.Variables'!$D108,0))))))</f>
        <v>782.00000000000011</v>
      </c>
      <c r="L45" s="722">
        <f>IF(L$18='5.Variables'!$B$16,+'5.Variables'!$D28,+IF(L$18='5.Variables'!$B$39,+'5.Variables'!$D52,+IF(L$18='5.Variables'!$B$62,+'5.Variables'!$D66,+IF(L$18='5.Variables'!$B$76,+'5.Variables'!$D80,+IF(L$18='5.Variables'!$B$90,+'5.Variables'!$D94,+IF(L$18='5.Variables'!$B$104,+'5.Variables'!$D108,0))))))</f>
        <v>0</v>
      </c>
      <c r="M45" s="722">
        <f>IF(M$18='5.Variables'!$B$16,+'5.Variables'!$D28,+IF(M$18='5.Variables'!$B$39,+'5.Variables'!$D52,+IF(M$18='5.Variables'!$B$62,+'5.Variables'!$D66,+IF(M$18='5.Variables'!$B$76,+'5.Variables'!$D80,+IF(M$18='5.Variables'!$B$90,+'5.Variables'!$D94,+IF(M$18='5.Variables'!$B$104,+'5.Variables'!$D108,0))))))</f>
        <v>28</v>
      </c>
      <c r="N45" s="722">
        <f>IF(N$18='5.Variables'!$B$16,+'5.Variables'!$D28,+IF(N$18='5.Variables'!$B$39,+'5.Variables'!$D52,+IF(N$18='5.Variables'!$B$62,+'5.Variables'!$D66,+IF(N$18='5.Variables'!$B$76,+'5.Variables'!$D80,+IF(N$18='5.Variables'!$B$90,+'5.Variables'!$D94,+IF(N$18='5.Variables'!$B$104,+'5.Variables'!$D108,0))))))</f>
        <v>360</v>
      </c>
      <c r="O45" s="722">
        <f>IF(O$18='5.Variables'!$B$16,+'5.Variables'!$D28,+IF(O$18='5.Variables'!$B$39,+'5.Variables'!$D52,+IF(O$18='5.Variables'!$B$62,+'5.Variables'!$D66,+IF(O$18='5.Variables'!$B$76,+'5.Variables'!$D80,+IF(O$18='5.Variables'!$B$90,+'5.Variables'!$D94,+IF(O$18='5.Variables'!$B$104,+'5.Variables'!$D108,0))))))</f>
        <v>10.19</v>
      </c>
      <c r="P45" s="983">
        <f>IF(P$18='5.Variables'!$B$16,+'5.Variables'!$D28,+IF(P$18='5.Variables'!$B$39,+'5.Variables'!$D52,+IF(P$18='5.Variables'!$B$62,+'5.Variables'!$D66,+IF(P$18='5.Variables'!$B$76,+'5.Variables'!$D80,+IF(P$18='5.Variables'!$B$90,+'5.Variables'!$D94,+IF(P$18='5.Variables'!$B$104,+'5.Variables'!$D108,0))))))</f>
        <v>0</v>
      </c>
      <c r="Q45" s="245"/>
      <c r="R45" s="556">
        <f t="shared" si="1"/>
        <v>8379622.4520066716</v>
      </c>
      <c r="S45" s="265"/>
      <c r="T45" s="245"/>
      <c r="U45" s="249" t="s">
        <v>33</v>
      </c>
      <c r="V45" s="249" t="s">
        <v>43</v>
      </c>
      <c r="W45" s="249" t="s">
        <v>45</v>
      </c>
      <c r="X45" s="249" t="s">
        <v>31</v>
      </c>
      <c r="Y45" s="249" t="s">
        <v>45</v>
      </c>
      <c r="Z45" s="249" t="s">
        <v>46</v>
      </c>
      <c r="AA45" s="245"/>
      <c r="AB45" s="245"/>
      <c r="AC45" s="245"/>
      <c r="AD45" s="261"/>
      <c r="AE45" s="245"/>
      <c r="AF45" s="245"/>
      <c r="AG45" s="245"/>
      <c r="AH45" s="245"/>
      <c r="AI45" s="245"/>
      <c r="AJ45" s="245"/>
      <c r="AK45" s="245"/>
      <c r="AL45" s="245"/>
      <c r="AM45" s="245"/>
    </row>
    <row r="46" spans="1:39" x14ac:dyDescent="0.2">
      <c r="A46" s="501">
        <f t="shared" si="2"/>
        <v>27</v>
      </c>
      <c r="B46" s="262" t="str">
        <f>CONCATENATE('3. Consumption by Rate Class'!B51,"-",'3. Consumption by Rate Class'!C51)</f>
        <v>2008-March</v>
      </c>
      <c r="C46" s="694">
        <v>9631393</v>
      </c>
      <c r="D46" s="700">
        <v>-455091</v>
      </c>
      <c r="E46" s="700">
        <v>-287295</v>
      </c>
      <c r="F46" s="700"/>
      <c r="G46" s="700"/>
      <c r="H46" s="701"/>
      <c r="I46" s="701"/>
      <c r="J46" s="263">
        <f t="shared" si="0"/>
        <v>8889007</v>
      </c>
      <c r="K46" s="722">
        <f>IF(K$18='5.Variables'!$B$16,+'5.Variables'!$E29,+IF(K$18='5.Variables'!$B$39,+'5.Variables'!$E52,+IF(K$18='5.Variables'!$B$62,+'5.Variables'!$E66,+IF(K$18='5.Variables'!$B$76,+'5.Variables'!$E80,+IF(K$18='5.Variables'!$B$90,+'5.Variables'!$E94,+IF(K$18='5.Variables'!$B$104,+'5.Variables'!$E108,0))))))</f>
        <v>734.0999999999998</v>
      </c>
      <c r="L46" s="722">
        <f>IF(L$18='5.Variables'!$B$16,+'5.Variables'!$E28,+IF(L$18='5.Variables'!$B$39,+'5.Variables'!$E52,+IF(L$18='5.Variables'!$B$62,+'5.Variables'!$E66,+IF(L$18='5.Variables'!$B$76,+'5.Variables'!$E80,+IF(L$18='5.Variables'!$B$90,+'5.Variables'!$E94,+IF(L$18='5.Variables'!$B$104,+'5.Variables'!$E108,0))))))</f>
        <v>0</v>
      </c>
      <c r="M46" s="722">
        <f>IF(M$18='5.Variables'!$B$16,+'5.Variables'!$E28,+IF(M$18='5.Variables'!$B$39,+'5.Variables'!$E52,+IF(M$18='5.Variables'!$B$62,+'5.Variables'!$E66,+IF(M$18='5.Variables'!$B$76,+'5.Variables'!$E80,+IF(M$18='5.Variables'!$B$90,+'5.Variables'!$E94,+IF(M$18='5.Variables'!$B$104,+'5.Variables'!$E108,0))))))</f>
        <v>31</v>
      </c>
      <c r="N46" s="722">
        <f>IF(N$18='5.Variables'!$B$16,+'5.Variables'!$E28,+IF(N$18='5.Variables'!$B$39,+'5.Variables'!$E52,+IF(N$18='5.Variables'!$B$62,+'5.Variables'!$E66,+IF(N$18='5.Variables'!$B$76,+'5.Variables'!$E80,+IF(N$18='5.Variables'!$B$90,+'5.Variables'!$E94,+IF(N$18='5.Variables'!$B$104,+'5.Variables'!$E108,0))))))</f>
        <v>360.1</v>
      </c>
      <c r="O46" s="722">
        <f>IF(O$18='5.Variables'!$B$16,+'5.Variables'!$E28,+IF(O$18='5.Variables'!$B$39,+'5.Variables'!$E52,+IF(O$18='5.Variables'!$B$62,+'5.Variables'!$E66,+IF(O$18='5.Variables'!$B$76,+'5.Variables'!$E80,+IF(O$18='5.Variables'!$B$90,+'5.Variables'!$E94,+IF(O$18='5.Variables'!$B$104,+'5.Variables'!$E108,0))))))</f>
        <v>11.51</v>
      </c>
      <c r="P46" s="983">
        <f>IF(P$18='5.Variables'!$B$16,+'5.Variables'!$E28,+IF(P$18='5.Variables'!$B$39,+'5.Variables'!$E52,+IF(P$18='5.Variables'!$B$62,+'5.Variables'!$E66,+IF(P$18='5.Variables'!$B$76,+'5.Variables'!$E80,+IF(P$18='5.Variables'!$B$90,+'5.Variables'!$E94,+IF(P$18='5.Variables'!$B$104,+'5.Variables'!$E108,0))))))</f>
        <v>1</v>
      </c>
      <c r="Q46" s="245"/>
      <c r="R46" s="556">
        <f t="shared" si="1"/>
        <v>8772010.2919635419</v>
      </c>
      <c r="S46" s="265"/>
      <c r="T46" s="245"/>
      <c r="U46" s="250">
        <f>'4. Customer Growth'!B17</f>
        <v>2006</v>
      </c>
      <c r="V46" s="267">
        <f>SUM(J20:J31)</f>
        <v>91018552.480000004</v>
      </c>
      <c r="W46" s="267"/>
      <c r="X46" s="267">
        <f>S31</f>
        <v>93834660.825160488</v>
      </c>
      <c r="Y46" s="267"/>
      <c r="Z46" s="268">
        <f t="shared" ref="Z46:Z55" si="3">(X46-V46)/V46</f>
        <v>3.0939937720711203E-2</v>
      </c>
      <c r="AA46" s="245"/>
      <c r="AB46" s="245"/>
      <c r="AC46" s="245"/>
      <c r="AD46" s="261"/>
      <c r="AE46" s="245"/>
      <c r="AF46" s="245"/>
      <c r="AG46" s="245"/>
      <c r="AH46" s="245"/>
      <c r="AI46" s="245"/>
      <c r="AJ46" s="245"/>
      <c r="AK46" s="245"/>
      <c r="AL46" s="245"/>
      <c r="AM46" s="245"/>
    </row>
    <row r="47" spans="1:39" x14ac:dyDescent="0.2">
      <c r="A47" s="501">
        <f t="shared" si="2"/>
        <v>28</v>
      </c>
      <c r="B47" s="262" t="str">
        <f>CONCATENATE('3. Consumption by Rate Class'!B52,"-",'3. Consumption by Rate Class'!C52)</f>
        <v>2008-April</v>
      </c>
      <c r="C47" s="694">
        <v>8033570</v>
      </c>
      <c r="D47" s="700">
        <v>-495405</v>
      </c>
      <c r="E47" s="700">
        <v>-305041</v>
      </c>
      <c r="F47" s="700"/>
      <c r="G47" s="700"/>
      <c r="H47" s="701"/>
      <c r="I47" s="701"/>
      <c r="J47" s="263">
        <f t="shared" si="0"/>
        <v>7233124</v>
      </c>
      <c r="K47" s="722">
        <f>IF(K$18='5.Variables'!$B$16,+'5.Variables'!$F29,+IF(K$18='5.Variables'!$B$39,+'5.Variables'!$F52,+IF(K$18='5.Variables'!$B$62,+'5.Variables'!$F66,+IF(K$18='5.Variables'!$B$76,+'5.Variables'!$F80,+IF(K$18='5.Variables'!$B$90,+'5.Variables'!$F94,+IF(K$18='5.Variables'!$B$104,+'5.Variables'!$F108,0))))))</f>
        <v>301.2999999999999</v>
      </c>
      <c r="L47" s="722">
        <f>IF(L$18='5.Variables'!$B$16,+'5.Variables'!$F28,+IF(L$18='5.Variables'!$B$39,+'5.Variables'!$F52,+IF(L$18='5.Variables'!$B$62,+'5.Variables'!$F66,+IF(L$18='5.Variables'!$B$76,+'5.Variables'!$F80,+IF(L$18='5.Variables'!$B$90,+'5.Variables'!$F94,+IF(L$18='5.Variables'!$B$104,+'5.Variables'!$F108,0))))))</f>
        <v>0</v>
      </c>
      <c r="M47" s="722">
        <f>IF(M$18='5.Variables'!$B$16,+'5.Variables'!$F28,+IF(M$18='5.Variables'!$B$39,+'5.Variables'!$F52,+IF(M$18='5.Variables'!$B$62,+'5.Variables'!$F66,+IF(M$18='5.Variables'!$B$76,+'5.Variables'!$F80,+IF(M$18='5.Variables'!$B$90,+'5.Variables'!$F94,+IF(M$18='5.Variables'!$B$104,+'5.Variables'!$F108,0))))))</f>
        <v>30</v>
      </c>
      <c r="N47" s="722">
        <f>IF(N$18='5.Variables'!$B$16,+'5.Variables'!$F28,+IF(N$18='5.Variables'!$B$39,+'5.Variables'!$F52,+IF(N$18='5.Variables'!$B$62,+'5.Variables'!$F66,+IF(N$18='5.Variables'!$B$76,+'5.Variables'!$F80,+IF(N$18='5.Variables'!$B$90,+'5.Variables'!$F94,+IF(N$18='5.Variables'!$B$104,+'5.Variables'!$F108,0))))))</f>
        <v>360.3</v>
      </c>
      <c r="O47" s="722">
        <f>IF(O$18='5.Variables'!$B$16,+'5.Variables'!$F28,+IF(O$18='5.Variables'!$B$39,+'5.Variables'!$F52,+IF(O$18='5.Variables'!$B$62,+'5.Variables'!$F66,+IF(O$18='5.Variables'!$B$76,+'5.Variables'!$F80,+IF(O$18='5.Variables'!$B$90,+'5.Variables'!$F94,+IF(O$18='5.Variables'!$B$104,+'5.Variables'!$F108,0))))))</f>
        <v>13.28</v>
      </c>
      <c r="P47" s="983">
        <f>IF(P$18='5.Variables'!$B$16,+'5.Variables'!$F28,+IF(P$18='5.Variables'!$B$39,+'5.Variables'!$F52,+IF(P$18='5.Variables'!$B$62,+'5.Variables'!$F66,+IF(P$18='5.Variables'!$B$76,+'5.Variables'!$F80,+IF(P$18='5.Variables'!$B$90,+'5.Variables'!$F94,+IF(P$18='5.Variables'!$B$104,+'5.Variables'!$F108,0))))))</f>
        <v>0</v>
      </c>
      <c r="Q47" s="245"/>
      <c r="R47" s="556">
        <f t="shared" si="1"/>
        <v>7121312.9482562291</v>
      </c>
      <c r="S47" s="265"/>
      <c r="T47" s="245"/>
      <c r="U47" s="250">
        <f>'4. Customer Growth'!B18</f>
        <v>2007</v>
      </c>
      <c r="V47" s="267">
        <f>SUM(J32:J43)</f>
        <v>94614050.200000003</v>
      </c>
      <c r="W47" s="268">
        <f>(V47-V46)/V46</f>
        <v>3.9502910363137855E-2</v>
      </c>
      <c r="X47" s="267">
        <f>S43</f>
        <v>93363786.459310383</v>
      </c>
      <c r="Y47" s="268">
        <f>(X47-X46)/X46</f>
        <v>-5.0181282876641175E-3</v>
      </c>
      <c r="Z47" s="268">
        <f t="shared" si="3"/>
        <v>-1.3214355986735048E-2</v>
      </c>
      <c r="AA47" s="245"/>
      <c r="AB47" s="245"/>
      <c r="AC47" s="245"/>
      <c r="AD47" s="245"/>
      <c r="AE47" s="245"/>
      <c r="AF47" s="245"/>
      <c r="AG47" s="245"/>
      <c r="AH47" s="245"/>
      <c r="AI47" s="245"/>
      <c r="AJ47" s="245"/>
      <c r="AK47" s="245"/>
      <c r="AL47" s="245"/>
      <c r="AM47" s="245"/>
    </row>
    <row r="48" spans="1:39" x14ac:dyDescent="0.2">
      <c r="A48" s="501">
        <f t="shared" si="2"/>
        <v>29</v>
      </c>
      <c r="B48" s="262" t="str">
        <f>CONCATENATE('3. Consumption by Rate Class'!B53,"-",'3. Consumption by Rate Class'!C53)</f>
        <v>2008-May</v>
      </c>
      <c r="C48" s="694">
        <v>7704823</v>
      </c>
      <c r="D48" s="700">
        <v>-507861</v>
      </c>
      <c r="E48" s="700">
        <v>-325687</v>
      </c>
      <c r="F48" s="700"/>
      <c r="G48" s="700"/>
      <c r="H48" s="701"/>
      <c r="I48" s="701"/>
      <c r="J48" s="263">
        <f t="shared" si="0"/>
        <v>6871275</v>
      </c>
      <c r="K48" s="722">
        <f>IF(K$18='5.Variables'!$B$16,+'5.Variables'!$G29,+IF(K$18='5.Variables'!$B$39,+'5.Variables'!$G52,+IF(K$18='5.Variables'!$B$62,+'5.Variables'!$G66,+IF(K$18='5.Variables'!$B$76,+'5.Variables'!$G80,+IF(K$18='5.Variables'!$B$90,+'5.Variables'!$G94,+IF(K$18='5.Variables'!$B$104,+'5.Variables'!$G108,0))))))</f>
        <v>188.70000000000002</v>
      </c>
      <c r="L48" s="722">
        <f>IF(L$18='5.Variables'!$B$16,+'5.Variables'!$G28,+IF(L$18='5.Variables'!$B$39,+'5.Variables'!$G52,+IF(L$18='5.Variables'!$B$62,+'5.Variables'!$G66,+IF(L$18='5.Variables'!$B$76,+'5.Variables'!$G80,+IF(L$18='5.Variables'!$B$90,+'5.Variables'!$G94,+IF(L$18='5.Variables'!$B$104,+'5.Variables'!$G108,0))))))</f>
        <v>0</v>
      </c>
      <c r="M48" s="722">
        <f>IF(M$18='5.Variables'!$B$16,+'5.Variables'!$G28,+IF(M$18='5.Variables'!$B$39,+'5.Variables'!$G52,+IF(M$18='5.Variables'!$B$62,+'5.Variables'!$G66,+IF(M$18='5.Variables'!$B$76,+'5.Variables'!$G80,+IF(M$18='5.Variables'!$B$90,+'5.Variables'!$G94,+IF(M$18='5.Variables'!$B$104,+'5.Variables'!$G108,0))))))</f>
        <v>31</v>
      </c>
      <c r="N48" s="722">
        <f>IF(N$18='5.Variables'!$B$16,+'5.Variables'!$G28,+IF(N$18='5.Variables'!$B$39,+'5.Variables'!$G52,+IF(N$18='5.Variables'!$B$62,+'5.Variables'!$G66,+IF(N$18='5.Variables'!$B$76,+'5.Variables'!$G80,+IF(N$18='5.Variables'!$B$90,+'5.Variables'!$G94,+IF(N$18='5.Variables'!$B$104,+'5.Variables'!$G108,0))))))</f>
        <v>360.5</v>
      </c>
      <c r="O48" s="722">
        <f>IF(O$18='5.Variables'!$B$16,+'5.Variables'!$G28,+IF(O$18='5.Variables'!$B$39,+'5.Variables'!$G52,+IF(O$18='5.Variables'!$B$62,+'5.Variables'!$G66,+IF(O$18='5.Variables'!$B$76,+'5.Variables'!$G80,+IF(O$18='5.Variables'!$B$90,+'5.Variables'!$G94,+IF(O$18='5.Variables'!$B$104,+'5.Variables'!$G108,0))))))</f>
        <v>14.52</v>
      </c>
      <c r="P48" s="983">
        <f>IF(P$18='5.Variables'!$B$16,+'5.Variables'!$G28,+IF(P$18='5.Variables'!$B$39,+'5.Variables'!$G52,+IF(P$18='5.Variables'!$B$62,+'5.Variables'!$G66,+IF(P$18='5.Variables'!$B$76,+'5.Variables'!$G80,+IF(P$18='5.Variables'!$B$90,+'5.Variables'!$G94,+IF(P$18='5.Variables'!$B$104,+'5.Variables'!$G108,0))))))</f>
        <v>0</v>
      </c>
      <c r="Q48" s="245"/>
      <c r="R48" s="556">
        <f t="shared" si="1"/>
        <v>6912345.7977142138</v>
      </c>
      <c r="S48" s="265"/>
      <c r="T48" s="245"/>
      <c r="U48" s="250">
        <f>'4. Customer Growth'!B19</f>
        <v>2008</v>
      </c>
      <c r="V48" s="267">
        <f>SUM(J44:J55)</f>
        <v>96430220.5</v>
      </c>
      <c r="W48" s="268">
        <f t="shared" ref="W48:Y55" si="4">(V48-V47)/V47</f>
        <v>1.9195566579814347E-2</v>
      </c>
      <c r="X48" s="267">
        <f>S55</f>
        <v>92931642.3760335</v>
      </c>
      <c r="Y48" s="268">
        <f t="shared" si="4"/>
        <v>-4.6286049405806703E-3</v>
      </c>
      <c r="Z48" s="268">
        <f t="shared" si="3"/>
        <v>-3.6280930457547801E-2</v>
      </c>
      <c r="AA48" s="245"/>
      <c r="AB48" s="245"/>
      <c r="AC48" s="245"/>
      <c r="AD48" s="245"/>
      <c r="AE48" s="245"/>
      <c r="AF48" s="245"/>
      <c r="AG48" s="245"/>
      <c r="AH48" s="245"/>
      <c r="AI48" s="245"/>
      <c r="AJ48" s="245"/>
      <c r="AK48" s="245"/>
      <c r="AL48" s="245"/>
      <c r="AM48" s="245"/>
    </row>
    <row r="49" spans="1:39" x14ac:dyDescent="0.2">
      <c r="A49" s="501">
        <f t="shared" si="2"/>
        <v>30</v>
      </c>
      <c r="B49" s="262" t="str">
        <f>CONCATENATE('3. Consumption by Rate Class'!B54,"-",'3. Consumption by Rate Class'!C54)</f>
        <v>2008-June</v>
      </c>
      <c r="C49" s="694">
        <v>8253385.5</v>
      </c>
      <c r="D49" s="700">
        <v>-527752</v>
      </c>
      <c r="E49" s="700">
        <v>-330550</v>
      </c>
      <c r="F49" s="700"/>
      <c r="G49" s="700"/>
      <c r="H49" s="701"/>
      <c r="I49" s="701"/>
      <c r="J49" s="263">
        <f t="shared" si="0"/>
        <v>7395083.5</v>
      </c>
      <c r="K49" s="722">
        <f>IF(K$18='5.Variables'!$B$16,+'5.Variables'!$H29,+IF(K$18='5.Variables'!$B$39,+'5.Variables'!$H52,+IF(K$18='5.Variables'!$B$62,+'5.Variables'!$H66,+IF(K$18='5.Variables'!$B$76,+'5.Variables'!$H80,+IF(K$18='5.Variables'!$B$90,+'5.Variables'!$H94,+IF(K$18='5.Variables'!$B$104,+'5.Variables'!$H108,0))))))</f>
        <v>22.599999999999998</v>
      </c>
      <c r="L49" s="722">
        <f>IF(L$18='5.Variables'!$B$16,+'5.Variables'!$H28,+IF(L$18='5.Variables'!$B$39,+'5.Variables'!$H52,+IF(L$18='5.Variables'!$B$62,+'5.Variables'!$H66,+IF(L$18='5.Variables'!$B$76,+'5.Variables'!$H80,+IF(L$18='5.Variables'!$B$90,+'5.Variables'!$H94,+IF(L$18='5.Variables'!$B$104,+'5.Variables'!$H108,0))))))</f>
        <v>58.900000000000006</v>
      </c>
      <c r="M49" s="722">
        <f>IF(M$18='5.Variables'!$B$16,+'5.Variables'!$H28,+IF(M$18='5.Variables'!$B$39,+'5.Variables'!$H52,+IF(M$18='5.Variables'!$B$62,+'5.Variables'!$H66,+IF(M$18='5.Variables'!$B$76,+'5.Variables'!$H80,+IF(M$18='5.Variables'!$B$90,+'5.Variables'!$H94,+IF(M$18='5.Variables'!$B$104,+'5.Variables'!$H108,0))))))</f>
        <v>30</v>
      </c>
      <c r="N49" s="722">
        <f>IF(N$18='5.Variables'!$B$16,+'5.Variables'!$H28,+IF(N$18='5.Variables'!$B$39,+'5.Variables'!$H52,+IF(N$18='5.Variables'!$B$62,+'5.Variables'!$H66,+IF(N$18='5.Variables'!$B$76,+'5.Variables'!$H80,+IF(N$18='5.Variables'!$B$90,+'5.Variables'!$H94,+IF(N$18='5.Variables'!$B$104,+'5.Variables'!$H108,0))))))</f>
        <v>360.7</v>
      </c>
      <c r="O49" s="722">
        <f>IF(O$18='5.Variables'!$B$16,+'5.Variables'!$H28,+IF(O$18='5.Variables'!$B$39,+'5.Variables'!$H52,+IF(O$18='5.Variables'!$B$62,+'5.Variables'!$H66,+IF(O$18='5.Variables'!$B$76,+'5.Variables'!$H80,+IF(O$18='5.Variables'!$B$90,+'5.Variables'!$H94,+IF(O$18='5.Variables'!$B$104,+'5.Variables'!$H108,0))))))</f>
        <v>15.35</v>
      </c>
      <c r="P49" s="983">
        <f>IF(P$18='5.Variables'!$B$16,+'5.Variables'!$H28,+IF(P$18='5.Variables'!$B$39,+'5.Variables'!$H52,+IF(P$18='5.Variables'!$B$62,+'5.Variables'!$H66,+IF(P$18='5.Variables'!$B$76,+'5.Variables'!$H80,+IF(P$18='5.Variables'!$B$90,+'5.Variables'!$H94,+IF(P$18='5.Variables'!$B$104,+'5.Variables'!$H108,0))))))</f>
        <v>0</v>
      </c>
      <c r="Q49" s="245"/>
      <c r="R49" s="556">
        <f t="shared" si="1"/>
        <v>7118395.3499749275</v>
      </c>
      <c r="S49" s="265"/>
      <c r="T49" s="245"/>
      <c r="U49" s="250">
        <f>'4. Customer Growth'!B20</f>
        <v>2009</v>
      </c>
      <c r="V49" s="267">
        <f>SUM(J56:J67)</f>
        <v>92313324</v>
      </c>
      <c r="W49" s="268">
        <f t="shared" si="4"/>
        <v>-4.269301136773819E-2</v>
      </c>
      <c r="X49" s="267">
        <f>S67</f>
        <v>92048566.784686312</v>
      </c>
      <c r="Y49" s="268">
        <f t="shared" si="4"/>
        <v>-9.5024210136517243E-3</v>
      </c>
      <c r="Z49" s="268">
        <f t="shared" si="3"/>
        <v>-2.8680281874985665E-3</v>
      </c>
      <c r="AA49" s="245"/>
      <c r="AB49" s="245"/>
      <c r="AC49" s="245"/>
      <c r="AD49" s="245"/>
      <c r="AE49" s="245"/>
      <c r="AF49" s="245"/>
      <c r="AG49" s="245"/>
      <c r="AH49" s="245"/>
      <c r="AI49" s="245"/>
      <c r="AJ49" s="245"/>
      <c r="AK49" s="245"/>
      <c r="AL49" s="245"/>
      <c r="AM49" s="245"/>
    </row>
    <row r="50" spans="1:39" x14ac:dyDescent="0.2">
      <c r="A50" s="501">
        <f t="shared" si="2"/>
        <v>31</v>
      </c>
      <c r="B50" s="262" t="str">
        <f>CONCATENATE('3. Consumption by Rate Class'!B55,"-",'3. Consumption by Rate Class'!C55)</f>
        <v>2008-July</v>
      </c>
      <c r="C50" s="694">
        <v>8927045</v>
      </c>
      <c r="D50" s="700">
        <v>-530697</v>
      </c>
      <c r="E50" s="700">
        <v>-340015</v>
      </c>
      <c r="F50" s="700"/>
      <c r="G50" s="700"/>
      <c r="H50" s="701"/>
      <c r="I50" s="701"/>
      <c r="J50" s="263">
        <f t="shared" si="0"/>
        <v>8056333</v>
      </c>
      <c r="K50" s="722">
        <f>IF(K$18='5.Variables'!$B$16,+'5.Variables'!$I29,+IF(K$18='5.Variables'!$B$39,+'5.Variables'!$I52,+IF(K$18='5.Variables'!$B$62,+'5.Variables'!$I66,+IF(K$18='5.Variables'!$B$76,+'5.Variables'!$I80,+IF(K$18='5.Variables'!$B$90,+'5.Variables'!$I94,+IF(K$18='5.Variables'!$B$104,+'5.Variables'!$I108,0))))))</f>
        <v>1.3</v>
      </c>
      <c r="L50" s="722">
        <f>IF(L$18='5.Variables'!$B$16,+'5.Variables'!$I28,+IF(L$18='5.Variables'!$B$39,+'5.Variables'!$I52,+IF(L$18='5.Variables'!$B$62,+'5.Variables'!$I66,+IF(L$18='5.Variables'!$B$76,+'5.Variables'!$I80,+IF(L$18='5.Variables'!$B$90,+'5.Variables'!$I94,+IF(L$18='5.Variables'!$B$104,+'5.Variables'!$I108,0))))))</f>
        <v>71.2</v>
      </c>
      <c r="M50" s="722">
        <f>IF(M$18='5.Variables'!$B$16,+'5.Variables'!$I28,+IF(M$18='5.Variables'!$B$39,+'5.Variables'!$I52,+IF(M$18='5.Variables'!$B$62,+'5.Variables'!$I66,+IF(M$18='5.Variables'!$B$76,+'5.Variables'!$I80,+IF(M$18='5.Variables'!$B$90,+'5.Variables'!$I94,+IF(M$18='5.Variables'!$B$104,+'5.Variables'!$I108,0))))))</f>
        <v>31</v>
      </c>
      <c r="N50" s="722">
        <f>IF(N$18='5.Variables'!$B$16,+'5.Variables'!$I28,+IF(N$18='5.Variables'!$B$39,+'5.Variables'!$I52,+IF(N$18='5.Variables'!$B$62,+'5.Variables'!$I66,+IF(N$18='5.Variables'!$B$76,+'5.Variables'!$I80,+IF(N$18='5.Variables'!$B$90,+'5.Variables'!$I94,+IF(N$18='5.Variables'!$B$104,+'5.Variables'!$I108,0))))))</f>
        <v>360.9</v>
      </c>
      <c r="O50" s="722">
        <f>IF(O$18='5.Variables'!$B$16,+'5.Variables'!$I28,+IF(O$18='5.Variables'!$B$39,+'5.Variables'!$I52,+IF(O$18='5.Variables'!$B$62,+'5.Variables'!$I66,+IF(O$18='5.Variables'!$B$76,+'5.Variables'!$I80,+IF(O$18='5.Variables'!$B$90,+'5.Variables'!$I94,+IF(O$18='5.Variables'!$B$104,+'5.Variables'!$I108,0))))))</f>
        <v>15.15</v>
      </c>
      <c r="P50" s="983">
        <f>IF(P$18='5.Variables'!$B$16,+'5.Variables'!$I28,+IF(P$18='5.Variables'!$B$39,+'5.Variables'!$I52,+IF(P$18='5.Variables'!$B$62,+'5.Variables'!$I66,+IF(P$18='5.Variables'!$B$76,+'5.Variables'!$I80,+IF(P$18='5.Variables'!$B$90,+'5.Variables'!$I94,+IF(P$18='5.Variables'!$B$104,+'5.Variables'!$I108,0))))))</f>
        <v>1</v>
      </c>
      <c r="Q50" s="245"/>
      <c r="R50" s="556">
        <f t="shared" si="1"/>
        <v>7449430.2374581816</v>
      </c>
      <c r="S50" s="265"/>
      <c r="T50" s="245"/>
      <c r="U50" s="250">
        <f>'4. Customer Growth'!B21</f>
        <v>2010</v>
      </c>
      <c r="V50" s="267">
        <f>SUM(J68:J79)</f>
        <v>91831741</v>
      </c>
      <c r="W50" s="268">
        <f t="shared" si="4"/>
        <v>-5.2168308878142011E-3</v>
      </c>
      <c r="X50" s="267">
        <f>S79</f>
        <v>91956572.796058238</v>
      </c>
      <c r="Y50" s="268">
        <f t="shared" si="4"/>
        <v>-9.9940707217376404E-4</v>
      </c>
      <c r="Z50" s="268">
        <f t="shared" si="3"/>
        <v>1.359353472980955E-3</v>
      </c>
      <c r="AA50" s="245"/>
      <c r="AB50" s="245"/>
      <c r="AC50" s="245"/>
      <c r="AD50" s="245"/>
      <c r="AE50" s="245"/>
      <c r="AF50" s="245"/>
      <c r="AG50" s="245"/>
      <c r="AH50" s="245"/>
      <c r="AI50" s="245"/>
      <c r="AJ50" s="245"/>
      <c r="AK50" s="245"/>
      <c r="AL50" s="245"/>
      <c r="AM50" s="245"/>
    </row>
    <row r="51" spans="1:39" x14ac:dyDescent="0.2">
      <c r="A51" s="501">
        <f t="shared" si="2"/>
        <v>32</v>
      </c>
      <c r="B51" s="262" t="str">
        <f>CONCATENATE('3. Consumption by Rate Class'!B56,"-",'3. Consumption by Rate Class'!C56)</f>
        <v>2008-August</v>
      </c>
      <c r="C51" s="694">
        <v>8447508</v>
      </c>
      <c r="D51" s="700">
        <v>-639985</v>
      </c>
      <c r="E51" s="700">
        <v>-345708</v>
      </c>
      <c r="F51" s="700"/>
      <c r="G51" s="700"/>
      <c r="H51" s="701"/>
      <c r="I51" s="701"/>
      <c r="J51" s="263">
        <f t="shared" si="0"/>
        <v>7461815</v>
      </c>
      <c r="K51" s="722">
        <f>IF(K$18='5.Variables'!$B$16,+'5.Variables'!$J29,+IF(K$18='5.Variables'!$B$39,+'5.Variables'!$J52,+IF(K$18='5.Variables'!$B$62,+'5.Variables'!$J66,+IF(K$18='5.Variables'!$B$76,+'5.Variables'!$J80,+IF(K$18='5.Variables'!$B$90,+'5.Variables'!$J94,+IF(K$18='5.Variables'!$B$104,+'5.Variables'!$J108,0))))))</f>
        <v>16.7</v>
      </c>
      <c r="L51" s="722">
        <f>IF(L$18='5.Variables'!$B$16,+'5.Variables'!$J28,+IF(L$18='5.Variables'!$B$39,+'5.Variables'!$J52,+IF(L$18='5.Variables'!$B$62,+'5.Variables'!$J66,+IF(L$18='5.Variables'!$B$76,+'5.Variables'!$J80,+IF(L$18='5.Variables'!$B$90,+'5.Variables'!$J94,+IF(L$18='5.Variables'!$B$104,+'5.Variables'!$J108,0))))))</f>
        <v>46.100000000000009</v>
      </c>
      <c r="M51" s="722">
        <f>IF(M$18='5.Variables'!$B$16,+'5.Variables'!$J28,+IF(M$18='5.Variables'!$B$39,+'5.Variables'!$J52,+IF(M$18='5.Variables'!$B$62,+'5.Variables'!$J66,+IF(M$18='5.Variables'!$B$76,+'5.Variables'!$J80,+IF(M$18='5.Variables'!$B$90,+'5.Variables'!$J94,+IF(M$18='5.Variables'!$B$104,+'5.Variables'!$J108,0))))))</f>
        <v>31</v>
      </c>
      <c r="N51" s="722">
        <f>IF(N$18='5.Variables'!$B$16,+'5.Variables'!$J28,+IF(N$18='5.Variables'!$B$39,+'5.Variables'!$J52,+IF(N$18='5.Variables'!$B$62,+'5.Variables'!$J66,+IF(N$18='5.Variables'!$B$76,+'5.Variables'!$J80,+IF(N$18='5.Variables'!$B$90,+'5.Variables'!$J94,+IF(N$18='5.Variables'!$B$104,+'5.Variables'!$J108,0))))))</f>
        <v>361.2</v>
      </c>
      <c r="O51" s="722">
        <f>IF(O$18='5.Variables'!$B$16,+'5.Variables'!$J28,+IF(O$18='5.Variables'!$B$39,+'5.Variables'!$J52,+IF(O$18='5.Variables'!$B$62,+'5.Variables'!$J66,+IF(O$18='5.Variables'!$B$76,+'5.Variables'!$J80,+IF(O$18='5.Variables'!$B$90,+'5.Variables'!$J94,+IF(O$18='5.Variables'!$B$104,+'5.Variables'!$J108,0))))))</f>
        <v>14.03</v>
      </c>
      <c r="P51" s="983">
        <f>IF(P$18='5.Variables'!$B$16,+'5.Variables'!$J28,+IF(P$18='5.Variables'!$B$39,+'5.Variables'!$J52,+IF(P$18='5.Variables'!$B$62,+'5.Variables'!$J66,+IF(P$18='5.Variables'!$B$76,+'5.Variables'!$J80,+IF(P$18='5.Variables'!$B$90,+'5.Variables'!$J94,+IF(P$18='5.Variables'!$B$104,+'5.Variables'!$J108,0))))))</f>
        <v>0</v>
      </c>
      <c r="Q51" s="245"/>
      <c r="R51" s="556">
        <f t="shared" si="1"/>
        <v>7113221.9369605538</v>
      </c>
      <c r="S51" s="265"/>
      <c r="T51" s="245"/>
      <c r="U51" s="250">
        <f>'4. Customer Growth'!B22</f>
        <v>2011</v>
      </c>
      <c r="V51" s="267">
        <f>SUM(J80:J91)</f>
        <v>90656017</v>
      </c>
      <c r="W51" s="268">
        <f t="shared" si="4"/>
        <v>-1.280302417439739E-2</v>
      </c>
      <c r="X51" s="267">
        <f>S91</f>
        <v>91628943.54129757</v>
      </c>
      <c r="Y51" s="268">
        <f t="shared" si="4"/>
        <v>-3.5628693501582051E-3</v>
      </c>
      <c r="Z51" s="268">
        <f t="shared" si="3"/>
        <v>1.0732068024757473E-2</v>
      </c>
      <c r="AA51" s="245"/>
      <c r="AB51" s="245"/>
      <c r="AC51" s="245"/>
      <c r="AD51" s="245"/>
      <c r="AE51" s="245"/>
      <c r="AF51" s="245"/>
      <c r="AG51" s="245"/>
      <c r="AH51" s="245"/>
      <c r="AI51" s="245"/>
      <c r="AJ51" s="245"/>
      <c r="AK51" s="245"/>
      <c r="AL51" s="245"/>
      <c r="AM51" s="245"/>
    </row>
    <row r="52" spans="1:39" x14ac:dyDescent="0.2">
      <c r="A52" s="501">
        <f t="shared" si="2"/>
        <v>33</v>
      </c>
      <c r="B52" s="262" t="str">
        <f>CONCATENATE('3. Consumption by Rate Class'!B57,"-",'3. Consumption by Rate Class'!C57)</f>
        <v>2008-September</v>
      </c>
      <c r="C52" s="694">
        <v>7965962</v>
      </c>
      <c r="D52" s="700">
        <v>-578513</v>
      </c>
      <c r="E52" s="700">
        <v>-321694</v>
      </c>
      <c r="F52" s="700"/>
      <c r="G52" s="700"/>
      <c r="H52" s="701"/>
      <c r="I52" s="701"/>
      <c r="J52" s="263">
        <f t="shared" si="0"/>
        <v>7065755</v>
      </c>
      <c r="K52" s="722">
        <f>IF(K$18='5.Variables'!$B$16,+'5.Variables'!$K29,+IF(K$18='5.Variables'!$B$39,+'5.Variables'!$K52,+IF(K$18='5.Variables'!$B$62,+'5.Variables'!$K66,+IF(K$18='5.Variables'!$B$76,+'5.Variables'!$K80,+IF(K$18='5.Variables'!$B$90,+'5.Variables'!$K94,+IF(K$18='5.Variables'!$B$104,+'5.Variables'!$K108,0))))))</f>
        <v>96.6</v>
      </c>
      <c r="L52" s="722">
        <f>IF(L$18='5.Variables'!$B$16,+'5.Variables'!$K28,+IF(L$18='5.Variables'!$B$39,+'5.Variables'!$K52,+IF(L$18='5.Variables'!$B$62,+'5.Variables'!$K66,+IF(L$18='5.Variables'!$B$76,+'5.Variables'!$K80,+IF(L$18='5.Variables'!$B$90,+'5.Variables'!$K94,+IF(L$18='5.Variables'!$B$104,+'5.Variables'!$K108,0))))))</f>
        <v>18</v>
      </c>
      <c r="M52" s="722">
        <f>IF(M$18='5.Variables'!$B$16,+'5.Variables'!$K28,+IF(M$18='5.Variables'!$B$39,+'5.Variables'!$K52,+IF(M$18='5.Variables'!$B$62,+'5.Variables'!$K66,+IF(M$18='5.Variables'!$B$76,+'5.Variables'!$K80,+IF(M$18='5.Variables'!$B$90,+'5.Variables'!$K94,+IF(M$18='5.Variables'!$B$104,+'5.Variables'!$K108,0))))))</f>
        <v>30</v>
      </c>
      <c r="N52" s="722">
        <f>IF(N$18='5.Variables'!$B$16,+'5.Variables'!$K28,+IF(N$18='5.Variables'!$B$39,+'5.Variables'!$K52,+IF(N$18='5.Variables'!$B$62,+'5.Variables'!$K66,+IF(N$18='5.Variables'!$B$76,+'5.Variables'!$K80,+IF(N$18='5.Variables'!$B$90,+'5.Variables'!$K94,+IF(N$18='5.Variables'!$B$104,+'5.Variables'!$K108,0))))))</f>
        <v>361.3</v>
      </c>
      <c r="O52" s="722">
        <f>IF(O$18='5.Variables'!$B$16,+'5.Variables'!$K28,+IF(O$18='5.Variables'!$B$39,+'5.Variables'!$K52,+IF(O$18='5.Variables'!$B$62,+'5.Variables'!$K66,+IF(O$18='5.Variables'!$B$76,+'5.Variables'!$K80,+IF(O$18='5.Variables'!$B$90,+'5.Variables'!$K94,+IF(O$18='5.Variables'!$B$104,+'5.Variables'!$K108,0))))))</f>
        <v>12.29</v>
      </c>
      <c r="P52" s="983">
        <f>IF(P$18='5.Variables'!$B$16,+'5.Variables'!$K28,+IF(P$18='5.Variables'!$B$39,+'5.Variables'!$K52,+IF(P$18='5.Variables'!$B$62,+'5.Variables'!$K66,+IF(P$18='5.Variables'!$B$76,+'5.Variables'!$K80,+IF(P$18='5.Variables'!$B$90,+'5.Variables'!$K94,+IF(P$18='5.Variables'!$B$104,+'5.Variables'!$K108,0))))))</f>
        <v>0</v>
      </c>
      <c r="Q52" s="245"/>
      <c r="R52" s="556">
        <f t="shared" si="1"/>
        <v>6762846.8578165472</v>
      </c>
      <c r="S52" s="265"/>
      <c r="T52" s="245"/>
      <c r="U52" s="250">
        <f>'4. Customer Growth'!B23</f>
        <v>2012</v>
      </c>
      <c r="V52" s="267">
        <f>SUM(J92:J103)</f>
        <v>89014822</v>
      </c>
      <c r="W52" s="268">
        <f t="shared" si="4"/>
        <v>-1.8103541875218277E-2</v>
      </c>
      <c r="X52" s="267">
        <f>S103:S103</f>
        <v>91730059.579689622</v>
      </c>
      <c r="Y52" s="268">
        <f t="shared" si="4"/>
        <v>1.1035381887435885E-3</v>
      </c>
      <c r="Z52" s="268">
        <f t="shared" si="3"/>
        <v>3.0503207428641738E-2</v>
      </c>
      <c r="AA52" s="245"/>
      <c r="AB52" s="245"/>
      <c r="AC52" s="245"/>
      <c r="AD52" s="245"/>
      <c r="AE52" s="245"/>
      <c r="AF52" s="245"/>
      <c r="AG52" s="245"/>
      <c r="AH52" s="245"/>
      <c r="AI52" s="245"/>
      <c r="AJ52" s="245"/>
      <c r="AK52" s="245"/>
      <c r="AL52" s="245"/>
      <c r="AM52" s="245"/>
    </row>
    <row r="53" spans="1:39" x14ac:dyDescent="0.2">
      <c r="A53" s="501">
        <f t="shared" si="2"/>
        <v>34</v>
      </c>
      <c r="B53" s="262" t="str">
        <f>CONCATENATE('3. Consumption by Rate Class'!B58,"-",'3. Consumption by Rate Class'!C58)</f>
        <v>2008-October</v>
      </c>
      <c r="C53" s="694">
        <v>8389702</v>
      </c>
      <c r="D53" s="700">
        <v>-554993</v>
      </c>
      <c r="E53" s="700">
        <v>-328999</v>
      </c>
      <c r="F53" s="700"/>
      <c r="G53" s="700"/>
      <c r="H53" s="701"/>
      <c r="I53" s="701"/>
      <c r="J53" s="263">
        <f t="shared" si="0"/>
        <v>7505710</v>
      </c>
      <c r="K53" s="722">
        <f>IF(K$18='5.Variables'!$B$16,+'5.Variables'!$L29,+IF(K$18='5.Variables'!$B$39,+'5.Variables'!$L52,+IF(K$18='5.Variables'!$B$62,+'5.Variables'!$L66,+IF(K$18='5.Variables'!$B$76,+'5.Variables'!$L80,+IF(K$18='5.Variables'!$B$90,+'5.Variables'!$L94,+IF(K$18='5.Variables'!$B$104,+'5.Variables'!$L108,0))))))</f>
        <v>324.60000000000008</v>
      </c>
      <c r="L53" s="722">
        <f>IF(L$18='5.Variables'!$B$16,+'5.Variables'!$L28,+IF(L$18='5.Variables'!$B$39,+'5.Variables'!$L52,+IF(L$18='5.Variables'!$B$62,+'5.Variables'!$L66,+IF(L$18='5.Variables'!$B$76,+'5.Variables'!$L80,+IF(L$18='5.Variables'!$B$90,+'5.Variables'!$L94,+IF(L$18='5.Variables'!$B$104,+'5.Variables'!$L108,0))))))</f>
        <v>0</v>
      </c>
      <c r="M53" s="722">
        <f>IF(M$18='5.Variables'!$B$16,+'5.Variables'!$L28,+IF(M$18='5.Variables'!$B$39,+'5.Variables'!$L52,+IF(M$18='5.Variables'!$B$62,+'5.Variables'!$L66,+IF(M$18='5.Variables'!$B$76,+'5.Variables'!$L80,+IF(M$18='5.Variables'!$B$90,+'5.Variables'!$L94,+IF(M$18='5.Variables'!$B$104,+'5.Variables'!$L108,0))))))</f>
        <v>31</v>
      </c>
      <c r="N53" s="722">
        <f>IF(N$18='5.Variables'!$B$16,+'5.Variables'!$L28,+IF(N$18='5.Variables'!$B$39,+'5.Variables'!$L52,+IF(N$18='5.Variables'!$B$62,+'5.Variables'!$L66,+IF(N$18='5.Variables'!$B$76,+'5.Variables'!$L80,+IF(N$18='5.Variables'!$B$90,+'5.Variables'!$L94,+IF(N$18='5.Variables'!$B$104,+'5.Variables'!$L108,0))))))</f>
        <v>361.4</v>
      </c>
      <c r="O53" s="722">
        <f>IF(O$18='5.Variables'!$B$16,+'5.Variables'!$L28,+IF(O$18='5.Variables'!$B$39,+'5.Variables'!$L52,+IF(O$18='5.Variables'!$B$62,+'5.Variables'!$L66,+IF(O$18='5.Variables'!$B$76,+'5.Variables'!$L80,+IF(O$18='5.Variables'!$B$90,+'5.Variables'!$L94,+IF(O$18='5.Variables'!$B$104,+'5.Variables'!$L108,0))))))</f>
        <v>10.51</v>
      </c>
      <c r="P53" s="983">
        <f>IF(P$18='5.Variables'!$B$16,+'5.Variables'!$L28,+IF(P$18='5.Variables'!$B$39,+'5.Variables'!$L52,+IF(P$18='5.Variables'!$B$62,+'5.Variables'!$L66,+IF(P$18='5.Variables'!$B$76,+'5.Variables'!$L80,+IF(P$18='5.Variables'!$B$90,+'5.Variables'!$L94,+IF(P$18='5.Variables'!$B$104,+'5.Variables'!$L108,0))))))</f>
        <v>0</v>
      </c>
      <c r="Q53" s="245"/>
      <c r="R53" s="556">
        <f t="shared" si="1"/>
        <v>7450160.9697360685</v>
      </c>
      <c r="S53" s="265"/>
      <c r="T53" s="245"/>
      <c r="U53" s="250">
        <f>'4. Customer Growth'!B24</f>
        <v>2013</v>
      </c>
      <c r="V53" s="267">
        <f>SUM(J104:J115)</f>
        <v>90972832</v>
      </c>
      <c r="W53" s="268">
        <f t="shared" si="4"/>
        <v>2.1996449085748888E-2</v>
      </c>
      <c r="X53" s="267">
        <f>S115</f>
        <v>90628305.25001581</v>
      </c>
      <c r="Y53" s="268">
        <f t="shared" si="4"/>
        <v>-1.2010831942354437E-2</v>
      </c>
      <c r="Z53" s="268">
        <f t="shared" si="3"/>
        <v>-3.7871388898192142E-3</v>
      </c>
      <c r="AA53" s="245"/>
      <c r="AB53" s="245"/>
      <c r="AC53" s="245"/>
      <c r="AD53" s="245"/>
      <c r="AE53" s="245"/>
      <c r="AF53" s="245"/>
      <c r="AG53" s="245"/>
      <c r="AH53" s="245"/>
      <c r="AI53" s="245"/>
      <c r="AJ53" s="245"/>
      <c r="AK53" s="245"/>
      <c r="AL53" s="245"/>
      <c r="AM53" s="245"/>
    </row>
    <row r="54" spans="1:39" x14ac:dyDescent="0.2">
      <c r="A54" s="501">
        <f t="shared" si="2"/>
        <v>35</v>
      </c>
      <c r="B54" s="262" t="str">
        <f>CONCATENATE('3. Consumption by Rate Class'!B59,"-",'3. Consumption by Rate Class'!C59)</f>
        <v>2008-November</v>
      </c>
      <c r="C54" s="694">
        <v>8805132</v>
      </c>
      <c r="D54" s="700">
        <v>-592137</v>
      </c>
      <c r="E54" s="700">
        <v>-329608</v>
      </c>
      <c r="F54" s="700"/>
      <c r="G54" s="700"/>
      <c r="H54" s="701"/>
      <c r="I54" s="701"/>
      <c r="J54" s="263">
        <f t="shared" si="0"/>
        <v>7883387</v>
      </c>
      <c r="K54" s="722">
        <f>IF(K$18='5.Variables'!$B$16,+'5.Variables'!$M29,+IF(K$18='5.Variables'!$B$39,+'5.Variables'!$M52,+IF(K$18='5.Variables'!$B$62,+'5.Variables'!$M66,+IF(K$18='5.Variables'!$B$76,+'5.Variables'!$M80,+IF(K$18='5.Variables'!$B$90,+'5.Variables'!$M94,+IF(K$18='5.Variables'!$B$104,+'5.Variables'!$M108,0))))))</f>
        <v>498.79999999999995</v>
      </c>
      <c r="L54" s="722">
        <f>IF(L$18='5.Variables'!$B$16,+'5.Variables'!$M28,+IF(L$18='5.Variables'!$B$39,+'5.Variables'!$M52,+IF(L$18='5.Variables'!$B$62,+'5.Variables'!$M66,+IF(L$18='5.Variables'!$B$76,+'5.Variables'!$M80,+IF(L$18='5.Variables'!$B$90,+'5.Variables'!$M94,+IF(L$18='5.Variables'!$B$104,+'5.Variables'!$M108,0))))))</f>
        <v>0</v>
      </c>
      <c r="M54" s="722">
        <f>IF(M$18='5.Variables'!$B$16,+'5.Variables'!$M28,+IF(M$18='5.Variables'!$B$39,+'5.Variables'!$M52,+IF(M$18='5.Variables'!$B$62,+'5.Variables'!$M66,+IF(M$18='5.Variables'!$B$76,+'5.Variables'!$M80,+IF(M$18='5.Variables'!$B$90,+'5.Variables'!$M94,+IF(M$18='5.Variables'!$B$104,+'5.Variables'!$M108,0))))))</f>
        <v>30</v>
      </c>
      <c r="N54" s="722">
        <f>IF(N$18='5.Variables'!$B$16,+'5.Variables'!$M28,+IF(N$18='5.Variables'!$B$39,+'5.Variables'!$M52,+IF(N$18='5.Variables'!$B$62,+'5.Variables'!$M66,+IF(N$18='5.Variables'!$B$76,+'5.Variables'!$M80,+IF(N$18='5.Variables'!$B$90,+'5.Variables'!$M94,+IF(N$18='5.Variables'!$B$104,+'5.Variables'!$M108,0))))))</f>
        <v>361.4</v>
      </c>
      <c r="O54" s="722">
        <f>IF(O$18='5.Variables'!$B$16,+'5.Variables'!$M28,+IF(O$18='5.Variables'!$B$39,+'5.Variables'!$M52,+IF(O$18='5.Variables'!$B$62,+'5.Variables'!$M66,+IF(O$18='5.Variables'!$B$76,+'5.Variables'!$M80,+IF(O$18='5.Variables'!$B$90,+'5.Variables'!$M94,+IF(O$18='5.Variables'!$B$104,+'5.Variables'!$M108,0))))))</f>
        <v>9.2799999999999994</v>
      </c>
      <c r="P54" s="983">
        <f>IF(P$18='5.Variables'!$B$16,+'5.Variables'!$M28,+IF(P$18='5.Variables'!$B$39,+'5.Variables'!$M52,+IF(P$18='5.Variables'!$B$62,+'5.Variables'!$M66,+IF(P$18='5.Variables'!$B$76,+'5.Variables'!$M80,+IF(P$18='5.Variables'!$B$90,+'5.Variables'!$M94,+IF(P$18='5.Variables'!$B$104,+'5.Variables'!$M108,0))))))</f>
        <v>0</v>
      </c>
      <c r="Q54" s="245"/>
      <c r="R54" s="556">
        <f t="shared" si="1"/>
        <v>7852877.9034857936</v>
      </c>
      <c r="S54" s="265"/>
      <c r="T54" s="245"/>
      <c r="U54" s="250">
        <f>'4. Customer Growth'!B25</f>
        <v>2014</v>
      </c>
      <c r="V54" s="267">
        <f>SUM(J116:J127)</f>
        <v>89574310</v>
      </c>
      <c r="W54" s="268">
        <f t="shared" si="4"/>
        <v>-1.5372963216095109E-2</v>
      </c>
      <c r="X54" s="267">
        <f>S127</f>
        <v>88892412.867180794</v>
      </c>
      <c r="Y54" s="268">
        <f t="shared" si="4"/>
        <v>-1.9153975990682148E-2</v>
      </c>
      <c r="Z54" s="268">
        <f t="shared" si="3"/>
        <v>-7.6126417587721916E-3</v>
      </c>
      <c r="AA54" s="245"/>
      <c r="AB54" s="245"/>
      <c r="AC54" s="245"/>
      <c r="AD54" s="245"/>
      <c r="AE54" s="245"/>
      <c r="AF54" s="245"/>
      <c r="AG54" s="245"/>
      <c r="AH54" s="245"/>
      <c r="AI54" s="245"/>
      <c r="AJ54" s="245"/>
      <c r="AK54" s="245"/>
      <c r="AL54" s="245"/>
      <c r="AM54" s="245"/>
    </row>
    <row r="55" spans="1:39" x14ac:dyDescent="0.2">
      <c r="A55" s="501">
        <f t="shared" si="2"/>
        <v>36</v>
      </c>
      <c r="B55" s="520" t="str">
        <f>CONCATENATE('3. Consumption by Rate Class'!B60,"-",'3. Consumption by Rate Class'!C60)</f>
        <v>2008-December</v>
      </c>
      <c r="C55" s="695">
        <v>10193166</v>
      </c>
      <c r="D55" s="702">
        <v>-574159</v>
      </c>
      <c r="E55" s="702">
        <v>-302741</v>
      </c>
      <c r="F55" s="702"/>
      <c r="G55" s="702"/>
      <c r="H55" s="703"/>
      <c r="I55" s="703"/>
      <c r="J55" s="263">
        <f t="shared" si="0"/>
        <v>9316266</v>
      </c>
      <c r="K55" s="722">
        <f>IF(K$18='5.Variables'!$B$16,+'5.Variables'!$N29,+IF(K$18='5.Variables'!$B$39,+'5.Variables'!$N52,+IF(K$18='5.Variables'!$B$62,+'5.Variables'!$N66,+IF(K$18='5.Variables'!$B$76,+'5.Variables'!$N80,+IF(K$18='5.Variables'!$B$90,+'5.Variables'!$N94,+IF(K$18='5.Variables'!$B$104,+'5.Variables'!$N108,0))))))</f>
        <v>803.9</v>
      </c>
      <c r="L55" s="722">
        <f>IF(L$18='5.Variables'!$B$16,+'5.Variables'!$N28,+IF(L$18='5.Variables'!$B$39,+'5.Variables'!$N52,+IF(L$18='5.Variables'!$B$62,+'5.Variables'!$N66,+IF(L$18='5.Variables'!$B$76,+'5.Variables'!$N80,+IF(L$18='5.Variables'!$B$90,+'5.Variables'!$N94,+IF(L$18='5.Variables'!$B$104,+'5.Variables'!$N108,0))))))</f>
        <v>0</v>
      </c>
      <c r="M55" s="722">
        <f>IF(M$18='5.Variables'!$B$16,+'5.Variables'!$N28,+IF(M$18='5.Variables'!$B$39,+'5.Variables'!$N52,+IF(M$18='5.Variables'!$B$62,+'5.Variables'!$N66,+IF(M$18='5.Variables'!$B$76,+'5.Variables'!$N80,+IF(M$18='5.Variables'!$B$90,+'5.Variables'!$N94,+IF(M$18='5.Variables'!$B$104,+'5.Variables'!$N108,0))))))</f>
        <v>31</v>
      </c>
      <c r="N55" s="722">
        <f>IF(N$18='5.Variables'!$B$16,+'5.Variables'!$N28,+IF(N$18='5.Variables'!$B$39,+'5.Variables'!$N52,+IF(N$18='5.Variables'!$B$62,+'5.Variables'!$N66,+IF(N$18='5.Variables'!$B$76,+'5.Variables'!$N80,+IF(N$18='5.Variables'!$B$90,+'5.Variables'!$N94,+IF(N$18='5.Variables'!$B$104,+'5.Variables'!$N108,0))))))</f>
        <v>361.6</v>
      </c>
      <c r="O55" s="722">
        <f>IF(O$18='5.Variables'!$B$16,+'5.Variables'!$N28,+IF(O$18='5.Variables'!$B$39,+'5.Variables'!$N52,+IF(O$18='5.Variables'!$B$62,+'5.Variables'!$N66,+IF(O$18='5.Variables'!$B$76,+'5.Variables'!$N80,+IF(O$18='5.Variables'!$B$90,+'5.Variables'!$N94,+IF(O$18='5.Variables'!$B$104,+'5.Variables'!$N108,0))))))</f>
        <v>8.4700000000000006</v>
      </c>
      <c r="P55" s="983">
        <f>IF(P$18='5.Variables'!$B$16,+'5.Variables'!$N28,+IF(P$18='5.Variables'!$B$39,+'5.Variables'!$N52,+IF(P$18='5.Variables'!$B$62,+'5.Variables'!$N66,+IF(P$18='5.Variables'!$B$76,+'5.Variables'!$N80,+IF(P$18='5.Variables'!$B$90,+'5.Variables'!$N94,+IF(P$18='5.Variables'!$B$104,+'5.Variables'!$N108,0))))))</f>
        <v>1</v>
      </c>
      <c r="Q55" s="245"/>
      <c r="R55" s="556">
        <f t="shared" si="1"/>
        <v>9053270.54723805</v>
      </c>
      <c r="S55" s="265">
        <f>SUM(R44:R55)</f>
        <v>92931642.3760335</v>
      </c>
      <c r="T55" s="245"/>
      <c r="U55" s="250">
        <f>'4. Customer Growth'!B26</f>
        <v>2015</v>
      </c>
      <c r="V55" s="267">
        <f>SUM(J128:J139)</f>
        <v>90503010</v>
      </c>
      <c r="W55" s="268">
        <f t="shared" si="4"/>
        <v>1.0367928036509575E-2</v>
      </c>
      <c r="X55" s="267">
        <f>S139</f>
        <v>90106871.447792977</v>
      </c>
      <c r="Y55" s="268">
        <f t="shared" si="4"/>
        <v>1.3662117400579217E-2</v>
      </c>
      <c r="Z55" s="268">
        <f t="shared" si="3"/>
        <v>-4.3770759912518144E-3</v>
      </c>
      <c r="AA55" s="245"/>
      <c r="AB55" s="245"/>
      <c r="AC55" s="245"/>
      <c r="AD55" s="245"/>
      <c r="AE55" s="245"/>
      <c r="AF55" s="245"/>
      <c r="AG55" s="245"/>
      <c r="AH55" s="245"/>
      <c r="AI55" s="245"/>
      <c r="AJ55" s="245"/>
      <c r="AK55" s="245"/>
      <c r="AL55" s="245"/>
      <c r="AM55" s="245"/>
    </row>
    <row r="56" spans="1:39" x14ac:dyDescent="0.2">
      <c r="A56" s="501">
        <f t="shared" si="2"/>
        <v>37</v>
      </c>
      <c r="B56" s="262" t="str">
        <f>CONCATENATE('3. Consumption by Rate Class'!B61,"-",'3. Consumption by Rate Class'!C61)</f>
        <v>2009-January</v>
      </c>
      <c r="C56" s="694">
        <v>10784568</v>
      </c>
      <c r="D56" s="700">
        <v>-529883</v>
      </c>
      <c r="E56" s="700">
        <v>-236213</v>
      </c>
      <c r="F56" s="700"/>
      <c r="G56" s="700"/>
      <c r="H56" s="701"/>
      <c r="I56" s="701"/>
      <c r="J56" s="263">
        <f t="shared" si="0"/>
        <v>10018472</v>
      </c>
      <c r="K56" s="722">
        <f>IF(K$18='5.Variables'!$B$16,+'5.Variables'!$C30,+IF(K$18='5.Variables'!$B$39,+'5.Variables'!$C53,+IF(K$18='5.Variables'!$B$62,+'5.Variables'!$C67,+IF(K$18='5.Variables'!$B$76,+'5.Variables'!$C81,+IF(K$18='5.Variables'!$B$90,+'5.Variables'!$C95,+IF(K$18='5.Variables'!$B$104,+'5.Variables'!$C109,0))))))</f>
        <v>983.90000000000032</v>
      </c>
      <c r="L56" s="722">
        <f>IF(L$18='5.Variables'!$B$16,+'5.Variables'!$C29,+IF(L$18='5.Variables'!$B$39,+'5.Variables'!$C53,+IF(L$18='5.Variables'!$B$62,+'5.Variables'!$C67,+IF(L$18='5.Variables'!$B$76,+'5.Variables'!$C81,+IF(L$18='5.Variables'!$B$90,+'5.Variables'!$C95,+IF(L$18='5.Variables'!$B$104,+'5.Variables'!$C109,0))))))</f>
        <v>0</v>
      </c>
      <c r="M56" s="722">
        <f>IF(M$18='5.Variables'!$B$16,+'5.Variables'!$C29,+IF(M$18='5.Variables'!$B$39,+'5.Variables'!$C53,+IF(M$18='5.Variables'!$B$62,+'5.Variables'!$C67,+IF(M$18='5.Variables'!$B$76,+'5.Variables'!$C81,+IF(M$18='5.Variables'!$B$90,+'5.Variables'!$C95,+IF(M$18='5.Variables'!$B$104,+'5.Variables'!$C109,0))))))</f>
        <v>31</v>
      </c>
      <c r="N56" s="722">
        <f>IF(N$18='5.Variables'!$B$16,+'5.Variables'!$C29,+IF(N$18='5.Variables'!$B$39,+'5.Variables'!$C53,+IF(N$18='5.Variables'!$B$62,+'5.Variables'!$C67,+IF(N$18='5.Variables'!$B$76,+'5.Variables'!$C81,+IF(N$18='5.Variables'!$B$90,+'5.Variables'!$C95,+IF(N$18='5.Variables'!$B$104,+'5.Variables'!$C109,0))))))</f>
        <v>361.7</v>
      </c>
      <c r="O56" s="722">
        <f>IF(O$18='5.Variables'!$B$16,+'5.Variables'!$C29,+IF(O$18='5.Variables'!$B$39,+'5.Variables'!$C53,+IF(O$18='5.Variables'!$B$62,+'5.Variables'!$C67,+IF(O$18='5.Variables'!$B$76,+'5.Variables'!$C81,+IF(O$18='5.Variables'!$B$90,+'5.Variables'!$C95,+IF(O$18='5.Variables'!$B$104,+'5.Variables'!$C109,0))))))</f>
        <v>9.09</v>
      </c>
      <c r="P56" s="983">
        <f>IF(P$18='5.Variables'!$B$16,+'5.Variables'!$C29,+IF(P$18='5.Variables'!$B$39,+'5.Variables'!$C53,+IF(P$18='5.Variables'!$B$62,+'5.Variables'!$C67,+IF(P$18='5.Variables'!$B$76,+'5.Variables'!$C81,+IF(P$18='5.Variables'!$B$90,+'5.Variables'!$C95,+IF(P$18='5.Variables'!$B$104,+'5.Variables'!$C109,0))))))</f>
        <v>1</v>
      </c>
      <c r="Q56" s="245"/>
      <c r="R56" s="556">
        <f t="shared" si="1"/>
        <v>9613073.1203369536</v>
      </c>
      <c r="S56" s="265"/>
      <c r="T56" s="245"/>
      <c r="U56" s="728"/>
      <c r="V56" s="729"/>
      <c r="W56" s="730"/>
      <c r="X56" s="729"/>
      <c r="Y56" s="730"/>
      <c r="Z56" s="730"/>
      <c r="AA56" s="245"/>
      <c r="AB56" s="245"/>
      <c r="AC56" s="245"/>
      <c r="AD56" s="245"/>
      <c r="AE56" s="245"/>
      <c r="AF56" s="245"/>
      <c r="AG56" s="245"/>
      <c r="AH56" s="245"/>
      <c r="AI56" s="245"/>
      <c r="AJ56" s="245"/>
      <c r="AK56" s="245"/>
      <c r="AL56" s="245"/>
      <c r="AM56" s="245"/>
    </row>
    <row r="57" spans="1:39" ht="13.5" customHeight="1" x14ac:dyDescent="0.2">
      <c r="A57" s="501">
        <f t="shared" si="2"/>
        <v>38</v>
      </c>
      <c r="B57" s="262" t="str">
        <f>CONCATENATE('3. Consumption by Rate Class'!B62,"-",'3. Consumption by Rate Class'!C62)</f>
        <v>2009-February</v>
      </c>
      <c r="C57" s="694">
        <v>9025772</v>
      </c>
      <c r="D57" s="700">
        <v>-591179</v>
      </c>
      <c r="E57" s="700">
        <v>-255063</v>
      </c>
      <c r="F57" s="700"/>
      <c r="G57" s="700"/>
      <c r="H57" s="701"/>
      <c r="I57" s="701"/>
      <c r="J57" s="263">
        <f t="shared" si="0"/>
        <v>8179530</v>
      </c>
      <c r="K57" s="722">
        <f>IF(K$18='5.Variables'!$B$16,+'5.Variables'!$D30,+IF(K$18='5.Variables'!$B$39,+'5.Variables'!$D53,+IF(K$18='5.Variables'!$B$62,+'5.Variables'!$D67,+IF(K$18='5.Variables'!$B$76,+'5.Variables'!$D81,+IF(K$18='5.Variables'!$B$90,+'5.Variables'!$D95,+IF(K$18='5.Variables'!$B$104,+'5.Variables'!$D109,0))))))</f>
        <v>711.7</v>
      </c>
      <c r="L57" s="722">
        <f>IF(L$18='5.Variables'!$B$16,+'5.Variables'!$D29,+IF(L$18='5.Variables'!$B$39,+'5.Variables'!$D53,+IF(L$18='5.Variables'!$B$62,+'5.Variables'!$D67,+IF(L$18='5.Variables'!$B$76,+'5.Variables'!$D81,+IF(L$18='5.Variables'!$B$90,+'5.Variables'!$D95,+IF(L$18='5.Variables'!$B$104,+'5.Variables'!$D109,0))))))</f>
        <v>0</v>
      </c>
      <c r="M57" s="722">
        <f>IF(M$18='5.Variables'!$B$16,+'5.Variables'!$D29,+IF(M$18='5.Variables'!$B$39,+'5.Variables'!$D53,+IF(M$18='5.Variables'!$B$62,+'5.Variables'!$D67,+IF(M$18='5.Variables'!$B$76,+'5.Variables'!$D81,+IF(M$18='5.Variables'!$B$90,+'5.Variables'!$D95,+IF(M$18='5.Variables'!$B$104,+'5.Variables'!$D109,0))))))</f>
        <v>29</v>
      </c>
      <c r="N57" s="722">
        <f>IF(N$18='5.Variables'!$B$16,+'5.Variables'!$D29,+IF(N$18='5.Variables'!$B$39,+'5.Variables'!$D53,+IF(N$18='5.Variables'!$B$62,+'5.Variables'!$D67,+IF(N$18='5.Variables'!$B$76,+'5.Variables'!$D81,+IF(N$18='5.Variables'!$B$90,+'5.Variables'!$D95,+IF(N$18='5.Variables'!$B$104,+'5.Variables'!$D109,0))))))</f>
        <v>361.8</v>
      </c>
      <c r="O57" s="722">
        <f>IF(O$18='5.Variables'!$B$16,+'5.Variables'!$D29,+IF(O$18='5.Variables'!$B$39,+'5.Variables'!$D53,+IF(O$18='5.Variables'!$B$62,+'5.Variables'!$D67,+IF(O$18='5.Variables'!$B$76,+'5.Variables'!$D81,+IF(O$18='5.Variables'!$B$90,+'5.Variables'!$D95,+IF(O$18='5.Variables'!$B$104,+'5.Variables'!$D109,0))))))</f>
        <v>10.19</v>
      </c>
      <c r="P57" s="983">
        <f>IF(P$18='5.Variables'!$B$16,+'5.Variables'!$D29,+IF(P$18='5.Variables'!$B$39,+'5.Variables'!$D53,+IF(P$18='5.Variables'!$B$62,+'5.Variables'!$D67,+IF(P$18='5.Variables'!$B$76,+'5.Variables'!$D81,+IF(P$18='5.Variables'!$B$90,+'5.Variables'!$D95,+IF(P$18='5.Variables'!$B$104,+'5.Variables'!$D109,0))))))</f>
        <v>0</v>
      </c>
      <c r="Q57" s="245"/>
      <c r="R57" s="556">
        <f t="shared" si="1"/>
        <v>8306736.101570867</v>
      </c>
      <c r="S57" s="265"/>
      <c r="T57" s="245"/>
      <c r="U57" s="245"/>
      <c r="V57" s="269"/>
      <c r="W57" s="269"/>
      <c r="X57" s="270"/>
      <c r="Y57" s="245"/>
      <c r="AA57" s="979"/>
      <c r="AB57" s="245"/>
      <c r="AC57" s="245"/>
      <c r="AD57" s="245"/>
      <c r="AE57" s="245"/>
      <c r="AF57" s="245"/>
      <c r="AG57" s="245"/>
      <c r="AH57" s="245"/>
      <c r="AI57" s="245"/>
      <c r="AJ57" s="245"/>
      <c r="AK57" s="245"/>
      <c r="AL57" s="245"/>
      <c r="AM57" s="245"/>
    </row>
    <row r="58" spans="1:39" x14ac:dyDescent="0.2">
      <c r="A58" s="501">
        <f t="shared" si="2"/>
        <v>39</v>
      </c>
      <c r="B58" s="262" t="str">
        <f>CONCATENATE('3. Consumption by Rate Class'!B63,"-",'3. Consumption by Rate Class'!C63)</f>
        <v>2009-March</v>
      </c>
      <c r="C58" s="694">
        <v>9048263</v>
      </c>
      <c r="D58" s="700">
        <v>-554428</v>
      </c>
      <c r="E58" s="700">
        <v>-252359</v>
      </c>
      <c r="F58" s="700"/>
      <c r="G58" s="700"/>
      <c r="H58" s="701"/>
      <c r="I58" s="701"/>
      <c r="J58" s="263">
        <f t="shared" si="0"/>
        <v>8241476</v>
      </c>
      <c r="K58" s="722">
        <f>IF(K$18='5.Variables'!$B$16,+'5.Variables'!$E30,+IF(K$18='5.Variables'!$B$39,+'5.Variables'!$E53,+IF(K$18='5.Variables'!$B$62,+'5.Variables'!$E67,+IF(K$18='5.Variables'!$B$76,+'5.Variables'!$E81,+IF(K$18='5.Variables'!$B$90,+'5.Variables'!$E95,+IF(K$18='5.Variables'!$B$104,+'5.Variables'!$E109,0))))))</f>
        <v>596.29999999999995</v>
      </c>
      <c r="L58" s="722">
        <f>IF(L$18='5.Variables'!$B$16,+'5.Variables'!$E29,+IF(L$18='5.Variables'!$B$39,+'5.Variables'!$E53,+IF(L$18='5.Variables'!$B$62,+'5.Variables'!$E67,+IF(L$18='5.Variables'!$B$76,+'5.Variables'!$E81,+IF(L$18='5.Variables'!$B$90,+'5.Variables'!$E95,+IF(L$18='5.Variables'!$B$104,+'5.Variables'!$E109,0))))))</f>
        <v>0</v>
      </c>
      <c r="M58" s="722">
        <f>IF(M$18='5.Variables'!$B$16,+'5.Variables'!$E29,+IF(M$18='5.Variables'!$B$39,+'5.Variables'!$E53,+IF(M$18='5.Variables'!$B$62,+'5.Variables'!$E67,+IF(M$18='5.Variables'!$B$76,+'5.Variables'!$E81,+IF(M$18='5.Variables'!$B$90,+'5.Variables'!$E95,+IF(M$18='5.Variables'!$B$104,+'5.Variables'!$E109,0))))))</f>
        <v>31</v>
      </c>
      <c r="N58" s="722">
        <f>IF(N$18='5.Variables'!$B$16,+'5.Variables'!$E29,+IF(N$18='5.Variables'!$B$39,+'5.Variables'!$E53,+IF(N$18='5.Variables'!$B$62,+'5.Variables'!$E67,+IF(N$18='5.Variables'!$B$76,+'5.Variables'!$E81,+IF(N$18='5.Variables'!$B$90,+'5.Variables'!$E95,+IF(N$18='5.Variables'!$B$104,+'5.Variables'!$E109,0))))))</f>
        <v>361.9</v>
      </c>
      <c r="O58" s="722">
        <f>IF(O$18='5.Variables'!$B$16,+'5.Variables'!$E29,+IF(O$18='5.Variables'!$B$39,+'5.Variables'!$E53,+IF(O$18='5.Variables'!$B$62,+'5.Variables'!$E67,+IF(O$18='5.Variables'!$B$76,+'5.Variables'!$E81,+IF(O$18='5.Variables'!$B$90,+'5.Variables'!$E95,+IF(O$18='5.Variables'!$B$104,+'5.Variables'!$E109,0))))))</f>
        <v>11.51</v>
      </c>
      <c r="P58" s="983">
        <f>IF(P$18='5.Variables'!$B$16,+'5.Variables'!$E29,+IF(P$18='5.Variables'!$B$39,+'5.Variables'!$E53,+IF(P$18='5.Variables'!$B$62,+'5.Variables'!$E67,+IF(P$18='5.Variables'!$B$76,+'5.Variables'!$E81,+IF(P$18='5.Variables'!$B$90,+'5.Variables'!$E95,+IF(P$18='5.Variables'!$B$104,+'5.Variables'!$E109,0))))))</f>
        <v>1</v>
      </c>
      <c r="Q58" s="245"/>
      <c r="R58" s="556">
        <f t="shared" si="1"/>
        <v>8285006.3244393719</v>
      </c>
      <c r="S58" s="265"/>
      <c r="T58" s="245"/>
      <c r="U58" s="249" t="s">
        <v>33</v>
      </c>
      <c r="V58" s="249" t="s">
        <v>43</v>
      </c>
      <c r="W58" s="249" t="s">
        <v>31</v>
      </c>
      <c r="X58" s="249" t="s">
        <v>30</v>
      </c>
      <c r="Y58" s="245"/>
      <c r="Z58" s="245"/>
      <c r="AA58" s="245"/>
      <c r="AB58" s="245"/>
      <c r="AC58" s="245"/>
      <c r="AD58" s="245"/>
      <c r="AE58" s="245"/>
      <c r="AF58" s="245"/>
      <c r="AG58" s="245"/>
      <c r="AH58" s="245"/>
      <c r="AI58" s="245"/>
      <c r="AJ58" s="245"/>
      <c r="AK58" s="245"/>
      <c r="AL58" s="245"/>
      <c r="AM58" s="245"/>
    </row>
    <row r="59" spans="1:39" x14ac:dyDescent="0.2">
      <c r="A59" s="501">
        <f t="shared" si="2"/>
        <v>40</v>
      </c>
      <c r="B59" s="262" t="str">
        <f>CONCATENATE('3. Consumption by Rate Class'!B64,"-",'3. Consumption by Rate Class'!C64)</f>
        <v>2009-April</v>
      </c>
      <c r="C59" s="694">
        <v>7719803</v>
      </c>
      <c r="D59" s="700">
        <v>-612308</v>
      </c>
      <c r="E59" s="700">
        <v>-267852</v>
      </c>
      <c r="F59" s="700"/>
      <c r="G59" s="700"/>
      <c r="H59" s="701"/>
      <c r="I59" s="701"/>
      <c r="J59" s="263">
        <f t="shared" si="0"/>
        <v>6839643</v>
      </c>
      <c r="K59" s="722">
        <f>IF(K$18='5.Variables'!$B$16,+'5.Variables'!$F30,+IF(K$18='5.Variables'!$B$39,+'5.Variables'!$F53,+IF(K$18='5.Variables'!$B$62,+'5.Variables'!$F67,+IF(K$18='5.Variables'!$B$76,+'5.Variables'!$F81,+IF(K$18='5.Variables'!$B$90,+'5.Variables'!$F95,+IF(K$18='5.Variables'!$B$104,+'5.Variables'!$F109,0))))))</f>
        <v>327.5</v>
      </c>
      <c r="L59" s="722">
        <f>IF(L$18='5.Variables'!$B$16,+'5.Variables'!$F29,+IF(L$18='5.Variables'!$B$39,+'5.Variables'!$F53,+IF(L$18='5.Variables'!$B$62,+'5.Variables'!$F67,+IF(L$18='5.Variables'!$B$76,+'5.Variables'!$F81,+IF(L$18='5.Variables'!$B$90,+'5.Variables'!$F95,+IF(L$18='5.Variables'!$B$104,+'5.Variables'!$F109,0))))))</f>
        <v>2.5</v>
      </c>
      <c r="M59" s="722">
        <f>IF(M$18='5.Variables'!$B$16,+'5.Variables'!$F29,+IF(M$18='5.Variables'!$B$39,+'5.Variables'!$F53,+IF(M$18='5.Variables'!$B$62,+'5.Variables'!$F67,+IF(M$18='5.Variables'!$B$76,+'5.Variables'!$F81,+IF(M$18='5.Variables'!$B$90,+'5.Variables'!$F95,+IF(M$18='5.Variables'!$B$104,+'5.Variables'!$F109,0))))))</f>
        <v>30</v>
      </c>
      <c r="N59" s="722">
        <f>IF(N$18='5.Variables'!$B$16,+'5.Variables'!$F29,+IF(N$18='5.Variables'!$B$39,+'5.Variables'!$F53,+IF(N$18='5.Variables'!$B$62,+'5.Variables'!$F67,+IF(N$18='5.Variables'!$B$76,+'5.Variables'!$F81,+IF(N$18='5.Variables'!$B$90,+'5.Variables'!$F95,+IF(N$18='5.Variables'!$B$104,+'5.Variables'!$F109,0))))))</f>
        <v>362</v>
      </c>
      <c r="O59" s="722">
        <f>IF(O$18='5.Variables'!$B$16,+'5.Variables'!$F29,+IF(O$18='5.Variables'!$B$39,+'5.Variables'!$F53,+IF(O$18='5.Variables'!$B$62,+'5.Variables'!$F67,+IF(O$18='5.Variables'!$B$76,+'5.Variables'!$F81,+IF(O$18='5.Variables'!$B$90,+'5.Variables'!$F95,+IF(O$18='5.Variables'!$B$104,+'5.Variables'!$F109,0))))))</f>
        <v>13.28</v>
      </c>
      <c r="P59" s="983">
        <f>IF(P$18='5.Variables'!$B$16,+'5.Variables'!$F29,+IF(P$18='5.Variables'!$B$39,+'5.Variables'!$F53,+IF(P$18='5.Variables'!$B$62,+'5.Variables'!$F67,+IF(P$18='5.Variables'!$B$76,+'5.Variables'!$F81,+IF(P$18='5.Variables'!$B$90,+'5.Variables'!$F95,+IF(P$18='5.Variables'!$B$104,+'5.Variables'!$F109,0))))))</f>
        <v>0</v>
      </c>
      <c r="Q59" s="245"/>
      <c r="R59" s="556">
        <f t="shared" si="1"/>
        <v>7206911.6683774581</v>
      </c>
      <c r="S59" s="265"/>
      <c r="T59" s="245"/>
      <c r="U59" s="250">
        <f>'4. Customer Growth'!B17</f>
        <v>2006</v>
      </c>
      <c r="V59" s="267">
        <f t="shared" ref="V59:V68" si="5">V46</f>
        <v>91018552.480000004</v>
      </c>
      <c r="W59" s="267">
        <f t="shared" ref="W59:W68" si="6">X46</f>
        <v>93834660.825160488</v>
      </c>
      <c r="X59" s="268">
        <f>IF(ABS(V59-W59)=0,0,ABS(V59-W59)/V59)</f>
        <v>3.0939937720711203E-2</v>
      </c>
      <c r="Y59" s="245"/>
      <c r="Z59" s="245"/>
      <c r="AA59" s="245"/>
      <c r="AB59" s="245"/>
      <c r="AC59" s="245"/>
      <c r="AD59" s="245"/>
      <c r="AE59" s="245"/>
      <c r="AF59" s="245"/>
      <c r="AG59" s="245"/>
      <c r="AH59" s="245"/>
      <c r="AI59" s="245"/>
      <c r="AJ59" s="245"/>
      <c r="AK59" s="245"/>
      <c r="AL59" s="245"/>
      <c r="AM59" s="245"/>
    </row>
    <row r="60" spans="1:39" x14ac:dyDescent="0.2">
      <c r="A60" s="501">
        <f t="shared" si="2"/>
        <v>41</v>
      </c>
      <c r="B60" s="262" t="str">
        <f>CONCATENATE('3. Consumption by Rate Class'!B65,"-",'3. Consumption by Rate Class'!C65)</f>
        <v>2009-May</v>
      </c>
      <c r="C60" s="694">
        <v>7320792</v>
      </c>
      <c r="D60" s="700">
        <v>-541294</v>
      </c>
      <c r="E60" s="700">
        <v>-214035</v>
      </c>
      <c r="F60" s="700"/>
      <c r="G60" s="700"/>
      <c r="H60" s="701"/>
      <c r="I60" s="701"/>
      <c r="J60" s="263">
        <f t="shared" si="0"/>
        <v>6565463</v>
      </c>
      <c r="K60" s="722">
        <f>IF(K$18='5.Variables'!$B$16,+'5.Variables'!$G30,+IF(K$18='5.Variables'!$B$39,+'5.Variables'!$G53,+IF(K$18='5.Variables'!$B$62,+'5.Variables'!$G67,+IF(K$18='5.Variables'!$B$76,+'5.Variables'!$G81,+IF(K$18='5.Variables'!$B$90,+'5.Variables'!$G95,+IF(K$18='5.Variables'!$B$104,+'5.Variables'!$G109,0))))))</f>
        <v>149.00000000000003</v>
      </c>
      <c r="L60" s="722">
        <f>IF(L$18='5.Variables'!$B$16,+'5.Variables'!$G29,+IF(L$18='5.Variables'!$B$39,+'5.Variables'!$G53,+IF(L$18='5.Variables'!$B$62,+'5.Variables'!$G67,+IF(L$18='5.Variables'!$B$76,+'5.Variables'!$G81,+IF(L$18='5.Variables'!$B$90,+'5.Variables'!$G95,+IF(L$18='5.Variables'!$B$104,+'5.Variables'!$G109,0))))))</f>
        <v>0</v>
      </c>
      <c r="M60" s="722">
        <f>IF(M$18='5.Variables'!$B$16,+'5.Variables'!$G29,+IF(M$18='5.Variables'!$B$39,+'5.Variables'!$G53,+IF(M$18='5.Variables'!$B$62,+'5.Variables'!$G67,+IF(M$18='5.Variables'!$B$76,+'5.Variables'!$G81,+IF(M$18='5.Variables'!$B$90,+'5.Variables'!$G95,+IF(M$18='5.Variables'!$B$104,+'5.Variables'!$G109,0))))))</f>
        <v>31</v>
      </c>
      <c r="N60" s="722">
        <f>IF(N$18='5.Variables'!$B$16,+'5.Variables'!$G29,+IF(N$18='5.Variables'!$B$39,+'5.Variables'!$G53,+IF(N$18='5.Variables'!$B$62,+'5.Variables'!$G67,+IF(N$18='5.Variables'!$B$76,+'5.Variables'!$G81,+IF(N$18='5.Variables'!$B$90,+'5.Variables'!$G95,+IF(N$18='5.Variables'!$B$104,+'5.Variables'!$G109,0))))))</f>
        <v>362.2</v>
      </c>
      <c r="O60" s="722">
        <f>IF(O$18='5.Variables'!$B$16,+'5.Variables'!$G29,+IF(O$18='5.Variables'!$B$39,+'5.Variables'!$G53,+IF(O$18='5.Variables'!$B$62,+'5.Variables'!$G67,+IF(O$18='5.Variables'!$B$76,+'5.Variables'!$G81,+IF(O$18='5.Variables'!$B$90,+'5.Variables'!$G95,+IF(O$18='5.Variables'!$B$104,+'5.Variables'!$G109,0))))))</f>
        <v>14.52</v>
      </c>
      <c r="P60" s="983">
        <f>IF(P$18='5.Variables'!$B$16,+'5.Variables'!$G29,+IF(P$18='5.Variables'!$B$39,+'5.Variables'!$G53,+IF(P$18='5.Variables'!$B$62,+'5.Variables'!$G67,+IF(P$18='5.Variables'!$B$76,+'5.Variables'!$G81,+IF(P$18='5.Variables'!$B$90,+'5.Variables'!$G95,+IF(P$18='5.Variables'!$B$104,+'5.Variables'!$G109,0))))))</f>
        <v>0</v>
      </c>
      <c r="Q60" s="245"/>
      <c r="R60" s="556">
        <f t="shared" si="1"/>
        <v>6744226.1954898955</v>
      </c>
      <c r="S60" s="265"/>
      <c r="T60" s="245"/>
      <c r="U60" s="250">
        <f>'4. Customer Growth'!B18</f>
        <v>2007</v>
      </c>
      <c r="V60" s="267">
        <f t="shared" si="5"/>
        <v>94614050.200000003</v>
      </c>
      <c r="W60" s="267">
        <f t="shared" si="6"/>
        <v>93363786.459310383</v>
      </c>
      <c r="X60" s="268">
        <f t="shared" ref="X60:X68" si="7">IF(ABS(V60-W60)=0,0,ABS(V60-W60)/V60)</f>
        <v>1.3214355986735048E-2</v>
      </c>
      <c r="Y60" s="271"/>
      <c r="Z60" s="245"/>
      <c r="AA60" s="245"/>
      <c r="AB60" s="245"/>
      <c r="AC60" s="245"/>
      <c r="AD60" s="245"/>
      <c r="AE60" s="245"/>
      <c r="AF60" s="245"/>
      <c r="AG60" s="245"/>
      <c r="AH60" s="245"/>
      <c r="AI60" s="245"/>
      <c r="AJ60" s="245"/>
      <c r="AK60" s="245"/>
      <c r="AL60" s="245"/>
      <c r="AM60" s="245"/>
    </row>
    <row r="61" spans="1:39" x14ac:dyDescent="0.2">
      <c r="A61" s="501">
        <f t="shared" si="2"/>
        <v>42</v>
      </c>
      <c r="B61" s="262" t="str">
        <f>CONCATENATE('3. Consumption by Rate Class'!B66,"-",'3. Consumption by Rate Class'!C66)</f>
        <v>2009-June</v>
      </c>
      <c r="C61" s="694">
        <v>7700735</v>
      </c>
      <c r="D61" s="700">
        <v>-528078</v>
      </c>
      <c r="E61" s="700">
        <v>-213434</v>
      </c>
      <c r="F61" s="700"/>
      <c r="G61" s="700"/>
      <c r="H61" s="701"/>
      <c r="I61" s="701"/>
      <c r="J61" s="263">
        <f t="shared" si="0"/>
        <v>6959223</v>
      </c>
      <c r="K61" s="722">
        <f>IF(K$18='5.Variables'!$B$16,+'5.Variables'!$H30,+IF(K$18='5.Variables'!$B$39,+'5.Variables'!$H53,+IF(K$18='5.Variables'!$B$62,+'5.Variables'!$H67,+IF(K$18='5.Variables'!$B$76,+'5.Variables'!$H81,+IF(K$18='5.Variables'!$B$90,+'5.Variables'!$H95,+IF(K$18='5.Variables'!$B$104,+'5.Variables'!$H109,0))))))</f>
        <v>54.20000000000001</v>
      </c>
      <c r="L61" s="722">
        <f>IF(L$18='5.Variables'!$B$16,+'5.Variables'!$H29,+IF(L$18='5.Variables'!$B$39,+'5.Variables'!$H53,+IF(L$18='5.Variables'!$B$62,+'5.Variables'!$H67,+IF(L$18='5.Variables'!$B$76,+'5.Variables'!$H81,+IF(L$18='5.Variables'!$B$90,+'5.Variables'!$H95,+IF(L$18='5.Variables'!$B$104,+'5.Variables'!$H109,0))))))</f>
        <v>42.500000000000007</v>
      </c>
      <c r="M61" s="722">
        <f>IF(M$18='5.Variables'!$B$16,+'5.Variables'!$H29,+IF(M$18='5.Variables'!$B$39,+'5.Variables'!$H53,+IF(M$18='5.Variables'!$B$62,+'5.Variables'!$H67,+IF(M$18='5.Variables'!$B$76,+'5.Variables'!$H81,+IF(M$18='5.Variables'!$B$90,+'5.Variables'!$H95,+IF(M$18='5.Variables'!$B$104,+'5.Variables'!$H109,0))))))</f>
        <v>30</v>
      </c>
      <c r="N61" s="722">
        <f>IF(N$18='5.Variables'!$B$16,+'5.Variables'!$H29,+IF(N$18='5.Variables'!$B$39,+'5.Variables'!$H53,+IF(N$18='5.Variables'!$B$62,+'5.Variables'!$H67,+IF(N$18='5.Variables'!$B$76,+'5.Variables'!$H81,+IF(N$18='5.Variables'!$B$90,+'5.Variables'!$H95,+IF(N$18='5.Variables'!$B$104,+'5.Variables'!$H109,0))))))</f>
        <v>362.4</v>
      </c>
      <c r="O61" s="722">
        <f>IF(O$18='5.Variables'!$B$16,+'5.Variables'!$H29,+IF(O$18='5.Variables'!$B$39,+'5.Variables'!$H53,+IF(O$18='5.Variables'!$B$62,+'5.Variables'!$H67,+IF(O$18='5.Variables'!$B$76,+'5.Variables'!$H81,+IF(O$18='5.Variables'!$B$90,+'5.Variables'!$H95,+IF(O$18='5.Variables'!$B$104,+'5.Variables'!$H109,0))))))</f>
        <v>15.35</v>
      </c>
      <c r="P61" s="983">
        <f>IF(P$18='5.Variables'!$B$16,+'5.Variables'!$H29,+IF(P$18='5.Variables'!$B$39,+'5.Variables'!$H53,+IF(P$18='5.Variables'!$B$62,+'5.Variables'!$H67,+IF(P$18='5.Variables'!$B$76,+'5.Variables'!$H81,+IF(P$18='5.Variables'!$B$90,+'5.Variables'!$H95,+IF(P$18='5.Variables'!$B$104,+'5.Variables'!$H109,0))))))</f>
        <v>0</v>
      </c>
      <c r="Q61" s="245"/>
      <c r="R61" s="556">
        <f t="shared" si="1"/>
        <v>6910815.2535221362</v>
      </c>
      <c r="S61" s="265"/>
      <c r="T61" s="245"/>
      <c r="U61" s="250">
        <f>'4. Customer Growth'!B19</f>
        <v>2008</v>
      </c>
      <c r="V61" s="267">
        <f t="shared" si="5"/>
        <v>96430220.5</v>
      </c>
      <c r="W61" s="267">
        <f t="shared" si="6"/>
        <v>92931642.3760335</v>
      </c>
      <c r="X61" s="268">
        <f t="shared" si="7"/>
        <v>3.6280930457547801E-2</v>
      </c>
      <c r="Y61" s="271"/>
      <c r="Z61" s="245"/>
      <c r="AA61" s="245"/>
      <c r="AB61" s="245"/>
      <c r="AC61" s="245"/>
      <c r="AD61" s="245"/>
      <c r="AE61" s="245"/>
      <c r="AF61" s="245"/>
      <c r="AG61" s="245"/>
      <c r="AH61" s="245"/>
      <c r="AI61" s="245"/>
      <c r="AJ61" s="245"/>
      <c r="AK61" s="245"/>
      <c r="AL61" s="245"/>
      <c r="AM61" s="245"/>
    </row>
    <row r="62" spans="1:39" x14ac:dyDescent="0.2">
      <c r="A62" s="501">
        <f t="shared" si="2"/>
        <v>43</v>
      </c>
      <c r="B62" s="262" t="str">
        <f>CONCATENATE('3. Consumption by Rate Class'!B67,"-",'3. Consumption by Rate Class'!C67)</f>
        <v>2009-July</v>
      </c>
      <c r="C62" s="694">
        <v>8092557</v>
      </c>
      <c r="D62" s="700">
        <v>-545687</v>
      </c>
      <c r="E62" s="700">
        <v>-234610</v>
      </c>
      <c r="F62" s="700"/>
      <c r="G62" s="700"/>
      <c r="H62" s="701"/>
      <c r="I62" s="701"/>
      <c r="J62" s="263">
        <f t="shared" si="0"/>
        <v>7312260</v>
      </c>
      <c r="K62" s="722">
        <f>IF(K$18='5.Variables'!$B$16,+'5.Variables'!$I30,+IF(K$18='5.Variables'!$B$39,+'5.Variables'!$I53,+IF(K$18='5.Variables'!$B$62,+'5.Variables'!$I67,+IF(K$18='5.Variables'!$B$76,+'5.Variables'!$I81,+IF(K$18='5.Variables'!$B$90,+'5.Variables'!$I95,+IF(K$18='5.Variables'!$B$104,+'5.Variables'!$I109,0))))))</f>
        <v>12.6</v>
      </c>
      <c r="L62" s="722">
        <f>IF(L$18='5.Variables'!$B$16,+'5.Variables'!$I29,+IF(L$18='5.Variables'!$B$39,+'5.Variables'!$I53,+IF(L$18='5.Variables'!$B$62,+'5.Variables'!$I67,+IF(L$18='5.Variables'!$B$76,+'5.Variables'!$I81,+IF(L$18='5.Variables'!$B$90,+'5.Variables'!$I95,+IF(L$18='5.Variables'!$B$104,+'5.Variables'!$I109,0))))))</f>
        <v>41.099999999999994</v>
      </c>
      <c r="M62" s="722">
        <f>IF(M$18='5.Variables'!$B$16,+'5.Variables'!$I29,+IF(M$18='5.Variables'!$B$39,+'5.Variables'!$I53,+IF(M$18='5.Variables'!$B$62,+'5.Variables'!$I67,+IF(M$18='5.Variables'!$B$76,+'5.Variables'!$I81,+IF(M$18='5.Variables'!$B$90,+'5.Variables'!$I95,+IF(M$18='5.Variables'!$B$104,+'5.Variables'!$I109,0))))))</f>
        <v>31</v>
      </c>
      <c r="N62" s="722">
        <f>IF(N$18='5.Variables'!$B$16,+'5.Variables'!$I29,+IF(N$18='5.Variables'!$B$39,+'5.Variables'!$I53,+IF(N$18='5.Variables'!$B$62,+'5.Variables'!$I67,+IF(N$18='5.Variables'!$B$76,+'5.Variables'!$I81,+IF(N$18='5.Variables'!$B$90,+'5.Variables'!$I95,+IF(N$18='5.Variables'!$B$104,+'5.Variables'!$I109,0))))))</f>
        <v>362.6</v>
      </c>
      <c r="O62" s="722">
        <f>IF(O$18='5.Variables'!$B$16,+'5.Variables'!$I29,+IF(O$18='5.Variables'!$B$39,+'5.Variables'!$I53,+IF(O$18='5.Variables'!$B$62,+'5.Variables'!$I67,+IF(O$18='5.Variables'!$B$76,+'5.Variables'!$I81,+IF(O$18='5.Variables'!$B$90,+'5.Variables'!$I95,+IF(O$18='5.Variables'!$B$104,+'5.Variables'!$I109,0))))))</f>
        <v>15.15</v>
      </c>
      <c r="P62" s="983">
        <f>IF(P$18='5.Variables'!$B$16,+'5.Variables'!$I29,+IF(P$18='5.Variables'!$B$39,+'5.Variables'!$I53,+IF(P$18='5.Variables'!$B$62,+'5.Variables'!$I67,+IF(P$18='5.Variables'!$B$76,+'5.Variables'!$I81,+IF(P$18='5.Variables'!$B$90,+'5.Variables'!$I95,+IF(P$18='5.Variables'!$B$104,+'5.Variables'!$I109,0))))))</f>
        <v>1</v>
      </c>
      <c r="Q62" s="245"/>
      <c r="R62" s="556">
        <f t="shared" si="1"/>
        <v>6951204.3190914774</v>
      </c>
      <c r="S62" s="265"/>
      <c r="T62" s="245"/>
      <c r="U62" s="250">
        <f>'4. Customer Growth'!B20</f>
        <v>2009</v>
      </c>
      <c r="V62" s="267">
        <f t="shared" si="5"/>
        <v>92313324</v>
      </c>
      <c r="W62" s="267">
        <f t="shared" si="6"/>
        <v>92048566.784686312</v>
      </c>
      <c r="X62" s="268">
        <f t="shared" si="7"/>
        <v>2.8680281874985665E-3</v>
      </c>
      <c r="Y62" s="271"/>
      <c r="Z62" s="245"/>
      <c r="AA62" s="245"/>
      <c r="AB62" s="245"/>
      <c r="AC62" s="245"/>
      <c r="AD62" s="245"/>
      <c r="AE62" s="245"/>
      <c r="AF62" s="245"/>
      <c r="AG62" s="245"/>
      <c r="AH62" s="245"/>
      <c r="AI62" s="245"/>
      <c r="AJ62" s="245"/>
      <c r="AK62" s="245"/>
      <c r="AL62" s="245"/>
      <c r="AM62" s="245"/>
    </row>
    <row r="63" spans="1:39" x14ac:dyDescent="0.2">
      <c r="A63" s="501">
        <f t="shared" si="2"/>
        <v>44</v>
      </c>
      <c r="B63" s="262" t="str">
        <f>CONCATENATE('3. Consumption by Rate Class'!B68,"-",'3. Consumption by Rate Class'!C68)</f>
        <v>2009-August</v>
      </c>
      <c r="C63" s="694">
        <v>8459664</v>
      </c>
      <c r="D63" s="700">
        <v>-609637</v>
      </c>
      <c r="E63" s="700">
        <v>-268098</v>
      </c>
      <c r="F63" s="700"/>
      <c r="G63" s="700"/>
      <c r="H63" s="701"/>
      <c r="I63" s="701"/>
      <c r="J63" s="263">
        <f t="shared" si="0"/>
        <v>7581929</v>
      </c>
      <c r="K63" s="722">
        <f>IF(K$18='5.Variables'!$B$16,+'5.Variables'!$J30,+IF(K$18='5.Variables'!$B$39,+'5.Variables'!$J53,+IF(K$18='5.Variables'!$B$62,+'5.Variables'!$J67,+IF(K$18='5.Variables'!$B$76,+'5.Variables'!$J81,+IF(K$18='5.Variables'!$B$90,+'5.Variables'!$J95,+IF(K$18='5.Variables'!$B$104,+'5.Variables'!$J109,0))))))</f>
        <v>30.8</v>
      </c>
      <c r="L63" s="722">
        <f>IF(L$18='5.Variables'!$B$16,+'5.Variables'!$J29,+IF(L$18='5.Variables'!$B$39,+'5.Variables'!$J53,+IF(L$18='5.Variables'!$B$62,+'5.Variables'!$J67,+IF(L$18='5.Variables'!$B$76,+'5.Variables'!$J81,+IF(L$18='5.Variables'!$B$90,+'5.Variables'!$J95,+IF(L$18='5.Variables'!$B$104,+'5.Variables'!$J109,0))))))</f>
        <v>76.099999999999994</v>
      </c>
      <c r="M63" s="722">
        <f>IF(M$18='5.Variables'!$B$16,+'5.Variables'!$J29,+IF(M$18='5.Variables'!$B$39,+'5.Variables'!$J53,+IF(M$18='5.Variables'!$B$62,+'5.Variables'!$J67,+IF(M$18='5.Variables'!$B$76,+'5.Variables'!$J81,+IF(M$18='5.Variables'!$B$90,+'5.Variables'!$J95,+IF(M$18='5.Variables'!$B$104,+'5.Variables'!$J109,0))))))</f>
        <v>31</v>
      </c>
      <c r="N63" s="722">
        <f>IF(N$18='5.Variables'!$B$16,+'5.Variables'!$J29,+IF(N$18='5.Variables'!$B$39,+'5.Variables'!$J53,+IF(N$18='5.Variables'!$B$62,+'5.Variables'!$J67,+IF(N$18='5.Variables'!$B$76,+'5.Variables'!$J81,+IF(N$18='5.Variables'!$B$90,+'5.Variables'!$J95,+IF(N$18='5.Variables'!$B$104,+'5.Variables'!$J109,0))))))</f>
        <v>362.9</v>
      </c>
      <c r="O63" s="722">
        <f>IF(O$18='5.Variables'!$B$16,+'5.Variables'!$J29,+IF(O$18='5.Variables'!$B$39,+'5.Variables'!$J53,+IF(O$18='5.Variables'!$B$62,+'5.Variables'!$J67,+IF(O$18='5.Variables'!$B$76,+'5.Variables'!$J81,+IF(O$18='5.Variables'!$B$90,+'5.Variables'!$J95,+IF(O$18='5.Variables'!$B$104,+'5.Variables'!$J109,0))))))</f>
        <v>14.03</v>
      </c>
      <c r="P63" s="983">
        <f>IF(P$18='5.Variables'!$B$16,+'5.Variables'!$J29,+IF(P$18='5.Variables'!$B$39,+'5.Variables'!$J53,+IF(P$18='5.Variables'!$B$62,+'5.Variables'!$J67,+IF(P$18='5.Variables'!$B$76,+'5.Variables'!$J81,+IF(P$18='5.Variables'!$B$90,+'5.Variables'!$J95,+IF(P$18='5.Variables'!$B$104,+'5.Variables'!$J109,0))))))</f>
        <v>0</v>
      </c>
      <c r="Q63" s="245"/>
      <c r="R63" s="556">
        <f t="shared" si="1"/>
        <v>7611713.5628321283</v>
      </c>
      <c r="S63" s="265"/>
      <c r="T63" s="245"/>
      <c r="U63" s="250">
        <f>'4. Customer Growth'!B21</f>
        <v>2010</v>
      </c>
      <c r="V63" s="267">
        <f t="shared" si="5"/>
        <v>91831741</v>
      </c>
      <c r="W63" s="267">
        <f t="shared" si="6"/>
        <v>91956572.796058238</v>
      </c>
      <c r="X63" s="268">
        <f t="shared" si="7"/>
        <v>1.359353472980955E-3</v>
      </c>
      <c r="Y63" s="271"/>
      <c r="Z63" s="245"/>
      <c r="AA63" s="245"/>
      <c r="AB63" s="245"/>
      <c r="AC63" s="245"/>
      <c r="AD63" s="245"/>
      <c r="AE63" s="245"/>
      <c r="AF63" s="245"/>
      <c r="AG63" s="245"/>
      <c r="AH63" s="245"/>
      <c r="AI63" s="245"/>
      <c r="AJ63" s="245"/>
      <c r="AK63" s="245"/>
      <c r="AL63" s="245"/>
      <c r="AM63" s="245"/>
    </row>
    <row r="64" spans="1:39" x14ac:dyDescent="0.2">
      <c r="A64" s="501">
        <f t="shared" si="2"/>
        <v>45</v>
      </c>
      <c r="B64" s="262" t="str">
        <f>CONCATENATE('3. Consumption by Rate Class'!B69,"-",'3. Consumption by Rate Class'!C69)</f>
        <v>2009-September</v>
      </c>
      <c r="C64" s="694">
        <v>7615409</v>
      </c>
      <c r="D64" s="700">
        <v>-550335</v>
      </c>
      <c r="E64" s="700">
        <v>-261637</v>
      </c>
      <c r="F64" s="700"/>
      <c r="G64" s="700"/>
      <c r="H64" s="701"/>
      <c r="I64" s="701"/>
      <c r="J64" s="263">
        <f t="shared" si="0"/>
        <v>6803437</v>
      </c>
      <c r="K64" s="722">
        <f>IF(K$18='5.Variables'!$B$16,+'5.Variables'!$K30,+IF(K$18='5.Variables'!$B$39,+'5.Variables'!$K53,+IF(K$18='5.Variables'!$B$62,+'5.Variables'!$K67,+IF(K$18='5.Variables'!$B$76,+'5.Variables'!$K81,+IF(K$18='5.Variables'!$B$90,+'5.Variables'!$K95,+IF(K$18='5.Variables'!$B$104,+'5.Variables'!$K109,0))))))</f>
        <v>115.69999999999999</v>
      </c>
      <c r="L64" s="722">
        <f>IF(L$18='5.Variables'!$B$16,+'5.Variables'!$K29,+IF(L$18='5.Variables'!$B$39,+'5.Variables'!$K53,+IF(L$18='5.Variables'!$B$62,+'5.Variables'!$K67,+IF(L$18='5.Variables'!$B$76,+'5.Variables'!$K81,+IF(L$18='5.Variables'!$B$90,+'5.Variables'!$K95,+IF(L$18='5.Variables'!$B$104,+'5.Variables'!$K109,0))))))</f>
        <v>4.3</v>
      </c>
      <c r="M64" s="722">
        <f>IF(M$18='5.Variables'!$B$16,+'5.Variables'!$K29,+IF(M$18='5.Variables'!$B$39,+'5.Variables'!$K53,+IF(M$18='5.Variables'!$B$62,+'5.Variables'!$K67,+IF(M$18='5.Variables'!$B$76,+'5.Variables'!$K81,+IF(M$18='5.Variables'!$B$90,+'5.Variables'!$K95,+IF(M$18='5.Variables'!$B$104,+'5.Variables'!$K109,0))))))</f>
        <v>30</v>
      </c>
      <c r="N64" s="722">
        <f>IF(N$18='5.Variables'!$B$16,+'5.Variables'!$K29,+IF(N$18='5.Variables'!$B$39,+'5.Variables'!$K53,+IF(N$18='5.Variables'!$B$62,+'5.Variables'!$K67,+IF(N$18='5.Variables'!$B$76,+'5.Variables'!$K81,+IF(N$18='5.Variables'!$B$90,+'5.Variables'!$K95,+IF(N$18='5.Variables'!$B$104,+'5.Variables'!$K109,0))))))</f>
        <v>363.1</v>
      </c>
      <c r="O64" s="722">
        <f>IF(O$18='5.Variables'!$B$16,+'5.Variables'!$K29,+IF(O$18='5.Variables'!$B$39,+'5.Variables'!$K53,+IF(O$18='5.Variables'!$B$62,+'5.Variables'!$K67,+IF(O$18='5.Variables'!$B$76,+'5.Variables'!$K81,+IF(O$18='5.Variables'!$B$90,+'5.Variables'!$K95,+IF(O$18='5.Variables'!$B$104,+'5.Variables'!$K109,0))))))</f>
        <v>12.29</v>
      </c>
      <c r="P64" s="983">
        <f>IF(P$18='5.Variables'!$B$16,+'5.Variables'!$K29,+IF(P$18='5.Variables'!$B$39,+'5.Variables'!$K53,+IF(P$18='5.Variables'!$B$62,+'5.Variables'!$K67,+IF(P$18='5.Variables'!$B$76,+'5.Variables'!$K81,+IF(P$18='5.Variables'!$B$90,+'5.Variables'!$K95,+IF(P$18='5.Variables'!$B$104,+'5.Variables'!$K109,0))))))</f>
        <v>0</v>
      </c>
      <c r="Q64" s="245"/>
      <c r="R64" s="556">
        <f t="shared" si="1"/>
        <v>6556951.6559184659</v>
      </c>
      <c r="S64" s="265"/>
      <c r="T64" s="245"/>
      <c r="U64" s="250">
        <f>'4. Customer Growth'!B22</f>
        <v>2011</v>
      </c>
      <c r="V64" s="267">
        <f t="shared" si="5"/>
        <v>90656017</v>
      </c>
      <c r="W64" s="267">
        <f t="shared" si="6"/>
        <v>91628943.54129757</v>
      </c>
      <c r="X64" s="268">
        <f t="shared" si="7"/>
        <v>1.0732068024757473E-2</v>
      </c>
      <c r="Y64" s="271"/>
      <c r="Z64" s="245"/>
      <c r="AA64" s="245"/>
      <c r="AB64" s="245"/>
      <c r="AC64" s="245"/>
      <c r="AD64" s="245"/>
      <c r="AE64" s="245"/>
      <c r="AF64" s="245"/>
      <c r="AG64" s="245"/>
      <c r="AH64" s="245"/>
      <c r="AI64" s="245"/>
      <c r="AJ64" s="245"/>
      <c r="AK64" s="245"/>
      <c r="AL64" s="245"/>
      <c r="AM64" s="245"/>
    </row>
    <row r="65" spans="1:39" x14ac:dyDescent="0.2">
      <c r="A65" s="501">
        <f t="shared" si="2"/>
        <v>46</v>
      </c>
      <c r="B65" s="262" t="str">
        <f>CONCATENATE('3. Consumption by Rate Class'!B70,"-",'3. Consumption by Rate Class'!C70)</f>
        <v>2009-October</v>
      </c>
      <c r="C65" s="694">
        <v>8282937</v>
      </c>
      <c r="D65" s="700">
        <v>-545427</v>
      </c>
      <c r="E65" s="700">
        <v>-255765</v>
      </c>
      <c r="F65" s="700"/>
      <c r="G65" s="700"/>
      <c r="H65" s="700"/>
      <c r="I65" s="701"/>
      <c r="J65" s="263">
        <f t="shared" si="0"/>
        <v>7481745</v>
      </c>
      <c r="K65" s="722">
        <f>IF(K$18='5.Variables'!$B$16,+'5.Variables'!$L30,+IF(K$18='5.Variables'!$B$39,+'5.Variables'!$L53,+IF(K$18='5.Variables'!$B$62,+'5.Variables'!$L67,+IF(K$18='5.Variables'!$B$76,+'5.Variables'!$L81,+IF(K$18='5.Variables'!$B$90,+'5.Variables'!$L95,+IF(K$18='5.Variables'!$B$104,+'5.Variables'!$L109,0))))))</f>
        <v>351.49999999999994</v>
      </c>
      <c r="L65" s="722">
        <f>IF(L$18='5.Variables'!$B$16,+'5.Variables'!$L29,+IF(L$18='5.Variables'!$B$39,+'5.Variables'!$L53,+IF(L$18='5.Variables'!$B$62,+'5.Variables'!$L67,+IF(L$18='5.Variables'!$B$76,+'5.Variables'!$L81,+IF(L$18='5.Variables'!$B$90,+'5.Variables'!$L95,+IF(L$18='5.Variables'!$B$104,+'5.Variables'!$L109,0))))))</f>
        <v>0</v>
      </c>
      <c r="M65" s="722">
        <f>IF(M$18='5.Variables'!$B$16,+'5.Variables'!$L29,+IF(M$18='5.Variables'!$B$39,+'5.Variables'!$L53,+IF(M$18='5.Variables'!$B$62,+'5.Variables'!$L67,+IF(M$18='5.Variables'!$B$76,+'5.Variables'!$L81,+IF(M$18='5.Variables'!$B$90,+'5.Variables'!$L95,+IF(M$18='5.Variables'!$B$104,+'5.Variables'!$L109,0))))))</f>
        <v>31</v>
      </c>
      <c r="N65" s="722">
        <f>IF(N$18='5.Variables'!$B$16,+'5.Variables'!$L29,+IF(N$18='5.Variables'!$B$39,+'5.Variables'!$L53,+IF(N$18='5.Variables'!$B$62,+'5.Variables'!$L67,+IF(N$18='5.Variables'!$B$76,+'5.Variables'!$L81,+IF(N$18='5.Variables'!$B$90,+'5.Variables'!$L95,+IF(N$18='5.Variables'!$B$104,+'5.Variables'!$L109,0))))))</f>
        <v>363.3</v>
      </c>
      <c r="O65" s="722">
        <f>IF(O$18='5.Variables'!$B$16,+'5.Variables'!$L29,+IF(O$18='5.Variables'!$B$39,+'5.Variables'!$L53,+IF(O$18='5.Variables'!$B$62,+'5.Variables'!$L67,+IF(O$18='5.Variables'!$B$76,+'5.Variables'!$L81,+IF(O$18='5.Variables'!$B$90,+'5.Variables'!$L95,+IF(O$18='5.Variables'!$B$104,+'5.Variables'!$L109,0))))))</f>
        <v>10.51</v>
      </c>
      <c r="P65" s="983">
        <f>IF(P$18='5.Variables'!$B$16,+'5.Variables'!$L29,+IF(P$18='5.Variables'!$B$39,+'5.Variables'!$L53,+IF(P$18='5.Variables'!$B$62,+'5.Variables'!$L67,+IF(P$18='5.Variables'!$B$76,+'5.Variables'!$L81,+IF(P$18='5.Variables'!$B$90,+'5.Variables'!$L95,+IF(P$18='5.Variables'!$B$104,+'5.Variables'!$L109,0))))))</f>
        <v>0</v>
      </c>
      <c r="Q65" s="245"/>
      <c r="R65" s="556">
        <f t="shared" si="1"/>
        <v>7492224.7001485704</v>
      </c>
      <c r="S65" s="265"/>
      <c r="T65" s="245"/>
      <c r="U65" s="250">
        <f>'4. Customer Growth'!B23</f>
        <v>2012</v>
      </c>
      <c r="V65" s="267">
        <f t="shared" si="5"/>
        <v>89014822</v>
      </c>
      <c r="W65" s="267">
        <f t="shared" si="6"/>
        <v>91730059.579689622</v>
      </c>
      <c r="X65" s="268">
        <f t="shared" si="7"/>
        <v>3.0503207428641738E-2</v>
      </c>
      <c r="Y65" s="271"/>
      <c r="Z65" s="245"/>
      <c r="AA65" s="245"/>
      <c r="AB65" s="245"/>
      <c r="AC65" s="245"/>
      <c r="AD65" s="245"/>
      <c r="AE65" s="245"/>
      <c r="AF65" s="245"/>
      <c r="AG65" s="245"/>
      <c r="AH65" s="245"/>
      <c r="AI65" s="245"/>
      <c r="AJ65" s="245"/>
      <c r="AK65" s="245"/>
      <c r="AL65" s="245"/>
      <c r="AM65" s="245"/>
    </row>
    <row r="66" spans="1:39" x14ac:dyDescent="0.2">
      <c r="A66" s="501">
        <f t="shared" si="2"/>
        <v>47</v>
      </c>
      <c r="B66" s="262" t="str">
        <f>CONCATENATE('3. Consumption by Rate Class'!B71,"-",'3. Consumption by Rate Class'!C71)</f>
        <v>2009-November</v>
      </c>
      <c r="C66" s="694">
        <v>8249940</v>
      </c>
      <c r="D66" s="700">
        <v>-556818</v>
      </c>
      <c r="E66" s="700">
        <v>-243666</v>
      </c>
      <c r="F66" s="700"/>
      <c r="G66" s="700"/>
      <c r="H66" s="700"/>
      <c r="I66" s="701"/>
      <c r="J66" s="263">
        <f t="shared" si="0"/>
        <v>7449456</v>
      </c>
      <c r="K66" s="722">
        <f>IF(K$18='5.Variables'!$B$16,+'5.Variables'!$M30,+IF(K$18='5.Variables'!$B$39,+'5.Variables'!$M53,+IF(K$18='5.Variables'!$B$62,+'5.Variables'!$M67,+IF(K$18='5.Variables'!$B$76,+'5.Variables'!$M81,+IF(K$18='5.Variables'!$B$90,+'5.Variables'!$M95,+IF(K$18='5.Variables'!$B$104,+'5.Variables'!$M109,0))))))</f>
        <v>410.8</v>
      </c>
      <c r="L66" s="722">
        <f>IF(L$18='5.Variables'!$B$16,+'5.Variables'!$M29,+IF(L$18='5.Variables'!$B$39,+'5.Variables'!$M53,+IF(L$18='5.Variables'!$B$62,+'5.Variables'!$M67,+IF(L$18='5.Variables'!$B$76,+'5.Variables'!$M81,+IF(L$18='5.Variables'!$B$90,+'5.Variables'!$M95,+IF(L$18='5.Variables'!$B$104,+'5.Variables'!$M109,0))))))</f>
        <v>0</v>
      </c>
      <c r="M66" s="722">
        <f>IF(M$18='5.Variables'!$B$16,+'5.Variables'!$M29,+IF(M$18='5.Variables'!$B$39,+'5.Variables'!$M53,+IF(M$18='5.Variables'!$B$62,+'5.Variables'!$M67,+IF(M$18='5.Variables'!$B$76,+'5.Variables'!$M81,+IF(M$18='5.Variables'!$B$90,+'5.Variables'!$M95,+IF(M$18='5.Variables'!$B$104,+'5.Variables'!$M109,0))))))</f>
        <v>30</v>
      </c>
      <c r="N66" s="722">
        <f>IF(N$18='5.Variables'!$B$16,+'5.Variables'!$M29,+IF(N$18='5.Variables'!$B$39,+'5.Variables'!$M53,+IF(N$18='5.Variables'!$B$62,+'5.Variables'!$M67,+IF(N$18='5.Variables'!$B$76,+'5.Variables'!$M81,+IF(N$18='5.Variables'!$B$90,+'5.Variables'!$M95,+IF(N$18='5.Variables'!$B$104,+'5.Variables'!$M109,0))))))</f>
        <v>363.4</v>
      </c>
      <c r="O66" s="722">
        <f>IF(O$18='5.Variables'!$B$16,+'5.Variables'!$M29,+IF(O$18='5.Variables'!$B$39,+'5.Variables'!$M53,+IF(O$18='5.Variables'!$B$62,+'5.Variables'!$M67,+IF(O$18='5.Variables'!$B$76,+'5.Variables'!$M81,+IF(O$18='5.Variables'!$B$90,+'5.Variables'!$M95,+IF(O$18='5.Variables'!$B$104,+'5.Variables'!$M109,0))))))</f>
        <v>9.2799999999999994</v>
      </c>
      <c r="P66" s="983">
        <f>IF(P$18='5.Variables'!$B$16,+'5.Variables'!$M29,+IF(P$18='5.Variables'!$B$39,+'5.Variables'!$M53,+IF(P$18='5.Variables'!$B$62,+'5.Variables'!$M67,+IF(P$18='5.Variables'!$B$76,+'5.Variables'!$M81,+IF(P$18='5.Variables'!$B$90,+'5.Variables'!$M95,+IF(P$18='5.Variables'!$B$104,+'5.Variables'!$M109,0))))))</f>
        <v>0</v>
      </c>
      <c r="Q66" s="245"/>
      <c r="R66" s="556">
        <f t="shared" si="1"/>
        <v>7521850.287386978</v>
      </c>
      <c r="S66" s="265"/>
      <c r="T66" s="245"/>
      <c r="U66" s="250">
        <f>'4. Customer Growth'!B24</f>
        <v>2013</v>
      </c>
      <c r="V66" s="267">
        <f t="shared" si="5"/>
        <v>90972832</v>
      </c>
      <c r="W66" s="267">
        <f t="shared" si="6"/>
        <v>90628305.25001581</v>
      </c>
      <c r="X66" s="268">
        <f t="shared" si="7"/>
        <v>3.7871388898192142E-3</v>
      </c>
      <c r="Y66" s="271"/>
      <c r="Z66" s="245"/>
      <c r="AA66" s="245"/>
      <c r="AB66" s="245"/>
      <c r="AC66" s="245"/>
      <c r="AD66" s="245"/>
      <c r="AE66" s="245"/>
      <c r="AF66" s="245"/>
      <c r="AG66" s="245"/>
      <c r="AH66" s="245"/>
      <c r="AI66" s="245"/>
      <c r="AJ66" s="245"/>
      <c r="AK66" s="245"/>
      <c r="AL66" s="245"/>
      <c r="AM66" s="245"/>
    </row>
    <row r="67" spans="1:39" x14ac:dyDescent="0.2">
      <c r="A67" s="501">
        <f t="shared" si="2"/>
        <v>48</v>
      </c>
      <c r="B67" s="520" t="str">
        <f>CONCATENATE('3. Consumption by Rate Class'!B72,"-",'3. Consumption by Rate Class'!C72)</f>
        <v>2009-December</v>
      </c>
      <c r="C67" s="695">
        <v>9666825</v>
      </c>
      <c r="D67" s="702">
        <v>-570307</v>
      </c>
      <c r="E67" s="702">
        <v>-215828</v>
      </c>
      <c r="F67" s="702"/>
      <c r="G67" s="702"/>
      <c r="H67" s="702"/>
      <c r="I67" s="703"/>
      <c r="J67" s="263">
        <f t="shared" si="0"/>
        <v>8880690</v>
      </c>
      <c r="K67" s="722">
        <f>IF(K$18='5.Variables'!$B$16,+'5.Variables'!$N30,+IF(K$18='5.Variables'!$B$39,+'5.Variables'!$N53,+IF(K$18='5.Variables'!$B$62,+'5.Variables'!$N67,+IF(K$18='5.Variables'!$B$76,+'5.Variables'!$N81,+IF(K$18='5.Variables'!$B$90,+'5.Variables'!$N95,+IF(K$18='5.Variables'!$B$104,+'5.Variables'!$N109,0))))))</f>
        <v>754.0999999999998</v>
      </c>
      <c r="L67" s="722">
        <f>IF(L$18='5.Variables'!$B$16,+'5.Variables'!$N29,+IF(L$18='5.Variables'!$B$39,+'5.Variables'!$N53,+IF(L$18='5.Variables'!$B$62,+'5.Variables'!$N67,+IF(L$18='5.Variables'!$B$76,+'5.Variables'!$N81,+IF(L$18='5.Variables'!$B$90,+'5.Variables'!$N95,+IF(L$18='5.Variables'!$B$104,+'5.Variables'!$N109,0))))))</f>
        <v>0</v>
      </c>
      <c r="M67" s="722">
        <f>IF(M$18='5.Variables'!$B$16,+'5.Variables'!$N29,+IF(M$18='5.Variables'!$B$39,+'5.Variables'!$N53,+IF(M$18='5.Variables'!$B$62,+'5.Variables'!$N67,+IF(M$18='5.Variables'!$B$76,+'5.Variables'!$N81,+IF(M$18='5.Variables'!$B$90,+'5.Variables'!$N95,+IF(M$18='5.Variables'!$B$104,+'5.Variables'!$N109,0))))))</f>
        <v>31</v>
      </c>
      <c r="N67" s="722">
        <f>IF(N$18='5.Variables'!$B$16,+'5.Variables'!$N29,+IF(N$18='5.Variables'!$B$39,+'5.Variables'!$N53,+IF(N$18='5.Variables'!$B$62,+'5.Variables'!$N67,+IF(N$18='5.Variables'!$B$76,+'5.Variables'!$N81,+IF(N$18='5.Variables'!$B$90,+'5.Variables'!$N95,+IF(N$18='5.Variables'!$B$104,+'5.Variables'!$N109,0))))))</f>
        <v>363.5</v>
      </c>
      <c r="O67" s="722">
        <f>IF(O$18='5.Variables'!$B$16,+'5.Variables'!$N29,+IF(O$18='5.Variables'!$B$39,+'5.Variables'!$N53,+IF(O$18='5.Variables'!$B$62,+'5.Variables'!$N67,+IF(O$18='5.Variables'!$B$76,+'5.Variables'!$N81,+IF(O$18='5.Variables'!$B$90,+'5.Variables'!$N95,+IF(O$18='5.Variables'!$B$104,+'5.Variables'!$N109,0))))))</f>
        <v>8.4700000000000006</v>
      </c>
      <c r="P67" s="983">
        <f>IF(P$18='5.Variables'!$B$16,+'5.Variables'!$N29,+IF(P$18='5.Variables'!$B$39,+'5.Variables'!$N53,+IF(P$18='5.Variables'!$B$62,+'5.Variables'!$N67,+IF(P$18='5.Variables'!$B$76,+'5.Variables'!$N81,+IF(P$18='5.Variables'!$B$90,+'5.Variables'!$N95,+IF(P$18='5.Variables'!$B$104,+'5.Variables'!$N109,0))))))</f>
        <v>1</v>
      </c>
      <c r="Q67" s="245"/>
      <c r="R67" s="556">
        <f t="shared" si="1"/>
        <v>8847853.5955720078</v>
      </c>
      <c r="S67" s="265">
        <f>SUM(R56:R67)</f>
        <v>92048566.784686312</v>
      </c>
      <c r="T67" s="245"/>
      <c r="U67" s="250">
        <f>'4. Customer Growth'!B25</f>
        <v>2014</v>
      </c>
      <c r="V67" s="267">
        <f t="shared" si="5"/>
        <v>89574310</v>
      </c>
      <c r="W67" s="267">
        <f t="shared" si="6"/>
        <v>88892412.867180794</v>
      </c>
      <c r="X67" s="268">
        <f t="shared" si="7"/>
        <v>7.6126417587721916E-3</v>
      </c>
      <c r="Y67" s="271"/>
      <c r="Z67" s="245"/>
      <c r="AA67" s="245"/>
      <c r="AB67" s="245"/>
      <c r="AC67" s="245"/>
      <c r="AD67" s="245"/>
      <c r="AE67" s="245"/>
      <c r="AF67" s="245"/>
      <c r="AG67" s="245"/>
      <c r="AH67" s="245"/>
      <c r="AI67" s="245"/>
      <c r="AJ67" s="245"/>
      <c r="AK67" s="245"/>
      <c r="AL67" s="245"/>
      <c r="AM67" s="245"/>
    </row>
    <row r="68" spans="1:39" x14ac:dyDescent="0.2">
      <c r="A68" s="501">
        <f t="shared" si="2"/>
        <v>49</v>
      </c>
      <c r="B68" s="262" t="str">
        <f>CONCATENATE('3. Consumption by Rate Class'!B73,"-",'3. Consumption by Rate Class'!C73)</f>
        <v>2010-January</v>
      </c>
      <c r="C68" s="694">
        <v>10052260</v>
      </c>
      <c r="D68" s="700">
        <v>-534435</v>
      </c>
      <c r="E68" s="700">
        <v>-177952</v>
      </c>
      <c r="F68" s="700"/>
      <c r="G68" s="700"/>
      <c r="H68" s="700"/>
      <c r="I68" s="701"/>
      <c r="J68" s="263">
        <f t="shared" si="0"/>
        <v>9339873</v>
      </c>
      <c r="K68" s="722">
        <f>IF(K$18='5.Variables'!$B$16,+'5.Variables'!$C31,+IF(K$18='5.Variables'!$B$39,+'5.Variables'!$C54,+IF(K$18='5.Variables'!$B$62,+'5.Variables'!$C68,+IF(K$18='5.Variables'!$B$76,+'5.Variables'!$C82,+IF(K$18='5.Variables'!$B$90,+'5.Variables'!$C96,+IF(K$18='5.Variables'!$B$104,+'5.Variables'!$C110,0))))))</f>
        <v>779.79999999999984</v>
      </c>
      <c r="L68" s="722">
        <f>IF(L$18='5.Variables'!$B$16,+'5.Variables'!$C30,+IF(L$18='5.Variables'!$B$39,+'5.Variables'!$C54,+IF(L$18='5.Variables'!$B$62,+'5.Variables'!$C68,+IF(L$18='5.Variables'!$B$76,+'5.Variables'!$C82,+IF(L$18='5.Variables'!$B$90,+'5.Variables'!$C96,+IF(L$18='5.Variables'!$B$104,+'5.Variables'!$C110,0))))))</f>
        <v>0</v>
      </c>
      <c r="M68" s="722">
        <f>IF(M$18='5.Variables'!$B$16,+'5.Variables'!$C30,+IF(M$18='5.Variables'!$B$39,+'5.Variables'!$C54,+IF(M$18='5.Variables'!$B$62,+'5.Variables'!$C68,+IF(M$18='5.Variables'!$B$76,+'5.Variables'!$C82,+IF(M$18='5.Variables'!$B$90,+'5.Variables'!$C96,+IF(M$18='5.Variables'!$B$104,+'5.Variables'!$C110,0))))))</f>
        <v>31</v>
      </c>
      <c r="N68" s="722">
        <f>IF(N$18='5.Variables'!$B$16,+'5.Variables'!$C30,+IF(N$18='5.Variables'!$B$39,+'5.Variables'!$C54,+IF(N$18='5.Variables'!$B$62,+'5.Variables'!$C68,+IF(N$18='5.Variables'!$B$76,+'5.Variables'!$C82,+IF(N$18='5.Variables'!$B$90,+'5.Variables'!$C96,+IF(N$18='5.Variables'!$B$104,+'5.Variables'!$C110,0))))))</f>
        <v>363.7</v>
      </c>
      <c r="O68" s="722">
        <f>IF(O$18='5.Variables'!$B$16,+'5.Variables'!$C30,+IF(O$18='5.Variables'!$B$39,+'5.Variables'!$C54,+IF(O$18='5.Variables'!$B$62,+'5.Variables'!$C68,+IF(O$18='5.Variables'!$B$76,+'5.Variables'!$C82,+IF(O$18='5.Variables'!$B$90,+'5.Variables'!$C96,+IF(O$18='5.Variables'!$B$104,+'5.Variables'!$C110,0))))))</f>
        <v>9.09</v>
      </c>
      <c r="P68" s="983">
        <f>IF(P$18='5.Variables'!$B$16,+'5.Variables'!$C30,+IF(P$18='5.Variables'!$B$39,+'5.Variables'!$C54,+IF(P$18='5.Variables'!$B$62,+'5.Variables'!$C68,+IF(P$18='5.Variables'!$B$76,+'5.Variables'!$C82,+IF(P$18='5.Variables'!$B$90,+'5.Variables'!$C96,+IF(P$18='5.Variables'!$B$104,+'5.Variables'!$C110,0))))))</f>
        <v>1</v>
      </c>
      <c r="Q68" s="245"/>
      <c r="R68" s="556">
        <f t="shared" si="1"/>
        <v>8907436.5447946023</v>
      </c>
      <c r="S68" s="265"/>
      <c r="T68" s="245"/>
      <c r="U68" s="250">
        <f>'4. Customer Growth'!B26</f>
        <v>2015</v>
      </c>
      <c r="V68" s="267">
        <f t="shared" si="5"/>
        <v>90503010</v>
      </c>
      <c r="W68" s="267">
        <f t="shared" si="6"/>
        <v>90106871.447792977</v>
      </c>
      <c r="X68" s="268">
        <f t="shared" si="7"/>
        <v>4.3770759912518144E-3</v>
      </c>
      <c r="Y68" s="271">
        <f>(W68-V68)/V68</f>
        <v>-4.3770759912518144E-3</v>
      </c>
      <c r="Z68" s="245"/>
      <c r="AA68" s="245"/>
      <c r="AB68" s="245"/>
      <c r="AC68" s="245"/>
      <c r="AD68" s="245"/>
      <c r="AE68" s="245"/>
      <c r="AF68" s="245"/>
      <c r="AG68" s="245"/>
      <c r="AH68" s="245"/>
      <c r="AI68" s="245"/>
      <c r="AJ68" s="245"/>
      <c r="AK68" s="245"/>
      <c r="AL68" s="245"/>
      <c r="AM68" s="245"/>
    </row>
    <row r="69" spans="1:39" x14ac:dyDescent="0.2">
      <c r="A69" s="501">
        <f t="shared" si="2"/>
        <v>50</v>
      </c>
      <c r="B69" s="262" t="str">
        <f>CONCATENATE('3. Consumption by Rate Class'!B74,"-",'3. Consumption by Rate Class'!C74)</f>
        <v>2010-February</v>
      </c>
      <c r="C69" s="694">
        <v>8718138</v>
      </c>
      <c r="D69" s="700">
        <v>-577545</v>
      </c>
      <c r="E69" s="700">
        <v>-219261</v>
      </c>
      <c r="F69" s="700"/>
      <c r="G69" s="700"/>
      <c r="H69" s="700"/>
      <c r="I69" s="701"/>
      <c r="J69" s="263">
        <f t="shared" si="0"/>
        <v>7921332</v>
      </c>
      <c r="K69" s="722">
        <f>IF(K$18='5.Variables'!$B$16,+'5.Variables'!$D31,+IF(K$18='5.Variables'!$B$39,+'5.Variables'!$D54,+IF(K$18='5.Variables'!$B$62,+'5.Variables'!$D68,+IF(K$18='5.Variables'!$B$76,+'5.Variables'!$D82,+IF(K$18='5.Variables'!$B$90,+'5.Variables'!$D96,+IF(K$18='5.Variables'!$B$104,+'5.Variables'!$D110,0))))))</f>
        <v>639.70000000000005</v>
      </c>
      <c r="L69" s="722">
        <f>IF(L$18='5.Variables'!$B$16,+'5.Variables'!$D30,+IF(L$18='5.Variables'!$B$39,+'5.Variables'!$D54,+IF(L$18='5.Variables'!$B$62,+'5.Variables'!$D68,+IF(L$18='5.Variables'!$B$76,+'5.Variables'!$D82,+IF(L$18='5.Variables'!$B$90,+'5.Variables'!$D96,+IF(L$18='5.Variables'!$B$104,+'5.Variables'!$D110,0))))))</f>
        <v>0</v>
      </c>
      <c r="M69" s="722">
        <f>IF(M$18='5.Variables'!$B$16,+'5.Variables'!$D30,+IF(M$18='5.Variables'!$B$39,+'5.Variables'!$D54,+IF(M$18='5.Variables'!$B$62,+'5.Variables'!$D68,+IF(M$18='5.Variables'!$B$76,+'5.Variables'!$D82,+IF(M$18='5.Variables'!$B$90,+'5.Variables'!$D96,+IF(M$18='5.Variables'!$B$104,+'5.Variables'!$D110,0))))))</f>
        <v>28</v>
      </c>
      <c r="N69" s="722">
        <f>IF(N$18='5.Variables'!$B$16,+'5.Variables'!$D30,+IF(N$18='5.Variables'!$B$39,+'5.Variables'!$D54,+IF(N$18='5.Variables'!$B$62,+'5.Variables'!$D68,+IF(N$18='5.Variables'!$B$76,+'5.Variables'!$D82,+IF(N$18='5.Variables'!$B$90,+'5.Variables'!$D96,+IF(N$18='5.Variables'!$B$104,+'5.Variables'!$D110,0))))))</f>
        <v>363.7</v>
      </c>
      <c r="O69" s="722">
        <f>IF(O$18='5.Variables'!$B$16,+'5.Variables'!$D30,+IF(O$18='5.Variables'!$B$39,+'5.Variables'!$D54,+IF(O$18='5.Variables'!$B$62,+'5.Variables'!$D68,+IF(O$18='5.Variables'!$B$76,+'5.Variables'!$D82,+IF(O$18='5.Variables'!$B$90,+'5.Variables'!$D96,+IF(O$18='5.Variables'!$B$104,+'5.Variables'!$D110,0))))))</f>
        <v>10.19</v>
      </c>
      <c r="P69" s="983">
        <f>IF(P$18='5.Variables'!$B$16,+'5.Variables'!$D30,+IF(P$18='5.Variables'!$B$39,+'5.Variables'!$D54,+IF(P$18='5.Variables'!$B$62,+'5.Variables'!$D68,+IF(P$18='5.Variables'!$B$76,+'5.Variables'!$D82,+IF(P$18='5.Variables'!$B$90,+'5.Variables'!$D96,+IF(P$18='5.Variables'!$B$104,+'5.Variables'!$D110,0))))))</f>
        <v>0</v>
      </c>
      <c r="Q69" s="245"/>
      <c r="R69" s="556">
        <f t="shared" si="1"/>
        <v>7833366.7857259512</v>
      </c>
      <c r="S69" s="265"/>
      <c r="T69" s="245"/>
      <c r="U69" s="272" t="s">
        <v>47</v>
      </c>
      <c r="V69" s="272"/>
      <c r="W69" s="272"/>
      <c r="X69" s="273">
        <f>AVERAGE(X59:X68)</f>
        <v>1.4167473791871599E-2</v>
      </c>
      <c r="Y69" s="245"/>
      <c r="Z69" s="245"/>
      <c r="AA69" s="245"/>
      <c r="AB69" s="245"/>
      <c r="AC69" s="245"/>
      <c r="AD69" s="245"/>
      <c r="AE69" s="245"/>
      <c r="AF69" s="245"/>
      <c r="AG69" s="245"/>
      <c r="AH69" s="245"/>
      <c r="AI69" s="245"/>
      <c r="AJ69" s="245"/>
      <c r="AK69" s="245"/>
      <c r="AL69" s="245"/>
      <c r="AM69" s="245"/>
    </row>
    <row r="70" spans="1:39" x14ac:dyDescent="0.2">
      <c r="A70" s="501">
        <f t="shared" si="2"/>
        <v>51</v>
      </c>
      <c r="B70" s="262" t="str">
        <f>CONCATENATE('3. Consumption by Rate Class'!B75,"-",'3. Consumption by Rate Class'!C75)</f>
        <v>2010-March</v>
      </c>
      <c r="C70" s="694">
        <v>8506437</v>
      </c>
      <c r="D70" s="700">
        <v>-547895</v>
      </c>
      <c r="E70" s="700">
        <v>-184330</v>
      </c>
      <c r="F70" s="700"/>
      <c r="G70" s="700"/>
      <c r="H70" s="700"/>
      <c r="I70" s="701"/>
      <c r="J70" s="263">
        <f t="shared" si="0"/>
        <v>7774212</v>
      </c>
      <c r="K70" s="722">
        <f>IF(K$18='5.Variables'!$B$16,+'5.Variables'!$E31,+IF(K$18='5.Variables'!$B$39,+'5.Variables'!$E54,+IF(K$18='5.Variables'!$B$62,+'5.Variables'!$E68,+IF(K$18='5.Variables'!$B$76,+'5.Variables'!$E82,+IF(K$18='5.Variables'!$B$90,+'5.Variables'!$E96,+IF(K$18='5.Variables'!$B$104,+'5.Variables'!$E110,0))))))</f>
        <v>451.49999999999989</v>
      </c>
      <c r="L70" s="722">
        <f>IF(L$18='5.Variables'!$B$16,+'5.Variables'!$E30,+IF(L$18='5.Variables'!$B$39,+'5.Variables'!$E54,+IF(L$18='5.Variables'!$B$62,+'5.Variables'!$E68,+IF(L$18='5.Variables'!$B$76,+'5.Variables'!$E82,+IF(L$18='5.Variables'!$B$90,+'5.Variables'!$E96,+IF(L$18='5.Variables'!$B$104,+'5.Variables'!$E110,0))))))</f>
        <v>0</v>
      </c>
      <c r="M70" s="722">
        <f>IF(M$18='5.Variables'!$B$16,+'5.Variables'!$E30,+IF(M$18='5.Variables'!$B$39,+'5.Variables'!$E54,+IF(M$18='5.Variables'!$B$62,+'5.Variables'!$E68,+IF(M$18='5.Variables'!$B$76,+'5.Variables'!$E82,+IF(M$18='5.Variables'!$B$90,+'5.Variables'!$E96,+IF(M$18='5.Variables'!$B$104,+'5.Variables'!$E110,0))))))</f>
        <v>31</v>
      </c>
      <c r="N70" s="722">
        <f>IF(N$18='5.Variables'!$B$16,+'5.Variables'!$E30,+IF(N$18='5.Variables'!$B$39,+'5.Variables'!$E54,+IF(N$18='5.Variables'!$B$62,+'5.Variables'!$E68,+IF(N$18='5.Variables'!$B$76,+'5.Variables'!$E82,+IF(N$18='5.Variables'!$B$90,+'5.Variables'!$E96,+IF(N$18='5.Variables'!$B$104,+'5.Variables'!$E110,0))))))</f>
        <v>363.8</v>
      </c>
      <c r="O70" s="722">
        <f>IF(O$18='5.Variables'!$B$16,+'5.Variables'!$E30,+IF(O$18='5.Variables'!$B$39,+'5.Variables'!$E54,+IF(O$18='5.Variables'!$B$62,+'5.Variables'!$E68,+IF(O$18='5.Variables'!$B$76,+'5.Variables'!$E82,+IF(O$18='5.Variables'!$B$90,+'5.Variables'!$E96,+IF(O$18='5.Variables'!$B$104,+'5.Variables'!$E110,0))))))</f>
        <v>11.51</v>
      </c>
      <c r="P70" s="983">
        <f>IF(P$18='5.Variables'!$B$16,+'5.Variables'!$E30,+IF(P$18='5.Variables'!$B$39,+'5.Variables'!$E54,+IF(P$18='5.Variables'!$B$62,+'5.Variables'!$E68,+IF(P$18='5.Variables'!$B$76,+'5.Variables'!$E82,+IF(P$18='5.Variables'!$B$90,+'5.Variables'!$E96,+IF(P$18='5.Variables'!$B$104,+'5.Variables'!$E110,0))))))</f>
        <v>1</v>
      </c>
      <c r="Q70" s="245"/>
      <c r="R70" s="556">
        <f t="shared" si="1"/>
        <v>7773061.8004465783</v>
      </c>
      <c r="S70" s="265"/>
      <c r="T70" s="245"/>
      <c r="U70" s="272" t="s">
        <v>63</v>
      </c>
      <c r="V70" s="245"/>
      <c r="W70" s="245"/>
      <c r="X70" s="273">
        <f>MEDIAN(X59:X68)</f>
        <v>9.1723548917648327E-3</v>
      </c>
      <c r="Y70" s="245"/>
      <c r="Z70" s="245"/>
      <c r="AA70" s="245"/>
      <c r="AB70" s="245"/>
      <c r="AC70" s="245"/>
      <c r="AD70" s="245"/>
      <c r="AE70" s="245"/>
      <c r="AF70" s="245"/>
      <c r="AG70" s="245"/>
      <c r="AH70" s="245"/>
      <c r="AI70" s="245"/>
      <c r="AJ70" s="245"/>
      <c r="AK70" s="245"/>
      <c r="AL70" s="245"/>
      <c r="AM70" s="245"/>
    </row>
    <row r="71" spans="1:39" x14ac:dyDescent="0.2">
      <c r="A71" s="501">
        <f t="shared" si="2"/>
        <v>52</v>
      </c>
      <c r="B71" s="262" t="str">
        <f>CONCATENATE('3. Consumption by Rate Class'!B76,"-",'3. Consumption by Rate Class'!C76)</f>
        <v>2010-April</v>
      </c>
      <c r="C71" s="694">
        <v>7323495</v>
      </c>
      <c r="D71" s="700">
        <v>-526984</v>
      </c>
      <c r="E71" s="700">
        <v>-227468</v>
      </c>
      <c r="F71" s="700"/>
      <c r="G71" s="700"/>
      <c r="H71" s="700"/>
      <c r="I71" s="701"/>
      <c r="J71" s="263">
        <f t="shared" si="0"/>
        <v>6569043</v>
      </c>
      <c r="K71" s="722">
        <f>IF(K$18='5.Variables'!$B$16,+'5.Variables'!$F31,+IF(K$18='5.Variables'!$B$39,+'5.Variables'!$F54,+IF(K$18='5.Variables'!$B$62,+'5.Variables'!$F68,+IF(K$18='5.Variables'!$B$76,+'5.Variables'!$F82,+IF(K$18='5.Variables'!$B$90,+'5.Variables'!$F96,+IF(K$18='5.Variables'!$B$104,+'5.Variables'!$F110,0))))))</f>
        <v>253.00000000000003</v>
      </c>
      <c r="L71" s="722">
        <f>IF(L$18='5.Variables'!$B$16,+'5.Variables'!$F30,+IF(L$18='5.Variables'!$B$39,+'5.Variables'!$F54,+IF(L$18='5.Variables'!$B$62,+'5.Variables'!$F68,+IF(L$18='5.Variables'!$B$76,+'5.Variables'!$F82,+IF(L$18='5.Variables'!$B$90,+'5.Variables'!$F96,+IF(L$18='5.Variables'!$B$104,+'5.Variables'!$F110,0))))))</f>
        <v>0.1</v>
      </c>
      <c r="M71" s="722">
        <f>IF(M$18='5.Variables'!$B$16,+'5.Variables'!$F30,+IF(M$18='5.Variables'!$B$39,+'5.Variables'!$F54,+IF(M$18='5.Variables'!$B$62,+'5.Variables'!$F68,+IF(M$18='5.Variables'!$B$76,+'5.Variables'!$F82,+IF(M$18='5.Variables'!$B$90,+'5.Variables'!$F96,+IF(M$18='5.Variables'!$B$104,+'5.Variables'!$F110,0))))))</f>
        <v>30</v>
      </c>
      <c r="N71" s="722">
        <f>IF(N$18='5.Variables'!$B$16,+'5.Variables'!$F30,+IF(N$18='5.Variables'!$B$39,+'5.Variables'!$F54,+IF(N$18='5.Variables'!$B$62,+'5.Variables'!$F68,+IF(N$18='5.Variables'!$B$76,+'5.Variables'!$F82,+IF(N$18='5.Variables'!$B$90,+'5.Variables'!$F96,+IF(N$18='5.Variables'!$B$104,+'5.Variables'!$F110,0))))))</f>
        <v>364</v>
      </c>
      <c r="O71" s="722">
        <f>IF(O$18='5.Variables'!$B$16,+'5.Variables'!$F30,+IF(O$18='5.Variables'!$B$39,+'5.Variables'!$F54,+IF(O$18='5.Variables'!$B$62,+'5.Variables'!$F68,+IF(O$18='5.Variables'!$B$76,+'5.Variables'!$F82,+IF(O$18='5.Variables'!$B$90,+'5.Variables'!$F96,+IF(O$18='5.Variables'!$B$104,+'5.Variables'!$F110,0))))))</f>
        <v>13.28</v>
      </c>
      <c r="P71" s="983">
        <f>IF(P$18='5.Variables'!$B$16,+'5.Variables'!$F30,+IF(P$18='5.Variables'!$B$39,+'5.Variables'!$F54,+IF(P$18='5.Variables'!$B$62,+'5.Variables'!$F68,+IF(P$18='5.Variables'!$B$76,+'5.Variables'!$F82,+IF(P$18='5.Variables'!$B$90,+'5.Variables'!$F96,+IF(P$18='5.Variables'!$B$104,+'5.Variables'!$F110,0))))))</f>
        <v>0</v>
      </c>
      <c r="Q71" s="245"/>
      <c r="R71" s="556">
        <f t="shared" si="1"/>
        <v>6880001.647691031</v>
      </c>
      <c r="S71" s="265"/>
      <c r="T71" s="245"/>
      <c r="U71" s="245"/>
      <c r="V71" s="245"/>
      <c r="W71" s="245"/>
      <c r="X71" s="245"/>
      <c r="Y71" s="245"/>
      <c r="Z71" s="245"/>
      <c r="AA71" s="245"/>
      <c r="AB71" s="245"/>
      <c r="AC71" s="245"/>
      <c r="AD71" s="245"/>
      <c r="AE71" s="245"/>
      <c r="AF71" s="245"/>
      <c r="AG71" s="245"/>
      <c r="AH71" s="245"/>
      <c r="AI71" s="245"/>
      <c r="AJ71" s="245"/>
      <c r="AK71" s="245"/>
      <c r="AL71" s="245"/>
      <c r="AM71" s="245"/>
    </row>
    <row r="72" spans="1:39" x14ac:dyDescent="0.2">
      <c r="A72" s="501">
        <f t="shared" si="2"/>
        <v>53</v>
      </c>
      <c r="B72" s="262" t="str">
        <f>CONCATENATE('3. Consumption by Rate Class'!B77,"-",'3. Consumption by Rate Class'!C77)</f>
        <v>2010-May</v>
      </c>
      <c r="C72" s="694">
        <v>7652874</v>
      </c>
      <c r="D72" s="700">
        <v>-480187</v>
      </c>
      <c r="E72" s="700">
        <v>-194277</v>
      </c>
      <c r="F72" s="700"/>
      <c r="G72" s="700"/>
      <c r="H72" s="700"/>
      <c r="I72" s="701"/>
      <c r="J72" s="263">
        <f t="shared" si="0"/>
        <v>6978410</v>
      </c>
      <c r="K72" s="722">
        <f>IF(K$18='5.Variables'!$B$16,+'5.Variables'!$G31,+IF(K$18='5.Variables'!$B$39,+'5.Variables'!$G54,+IF(K$18='5.Variables'!$B$62,+'5.Variables'!$G68,+IF(K$18='5.Variables'!$B$76,+'5.Variables'!$G82,+IF(K$18='5.Variables'!$B$90,+'5.Variables'!$G96,+IF(K$18='5.Variables'!$B$104,+'5.Variables'!$G110,0))))))</f>
        <v>112</v>
      </c>
      <c r="L72" s="722">
        <f>IF(L$18='5.Variables'!$B$16,+'5.Variables'!$G30,+IF(L$18='5.Variables'!$B$39,+'5.Variables'!$G54,+IF(L$18='5.Variables'!$B$62,+'5.Variables'!$G68,+IF(L$18='5.Variables'!$B$76,+'5.Variables'!$G82,+IF(L$18='5.Variables'!$B$90,+'5.Variables'!$G96,+IF(L$18='5.Variables'!$B$104,+'5.Variables'!$G110,0))))))</f>
        <v>34.4</v>
      </c>
      <c r="M72" s="722">
        <f>IF(M$18='5.Variables'!$B$16,+'5.Variables'!$G30,+IF(M$18='5.Variables'!$B$39,+'5.Variables'!$G54,+IF(M$18='5.Variables'!$B$62,+'5.Variables'!$G68,+IF(M$18='5.Variables'!$B$76,+'5.Variables'!$G82,+IF(M$18='5.Variables'!$B$90,+'5.Variables'!$G96,+IF(M$18='5.Variables'!$B$104,+'5.Variables'!$G110,0))))))</f>
        <v>31</v>
      </c>
      <c r="N72" s="722">
        <f>IF(N$18='5.Variables'!$B$16,+'5.Variables'!$G30,+IF(N$18='5.Variables'!$B$39,+'5.Variables'!$G54,+IF(N$18='5.Variables'!$B$62,+'5.Variables'!$G68,+IF(N$18='5.Variables'!$B$76,+'5.Variables'!$G82,+IF(N$18='5.Variables'!$B$90,+'5.Variables'!$G96,+IF(N$18='5.Variables'!$B$104,+'5.Variables'!$G110,0))))))</f>
        <v>364.2</v>
      </c>
      <c r="O72" s="722">
        <f>IF(O$18='5.Variables'!$B$16,+'5.Variables'!$G30,+IF(O$18='5.Variables'!$B$39,+'5.Variables'!$G54,+IF(O$18='5.Variables'!$B$62,+'5.Variables'!$G68,+IF(O$18='5.Variables'!$B$76,+'5.Variables'!$G82,+IF(O$18='5.Variables'!$B$90,+'5.Variables'!$G96,+IF(O$18='5.Variables'!$B$104,+'5.Variables'!$G110,0))))))</f>
        <v>14.52</v>
      </c>
      <c r="P72" s="983">
        <f>IF(P$18='5.Variables'!$B$16,+'5.Variables'!$G30,+IF(P$18='5.Variables'!$B$39,+'5.Variables'!$G54,+IF(P$18='5.Variables'!$B$62,+'5.Variables'!$G68,+IF(P$18='5.Variables'!$B$76,+'5.Variables'!$G82,+IF(P$18='5.Variables'!$B$90,+'5.Variables'!$G96,+IF(P$18='5.Variables'!$B$104,+'5.Variables'!$G110,0))))))</f>
        <v>0</v>
      </c>
      <c r="Q72" s="245"/>
      <c r="R72" s="556">
        <f t="shared" si="1"/>
        <v>7143084.8848018711</v>
      </c>
      <c r="S72" s="265"/>
      <c r="T72" s="245"/>
      <c r="U72" s="245" t="s">
        <v>124</v>
      </c>
      <c r="V72" s="245"/>
      <c r="W72" s="245"/>
      <c r="X72" s="245"/>
      <c r="Y72" s="245"/>
      <c r="Z72" s="245"/>
      <c r="AA72" s="245"/>
      <c r="AB72" s="245"/>
      <c r="AC72" s="245"/>
      <c r="AD72" s="245"/>
      <c r="AE72" s="245"/>
      <c r="AF72" s="245"/>
      <c r="AG72" s="245"/>
      <c r="AH72" s="245"/>
      <c r="AI72" s="245"/>
      <c r="AJ72" s="245"/>
      <c r="AK72" s="245"/>
      <c r="AL72" s="245"/>
      <c r="AM72" s="245"/>
    </row>
    <row r="73" spans="1:39" x14ac:dyDescent="0.2">
      <c r="A73" s="501">
        <f t="shared" si="2"/>
        <v>54</v>
      </c>
      <c r="B73" s="262" t="str">
        <f>CONCATENATE('3. Consumption by Rate Class'!B78,"-",'3. Consumption by Rate Class'!C78)</f>
        <v>2010-June</v>
      </c>
      <c r="C73" s="694">
        <v>7766307</v>
      </c>
      <c r="D73" s="700">
        <v>-483773</v>
      </c>
      <c r="E73" s="700">
        <v>-198061</v>
      </c>
      <c r="F73" s="700"/>
      <c r="G73" s="700"/>
      <c r="H73" s="700"/>
      <c r="I73" s="701"/>
      <c r="J73" s="263">
        <f t="shared" si="0"/>
        <v>7084473</v>
      </c>
      <c r="K73" s="722">
        <f>IF(K$18='5.Variables'!$B$16,+'5.Variables'!$H31,+IF(K$18='5.Variables'!$B$39,+'5.Variables'!$H54,+IF(K$18='5.Variables'!$B$62,+'5.Variables'!$H68,+IF(K$18='5.Variables'!$B$76,+'5.Variables'!$H82,+IF(K$18='5.Variables'!$B$90,+'5.Variables'!$H96,+IF(K$18='5.Variables'!$B$104,+'5.Variables'!$H110,0))))))</f>
        <v>34.799999999999997</v>
      </c>
      <c r="L73" s="722">
        <f>IF(L$18='5.Variables'!$B$16,+'5.Variables'!$H30,+IF(L$18='5.Variables'!$B$39,+'5.Variables'!$H54,+IF(L$18='5.Variables'!$B$62,+'5.Variables'!$H68,+IF(L$18='5.Variables'!$B$76,+'5.Variables'!$H82,+IF(L$18='5.Variables'!$B$90,+'5.Variables'!$H96,+IF(L$18='5.Variables'!$B$104,+'5.Variables'!$H110,0))))))</f>
        <v>36.4</v>
      </c>
      <c r="M73" s="722">
        <f>IF(M$18='5.Variables'!$B$16,+'5.Variables'!$H30,+IF(M$18='5.Variables'!$B$39,+'5.Variables'!$H54,+IF(M$18='5.Variables'!$B$62,+'5.Variables'!$H68,+IF(M$18='5.Variables'!$B$76,+'5.Variables'!$H82,+IF(M$18='5.Variables'!$B$90,+'5.Variables'!$H96,+IF(M$18='5.Variables'!$B$104,+'5.Variables'!$H110,0))))))</f>
        <v>30</v>
      </c>
      <c r="N73" s="722">
        <f>IF(N$18='5.Variables'!$B$16,+'5.Variables'!$H30,+IF(N$18='5.Variables'!$B$39,+'5.Variables'!$H54,+IF(N$18='5.Variables'!$B$62,+'5.Variables'!$H68,+IF(N$18='5.Variables'!$B$76,+'5.Variables'!$H82,+IF(N$18='5.Variables'!$B$90,+'5.Variables'!$H96,+IF(N$18='5.Variables'!$B$104,+'5.Variables'!$H110,0))))))</f>
        <v>364.5</v>
      </c>
      <c r="O73" s="722">
        <f>IF(O$18='5.Variables'!$B$16,+'5.Variables'!$H30,+IF(O$18='5.Variables'!$B$39,+'5.Variables'!$H54,+IF(O$18='5.Variables'!$B$62,+'5.Variables'!$H68,+IF(O$18='5.Variables'!$B$76,+'5.Variables'!$H82,+IF(O$18='5.Variables'!$B$90,+'5.Variables'!$H96,+IF(O$18='5.Variables'!$B$104,+'5.Variables'!$H110,0))))))</f>
        <v>15.35</v>
      </c>
      <c r="P73" s="983">
        <f>IF(P$18='5.Variables'!$B$16,+'5.Variables'!$H30,+IF(P$18='5.Variables'!$B$39,+'5.Variables'!$H54,+IF(P$18='5.Variables'!$B$62,+'5.Variables'!$H68,+IF(P$18='5.Variables'!$B$76,+'5.Variables'!$H82,+IF(P$18='5.Variables'!$B$90,+'5.Variables'!$H96,+IF(P$18='5.Variables'!$B$104,+'5.Variables'!$H110,0))))))</f>
        <v>0</v>
      </c>
      <c r="Q73" s="245"/>
      <c r="R73" s="556">
        <f t="shared" si="1"/>
        <v>6698531.1321973959</v>
      </c>
      <c r="S73" s="265"/>
      <c r="T73" s="245"/>
      <c r="U73" s="245" t="s">
        <v>167</v>
      </c>
      <c r="V73" s="245"/>
      <c r="W73" s="245"/>
      <c r="X73" s="245"/>
      <c r="Y73" s="245"/>
      <c r="Z73" s="245"/>
      <c r="AA73" s="245"/>
      <c r="AB73" s="245"/>
      <c r="AC73" s="245"/>
      <c r="AD73" s="245"/>
      <c r="AE73" s="245"/>
      <c r="AF73" s="245"/>
      <c r="AG73" s="245"/>
      <c r="AH73" s="245"/>
      <c r="AI73" s="245"/>
      <c r="AJ73" s="245"/>
      <c r="AK73" s="245"/>
      <c r="AL73" s="245"/>
      <c r="AM73" s="245"/>
    </row>
    <row r="74" spans="1:39" x14ac:dyDescent="0.2">
      <c r="A74" s="501">
        <f t="shared" si="2"/>
        <v>55</v>
      </c>
      <c r="B74" s="262" t="str">
        <f>CONCATENATE('3. Consumption by Rate Class'!B79,"-",'3. Consumption by Rate Class'!C79)</f>
        <v>2010-July</v>
      </c>
      <c r="C74" s="694">
        <v>8939793</v>
      </c>
      <c r="D74" s="700">
        <v>-505641</v>
      </c>
      <c r="E74" s="700">
        <v>-214547</v>
      </c>
      <c r="F74" s="700"/>
      <c r="G74" s="700"/>
      <c r="H74" s="700"/>
      <c r="I74" s="701"/>
      <c r="J74" s="263">
        <f t="shared" si="0"/>
        <v>8219605</v>
      </c>
      <c r="K74" s="722">
        <f>IF(K$18='5.Variables'!$B$16,+'5.Variables'!$I31,+IF(K$18='5.Variables'!$B$39,+'5.Variables'!$I54,+IF(K$18='5.Variables'!$B$62,+'5.Variables'!$I68,+IF(K$18='5.Variables'!$B$76,+'5.Variables'!$I82,+IF(K$18='5.Variables'!$B$90,+'5.Variables'!$I96,+IF(K$18='5.Variables'!$B$104,+'5.Variables'!$I110,0))))))</f>
        <v>7.1</v>
      </c>
      <c r="L74" s="722">
        <f>IF(L$18='5.Variables'!$B$16,+'5.Variables'!$I30,+IF(L$18='5.Variables'!$B$39,+'5.Variables'!$I54,+IF(L$18='5.Variables'!$B$62,+'5.Variables'!$I68,+IF(L$18='5.Variables'!$B$76,+'5.Variables'!$I82,+IF(L$18='5.Variables'!$B$90,+'5.Variables'!$I96,+IF(L$18='5.Variables'!$B$104,+'5.Variables'!$I110,0))))))</f>
        <v>149.00000000000006</v>
      </c>
      <c r="M74" s="722">
        <f>IF(M$18='5.Variables'!$B$16,+'5.Variables'!$I30,+IF(M$18='5.Variables'!$B$39,+'5.Variables'!$I54,+IF(M$18='5.Variables'!$B$62,+'5.Variables'!$I68,+IF(M$18='5.Variables'!$B$76,+'5.Variables'!$I82,+IF(M$18='5.Variables'!$B$90,+'5.Variables'!$I96,+IF(M$18='5.Variables'!$B$104,+'5.Variables'!$I110,0))))))</f>
        <v>31</v>
      </c>
      <c r="N74" s="722">
        <f>IF(N$18='5.Variables'!$B$16,+'5.Variables'!$I30,+IF(N$18='5.Variables'!$B$39,+'5.Variables'!$I54,+IF(N$18='5.Variables'!$B$62,+'5.Variables'!$I68,+IF(N$18='5.Variables'!$B$76,+'5.Variables'!$I82,+IF(N$18='5.Variables'!$B$90,+'5.Variables'!$I96,+IF(N$18='5.Variables'!$B$104,+'5.Variables'!$I110,0))))))</f>
        <v>364.8</v>
      </c>
      <c r="O74" s="722">
        <f>IF(O$18='5.Variables'!$B$16,+'5.Variables'!$I30,+IF(O$18='5.Variables'!$B$39,+'5.Variables'!$I54,+IF(O$18='5.Variables'!$B$62,+'5.Variables'!$I68,+IF(O$18='5.Variables'!$B$76,+'5.Variables'!$I82,+IF(O$18='5.Variables'!$B$90,+'5.Variables'!$I96,+IF(O$18='5.Variables'!$B$104,+'5.Variables'!$I110,0))))))</f>
        <v>15.15</v>
      </c>
      <c r="P74" s="983">
        <f>IF(P$18='5.Variables'!$B$16,+'5.Variables'!$I30,+IF(P$18='5.Variables'!$B$39,+'5.Variables'!$I54,+IF(P$18='5.Variables'!$B$62,+'5.Variables'!$I68,+IF(P$18='5.Variables'!$B$76,+'5.Variables'!$I82,+IF(P$18='5.Variables'!$B$90,+'5.Variables'!$I96,+IF(P$18='5.Variables'!$B$104,+'5.Variables'!$I110,0))))))</f>
        <v>1</v>
      </c>
      <c r="Q74" s="245"/>
      <c r="R74" s="556">
        <f t="shared" si="1"/>
        <v>8654891.038327245</v>
      </c>
      <c r="S74" s="265"/>
      <c r="T74" s="245"/>
      <c r="U74" s="245"/>
      <c r="V74" s="245"/>
      <c r="W74" s="245"/>
      <c r="X74" s="245"/>
      <c r="Y74" s="245"/>
      <c r="Z74" s="245"/>
      <c r="AA74" s="245"/>
      <c r="AB74" s="245"/>
      <c r="AC74" s="245"/>
      <c r="AD74" s="245"/>
      <c r="AE74" s="245"/>
      <c r="AF74" s="245"/>
      <c r="AG74" s="245"/>
      <c r="AH74" s="245"/>
      <c r="AI74" s="245"/>
      <c r="AJ74" s="245"/>
      <c r="AK74" s="245"/>
      <c r="AL74" s="245"/>
      <c r="AM74" s="245"/>
    </row>
    <row r="75" spans="1:39" x14ac:dyDescent="0.2">
      <c r="A75" s="501">
        <f t="shared" si="2"/>
        <v>56</v>
      </c>
      <c r="B75" s="262" t="str">
        <f>CONCATENATE('3. Consumption by Rate Class'!B80,"-",'3. Consumption by Rate Class'!C80)</f>
        <v>2010-August</v>
      </c>
      <c r="C75" s="694">
        <v>8377877</v>
      </c>
      <c r="D75" s="700">
        <v>-478590</v>
      </c>
      <c r="E75" s="700">
        <v>-219153</v>
      </c>
      <c r="F75" s="700"/>
      <c r="G75" s="700"/>
      <c r="H75" s="700"/>
      <c r="I75" s="701"/>
      <c r="J75" s="263">
        <f t="shared" si="0"/>
        <v>7680134</v>
      </c>
      <c r="K75" s="722">
        <f>IF(K$18='5.Variables'!$B$16,+'5.Variables'!$J31,+IF(K$18='5.Variables'!$B$39,+'5.Variables'!$J54,+IF(K$18='5.Variables'!$B$62,+'5.Variables'!$J68,+IF(K$18='5.Variables'!$B$76,+'5.Variables'!$J82,+IF(K$18='5.Variables'!$B$90,+'5.Variables'!$J96,+IF(K$18='5.Variables'!$B$104,+'5.Variables'!$J110,0))))))</f>
        <v>16.2</v>
      </c>
      <c r="L75" s="722">
        <f>IF(L$18='5.Variables'!$B$16,+'5.Variables'!$J30,+IF(L$18='5.Variables'!$B$39,+'5.Variables'!$J54,+IF(L$18='5.Variables'!$B$62,+'5.Variables'!$J68,+IF(L$18='5.Variables'!$B$76,+'5.Variables'!$J82,+IF(L$18='5.Variables'!$B$90,+'5.Variables'!$J96,+IF(L$18='5.Variables'!$B$104,+'5.Variables'!$J110,0))))))</f>
        <v>77.199999999999989</v>
      </c>
      <c r="M75" s="722">
        <f>IF(M$18='5.Variables'!$B$16,+'5.Variables'!$J30,+IF(M$18='5.Variables'!$B$39,+'5.Variables'!$J54,+IF(M$18='5.Variables'!$B$62,+'5.Variables'!$J68,+IF(M$18='5.Variables'!$B$76,+'5.Variables'!$J82,+IF(M$18='5.Variables'!$B$90,+'5.Variables'!$J96,+IF(M$18='5.Variables'!$B$104,+'5.Variables'!$J110,0))))))</f>
        <v>31</v>
      </c>
      <c r="N75" s="722">
        <f>IF(N$18='5.Variables'!$B$16,+'5.Variables'!$J30,+IF(N$18='5.Variables'!$B$39,+'5.Variables'!$J54,+IF(N$18='5.Variables'!$B$62,+'5.Variables'!$J68,+IF(N$18='5.Variables'!$B$76,+'5.Variables'!$J82,+IF(N$18='5.Variables'!$B$90,+'5.Variables'!$J96,+IF(N$18='5.Variables'!$B$104,+'5.Variables'!$J110,0))))))</f>
        <v>365.2</v>
      </c>
      <c r="O75" s="722">
        <f>IF(O$18='5.Variables'!$B$16,+'5.Variables'!$J30,+IF(O$18='5.Variables'!$B$39,+'5.Variables'!$J54,+IF(O$18='5.Variables'!$B$62,+'5.Variables'!$J68,+IF(O$18='5.Variables'!$B$76,+'5.Variables'!$J82,+IF(O$18='5.Variables'!$B$90,+'5.Variables'!$J96,+IF(O$18='5.Variables'!$B$104,+'5.Variables'!$J110,0))))))</f>
        <v>14.03</v>
      </c>
      <c r="P75" s="983">
        <f>IF(P$18='5.Variables'!$B$16,+'5.Variables'!$J30,+IF(P$18='5.Variables'!$B$39,+'5.Variables'!$J54,+IF(P$18='5.Variables'!$B$62,+'5.Variables'!$J68,+IF(P$18='5.Variables'!$B$76,+'5.Variables'!$J82,+IF(P$18='5.Variables'!$B$90,+'5.Variables'!$J96,+IF(P$18='5.Variables'!$B$104,+'5.Variables'!$J110,0))))))</f>
        <v>0</v>
      </c>
      <c r="Q75" s="245"/>
      <c r="R75" s="556">
        <f t="shared" si="1"/>
        <v>7528533.2795853745</v>
      </c>
      <c r="S75" s="265"/>
      <c r="T75" s="245"/>
      <c r="U75" s="532" t="s">
        <v>33</v>
      </c>
      <c r="V75" s="532" t="s">
        <v>243</v>
      </c>
      <c r="W75" s="533" t="s">
        <v>45</v>
      </c>
      <c r="X75" s="245"/>
      <c r="Y75" s="245"/>
      <c r="Z75" s="245"/>
      <c r="AA75" s="245"/>
      <c r="AB75" s="245"/>
      <c r="AC75" s="245"/>
      <c r="AD75" s="245"/>
      <c r="AE75" s="245"/>
      <c r="AF75" s="245"/>
      <c r="AG75" s="245"/>
      <c r="AH75" s="245"/>
      <c r="AI75" s="245"/>
      <c r="AJ75" s="245"/>
      <c r="AK75" s="245"/>
      <c r="AL75" s="245"/>
      <c r="AM75" s="245"/>
    </row>
    <row r="76" spans="1:39" x14ac:dyDescent="0.2">
      <c r="A76" s="501">
        <f t="shared" si="2"/>
        <v>57</v>
      </c>
      <c r="B76" s="262" t="str">
        <f>CONCATENATE('3. Consumption by Rate Class'!B81,"-",'3. Consumption by Rate Class'!C81)</f>
        <v>2010-September</v>
      </c>
      <c r="C76" s="694">
        <v>7625677</v>
      </c>
      <c r="D76" s="700">
        <v>-485646</v>
      </c>
      <c r="E76" s="700">
        <v>-216382</v>
      </c>
      <c r="F76" s="700"/>
      <c r="G76" s="700"/>
      <c r="H76" s="701"/>
      <c r="I76" s="701"/>
      <c r="J76" s="263">
        <f t="shared" si="0"/>
        <v>6923649</v>
      </c>
      <c r="K76" s="722">
        <f>IF(K$18='5.Variables'!$B$16,+'5.Variables'!$K31,+IF(K$18='5.Variables'!$B$39,+'5.Variables'!$K54,+IF(K$18='5.Variables'!$B$62,+'5.Variables'!$K68,+IF(K$18='5.Variables'!$B$76,+'5.Variables'!$K82,+IF(K$18='5.Variables'!$B$90,+'5.Variables'!$K96,+IF(K$18='5.Variables'!$B$104,+'5.Variables'!$K110,0))))))</f>
        <v>110.30000000000001</v>
      </c>
      <c r="L76" s="722">
        <f>IF(L$18='5.Variables'!$B$16,+'5.Variables'!$K30,+IF(L$18='5.Variables'!$B$39,+'5.Variables'!$K54,+IF(L$18='5.Variables'!$B$62,+'5.Variables'!$K68,+IF(L$18='5.Variables'!$B$76,+'5.Variables'!$K82,+IF(L$18='5.Variables'!$B$90,+'5.Variables'!$K96,+IF(L$18='5.Variables'!$B$104,+'5.Variables'!$K110,0))))))</f>
        <v>26.400000000000002</v>
      </c>
      <c r="M76" s="722">
        <f>IF(M$18='5.Variables'!$B$16,+'5.Variables'!$K30,+IF(M$18='5.Variables'!$B$39,+'5.Variables'!$K54,+IF(M$18='5.Variables'!$B$62,+'5.Variables'!$K68,+IF(M$18='5.Variables'!$B$76,+'5.Variables'!$K82,+IF(M$18='5.Variables'!$B$90,+'5.Variables'!$K96,+IF(M$18='5.Variables'!$B$104,+'5.Variables'!$K110,0))))))</f>
        <v>30</v>
      </c>
      <c r="N76" s="722">
        <f>IF(N$18='5.Variables'!$B$16,+'5.Variables'!$K30,+IF(N$18='5.Variables'!$B$39,+'5.Variables'!$K54,+IF(N$18='5.Variables'!$B$62,+'5.Variables'!$K68,+IF(N$18='5.Variables'!$B$76,+'5.Variables'!$K82,+IF(N$18='5.Variables'!$B$90,+'5.Variables'!$K96,+IF(N$18='5.Variables'!$B$104,+'5.Variables'!$K110,0))))))</f>
        <v>365.5</v>
      </c>
      <c r="O76" s="722">
        <f>IF(O$18='5.Variables'!$B$16,+'5.Variables'!$K30,+IF(O$18='5.Variables'!$B$39,+'5.Variables'!$K54,+IF(O$18='5.Variables'!$B$62,+'5.Variables'!$K68,+IF(O$18='5.Variables'!$B$76,+'5.Variables'!$K82,+IF(O$18='5.Variables'!$B$90,+'5.Variables'!$K96,+IF(O$18='5.Variables'!$B$104,+'5.Variables'!$K110,0))))))</f>
        <v>12.29</v>
      </c>
      <c r="P76" s="983">
        <f>IF(P$18='5.Variables'!$B$16,+'5.Variables'!$K30,+IF(P$18='5.Variables'!$B$39,+'5.Variables'!$K54,+IF(P$18='5.Variables'!$B$62,+'5.Variables'!$K68,+IF(P$18='5.Variables'!$B$76,+'5.Variables'!$K82,+IF(P$18='5.Variables'!$B$90,+'5.Variables'!$K96,+IF(P$18='5.Variables'!$B$104,+'5.Variables'!$K110,0))))))</f>
        <v>0</v>
      </c>
      <c r="Q76" s="245"/>
      <c r="R76" s="556">
        <f t="shared" si="1"/>
        <v>6846215.7105846163</v>
      </c>
      <c r="S76" s="265"/>
      <c r="T76" s="245"/>
      <c r="U76" s="531">
        <v>2015</v>
      </c>
      <c r="V76" s="529">
        <f>S151</f>
        <v>89171155.158611655</v>
      </c>
      <c r="W76" s="530">
        <f>(V76-V68)/V68</f>
        <v>-1.4716138627746688E-2</v>
      </c>
      <c r="X76" s="245"/>
      <c r="Y76" s="245"/>
      <c r="Z76" s="245"/>
      <c r="AA76" s="245"/>
      <c r="AB76" s="245"/>
      <c r="AC76" s="245"/>
      <c r="AD76" s="245"/>
      <c r="AE76" s="245"/>
      <c r="AF76" s="245"/>
      <c r="AG76" s="245"/>
      <c r="AH76" s="245"/>
      <c r="AI76" s="245"/>
      <c r="AJ76" s="245"/>
      <c r="AK76" s="245"/>
      <c r="AL76" s="245"/>
      <c r="AM76" s="245"/>
    </row>
    <row r="77" spans="1:39" x14ac:dyDescent="0.2">
      <c r="A77" s="501">
        <f t="shared" si="2"/>
        <v>58</v>
      </c>
      <c r="B77" s="262" t="str">
        <f>CONCATENATE('3. Consumption by Rate Class'!B82,"-",'3. Consumption by Rate Class'!C82)</f>
        <v>2010-October</v>
      </c>
      <c r="C77" s="694">
        <v>7736468</v>
      </c>
      <c r="D77" s="700">
        <v>-465953</v>
      </c>
      <c r="E77" s="700">
        <v>-185744</v>
      </c>
      <c r="F77" s="700"/>
      <c r="G77" s="700"/>
      <c r="H77" s="701"/>
      <c r="I77" s="701"/>
      <c r="J77" s="263">
        <f t="shared" si="0"/>
        <v>7084771</v>
      </c>
      <c r="K77" s="722">
        <f>IF(K$18='5.Variables'!$B$16,+'5.Variables'!$L31,+IF(K$18='5.Variables'!$B$39,+'5.Variables'!$L54,+IF(K$18='5.Variables'!$B$62,+'5.Variables'!$L68,+IF(K$18='5.Variables'!$B$76,+'5.Variables'!$L82,+IF(K$18='5.Variables'!$B$90,+'5.Variables'!$L96,+IF(K$18='5.Variables'!$B$104,+'5.Variables'!$L110,0))))))</f>
        <v>309.90000000000003</v>
      </c>
      <c r="L77" s="722">
        <f>IF(L$18='5.Variables'!$B$16,+'5.Variables'!$L30,+IF(L$18='5.Variables'!$B$39,+'5.Variables'!$L54,+IF(L$18='5.Variables'!$B$62,+'5.Variables'!$L68,+IF(L$18='5.Variables'!$B$76,+'5.Variables'!$L82,+IF(L$18='5.Variables'!$B$90,+'5.Variables'!$L96,+IF(L$18='5.Variables'!$B$104,+'5.Variables'!$L110,0))))))</f>
        <v>0</v>
      </c>
      <c r="M77" s="722">
        <f>IF(M$18='5.Variables'!$B$16,+'5.Variables'!$L30,+IF(M$18='5.Variables'!$B$39,+'5.Variables'!$L54,+IF(M$18='5.Variables'!$B$62,+'5.Variables'!$L68,+IF(M$18='5.Variables'!$B$76,+'5.Variables'!$L82,+IF(M$18='5.Variables'!$B$90,+'5.Variables'!$L96,+IF(M$18='5.Variables'!$B$104,+'5.Variables'!$L110,0))))))</f>
        <v>31</v>
      </c>
      <c r="N77" s="722">
        <f>IF(N$18='5.Variables'!$B$16,+'5.Variables'!$L30,+IF(N$18='5.Variables'!$B$39,+'5.Variables'!$L54,+IF(N$18='5.Variables'!$B$62,+'5.Variables'!$L68,+IF(N$18='5.Variables'!$B$76,+'5.Variables'!$L82,+IF(N$18='5.Variables'!$B$90,+'5.Variables'!$L96,+IF(N$18='5.Variables'!$B$104,+'5.Variables'!$L110,0))))))</f>
        <v>365.7</v>
      </c>
      <c r="O77" s="722">
        <f>IF(O$18='5.Variables'!$B$16,+'5.Variables'!$L30,+IF(O$18='5.Variables'!$B$39,+'5.Variables'!$L54,+IF(O$18='5.Variables'!$B$62,+'5.Variables'!$L68,+IF(O$18='5.Variables'!$B$76,+'5.Variables'!$L82,+IF(O$18='5.Variables'!$B$90,+'5.Variables'!$L96,+IF(O$18='5.Variables'!$B$104,+'5.Variables'!$L110,0))))))</f>
        <v>10.51</v>
      </c>
      <c r="P77" s="983">
        <f>IF(P$18='5.Variables'!$B$16,+'5.Variables'!$L30,+IF(P$18='5.Variables'!$B$39,+'5.Variables'!$L54,+IF(P$18='5.Variables'!$B$62,+'5.Variables'!$L68,+IF(P$18='5.Variables'!$B$76,+'5.Variables'!$L82,+IF(P$18='5.Variables'!$B$90,+'5.Variables'!$L96,+IF(P$18='5.Variables'!$B$104,+'5.Variables'!$L110,0))))))</f>
        <v>0</v>
      </c>
      <c r="Q77" s="245"/>
      <c r="R77" s="556">
        <f t="shared" si="1"/>
        <v>7301494.3463974884</v>
      </c>
      <c r="S77" s="265"/>
      <c r="T77" s="245"/>
      <c r="U77" s="531">
        <v>2016</v>
      </c>
      <c r="V77" s="529">
        <f>S163</f>
        <v>88459446.445960715</v>
      </c>
      <c r="W77" s="530">
        <f>(V77-V76)/V76</f>
        <v>-7.981378186533529E-3</v>
      </c>
      <c r="X77" s="245"/>
      <c r="Y77" s="245"/>
      <c r="Z77" s="245"/>
      <c r="AA77" s="245"/>
      <c r="AB77" s="245"/>
      <c r="AC77" s="245"/>
      <c r="AD77" s="245"/>
      <c r="AE77" s="245"/>
      <c r="AF77" s="245"/>
      <c r="AG77" s="245"/>
      <c r="AH77" s="245"/>
      <c r="AI77" s="245"/>
      <c r="AJ77" s="245"/>
      <c r="AK77" s="245"/>
      <c r="AL77" s="245"/>
      <c r="AM77" s="245"/>
    </row>
    <row r="78" spans="1:39" x14ac:dyDescent="0.2">
      <c r="A78" s="501">
        <f t="shared" si="2"/>
        <v>59</v>
      </c>
      <c r="B78" s="262" t="str">
        <f>CONCATENATE('3. Consumption by Rate Class'!B83,"-",'3. Consumption by Rate Class'!C83)</f>
        <v>2010-November</v>
      </c>
      <c r="C78" s="694">
        <v>8261354</v>
      </c>
      <c r="D78" s="700">
        <v>-456016</v>
      </c>
      <c r="E78" s="700">
        <v>-143546</v>
      </c>
      <c r="F78" s="700"/>
      <c r="G78" s="700"/>
      <c r="H78" s="701"/>
      <c r="I78" s="701"/>
      <c r="J78" s="263">
        <f t="shared" si="0"/>
        <v>7661792</v>
      </c>
      <c r="K78" s="722">
        <f>IF(K$18='5.Variables'!$B$16,+'5.Variables'!$M31,+IF(K$18='5.Variables'!$B$39,+'5.Variables'!$M54,+IF(K$18='5.Variables'!$B$62,+'5.Variables'!$M68,+IF(K$18='5.Variables'!$B$76,+'5.Variables'!$M82,+IF(K$18='5.Variables'!$B$90,+'5.Variables'!$M96,+IF(K$18='5.Variables'!$B$104,+'5.Variables'!$M110,0))))))</f>
        <v>477.8</v>
      </c>
      <c r="L78" s="722">
        <f>IF(L$18='5.Variables'!$B$16,+'5.Variables'!$M30,+IF(L$18='5.Variables'!$B$39,+'5.Variables'!$M54,+IF(L$18='5.Variables'!$B$62,+'5.Variables'!$M68,+IF(L$18='5.Variables'!$B$76,+'5.Variables'!$M82,+IF(L$18='5.Variables'!$B$90,+'5.Variables'!$M96,+IF(L$18='5.Variables'!$B$104,+'5.Variables'!$M110,0))))))</f>
        <v>0</v>
      </c>
      <c r="M78" s="722">
        <f>IF(M$18='5.Variables'!$B$16,+'5.Variables'!$M30,+IF(M$18='5.Variables'!$B$39,+'5.Variables'!$M54,+IF(M$18='5.Variables'!$B$62,+'5.Variables'!$M68,+IF(M$18='5.Variables'!$B$76,+'5.Variables'!$M82,+IF(M$18='5.Variables'!$B$90,+'5.Variables'!$M96,+IF(M$18='5.Variables'!$B$104,+'5.Variables'!$M110,0))))))</f>
        <v>30</v>
      </c>
      <c r="N78" s="722">
        <f>IF(N$18='5.Variables'!$B$16,+'5.Variables'!$M30,+IF(N$18='5.Variables'!$B$39,+'5.Variables'!$M54,+IF(N$18='5.Variables'!$B$62,+'5.Variables'!$M68,+IF(N$18='5.Variables'!$B$76,+'5.Variables'!$M82,+IF(N$18='5.Variables'!$B$90,+'5.Variables'!$M96,+IF(N$18='5.Variables'!$B$104,+'5.Variables'!$M110,0))))))</f>
        <v>365.8</v>
      </c>
      <c r="O78" s="722">
        <f>IF(O$18='5.Variables'!$B$16,+'5.Variables'!$M30,+IF(O$18='5.Variables'!$B$39,+'5.Variables'!$M54,+IF(O$18='5.Variables'!$B$62,+'5.Variables'!$M68,+IF(O$18='5.Variables'!$B$76,+'5.Variables'!$M82,+IF(O$18='5.Variables'!$B$90,+'5.Variables'!$M96,+IF(O$18='5.Variables'!$B$104,+'5.Variables'!$M110,0))))))</f>
        <v>9.2799999999999994</v>
      </c>
      <c r="P78" s="983">
        <f>IF(P$18='5.Variables'!$B$16,+'5.Variables'!$M30,+IF(P$18='5.Variables'!$B$39,+'5.Variables'!$M54,+IF(P$18='5.Variables'!$B$62,+'5.Variables'!$M68,+IF(P$18='5.Variables'!$B$76,+'5.Variables'!$M82,+IF(P$18='5.Variables'!$B$90,+'5.Variables'!$M96,+IF(P$18='5.Variables'!$B$104,+'5.Variables'!$M110,0))))))</f>
        <v>0</v>
      </c>
      <c r="Q78" s="245"/>
      <c r="R78" s="556">
        <f t="shared" si="1"/>
        <v>7681529.3478957377</v>
      </c>
      <c r="S78" s="265"/>
      <c r="T78" s="245"/>
      <c r="U78" s="245"/>
      <c r="V78" s="245"/>
      <c r="W78" s="245"/>
      <c r="X78" s="245"/>
      <c r="Y78" s="245"/>
      <c r="Z78" s="245"/>
      <c r="AA78" s="245"/>
      <c r="AB78" s="245"/>
      <c r="AC78" s="245"/>
      <c r="AD78" s="245"/>
      <c r="AE78" s="245"/>
      <c r="AF78" s="245"/>
      <c r="AG78" s="245"/>
      <c r="AH78" s="245"/>
      <c r="AI78" s="245"/>
      <c r="AJ78" s="245"/>
      <c r="AK78" s="245"/>
      <c r="AL78" s="245"/>
      <c r="AM78" s="245"/>
    </row>
    <row r="79" spans="1:39" x14ac:dyDescent="0.2">
      <c r="A79" s="501">
        <f t="shared" si="2"/>
        <v>60</v>
      </c>
      <c r="B79" s="520" t="str">
        <f>CONCATENATE('3. Consumption by Rate Class'!B84,"-",'3. Consumption by Rate Class'!C84)</f>
        <v>2010-December</v>
      </c>
      <c r="C79" s="695">
        <v>9216196</v>
      </c>
      <c r="D79" s="702">
        <v>-476096</v>
      </c>
      <c r="E79" s="702">
        <v>-145653</v>
      </c>
      <c r="F79" s="702"/>
      <c r="G79" s="702"/>
      <c r="H79" s="703"/>
      <c r="I79" s="703"/>
      <c r="J79" s="263">
        <f t="shared" si="0"/>
        <v>8594447</v>
      </c>
      <c r="K79" s="722">
        <f>IF(K$18='5.Variables'!$B$16,+'5.Variables'!$N31,+IF(K$18='5.Variables'!$B$39,+'5.Variables'!$N54,+IF(K$18='5.Variables'!$B$62,+'5.Variables'!$N68,+IF(K$18='5.Variables'!$B$76,+'5.Variables'!$N82,+IF(K$18='5.Variables'!$B$90,+'5.Variables'!$N96,+IF(K$18='5.Variables'!$B$104,+'5.Variables'!$N110,0))))))</f>
        <v>728.4000000000002</v>
      </c>
      <c r="L79" s="722">
        <f>IF(L$18='5.Variables'!$B$16,+'5.Variables'!$N30,+IF(L$18='5.Variables'!$B$39,+'5.Variables'!$N54,+IF(L$18='5.Variables'!$B$62,+'5.Variables'!$N68,+IF(L$18='5.Variables'!$B$76,+'5.Variables'!$N82,+IF(L$18='5.Variables'!$B$90,+'5.Variables'!$N96,+IF(L$18='5.Variables'!$B$104,+'5.Variables'!$N110,0))))))</f>
        <v>0</v>
      </c>
      <c r="M79" s="722">
        <f>IF(M$18='5.Variables'!$B$16,+'5.Variables'!$N30,+IF(M$18='5.Variables'!$B$39,+'5.Variables'!$N54,+IF(M$18='5.Variables'!$B$62,+'5.Variables'!$N68,+IF(M$18='5.Variables'!$B$76,+'5.Variables'!$N82,+IF(M$18='5.Variables'!$B$90,+'5.Variables'!$N96,+IF(M$18='5.Variables'!$B$104,+'5.Variables'!$N110,0))))))</f>
        <v>31</v>
      </c>
      <c r="N79" s="722">
        <f>IF(N$18='5.Variables'!$B$16,+'5.Variables'!$N30,+IF(N$18='5.Variables'!$B$39,+'5.Variables'!$N54,+IF(N$18='5.Variables'!$B$62,+'5.Variables'!$N68,+IF(N$18='5.Variables'!$B$76,+'5.Variables'!$N82,+IF(N$18='5.Variables'!$B$90,+'5.Variables'!$N96,+IF(N$18='5.Variables'!$B$104,+'5.Variables'!$N110,0))))))</f>
        <v>365.9</v>
      </c>
      <c r="O79" s="722">
        <f>IF(O$18='5.Variables'!$B$16,+'5.Variables'!$N30,+IF(O$18='5.Variables'!$B$39,+'5.Variables'!$N54,+IF(O$18='5.Variables'!$B$62,+'5.Variables'!$N68,+IF(O$18='5.Variables'!$B$76,+'5.Variables'!$N82,+IF(O$18='5.Variables'!$B$90,+'5.Variables'!$N96,+IF(O$18='5.Variables'!$B$104,+'5.Variables'!$N110,0))))))</f>
        <v>8.4700000000000006</v>
      </c>
      <c r="P79" s="983">
        <f>IF(P$18='5.Variables'!$B$16,+'5.Variables'!$N30,+IF(P$18='5.Variables'!$B$39,+'5.Variables'!$N54,+IF(P$18='5.Variables'!$B$62,+'5.Variables'!$N68,+IF(P$18='5.Variables'!$B$76,+'5.Variables'!$N82,+IF(P$18='5.Variables'!$B$90,+'5.Variables'!$N96,+IF(P$18='5.Variables'!$B$104,+'5.Variables'!$N110,0))))))</f>
        <v>1</v>
      </c>
      <c r="Q79" s="245"/>
      <c r="R79" s="556">
        <f t="shared" si="1"/>
        <v>8708426.2776103485</v>
      </c>
      <c r="S79" s="265">
        <f>SUM(R68:R79)</f>
        <v>91956572.796058238</v>
      </c>
      <c r="T79" s="245"/>
      <c r="U79" s="274"/>
      <c r="V79" s="245"/>
      <c r="W79" s="245"/>
      <c r="X79" s="245"/>
      <c r="Y79" s="245"/>
      <c r="Z79" s="245"/>
      <c r="AA79" s="245"/>
      <c r="AB79" s="245"/>
      <c r="AC79" s="245"/>
      <c r="AD79" s="245"/>
      <c r="AE79" s="245"/>
      <c r="AF79" s="245"/>
      <c r="AG79" s="245"/>
      <c r="AH79" s="245"/>
      <c r="AI79" s="245"/>
      <c r="AJ79" s="245"/>
      <c r="AK79" s="245"/>
      <c r="AL79" s="245"/>
      <c r="AM79" s="245"/>
    </row>
    <row r="80" spans="1:39" x14ac:dyDescent="0.2">
      <c r="A80" s="501">
        <f t="shared" si="2"/>
        <v>61</v>
      </c>
      <c r="B80" s="262" t="str">
        <f>CONCATENATE('3. Consumption by Rate Class'!B85,"-",'3. Consumption by Rate Class'!C85)</f>
        <v>2011-January</v>
      </c>
      <c r="C80" s="694">
        <v>9759801</v>
      </c>
      <c r="D80" s="700">
        <v>-336214</v>
      </c>
      <c r="E80" s="700">
        <v>-129497</v>
      </c>
      <c r="F80" s="700"/>
      <c r="G80" s="700"/>
      <c r="H80" s="701"/>
      <c r="I80" s="701"/>
      <c r="J80" s="263">
        <f t="shared" si="0"/>
        <v>9294090</v>
      </c>
      <c r="K80" s="722">
        <f>IF(K$18='5.Variables'!$B$16,+'5.Variables'!$C32,+IF(K$18='5.Variables'!$B$39,+'5.Variables'!$C55,+IF(K$18='5.Variables'!$B$62,+'5.Variables'!$C69,+IF(K$18='5.Variables'!$B$76,+'5.Variables'!$C83,+IF(K$18='5.Variables'!$B$90,+'5.Variables'!$C97,+IF(K$18='5.Variables'!$B$104,+'5.Variables'!$C111,0))))))</f>
        <v>888.4</v>
      </c>
      <c r="L80" s="722">
        <f>IF(L$18='5.Variables'!$B$16,+'5.Variables'!$C31,+IF(L$18='5.Variables'!$B$39,+'5.Variables'!$C55,+IF(L$18='5.Variables'!$B$62,+'5.Variables'!$C69,+IF(L$18='5.Variables'!$B$76,+'5.Variables'!$C83,+IF(L$18='5.Variables'!$B$90,+'5.Variables'!$C97,+IF(L$18='5.Variables'!$B$104,+'5.Variables'!$C111,0))))))</f>
        <v>0</v>
      </c>
      <c r="M80" s="722">
        <f>IF(M$18='5.Variables'!$B$16,+'5.Variables'!$C31,+IF(M$18='5.Variables'!$B$39,+'5.Variables'!$C55,+IF(M$18='5.Variables'!$B$62,+'5.Variables'!$C69,+IF(M$18='5.Variables'!$B$76,+'5.Variables'!$C83,+IF(M$18='5.Variables'!$B$90,+'5.Variables'!$C97,+IF(M$18='5.Variables'!$B$104,+'5.Variables'!$C111,0))))))</f>
        <v>31</v>
      </c>
      <c r="N80" s="722">
        <f>IF(N$18='5.Variables'!$B$16,+'5.Variables'!$C31,+IF(N$18='5.Variables'!$B$39,+'5.Variables'!$C55,+IF(N$18='5.Variables'!$B$62,+'5.Variables'!$C69,+IF(N$18='5.Variables'!$B$76,+'5.Variables'!$C83,+IF(N$18='5.Variables'!$B$90,+'5.Variables'!$C97,+IF(N$18='5.Variables'!$B$104,+'5.Variables'!$C111,0))))))</f>
        <v>365.9</v>
      </c>
      <c r="O80" s="722">
        <f>IF(O$18='5.Variables'!$B$16,+'5.Variables'!$C31,+IF(O$18='5.Variables'!$B$39,+'5.Variables'!$C55,+IF(O$18='5.Variables'!$B$62,+'5.Variables'!$C69,+IF(O$18='5.Variables'!$B$76,+'5.Variables'!$C83,+IF(O$18='5.Variables'!$B$90,+'5.Variables'!$C97,+IF(O$18='5.Variables'!$B$104,+'5.Variables'!$C111,0))))))</f>
        <v>9.09</v>
      </c>
      <c r="P80" s="983">
        <f>IF(P$18='5.Variables'!$B$16,+'5.Variables'!$C31,+IF(P$18='5.Variables'!$B$39,+'5.Variables'!$C55,+IF(P$18='5.Variables'!$B$62,+'5.Variables'!$C69,+IF(P$18='5.Variables'!$B$76,+'5.Variables'!$C83,+IF(P$18='5.Variables'!$B$90,+'5.Variables'!$C97,+IF(P$18='5.Variables'!$B$104,+'5.Variables'!$C111,0))))))</f>
        <v>1</v>
      </c>
      <c r="Q80" s="245"/>
      <c r="R80" s="556">
        <f t="shared" si="1"/>
        <v>9206051.0445165839</v>
      </c>
      <c r="S80" s="265"/>
      <c r="T80" s="245"/>
      <c r="U80" s="274"/>
      <c r="V80" s="245"/>
      <c r="W80" s="245"/>
      <c r="X80" s="245"/>
      <c r="Y80" s="245"/>
      <c r="Z80" s="245"/>
      <c r="AA80" s="245"/>
      <c r="AB80" s="245"/>
      <c r="AC80" s="245"/>
      <c r="AD80" s="245"/>
      <c r="AE80" s="245"/>
      <c r="AF80" s="245"/>
      <c r="AG80" s="245"/>
      <c r="AH80" s="245"/>
      <c r="AI80" s="245"/>
      <c r="AJ80" s="245"/>
      <c r="AK80" s="245"/>
      <c r="AL80" s="245"/>
      <c r="AM80" s="245"/>
    </row>
    <row r="81" spans="1:39" x14ac:dyDescent="0.2">
      <c r="A81" s="501">
        <f t="shared" si="2"/>
        <v>62</v>
      </c>
      <c r="B81" s="262" t="str">
        <f>CONCATENATE('3. Consumption by Rate Class'!B86,"-",'3. Consumption by Rate Class'!C86)</f>
        <v>2011-February</v>
      </c>
      <c r="C81" s="694">
        <v>8352645</v>
      </c>
      <c r="D81" s="700">
        <v>-355422</v>
      </c>
      <c r="E81" s="700">
        <v>-141293</v>
      </c>
      <c r="F81" s="700"/>
      <c r="G81" s="700"/>
      <c r="H81" s="701"/>
      <c r="I81" s="701"/>
      <c r="J81" s="263">
        <f t="shared" si="0"/>
        <v>7855930</v>
      </c>
      <c r="K81" s="722">
        <f>IF(K$18='5.Variables'!$B$16,+'5.Variables'!$D32,+IF(K$18='5.Variables'!$B$39,+'5.Variables'!$D55,+IF(K$18='5.Variables'!$B$62,+'5.Variables'!$D69,+IF(K$18='5.Variables'!$B$76,+'5.Variables'!$D83,+IF(K$18='5.Variables'!$B$90,+'5.Variables'!$D97,+IF(K$18='5.Variables'!$B$104,+'5.Variables'!$D111,0))))))</f>
        <v>728.09999999999991</v>
      </c>
      <c r="L81" s="722">
        <f>IF(L$18='5.Variables'!$B$16,+'5.Variables'!$D31,+IF(L$18='5.Variables'!$B$39,+'5.Variables'!$D55,+IF(L$18='5.Variables'!$B$62,+'5.Variables'!$D69,+IF(L$18='5.Variables'!$B$76,+'5.Variables'!$D83,+IF(L$18='5.Variables'!$B$90,+'5.Variables'!$D97,+IF(L$18='5.Variables'!$B$104,+'5.Variables'!$D111,0))))))</f>
        <v>0</v>
      </c>
      <c r="M81" s="722">
        <f>IF(M$18='5.Variables'!$B$16,+'5.Variables'!$D31,+IF(M$18='5.Variables'!$B$39,+'5.Variables'!$D55,+IF(M$18='5.Variables'!$B$62,+'5.Variables'!$D69,+IF(M$18='5.Variables'!$B$76,+'5.Variables'!$D83,+IF(M$18='5.Variables'!$B$90,+'5.Variables'!$D97,+IF(M$18='5.Variables'!$B$104,+'5.Variables'!$D111,0))))))</f>
        <v>28</v>
      </c>
      <c r="N81" s="722">
        <f>IF(N$18='5.Variables'!$B$16,+'5.Variables'!$D31,+IF(N$18='5.Variables'!$B$39,+'5.Variables'!$D55,+IF(N$18='5.Variables'!$B$62,+'5.Variables'!$D69,+IF(N$18='5.Variables'!$B$76,+'5.Variables'!$D83,+IF(N$18='5.Variables'!$B$90,+'5.Variables'!$D97,+IF(N$18='5.Variables'!$B$104,+'5.Variables'!$D111,0))))))</f>
        <v>366</v>
      </c>
      <c r="O81" s="722">
        <f>IF(O$18='5.Variables'!$B$16,+'5.Variables'!$D31,+IF(O$18='5.Variables'!$B$39,+'5.Variables'!$D55,+IF(O$18='5.Variables'!$B$62,+'5.Variables'!$D69,+IF(O$18='5.Variables'!$B$76,+'5.Variables'!$D83,+IF(O$18='5.Variables'!$B$90,+'5.Variables'!$D97,+IF(O$18='5.Variables'!$B$104,+'5.Variables'!$D111,0))))))</f>
        <v>10.19</v>
      </c>
      <c r="P81" s="983">
        <f>IF(P$18='5.Variables'!$B$16,+'5.Variables'!$D31,+IF(P$18='5.Variables'!$B$39,+'5.Variables'!$D55,+IF(P$18='5.Variables'!$B$62,+'5.Variables'!$D69,+IF(P$18='5.Variables'!$B$76,+'5.Variables'!$D83,+IF(P$18='5.Variables'!$B$90,+'5.Variables'!$D97,+IF(P$18='5.Variables'!$B$104,+'5.Variables'!$D111,0))))))</f>
        <v>0</v>
      </c>
      <c r="Q81" s="245"/>
      <c r="R81" s="556">
        <f t="shared" si="1"/>
        <v>8064449.5294560138</v>
      </c>
      <c r="S81" s="265"/>
      <c r="T81" s="245"/>
      <c r="U81" s="274"/>
      <c r="V81" s="245"/>
      <c r="W81" s="245"/>
      <c r="X81" s="245"/>
      <c r="Y81" s="245"/>
      <c r="Z81" s="245"/>
      <c r="AA81" s="245"/>
      <c r="AB81" s="245"/>
      <c r="AC81" s="245"/>
      <c r="AD81" s="245"/>
      <c r="AE81" s="245"/>
      <c r="AF81" s="245"/>
      <c r="AG81" s="245"/>
      <c r="AH81" s="245"/>
      <c r="AI81" s="245"/>
      <c r="AJ81" s="245"/>
      <c r="AK81" s="245"/>
      <c r="AL81" s="245"/>
      <c r="AM81" s="245"/>
    </row>
    <row r="82" spans="1:39" x14ac:dyDescent="0.2">
      <c r="A82" s="501">
        <f t="shared" si="2"/>
        <v>63</v>
      </c>
      <c r="B82" s="262" t="str">
        <f>CONCATENATE('3. Consumption by Rate Class'!B87,"-",'3. Consumption by Rate Class'!C87)</f>
        <v>2011-March</v>
      </c>
      <c r="C82" s="694">
        <v>8492854</v>
      </c>
      <c r="D82" s="700">
        <v>-172624</v>
      </c>
      <c r="E82" s="700">
        <v>-130363</v>
      </c>
      <c r="F82" s="700"/>
      <c r="G82" s="700"/>
      <c r="H82" s="701"/>
      <c r="I82" s="701"/>
      <c r="J82" s="263">
        <f t="shared" si="0"/>
        <v>8189867</v>
      </c>
      <c r="K82" s="722">
        <f>IF(K$18='5.Variables'!$B$16,+'5.Variables'!$E32,+IF(K$18='5.Variables'!$B$39,+'5.Variables'!$E55,+IF(K$18='5.Variables'!$B$62,+'5.Variables'!$E69,+IF(K$18='5.Variables'!$B$76,+'5.Variables'!$E83,+IF(K$18='5.Variables'!$B$90,+'5.Variables'!$E97,+IF(K$18='5.Variables'!$B$104,+'5.Variables'!$E111,0))))))</f>
        <v>634.39999999999986</v>
      </c>
      <c r="L82" s="722">
        <f>IF(L$18='5.Variables'!$B$16,+'5.Variables'!$E31,+IF(L$18='5.Variables'!$B$39,+'5.Variables'!$E55,+IF(L$18='5.Variables'!$B$62,+'5.Variables'!$E69,+IF(L$18='5.Variables'!$B$76,+'5.Variables'!$E83,+IF(L$18='5.Variables'!$B$90,+'5.Variables'!$E97,+IF(L$18='5.Variables'!$B$104,+'5.Variables'!$E111,0))))))</f>
        <v>0</v>
      </c>
      <c r="M82" s="722">
        <f>IF(M$18='5.Variables'!$B$16,+'5.Variables'!$E31,+IF(M$18='5.Variables'!$B$39,+'5.Variables'!$E55,+IF(M$18='5.Variables'!$B$62,+'5.Variables'!$E69,+IF(M$18='5.Variables'!$B$76,+'5.Variables'!$E83,+IF(M$18='5.Variables'!$B$90,+'5.Variables'!$E97,+IF(M$18='5.Variables'!$B$104,+'5.Variables'!$E111,0))))))</f>
        <v>31</v>
      </c>
      <c r="N82" s="722">
        <f>IF(N$18='5.Variables'!$B$16,+'5.Variables'!$E31,+IF(N$18='5.Variables'!$B$39,+'5.Variables'!$E55,+IF(N$18='5.Variables'!$B$62,+'5.Variables'!$E69,+IF(N$18='5.Variables'!$B$76,+'5.Variables'!$E83,+IF(N$18='5.Variables'!$B$90,+'5.Variables'!$E97,+IF(N$18='5.Variables'!$B$104,+'5.Variables'!$E111,0))))))</f>
        <v>366.1</v>
      </c>
      <c r="O82" s="722">
        <f>IF(O$18='5.Variables'!$B$16,+'5.Variables'!$E31,+IF(O$18='5.Variables'!$B$39,+'5.Variables'!$E55,+IF(O$18='5.Variables'!$B$62,+'5.Variables'!$E69,+IF(O$18='5.Variables'!$B$76,+'5.Variables'!$E83,+IF(O$18='5.Variables'!$B$90,+'5.Variables'!$E97,+IF(O$18='5.Variables'!$B$104,+'5.Variables'!$E111,0))))))</f>
        <v>11.51</v>
      </c>
      <c r="P82" s="983">
        <f>IF(P$18='5.Variables'!$B$16,+'5.Variables'!$E31,+IF(P$18='5.Variables'!$B$39,+'5.Variables'!$E55,+IF(P$18='5.Variables'!$B$62,+'5.Variables'!$E69,+IF(P$18='5.Variables'!$B$76,+'5.Variables'!$E83,+IF(P$18='5.Variables'!$B$90,+'5.Variables'!$E97,+IF(P$18='5.Variables'!$B$104,+'5.Variables'!$E111,0))))))</f>
        <v>1</v>
      </c>
      <c r="Q82" s="245"/>
      <c r="R82" s="556">
        <f t="shared" si="1"/>
        <v>8309058.8134911498</v>
      </c>
      <c r="S82" s="265"/>
      <c r="T82" s="245"/>
      <c r="U82" s="274"/>
      <c r="V82" s="245"/>
      <c r="W82" s="245"/>
      <c r="X82" s="245"/>
      <c r="Y82" s="245"/>
      <c r="Z82" s="245"/>
      <c r="AA82" s="245"/>
      <c r="AB82" s="245"/>
      <c r="AC82" s="245"/>
      <c r="AD82" s="245"/>
      <c r="AE82" s="245"/>
      <c r="AF82" s="245"/>
      <c r="AG82" s="245"/>
      <c r="AH82" s="245"/>
      <c r="AI82" s="245"/>
      <c r="AJ82" s="245"/>
      <c r="AK82" s="245"/>
      <c r="AL82" s="245"/>
      <c r="AM82" s="245"/>
    </row>
    <row r="83" spans="1:39" x14ac:dyDescent="0.2">
      <c r="A83" s="501">
        <f t="shared" si="2"/>
        <v>64</v>
      </c>
      <c r="B83" s="262" t="str">
        <f>CONCATENATE('3. Consumption by Rate Class'!B88,"-",'3. Consumption by Rate Class'!C88)</f>
        <v>2011-April</v>
      </c>
      <c r="C83" s="694">
        <v>7111890</v>
      </c>
      <c r="D83" s="700">
        <v>-81961</v>
      </c>
      <c r="E83" s="700">
        <v>-157533</v>
      </c>
      <c r="F83" s="700"/>
      <c r="G83" s="700"/>
      <c r="H83" s="701"/>
      <c r="I83" s="701"/>
      <c r="J83" s="263">
        <f t="shared" si="0"/>
        <v>6872396</v>
      </c>
      <c r="K83" s="722">
        <f>IF(K$18='5.Variables'!$B$16,+'5.Variables'!$F32,+IF(K$18='5.Variables'!$B$39,+'5.Variables'!$F55,+IF(K$18='5.Variables'!$B$62,+'5.Variables'!$F69,+IF(K$18='5.Variables'!$B$76,+'5.Variables'!$F83,+IF(K$18='5.Variables'!$B$90,+'5.Variables'!$F97,+IF(K$18='5.Variables'!$B$104,+'5.Variables'!$F111,0))))))</f>
        <v>342.7</v>
      </c>
      <c r="L83" s="722">
        <f>IF(L$18='5.Variables'!$B$16,+'5.Variables'!$F31,+IF(L$18='5.Variables'!$B$39,+'5.Variables'!$F55,+IF(L$18='5.Variables'!$B$62,+'5.Variables'!$F69,+IF(L$18='5.Variables'!$B$76,+'5.Variables'!$F83,+IF(L$18='5.Variables'!$B$90,+'5.Variables'!$F97,+IF(L$18='5.Variables'!$B$104,+'5.Variables'!$F111,0))))))</f>
        <v>0</v>
      </c>
      <c r="M83" s="722">
        <f>IF(M$18='5.Variables'!$B$16,+'5.Variables'!$F31,+IF(M$18='5.Variables'!$B$39,+'5.Variables'!$F55,+IF(M$18='5.Variables'!$B$62,+'5.Variables'!$F69,+IF(M$18='5.Variables'!$B$76,+'5.Variables'!$F83,+IF(M$18='5.Variables'!$B$90,+'5.Variables'!$F97,+IF(M$18='5.Variables'!$B$104,+'5.Variables'!$F111,0))))))</f>
        <v>30</v>
      </c>
      <c r="N83" s="722">
        <f>IF(N$18='5.Variables'!$B$16,+'5.Variables'!$F31,+IF(N$18='5.Variables'!$B$39,+'5.Variables'!$F55,+IF(N$18='5.Variables'!$B$62,+'5.Variables'!$F69,+IF(N$18='5.Variables'!$B$76,+'5.Variables'!$F83,+IF(N$18='5.Variables'!$B$90,+'5.Variables'!$F97,+IF(N$18='5.Variables'!$B$104,+'5.Variables'!$F111,0))))))</f>
        <v>366.2</v>
      </c>
      <c r="O83" s="722">
        <f>IF(O$18='5.Variables'!$B$16,+'5.Variables'!$F31,+IF(O$18='5.Variables'!$B$39,+'5.Variables'!$F55,+IF(O$18='5.Variables'!$B$62,+'5.Variables'!$F69,+IF(O$18='5.Variables'!$B$76,+'5.Variables'!$F83,+IF(O$18='5.Variables'!$B$90,+'5.Variables'!$F97,+IF(O$18='5.Variables'!$B$104,+'5.Variables'!$F111,0))))))</f>
        <v>13.28</v>
      </c>
      <c r="P83" s="983">
        <f>IF(P$18='5.Variables'!$B$16,+'5.Variables'!$F31,+IF(P$18='5.Variables'!$B$39,+'5.Variables'!$F55,+IF(P$18='5.Variables'!$B$62,+'5.Variables'!$F69,+IF(P$18='5.Variables'!$B$76,+'5.Variables'!$F83,+IF(P$18='5.Variables'!$B$90,+'5.Variables'!$F97,+IF(P$18='5.Variables'!$B$104,+'5.Variables'!$F111,0))))))</f>
        <v>0</v>
      </c>
      <c r="Q83" s="245"/>
      <c r="R83" s="556">
        <f t="shared" si="1"/>
        <v>7115989.894136847</v>
      </c>
      <c r="S83" s="265"/>
      <c r="T83" s="245"/>
      <c r="U83" s="245"/>
      <c r="V83" s="245"/>
      <c r="W83" s="245"/>
      <c r="X83" s="245"/>
      <c r="Y83" s="245"/>
      <c r="Z83" s="245"/>
      <c r="AA83" s="245"/>
      <c r="AB83" s="245"/>
      <c r="AC83" s="245"/>
      <c r="AD83" s="245"/>
      <c r="AE83" s="245"/>
      <c r="AF83" s="245"/>
      <c r="AG83" s="245"/>
      <c r="AH83" s="245"/>
      <c r="AI83" s="245"/>
      <c r="AJ83" s="245"/>
      <c r="AK83" s="245"/>
      <c r="AL83" s="245"/>
      <c r="AM83" s="245"/>
    </row>
    <row r="84" spans="1:39" x14ac:dyDescent="0.2">
      <c r="A84" s="501">
        <f t="shared" si="2"/>
        <v>65</v>
      </c>
      <c r="B84" s="262" t="str">
        <f>CONCATENATE('3. Consumption by Rate Class'!B89,"-",'3. Consumption by Rate Class'!C89)</f>
        <v>2011-May</v>
      </c>
      <c r="C84" s="694">
        <v>7074093</v>
      </c>
      <c r="D84" s="700">
        <v>-51729</v>
      </c>
      <c r="E84" s="700">
        <v>-143363</v>
      </c>
      <c r="F84" s="700"/>
      <c r="G84" s="700"/>
      <c r="H84" s="701"/>
      <c r="I84" s="701"/>
      <c r="J84" s="263">
        <f t="shared" si="0"/>
        <v>6879001</v>
      </c>
      <c r="K84" s="722">
        <f>IF(K$18='5.Variables'!$B$16,+'5.Variables'!$G32,+IF(K$18='5.Variables'!$B$39,+'5.Variables'!$G55,+IF(K$18='5.Variables'!$B$62,+'5.Variables'!$G69,+IF(K$18='5.Variables'!$B$76,+'5.Variables'!$G83,+IF(K$18='5.Variables'!$B$90,+'5.Variables'!$G97,+IF(K$18='5.Variables'!$B$104,+'5.Variables'!$G111,0))))))</f>
        <v>139.40000000000003</v>
      </c>
      <c r="L84" s="722">
        <f>IF(L$18='5.Variables'!$B$16,+'5.Variables'!$G31,+IF(L$18='5.Variables'!$B$39,+'5.Variables'!$G55,+IF(L$18='5.Variables'!$B$62,+'5.Variables'!$G69,+IF(L$18='5.Variables'!$B$76,+'5.Variables'!$G83,+IF(L$18='5.Variables'!$B$90,+'5.Variables'!$G97,+IF(L$18='5.Variables'!$B$104,+'5.Variables'!$G111,0))))))</f>
        <v>16.2</v>
      </c>
      <c r="M84" s="722">
        <f>IF(M$18='5.Variables'!$B$16,+'5.Variables'!$G31,+IF(M$18='5.Variables'!$B$39,+'5.Variables'!$G55,+IF(M$18='5.Variables'!$B$62,+'5.Variables'!$G69,+IF(M$18='5.Variables'!$B$76,+'5.Variables'!$G83,+IF(M$18='5.Variables'!$B$90,+'5.Variables'!$G97,+IF(M$18='5.Variables'!$B$104,+'5.Variables'!$G111,0))))))</f>
        <v>31</v>
      </c>
      <c r="N84" s="722">
        <f>IF(N$18='5.Variables'!$B$16,+'5.Variables'!$G31,+IF(N$18='5.Variables'!$B$39,+'5.Variables'!$G55,+IF(N$18='5.Variables'!$B$62,+'5.Variables'!$G69,+IF(N$18='5.Variables'!$B$76,+'5.Variables'!$G83,+IF(N$18='5.Variables'!$B$90,+'5.Variables'!$G97,+IF(N$18='5.Variables'!$B$104,+'5.Variables'!$G111,0))))))</f>
        <v>366.3</v>
      </c>
      <c r="O84" s="722">
        <f>IF(O$18='5.Variables'!$B$16,+'5.Variables'!$G31,+IF(O$18='5.Variables'!$B$39,+'5.Variables'!$G55,+IF(O$18='5.Variables'!$B$62,+'5.Variables'!$G69,+IF(O$18='5.Variables'!$B$76,+'5.Variables'!$G83,+IF(O$18='5.Variables'!$B$90,+'5.Variables'!$G97,+IF(O$18='5.Variables'!$B$104,+'5.Variables'!$G111,0))))))</f>
        <v>14.52</v>
      </c>
      <c r="P84" s="983">
        <f>IF(P$18='5.Variables'!$B$16,+'5.Variables'!$G31,+IF(P$18='5.Variables'!$B$39,+'5.Variables'!$G55,+IF(P$18='5.Variables'!$B$62,+'5.Variables'!$G69,+IF(P$18='5.Variables'!$B$76,+'5.Variables'!$G83,+IF(P$18='5.Variables'!$B$90,+'5.Variables'!$G97,+IF(P$18='5.Variables'!$B$104,+'5.Variables'!$G111,0))))))</f>
        <v>0</v>
      </c>
      <c r="Q84" s="245"/>
      <c r="R84" s="556">
        <f t="shared" si="1"/>
        <v>6882954.5964188138</v>
      </c>
      <c r="S84" s="265"/>
      <c r="T84" s="245"/>
      <c r="U84" s="245"/>
      <c r="V84" s="245"/>
      <c r="W84" s="245"/>
      <c r="X84" s="245"/>
      <c r="Y84" s="245"/>
      <c r="Z84" s="245"/>
      <c r="AA84" s="245"/>
      <c r="AB84" s="245"/>
      <c r="AC84" s="245"/>
      <c r="AD84" s="245"/>
      <c r="AE84" s="245"/>
      <c r="AF84" s="245"/>
      <c r="AG84" s="245"/>
      <c r="AH84" s="245"/>
      <c r="AI84" s="245"/>
      <c r="AJ84" s="245"/>
      <c r="AK84" s="245"/>
      <c r="AL84" s="245"/>
      <c r="AM84" s="245"/>
    </row>
    <row r="85" spans="1:39" ht="13.5" customHeight="1" x14ac:dyDescent="0.2">
      <c r="A85" s="501">
        <f t="shared" si="2"/>
        <v>66</v>
      </c>
      <c r="B85" s="262" t="str">
        <f>CONCATENATE('3. Consumption by Rate Class'!B90,"-",'3. Consumption by Rate Class'!C90)</f>
        <v>2011-June</v>
      </c>
      <c r="C85" s="694">
        <v>7368575</v>
      </c>
      <c r="D85" s="700">
        <v>-46573</v>
      </c>
      <c r="E85" s="700">
        <v>-171439</v>
      </c>
      <c r="F85" s="700"/>
      <c r="G85" s="700"/>
      <c r="H85" s="701"/>
      <c r="I85" s="701"/>
      <c r="J85" s="263">
        <f t="shared" ref="J85:J139" si="8">SUM(C85:I85)</f>
        <v>7150563</v>
      </c>
      <c r="K85" s="722">
        <f>IF(K$18='5.Variables'!$B$16,+'5.Variables'!$H32,+IF(K$18='5.Variables'!$B$39,+'5.Variables'!$H55,+IF(K$18='5.Variables'!$B$62,+'5.Variables'!$H69,+IF(K$18='5.Variables'!$B$76,+'5.Variables'!$H83,+IF(K$18='5.Variables'!$B$90,+'5.Variables'!$H97,+IF(K$18='5.Variables'!$B$104,+'5.Variables'!$H111,0))))))</f>
        <v>15.100000000000001</v>
      </c>
      <c r="L85" s="722">
        <f>IF(L$18='5.Variables'!$B$16,+'5.Variables'!$H31,+IF(L$18='5.Variables'!$B$39,+'5.Variables'!$H55,+IF(L$18='5.Variables'!$B$62,+'5.Variables'!$H69,+IF(L$18='5.Variables'!$B$76,+'5.Variables'!$H83,+IF(L$18='5.Variables'!$B$90,+'5.Variables'!$H97,+IF(L$18='5.Variables'!$B$104,+'5.Variables'!$H111,0))))))</f>
        <v>56.399999999999991</v>
      </c>
      <c r="M85" s="722">
        <f>IF(M$18='5.Variables'!$B$16,+'5.Variables'!$H31,+IF(M$18='5.Variables'!$B$39,+'5.Variables'!$H55,+IF(M$18='5.Variables'!$B$62,+'5.Variables'!$H69,+IF(M$18='5.Variables'!$B$76,+'5.Variables'!$H83,+IF(M$18='5.Variables'!$B$90,+'5.Variables'!$H97,+IF(M$18='5.Variables'!$B$104,+'5.Variables'!$H111,0))))))</f>
        <v>30</v>
      </c>
      <c r="N85" s="722">
        <f>IF(N$18='5.Variables'!$B$16,+'5.Variables'!$H31,+IF(N$18='5.Variables'!$B$39,+'5.Variables'!$H55,+IF(N$18='5.Variables'!$B$62,+'5.Variables'!$H69,+IF(N$18='5.Variables'!$B$76,+'5.Variables'!$H83,+IF(N$18='5.Variables'!$B$90,+'5.Variables'!$H97,+IF(N$18='5.Variables'!$B$104,+'5.Variables'!$H111,0))))))</f>
        <v>366.6</v>
      </c>
      <c r="O85" s="722">
        <f>IF(O$18='5.Variables'!$B$16,+'5.Variables'!$H31,+IF(O$18='5.Variables'!$B$39,+'5.Variables'!$H55,+IF(O$18='5.Variables'!$B$62,+'5.Variables'!$H69,+IF(O$18='5.Variables'!$B$76,+'5.Variables'!$H83,+IF(O$18='5.Variables'!$B$90,+'5.Variables'!$H97,+IF(O$18='5.Variables'!$B$104,+'5.Variables'!$H111,0))))))</f>
        <v>15.35</v>
      </c>
      <c r="P85" s="983">
        <f>IF(P$18='5.Variables'!$B$16,+'5.Variables'!$H31,+IF(P$18='5.Variables'!$B$39,+'5.Variables'!$H55,+IF(P$18='5.Variables'!$B$62,+'5.Variables'!$H69,+IF(P$18='5.Variables'!$B$76,+'5.Variables'!$H83,+IF(P$18='5.Variables'!$B$90,+'5.Variables'!$H97,+IF(P$18='5.Variables'!$B$104,+'5.Variables'!$H111,0))))))</f>
        <v>0</v>
      </c>
      <c r="Q85" s="245"/>
      <c r="R85" s="556">
        <f t="shared" ref="R85:R148" si="9">$V$34+(K85*$V$35)+(L85*$V$36)+(M85*$V$37)+(N85*$V$38)+(O85*$V$39)</f>
        <v>6914206.2759263618</v>
      </c>
      <c r="S85" s="265"/>
      <c r="T85" s="245"/>
      <c r="U85" s="245"/>
      <c r="V85" s="245"/>
      <c r="W85" s="245"/>
      <c r="X85" s="245"/>
      <c r="Y85" s="245"/>
      <c r="Z85" s="245"/>
      <c r="AA85" s="245"/>
      <c r="AB85" s="245"/>
      <c r="AC85" s="245"/>
      <c r="AD85" s="245"/>
      <c r="AE85" s="245"/>
      <c r="AF85" s="245"/>
      <c r="AG85" s="245"/>
      <c r="AH85" s="245"/>
      <c r="AI85" s="245"/>
      <c r="AJ85" s="245"/>
      <c r="AK85" s="245"/>
      <c r="AL85" s="245"/>
      <c r="AM85" s="245"/>
    </row>
    <row r="86" spans="1:39" x14ac:dyDescent="0.2">
      <c r="A86" s="501">
        <f t="shared" ref="A86:A149" si="10">+A85+1</f>
        <v>67</v>
      </c>
      <c r="B86" s="262" t="str">
        <f>CONCATENATE('3. Consumption by Rate Class'!B91,"-",'3. Consumption by Rate Class'!C91)</f>
        <v>2011-July</v>
      </c>
      <c r="C86" s="694">
        <v>8343633</v>
      </c>
      <c r="D86" s="700">
        <v>-65519</v>
      </c>
      <c r="E86" s="700">
        <v>-144161</v>
      </c>
      <c r="F86" s="700"/>
      <c r="G86" s="700"/>
      <c r="H86" s="701"/>
      <c r="I86" s="701"/>
      <c r="J86" s="263">
        <f t="shared" si="8"/>
        <v>8133953</v>
      </c>
      <c r="K86" s="722">
        <f>IF(K$18='5.Variables'!$B$16,+'5.Variables'!$I32,+IF(K$18='5.Variables'!$B$39,+'5.Variables'!$I55,+IF(K$18='5.Variables'!$B$62,+'5.Variables'!$I69,+IF(K$18='5.Variables'!$B$76,+'5.Variables'!$I83,+IF(K$18='5.Variables'!$B$90,+'5.Variables'!$I97,+IF(K$18='5.Variables'!$B$104,+'5.Variables'!$I111,0))))))</f>
        <v>0</v>
      </c>
      <c r="L86" s="722">
        <f>IF(L$18='5.Variables'!$B$16,+'5.Variables'!$I31,+IF(L$18='5.Variables'!$B$39,+'5.Variables'!$I55,+IF(L$18='5.Variables'!$B$62,+'5.Variables'!$I69,+IF(L$18='5.Variables'!$B$76,+'5.Variables'!$I83,+IF(L$18='5.Variables'!$B$90,+'5.Variables'!$I97,+IF(L$18='5.Variables'!$B$104,+'5.Variables'!$I111,0))))))</f>
        <v>131</v>
      </c>
      <c r="M86" s="722">
        <f>IF(M$18='5.Variables'!$B$16,+'5.Variables'!$I31,+IF(M$18='5.Variables'!$B$39,+'5.Variables'!$I55,+IF(M$18='5.Variables'!$B$62,+'5.Variables'!$I69,+IF(M$18='5.Variables'!$B$76,+'5.Variables'!$I83,+IF(M$18='5.Variables'!$B$90,+'5.Variables'!$I97,+IF(M$18='5.Variables'!$B$104,+'5.Variables'!$I111,0))))))</f>
        <v>31</v>
      </c>
      <c r="N86" s="722">
        <f>IF(N$18='5.Variables'!$B$16,+'5.Variables'!$I31,+IF(N$18='5.Variables'!$B$39,+'5.Variables'!$I55,+IF(N$18='5.Variables'!$B$62,+'5.Variables'!$I69,+IF(N$18='5.Variables'!$B$76,+'5.Variables'!$I83,+IF(N$18='5.Variables'!$B$90,+'5.Variables'!$I97,+IF(N$18='5.Variables'!$B$104,+'5.Variables'!$I111,0))))))</f>
        <v>366.9</v>
      </c>
      <c r="O86" s="722">
        <f>IF(O$18='5.Variables'!$B$16,+'5.Variables'!$I31,+IF(O$18='5.Variables'!$B$39,+'5.Variables'!$I55,+IF(O$18='5.Variables'!$B$62,+'5.Variables'!$I69,+IF(O$18='5.Variables'!$B$76,+'5.Variables'!$I83,+IF(O$18='5.Variables'!$B$90,+'5.Variables'!$I97,+IF(O$18='5.Variables'!$B$104,+'5.Variables'!$I111,0))))))</f>
        <v>15.15</v>
      </c>
      <c r="P86" s="983">
        <f>IF(P$18='5.Variables'!$B$16,+'5.Variables'!$I31,+IF(P$18='5.Variables'!$B$39,+'5.Variables'!$I55,+IF(P$18='5.Variables'!$B$62,+'5.Variables'!$I69,+IF(P$18='5.Variables'!$B$76,+'5.Variables'!$I83,+IF(P$18='5.Variables'!$B$90,+'5.Variables'!$I97,+IF(P$18='5.Variables'!$B$104,+'5.Variables'!$I111,0))))))</f>
        <v>1</v>
      </c>
      <c r="Q86" s="245"/>
      <c r="R86" s="556">
        <f t="shared" si="9"/>
        <v>8286729.6409257343</v>
      </c>
      <c r="S86" s="265"/>
      <c r="T86" s="245"/>
      <c r="U86" s="245"/>
      <c r="V86" s="245"/>
      <c r="W86" s="245"/>
      <c r="X86" s="245"/>
      <c r="Y86" s="245"/>
      <c r="Z86" s="245"/>
      <c r="AA86" s="245"/>
      <c r="AB86" s="245"/>
      <c r="AC86" s="245"/>
      <c r="AD86" s="245"/>
      <c r="AE86" s="245"/>
      <c r="AF86" s="245"/>
      <c r="AG86" s="245"/>
      <c r="AH86" s="245"/>
      <c r="AI86" s="245"/>
      <c r="AJ86" s="245"/>
      <c r="AK86" s="245"/>
      <c r="AL86" s="245"/>
      <c r="AM86" s="245"/>
    </row>
    <row r="87" spans="1:39" x14ac:dyDescent="0.2">
      <c r="A87" s="501">
        <f t="shared" si="10"/>
        <v>68</v>
      </c>
      <c r="B87" s="262" t="str">
        <f>CONCATENATE('3. Consumption by Rate Class'!B92,"-",'3. Consumption by Rate Class'!C92)</f>
        <v>2011-August</v>
      </c>
      <c r="C87" s="694">
        <v>7893661</v>
      </c>
      <c r="D87" s="700">
        <v>-119335</v>
      </c>
      <c r="E87" s="700">
        <v>-168573</v>
      </c>
      <c r="F87" s="700"/>
      <c r="G87" s="700"/>
      <c r="H87" s="701"/>
      <c r="I87" s="701"/>
      <c r="J87" s="263">
        <f t="shared" si="8"/>
        <v>7605753</v>
      </c>
      <c r="K87" s="722">
        <f>IF(K$18='5.Variables'!$B$16,+'5.Variables'!$J32,+IF(K$18='5.Variables'!$B$39,+'5.Variables'!$J55,+IF(K$18='5.Variables'!$B$62,+'5.Variables'!$J69,+IF(K$18='5.Variables'!$B$76,+'5.Variables'!$J83,+IF(K$18='5.Variables'!$B$90,+'5.Variables'!$J97,+IF(K$18='5.Variables'!$B$104,+'5.Variables'!$J111,0))))))</f>
        <v>2.4</v>
      </c>
      <c r="L87" s="722">
        <f>IF(L$18='5.Variables'!$B$16,+'5.Variables'!$J31,+IF(L$18='5.Variables'!$B$39,+'5.Variables'!$J55,+IF(L$18='5.Variables'!$B$62,+'5.Variables'!$J69,+IF(L$18='5.Variables'!$B$76,+'5.Variables'!$J83,+IF(L$18='5.Variables'!$B$90,+'5.Variables'!$J97,+IF(L$18='5.Variables'!$B$104,+'5.Variables'!$J111,0))))))</f>
        <v>66.900000000000006</v>
      </c>
      <c r="M87" s="722">
        <f>IF(M$18='5.Variables'!$B$16,+'5.Variables'!$J31,+IF(M$18='5.Variables'!$B$39,+'5.Variables'!$J55,+IF(M$18='5.Variables'!$B$62,+'5.Variables'!$J69,+IF(M$18='5.Variables'!$B$76,+'5.Variables'!$J83,+IF(M$18='5.Variables'!$B$90,+'5.Variables'!$J97,+IF(M$18='5.Variables'!$B$104,+'5.Variables'!$J111,0))))))</f>
        <v>31</v>
      </c>
      <c r="N87" s="722">
        <f>IF(N$18='5.Variables'!$B$16,+'5.Variables'!$J31,+IF(N$18='5.Variables'!$B$39,+'5.Variables'!$J55,+IF(N$18='5.Variables'!$B$62,+'5.Variables'!$J69,+IF(N$18='5.Variables'!$B$76,+'5.Variables'!$J83,+IF(N$18='5.Variables'!$B$90,+'5.Variables'!$J97,+IF(N$18='5.Variables'!$B$104,+'5.Variables'!$J111,0))))))</f>
        <v>367.2</v>
      </c>
      <c r="O87" s="722">
        <f>IF(O$18='5.Variables'!$B$16,+'5.Variables'!$J31,+IF(O$18='5.Variables'!$B$39,+'5.Variables'!$J55,+IF(O$18='5.Variables'!$B$62,+'5.Variables'!$J69,+IF(O$18='5.Variables'!$B$76,+'5.Variables'!$J83,+IF(O$18='5.Variables'!$B$90,+'5.Variables'!$J97,+IF(O$18='5.Variables'!$B$104,+'5.Variables'!$J111,0))))))</f>
        <v>14.03</v>
      </c>
      <c r="P87" s="983">
        <f>IF(P$18='5.Variables'!$B$16,+'5.Variables'!$J31,+IF(P$18='5.Variables'!$B$39,+'5.Variables'!$J55,+IF(P$18='5.Variables'!$B$62,+'5.Variables'!$J69,+IF(P$18='5.Variables'!$B$76,+'5.Variables'!$J83,+IF(P$18='5.Variables'!$B$90,+'5.Variables'!$J97,+IF(P$18='5.Variables'!$B$104,+'5.Variables'!$J111,0))))))</f>
        <v>0</v>
      </c>
      <c r="Q87" s="245"/>
      <c r="R87" s="556">
        <f t="shared" si="9"/>
        <v>7267649.6909380183</v>
      </c>
      <c r="S87" s="265"/>
      <c r="T87" s="245"/>
      <c r="U87" s="245"/>
      <c r="V87" s="245"/>
      <c r="W87" s="245"/>
      <c r="X87" s="245"/>
      <c r="Y87" s="245"/>
      <c r="Z87" s="245"/>
      <c r="AA87" s="245"/>
      <c r="AB87" s="245"/>
      <c r="AC87" s="245"/>
      <c r="AD87" s="245"/>
      <c r="AE87" s="245"/>
      <c r="AF87" s="245"/>
      <c r="AG87" s="245"/>
      <c r="AH87" s="245"/>
      <c r="AI87" s="245"/>
      <c r="AJ87" s="245"/>
      <c r="AK87" s="245"/>
      <c r="AL87" s="245"/>
      <c r="AM87" s="245"/>
    </row>
    <row r="88" spans="1:39" x14ac:dyDescent="0.2">
      <c r="A88" s="501">
        <f t="shared" si="10"/>
        <v>69</v>
      </c>
      <c r="B88" s="262" t="str">
        <f>CONCATENATE('3. Consumption by Rate Class'!B93,"-",'3. Consumption by Rate Class'!C93)</f>
        <v>2011-September</v>
      </c>
      <c r="C88" s="694">
        <v>7174414</v>
      </c>
      <c r="D88" s="700">
        <v>-174247</v>
      </c>
      <c r="E88" s="700">
        <v>-158259</v>
      </c>
      <c r="F88" s="700"/>
      <c r="G88" s="700"/>
      <c r="H88" s="701"/>
      <c r="I88" s="701"/>
      <c r="J88" s="263">
        <f t="shared" si="8"/>
        <v>6841908</v>
      </c>
      <c r="K88" s="722">
        <f>IF(K$18='5.Variables'!$B$16,+'5.Variables'!$K32,+IF(K$18='5.Variables'!$B$39,+'5.Variables'!$K55,+IF(K$18='5.Variables'!$B$62,+'5.Variables'!$K69,+IF(K$18='5.Variables'!$B$76,+'5.Variables'!$K83,+IF(K$18='5.Variables'!$B$90,+'5.Variables'!$K97,+IF(K$18='5.Variables'!$B$104,+'5.Variables'!$K111,0))))))</f>
        <v>62.499999999999993</v>
      </c>
      <c r="L88" s="722">
        <f>IF(L$18='5.Variables'!$B$16,+'5.Variables'!$K31,+IF(L$18='5.Variables'!$B$39,+'5.Variables'!$K55,+IF(L$18='5.Variables'!$B$62,+'5.Variables'!$K69,+IF(L$18='5.Variables'!$B$76,+'5.Variables'!$K83,+IF(L$18='5.Variables'!$B$90,+'5.Variables'!$K97,+IF(L$18='5.Variables'!$B$104,+'5.Variables'!$K111,0))))))</f>
        <v>30.500000000000004</v>
      </c>
      <c r="M88" s="722">
        <f>IF(M$18='5.Variables'!$B$16,+'5.Variables'!$K31,+IF(M$18='5.Variables'!$B$39,+'5.Variables'!$K55,+IF(M$18='5.Variables'!$B$62,+'5.Variables'!$K69,+IF(M$18='5.Variables'!$B$76,+'5.Variables'!$K83,+IF(M$18='5.Variables'!$B$90,+'5.Variables'!$K97,+IF(M$18='5.Variables'!$B$104,+'5.Variables'!$K111,0))))))</f>
        <v>30</v>
      </c>
      <c r="N88" s="722">
        <f>IF(N$18='5.Variables'!$B$16,+'5.Variables'!$K31,+IF(N$18='5.Variables'!$B$39,+'5.Variables'!$K55,+IF(N$18='5.Variables'!$B$62,+'5.Variables'!$K69,+IF(N$18='5.Variables'!$B$76,+'5.Variables'!$K83,+IF(N$18='5.Variables'!$B$90,+'5.Variables'!$K97,+IF(N$18='5.Variables'!$B$104,+'5.Variables'!$K111,0))))))</f>
        <v>367.4</v>
      </c>
      <c r="O88" s="722">
        <f>IF(O$18='5.Variables'!$B$16,+'5.Variables'!$K31,+IF(O$18='5.Variables'!$B$39,+'5.Variables'!$K55,+IF(O$18='5.Variables'!$B$62,+'5.Variables'!$K69,+IF(O$18='5.Variables'!$B$76,+'5.Variables'!$K83,+IF(O$18='5.Variables'!$B$90,+'5.Variables'!$K97,+IF(O$18='5.Variables'!$B$104,+'5.Variables'!$K111,0))))))</f>
        <v>12.29</v>
      </c>
      <c r="P88" s="983">
        <f>IF(P$18='5.Variables'!$B$16,+'5.Variables'!$K31,+IF(P$18='5.Variables'!$B$39,+'5.Variables'!$K55,+IF(P$18='5.Variables'!$B$62,+'5.Variables'!$K69,+IF(P$18='5.Variables'!$B$76,+'5.Variables'!$K83,+IF(P$18='5.Variables'!$B$90,+'5.Variables'!$K97,+IF(P$18='5.Variables'!$B$104,+'5.Variables'!$K111,0))))))</f>
        <v>0</v>
      </c>
      <c r="Q88" s="245"/>
      <c r="R88" s="556">
        <f t="shared" si="9"/>
        <v>6714631.3469112515</v>
      </c>
      <c r="S88" s="265"/>
      <c r="T88" s="245"/>
      <c r="U88" s="245"/>
      <c r="V88" s="245"/>
      <c r="W88" s="245"/>
      <c r="X88" s="245"/>
      <c r="Y88" s="245"/>
      <c r="Z88" s="245"/>
      <c r="AA88" s="245"/>
      <c r="AB88" s="245"/>
      <c r="AC88" s="245"/>
      <c r="AD88" s="245"/>
      <c r="AE88" s="245"/>
      <c r="AF88" s="245"/>
      <c r="AG88" s="245"/>
      <c r="AH88" s="245"/>
      <c r="AI88" s="245"/>
      <c r="AJ88" s="245"/>
      <c r="AK88" s="245"/>
      <c r="AL88" s="245"/>
      <c r="AM88" s="245"/>
    </row>
    <row r="89" spans="1:39" x14ac:dyDescent="0.2">
      <c r="A89" s="501">
        <f t="shared" si="10"/>
        <v>70</v>
      </c>
      <c r="B89" s="262" t="str">
        <f>CONCATENATE('3. Consumption by Rate Class'!B94,"-",'3. Consumption by Rate Class'!C94)</f>
        <v>2011-October</v>
      </c>
      <c r="C89" s="694">
        <v>7199042</v>
      </c>
      <c r="D89" s="700">
        <v>-223114</v>
      </c>
      <c r="E89" s="700">
        <v>-133414</v>
      </c>
      <c r="F89" s="700"/>
      <c r="G89" s="700"/>
      <c r="H89" s="701"/>
      <c r="I89" s="701"/>
      <c r="J89" s="263">
        <f t="shared" si="8"/>
        <v>6842514</v>
      </c>
      <c r="K89" s="722">
        <f>IF(K$18='5.Variables'!$B$16,+'5.Variables'!$L32,+IF(K$18='5.Variables'!$B$39,+'5.Variables'!$L55,+IF(K$18='5.Variables'!$B$62,+'5.Variables'!$L69,+IF(K$18='5.Variables'!$B$76,+'5.Variables'!$L83,+IF(K$18='5.Variables'!$B$90,+'5.Variables'!$L97,+IF(K$18='5.Variables'!$B$104,+'5.Variables'!$L111,0))))))</f>
        <v>258.3</v>
      </c>
      <c r="L89" s="722">
        <f>IF(L$18='5.Variables'!$B$16,+'5.Variables'!$L31,+IF(L$18='5.Variables'!$B$39,+'5.Variables'!$L55,+IF(L$18='5.Variables'!$B$62,+'5.Variables'!$L69,+IF(L$18='5.Variables'!$B$76,+'5.Variables'!$L83,+IF(L$18='5.Variables'!$B$90,+'5.Variables'!$L97,+IF(L$18='5.Variables'!$B$104,+'5.Variables'!$L111,0))))))</f>
        <v>1.1000000000000001</v>
      </c>
      <c r="M89" s="722">
        <f>IF(M$18='5.Variables'!$B$16,+'5.Variables'!$L31,+IF(M$18='5.Variables'!$B$39,+'5.Variables'!$L55,+IF(M$18='5.Variables'!$B$62,+'5.Variables'!$L69,+IF(M$18='5.Variables'!$B$76,+'5.Variables'!$L83,+IF(M$18='5.Variables'!$B$90,+'5.Variables'!$L97,+IF(M$18='5.Variables'!$B$104,+'5.Variables'!$L111,0))))))</f>
        <v>31</v>
      </c>
      <c r="N89" s="722">
        <f>IF(N$18='5.Variables'!$B$16,+'5.Variables'!$L31,+IF(N$18='5.Variables'!$B$39,+'5.Variables'!$L55,+IF(N$18='5.Variables'!$B$62,+'5.Variables'!$L69,+IF(N$18='5.Variables'!$B$76,+'5.Variables'!$L83,+IF(N$18='5.Variables'!$B$90,+'5.Variables'!$L97,+IF(N$18='5.Variables'!$B$104,+'5.Variables'!$L111,0))))))</f>
        <v>367.6</v>
      </c>
      <c r="O89" s="722">
        <f>IF(O$18='5.Variables'!$B$16,+'5.Variables'!$L31,+IF(O$18='5.Variables'!$B$39,+'5.Variables'!$L55,+IF(O$18='5.Variables'!$B$62,+'5.Variables'!$L69,+IF(O$18='5.Variables'!$B$76,+'5.Variables'!$L83,+IF(O$18='5.Variables'!$B$90,+'5.Variables'!$L97,+IF(O$18='5.Variables'!$B$104,+'5.Variables'!$L111,0))))))</f>
        <v>10.51</v>
      </c>
      <c r="P89" s="983">
        <f>IF(P$18='5.Variables'!$B$16,+'5.Variables'!$L31,+IF(P$18='5.Variables'!$B$39,+'5.Variables'!$L55,+IF(P$18='5.Variables'!$B$62,+'5.Variables'!$L69,+IF(P$18='5.Variables'!$B$76,+'5.Variables'!$L83,+IF(P$18='5.Variables'!$B$90,+'5.Variables'!$L97,+IF(P$18='5.Variables'!$B$104,+'5.Variables'!$L111,0))))))</f>
        <v>0</v>
      </c>
      <c r="Q89" s="245"/>
      <c r="R89" s="556">
        <f t="shared" si="9"/>
        <v>7108346.897433226</v>
      </c>
      <c r="S89" s="265"/>
      <c r="T89" s="245"/>
      <c r="U89" s="245"/>
      <c r="V89" s="245"/>
      <c r="W89" s="245"/>
      <c r="X89" s="245"/>
      <c r="Y89" s="245"/>
      <c r="Z89" s="245"/>
      <c r="AA89" s="245"/>
      <c r="AB89" s="245"/>
      <c r="AC89" s="245"/>
      <c r="AD89" s="245"/>
      <c r="AE89" s="245"/>
      <c r="AF89" s="245"/>
      <c r="AG89" s="245"/>
      <c r="AH89" s="245"/>
      <c r="AI89" s="245"/>
      <c r="AJ89" s="245"/>
      <c r="AK89" s="245"/>
      <c r="AL89" s="245"/>
      <c r="AM89" s="245"/>
    </row>
    <row r="90" spans="1:39" x14ac:dyDescent="0.2">
      <c r="A90" s="501">
        <f t="shared" si="10"/>
        <v>71</v>
      </c>
      <c r="B90" s="262" t="str">
        <f>CONCATENATE('3. Consumption by Rate Class'!B95,"-",'3. Consumption by Rate Class'!C95)</f>
        <v>2011-November</v>
      </c>
      <c r="C90" s="694">
        <v>7349600</v>
      </c>
      <c r="D90" s="700">
        <v>-213624</v>
      </c>
      <c r="E90" s="700">
        <v>-130424</v>
      </c>
      <c r="F90" s="700"/>
      <c r="G90" s="700"/>
      <c r="H90" s="701"/>
      <c r="I90" s="701"/>
      <c r="J90" s="263">
        <f t="shared" si="8"/>
        <v>7005552</v>
      </c>
      <c r="K90" s="722">
        <f>IF(K$18='5.Variables'!$B$16,+'5.Variables'!$M32,+IF(K$18='5.Variables'!$B$39,+'5.Variables'!$M55,+IF(K$18='5.Variables'!$B$62,+'5.Variables'!$M69,+IF(K$18='5.Variables'!$B$76,+'5.Variables'!$M83,+IF(K$18='5.Variables'!$B$90,+'5.Variables'!$M97,+IF(K$18='5.Variables'!$B$104,+'5.Variables'!$M111,0))))))</f>
        <v>383.1</v>
      </c>
      <c r="L90" s="722">
        <f>IF(L$18='5.Variables'!$B$16,+'5.Variables'!$M31,+IF(L$18='5.Variables'!$B$39,+'5.Variables'!$M55,+IF(L$18='5.Variables'!$B$62,+'5.Variables'!$M69,+IF(L$18='5.Variables'!$B$76,+'5.Variables'!$M83,+IF(L$18='5.Variables'!$B$90,+'5.Variables'!$M97,+IF(L$18='5.Variables'!$B$104,+'5.Variables'!$M111,0))))))</f>
        <v>0</v>
      </c>
      <c r="M90" s="722">
        <f>IF(M$18='5.Variables'!$B$16,+'5.Variables'!$M31,+IF(M$18='5.Variables'!$B$39,+'5.Variables'!$M55,+IF(M$18='5.Variables'!$B$62,+'5.Variables'!$M69,+IF(M$18='5.Variables'!$B$76,+'5.Variables'!$M83,+IF(M$18='5.Variables'!$B$90,+'5.Variables'!$M97,+IF(M$18='5.Variables'!$B$104,+'5.Variables'!$M111,0))))))</f>
        <v>30</v>
      </c>
      <c r="N90" s="722">
        <f>IF(N$18='5.Variables'!$B$16,+'5.Variables'!$M31,+IF(N$18='5.Variables'!$B$39,+'5.Variables'!$M55,+IF(N$18='5.Variables'!$B$62,+'5.Variables'!$M69,+IF(N$18='5.Variables'!$B$76,+'5.Variables'!$M83,+IF(N$18='5.Variables'!$B$90,+'5.Variables'!$M97,+IF(N$18='5.Variables'!$B$104,+'5.Variables'!$M111,0))))))</f>
        <v>367.8</v>
      </c>
      <c r="O90" s="722">
        <f>IF(O$18='5.Variables'!$B$16,+'5.Variables'!$M31,+IF(O$18='5.Variables'!$B$39,+'5.Variables'!$M55,+IF(O$18='5.Variables'!$B$62,+'5.Variables'!$M69,+IF(O$18='5.Variables'!$B$76,+'5.Variables'!$M83,+IF(O$18='5.Variables'!$B$90,+'5.Variables'!$M97,+IF(O$18='5.Variables'!$B$104,+'5.Variables'!$M111,0))))))</f>
        <v>9.2799999999999994</v>
      </c>
      <c r="P90" s="983">
        <f>IF(P$18='5.Variables'!$B$16,+'5.Variables'!$M31,+IF(P$18='5.Variables'!$B$39,+'5.Variables'!$M55,+IF(P$18='5.Variables'!$B$62,+'5.Variables'!$M69,+IF(P$18='5.Variables'!$B$76,+'5.Variables'!$M83,+IF(P$18='5.Variables'!$B$90,+'5.Variables'!$M97,+IF(P$18='5.Variables'!$B$104,+'5.Variables'!$M111,0))))))</f>
        <v>0</v>
      </c>
      <c r="Q90" s="245"/>
      <c r="R90" s="556">
        <f t="shared" si="9"/>
        <v>7328883.4714328256</v>
      </c>
      <c r="S90" s="265"/>
      <c r="T90" s="245"/>
      <c r="U90" s="245"/>
      <c r="V90" s="245"/>
      <c r="W90" s="245"/>
      <c r="X90" s="245"/>
      <c r="Y90" s="245"/>
      <c r="Z90" s="245"/>
      <c r="AA90" s="245"/>
      <c r="AB90" s="245"/>
      <c r="AC90" s="245"/>
      <c r="AD90" s="245"/>
      <c r="AE90" s="245"/>
      <c r="AF90" s="245"/>
      <c r="AG90" s="245"/>
      <c r="AH90" s="245"/>
      <c r="AI90" s="245"/>
      <c r="AJ90" s="245"/>
      <c r="AK90" s="245"/>
      <c r="AL90" s="245"/>
      <c r="AM90" s="245"/>
    </row>
    <row r="91" spans="1:39" x14ac:dyDescent="0.2">
      <c r="A91" s="501">
        <f t="shared" si="10"/>
        <v>72</v>
      </c>
      <c r="B91" s="520" t="str">
        <f>CONCATENATE('3. Consumption by Rate Class'!B96,"-",'3. Consumption by Rate Class'!C96)</f>
        <v>2011-December</v>
      </c>
      <c r="C91" s="695">
        <v>8263693</v>
      </c>
      <c r="D91" s="702">
        <v>-145759</v>
      </c>
      <c r="E91" s="702">
        <v>-133444</v>
      </c>
      <c r="F91" s="702"/>
      <c r="G91" s="702"/>
      <c r="H91" s="703"/>
      <c r="I91" s="703"/>
      <c r="J91" s="263">
        <f t="shared" si="8"/>
        <v>7984490</v>
      </c>
      <c r="K91" s="722">
        <f>IF(K$18='5.Variables'!$B$16,+'5.Variables'!$N32,+IF(K$18='5.Variables'!$B$39,+'5.Variables'!$N55,+IF(K$18='5.Variables'!$B$62,+'5.Variables'!$N69,+IF(K$18='5.Variables'!$B$76,+'5.Variables'!$N83,+IF(K$18='5.Variables'!$B$90,+'5.Variables'!$N97,+IF(K$18='5.Variables'!$B$104,+'5.Variables'!$N111,0))))))</f>
        <v>656.69999999999993</v>
      </c>
      <c r="L91" s="722">
        <f>IF(L$18='5.Variables'!$B$16,+'5.Variables'!$N31,+IF(L$18='5.Variables'!$B$39,+'5.Variables'!$N55,+IF(L$18='5.Variables'!$B$62,+'5.Variables'!$N69,+IF(L$18='5.Variables'!$B$76,+'5.Variables'!$N83,+IF(L$18='5.Variables'!$B$90,+'5.Variables'!$N97,+IF(L$18='5.Variables'!$B$104,+'5.Variables'!$N111,0))))))</f>
        <v>0</v>
      </c>
      <c r="M91" s="722">
        <f>IF(M$18='5.Variables'!$B$16,+'5.Variables'!$N31,+IF(M$18='5.Variables'!$B$39,+'5.Variables'!$N55,+IF(M$18='5.Variables'!$B$62,+'5.Variables'!$N69,+IF(M$18='5.Variables'!$B$76,+'5.Variables'!$N83,+IF(M$18='5.Variables'!$B$90,+'5.Variables'!$N97,+IF(M$18='5.Variables'!$B$104,+'5.Variables'!$N111,0))))))</f>
        <v>31</v>
      </c>
      <c r="N91" s="722">
        <f>IF(N$18='5.Variables'!$B$16,+'5.Variables'!$N31,+IF(N$18='5.Variables'!$B$39,+'5.Variables'!$N55,+IF(N$18='5.Variables'!$B$62,+'5.Variables'!$N69,+IF(N$18='5.Variables'!$B$76,+'5.Variables'!$N83,+IF(N$18='5.Variables'!$B$90,+'5.Variables'!$N97,+IF(N$18='5.Variables'!$B$104,+'5.Variables'!$N111,0))))))</f>
        <v>367.9</v>
      </c>
      <c r="O91" s="722">
        <f>IF(O$18='5.Variables'!$B$16,+'5.Variables'!$N31,+IF(O$18='5.Variables'!$B$39,+'5.Variables'!$N55,+IF(O$18='5.Variables'!$B$62,+'5.Variables'!$N69,+IF(O$18='5.Variables'!$B$76,+'5.Variables'!$N83,+IF(O$18='5.Variables'!$B$90,+'5.Variables'!$N97,+IF(O$18='5.Variables'!$B$104,+'5.Variables'!$N111,0))))))</f>
        <v>8.4700000000000006</v>
      </c>
      <c r="P91" s="983">
        <f>IF(P$18='5.Variables'!$B$16,+'5.Variables'!$N31,+IF(P$18='5.Variables'!$B$39,+'5.Variables'!$N55,+IF(P$18='5.Variables'!$B$62,+'5.Variables'!$N69,+IF(P$18='5.Variables'!$B$76,+'5.Variables'!$N83,+IF(P$18='5.Variables'!$B$90,+'5.Variables'!$N97,+IF(P$18='5.Variables'!$B$104,+'5.Variables'!$N111,0))))))</f>
        <v>1</v>
      </c>
      <c r="Q91" s="245"/>
      <c r="R91" s="556">
        <f t="shared" si="9"/>
        <v>8429992.3397107534</v>
      </c>
      <c r="S91" s="265">
        <f>SUM(R80:R91)</f>
        <v>91628943.54129757</v>
      </c>
      <c r="T91" s="245"/>
      <c r="U91" s="245"/>
      <c r="V91" s="245"/>
      <c r="W91" s="245"/>
      <c r="X91" s="245"/>
      <c r="Y91" s="245"/>
      <c r="Z91" s="245"/>
      <c r="AA91" s="245"/>
      <c r="AB91" s="245"/>
      <c r="AC91" s="245"/>
      <c r="AD91" s="245"/>
      <c r="AE91" s="245"/>
      <c r="AF91" s="245"/>
      <c r="AG91" s="245"/>
      <c r="AH91" s="245"/>
      <c r="AI91" s="245"/>
      <c r="AJ91" s="245"/>
      <c r="AK91" s="245"/>
      <c r="AL91" s="245"/>
      <c r="AM91" s="245"/>
    </row>
    <row r="92" spans="1:39" x14ac:dyDescent="0.2">
      <c r="A92" s="501">
        <f t="shared" si="10"/>
        <v>73</v>
      </c>
      <c r="B92" s="262" t="str">
        <f>CONCATENATE('3. Consumption by Rate Class'!B97,"-",'3. Consumption by Rate Class'!C97)</f>
        <v>2012-January</v>
      </c>
      <c r="C92" s="694">
        <v>9026172</v>
      </c>
      <c r="D92" s="700">
        <v>-47971</v>
      </c>
      <c r="E92" s="700">
        <v>-96480</v>
      </c>
      <c r="F92" s="704"/>
      <c r="G92" s="700"/>
      <c r="H92" s="701"/>
      <c r="I92" s="701"/>
      <c r="J92" s="263">
        <f t="shared" si="8"/>
        <v>8881721</v>
      </c>
      <c r="K92" s="722">
        <f>IF(K$18='5.Variables'!$B$16,+'5.Variables'!$C33,+IF(K$18='5.Variables'!$B$39,+'5.Variables'!$C56,+IF(K$18='5.Variables'!$B$62,+'5.Variables'!$C70,+IF(K$18='5.Variables'!$B$76,+'5.Variables'!$C84,+IF(K$18='5.Variables'!$B$90,+'5.Variables'!$C98,+IF(K$18='5.Variables'!$B$104,+'5.Variables'!$C112,0))))))</f>
        <v>828.6</v>
      </c>
      <c r="L92" s="722">
        <f>IF(L$18='5.Variables'!$B$16,+'5.Variables'!$C32,+IF(L$18='5.Variables'!$B$39,+'5.Variables'!$C56,+IF(L$18='5.Variables'!$B$62,+'5.Variables'!$C70,+IF(L$18='5.Variables'!$B$76,+'5.Variables'!$C84,+IF(L$18='5.Variables'!$B$90,+'5.Variables'!$C98,+IF(L$18='5.Variables'!$B$104,+'5.Variables'!$C112,0))))))</f>
        <v>0</v>
      </c>
      <c r="M92" s="722">
        <f>IF(M$18='5.Variables'!$B$16,+'5.Variables'!$C32,+IF(M$18='5.Variables'!$B$39,+'5.Variables'!$C56,+IF(M$18='5.Variables'!$B$62,+'5.Variables'!$C70,+IF(M$18='5.Variables'!$B$76,+'5.Variables'!$C84,+IF(M$18='5.Variables'!$B$90,+'5.Variables'!$C98,+IF(M$18='5.Variables'!$B$104,+'5.Variables'!$C112,0))))))</f>
        <v>31</v>
      </c>
      <c r="N92" s="722">
        <f>IF(N$18='5.Variables'!$B$16,+'5.Variables'!$C32,+IF(N$18='5.Variables'!$B$39,+'5.Variables'!$C56,+IF(N$18='5.Variables'!$B$62,+'5.Variables'!$C70,+IF(N$18='5.Variables'!$B$76,+'5.Variables'!$C84,+IF(N$18='5.Variables'!$B$90,+'5.Variables'!$C98,+IF(N$18='5.Variables'!$B$104,+'5.Variables'!$C112,0))))))</f>
        <v>367.9</v>
      </c>
      <c r="O92" s="722">
        <f>IF(O$18='5.Variables'!$B$16,+'5.Variables'!$C32,+IF(O$18='5.Variables'!$B$39,+'5.Variables'!$C56,+IF(O$18='5.Variables'!$B$62,+'5.Variables'!$C70,+IF(O$18='5.Variables'!$B$76,+'5.Variables'!$C84,+IF(O$18='5.Variables'!$B$90,+'5.Variables'!$C98,+IF(O$18='5.Variables'!$B$104,+'5.Variables'!$C112,0))))))</f>
        <v>9.09</v>
      </c>
      <c r="P92" s="983">
        <f>IF(P$18='5.Variables'!$B$16,+'5.Variables'!$C32,+IF(P$18='5.Variables'!$B$39,+'5.Variables'!$C56,+IF(P$18='5.Variables'!$B$62,+'5.Variables'!$C70,+IF(P$18='5.Variables'!$B$76,+'5.Variables'!$C84,+IF(P$18='5.Variables'!$B$90,+'5.Variables'!$C98,+IF(P$18='5.Variables'!$B$104,+'5.Variables'!$C112,0))))))</f>
        <v>1</v>
      </c>
      <c r="Q92" s="245"/>
      <c r="R92" s="556">
        <f t="shared" si="9"/>
        <v>8966013.7183084451</v>
      </c>
      <c r="S92" s="265"/>
      <c r="T92" s="245"/>
      <c r="U92" s="245"/>
      <c r="V92" s="245"/>
      <c r="W92" s="245"/>
      <c r="X92" s="245"/>
      <c r="Y92" s="245"/>
      <c r="Z92" s="245"/>
      <c r="AA92" s="245"/>
      <c r="AB92" s="245"/>
      <c r="AC92" s="245"/>
      <c r="AD92" s="245"/>
      <c r="AE92" s="245"/>
      <c r="AF92" s="245"/>
      <c r="AG92" s="245"/>
      <c r="AH92" s="245"/>
      <c r="AI92" s="245"/>
      <c r="AJ92" s="245"/>
      <c r="AK92" s="245"/>
      <c r="AL92" s="245"/>
      <c r="AM92" s="245"/>
    </row>
    <row r="93" spans="1:39" x14ac:dyDescent="0.2">
      <c r="A93" s="501">
        <f t="shared" si="10"/>
        <v>74</v>
      </c>
      <c r="B93" s="262" t="str">
        <f>CONCATENATE('3. Consumption by Rate Class'!B98,"-",'3. Consumption by Rate Class'!C98)</f>
        <v>2012-February</v>
      </c>
      <c r="C93" s="694">
        <v>7910374</v>
      </c>
      <c r="D93" s="700">
        <v>-52159</v>
      </c>
      <c r="E93" s="700">
        <v>-113934</v>
      </c>
      <c r="F93" s="704"/>
      <c r="G93" s="700"/>
      <c r="H93" s="701"/>
      <c r="I93" s="701"/>
      <c r="J93" s="263">
        <f t="shared" si="8"/>
        <v>7744281</v>
      </c>
      <c r="K93" s="722">
        <f>IF(K$18='5.Variables'!$B$16,+'5.Variables'!$D33+IF(K$18='5.Variables'!$B$39,+'5.Variables'!$D56,+IF(K$18='5.Variables'!$B$62,+'5.Variables'!$D70,+IF(K$18='5.Variables'!$B$76,+'5.Variables'!$D84,+IF(K$18='5.Variables'!$B$90,+'5.Variables'!$D98,+IF(K$18='5.Variables'!$B$104,+'5.Variables'!$D112,0))))))</f>
        <v>673.8</v>
      </c>
      <c r="L93" s="722">
        <f>IF(L$18='5.Variables'!$B$16,+'5.Variables'!$D32,+IF(L$18='5.Variables'!$B$39,+'5.Variables'!$D56,+IF(L$18='5.Variables'!$B$62,+'5.Variables'!$D70,+IF(L$18='5.Variables'!$B$76,+'5.Variables'!$D84,+IF(L$18='5.Variables'!$B$90,+'5.Variables'!$D98,+IF(L$18='5.Variables'!$B$104,+'5.Variables'!$D112,0))))))</f>
        <v>0</v>
      </c>
      <c r="M93" s="722">
        <f>IF(M$18='5.Variables'!$B$16,+'5.Variables'!$D32,+IF(M$18='5.Variables'!$B$39,+'5.Variables'!$D56,+IF(M$18='5.Variables'!$B$62,+'5.Variables'!$D70,+IF(M$18='5.Variables'!$B$76,+'5.Variables'!$D84,+IF(M$18='5.Variables'!$B$90,+'5.Variables'!$D98,+IF(M$18='5.Variables'!$B$104,+'5.Variables'!$D112,0))))))</f>
        <v>28</v>
      </c>
      <c r="N93" s="722">
        <f>IF(N$18='5.Variables'!$B$16,+'5.Variables'!$D32,+IF(N$18='5.Variables'!$B$39,+'5.Variables'!$D56,+IF(N$18='5.Variables'!$B$62,+'5.Variables'!$D70,+IF(N$18='5.Variables'!$B$76,+'5.Variables'!$D84,+IF(N$18='5.Variables'!$B$90,+'5.Variables'!$D98,+IF(N$18='5.Variables'!$B$104,+'5.Variables'!$D112,0))))))</f>
        <v>368</v>
      </c>
      <c r="O93" s="722">
        <f>IF(O$18='5.Variables'!$B$16,+'5.Variables'!$D32,+IF(O$18='5.Variables'!$B$39,+'5.Variables'!$D56,+IF(O$18='5.Variables'!$B$62,+'5.Variables'!$D70,+IF(O$18='5.Variables'!$B$76,+'5.Variables'!$D84,+IF(O$18='5.Variables'!$B$90,+'5.Variables'!$D98,+IF(O$18='5.Variables'!$B$104,+'5.Variables'!$D112,0))))))</f>
        <v>10.19</v>
      </c>
      <c r="P93" s="983">
        <f>IF(P$18='5.Variables'!$B$16,+'5.Variables'!$D32,+IF(P$18='5.Variables'!$B$39,+'5.Variables'!$D56,+IF(P$18='5.Variables'!$B$62,+'5.Variables'!$D70,+IF(P$18='5.Variables'!$B$76,+'5.Variables'!$D84,+IF(P$18='5.Variables'!$B$90,+'5.Variables'!$D98,+IF(P$18='5.Variables'!$B$104,+'5.Variables'!$D112,0))))))</f>
        <v>0</v>
      </c>
      <c r="Q93" s="245"/>
      <c r="R93" s="556">
        <f t="shared" si="9"/>
        <v>7842158.5363825858</v>
      </c>
      <c r="S93" s="265"/>
      <c r="T93" s="245"/>
      <c r="U93" s="245"/>
      <c r="V93" s="245"/>
      <c r="W93" s="245"/>
      <c r="X93" s="245"/>
      <c r="Y93" s="245"/>
      <c r="Z93" s="245"/>
      <c r="AA93" s="245"/>
      <c r="AB93" s="245"/>
      <c r="AC93" s="245"/>
      <c r="AD93" s="245"/>
      <c r="AE93" s="245"/>
      <c r="AF93" s="245"/>
      <c r="AG93" s="245"/>
      <c r="AH93" s="245"/>
      <c r="AI93" s="245"/>
      <c r="AJ93" s="245"/>
      <c r="AK93" s="245"/>
      <c r="AL93" s="245"/>
      <c r="AM93" s="245"/>
    </row>
    <row r="94" spans="1:39" x14ac:dyDescent="0.2">
      <c r="A94" s="501">
        <f t="shared" si="10"/>
        <v>75</v>
      </c>
      <c r="B94" s="262" t="str">
        <f>CONCATENATE('3. Consumption by Rate Class'!B99,"-",'3. Consumption by Rate Class'!C99)</f>
        <v>2012-March</v>
      </c>
      <c r="C94" s="694">
        <v>7638846</v>
      </c>
      <c r="D94" s="700">
        <v>-60887</v>
      </c>
      <c r="E94" s="700">
        <v>-92787</v>
      </c>
      <c r="F94" s="704"/>
      <c r="G94" s="700"/>
      <c r="H94" s="701"/>
      <c r="I94" s="701"/>
      <c r="J94" s="263">
        <f t="shared" si="8"/>
        <v>7485172</v>
      </c>
      <c r="K94" s="722">
        <f>IF(K$18='5.Variables'!$B$16,+'5.Variables'!$E33,+IF(K$18='5.Variables'!$B$39,+'5.Variables'!$E56,+IF(K$18='5.Variables'!$B$62,+'5.Variables'!$E70,+IF(K$18='5.Variables'!$B$76,+'5.Variables'!$E84,+IF(K$18='5.Variables'!$B$90,+'5.Variables'!$E98,+IF(K$18='5.Variables'!$B$104,+'5.Variables'!$E112,0))))))</f>
        <v>447.59999999999997</v>
      </c>
      <c r="L94" s="722">
        <f>IF(L$18='5.Variables'!$B$16,+'5.Variables'!$E32,+IF(L$18='5.Variables'!$B$39,+'5.Variables'!$E56,+IF(L$18='5.Variables'!$B$62,+'5.Variables'!$E70,+IF(L$18='5.Variables'!$B$76,+'5.Variables'!$E84,+IF(L$18='5.Variables'!$B$90,+'5.Variables'!$E98,+IF(L$18='5.Variables'!$B$104,+'5.Variables'!$E112,0))))))</f>
        <v>0</v>
      </c>
      <c r="M94" s="722">
        <f>IF(M$18='5.Variables'!$B$16,+'5.Variables'!$E32,+IF(M$18='5.Variables'!$B$39,+'5.Variables'!$E56,+IF(M$18='5.Variables'!$B$62,+'5.Variables'!$E70,+IF(M$18='5.Variables'!$B$76,+'5.Variables'!$E84,+IF(M$18='5.Variables'!$B$90,+'5.Variables'!$E98,+IF(M$18='5.Variables'!$B$104,+'5.Variables'!$E112,0))))))</f>
        <v>31</v>
      </c>
      <c r="N94" s="722">
        <f>IF(N$18='5.Variables'!$B$16,+'5.Variables'!$E32,+IF(N$18='5.Variables'!$B$39,+'5.Variables'!$E56,+IF(N$18='5.Variables'!$B$62,+'5.Variables'!$E70,+IF(N$18='5.Variables'!$B$76,+'5.Variables'!$E84,+IF(N$18='5.Variables'!$B$90,+'5.Variables'!$E98,+IF(N$18='5.Variables'!$B$104,+'5.Variables'!$E112,0))))))</f>
        <v>368</v>
      </c>
      <c r="O94" s="722">
        <f>IF(O$18='5.Variables'!$B$16,+'5.Variables'!$E32,+IF(O$18='5.Variables'!$B$39,+'5.Variables'!$E56,+IF(O$18='5.Variables'!$B$62,+'5.Variables'!$E70,+IF(O$18='5.Variables'!$B$76,+'5.Variables'!$E84,+IF(O$18='5.Variables'!$B$90,+'5.Variables'!$E98,+IF(O$18='5.Variables'!$B$104,+'5.Variables'!$E112,0))))))</f>
        <v>11.51</v>
      </c>
      <c r="P94" s="983">
        <f>IF(P$18='5.Variables'!$B$16,+'5.Variables'!$E32,+IF(P$18='5.Variables'!$B$39,+'5.Variables'!$E56,+IF(P$18='5.Variables'!$B$62,+'5.Variables'!$E70,+IF(P$18='5.Variables'!$B$76,+'5.Variables'!$E84,+IF(P$18='5.Variables'!$B$90,+'5.Variables'!$E98,+IF(P$18='5.Variables'!$B$104,+'5.Variables'!$E112,0))))))</f>
        <v>1</v>
      </c>
      <c r="Q94" s="245"/>
      <c r="R94" s="556">
        <f t="shared" si="9"/>
        <v>7661596.8364696885</v>
      </c>
      <c r="S94" s="265"/>
      <c r="T94" s="245"/>
      <c r="U94" s="245"/>
      <c r="V94" s="245"/>
      <c r="W94" s="245"/>
      <c r="X94" s="245"/>
      <c r="Y94" s="245"/>
      <c r="Z94" s="245"/>
      <c r="AA94" s="245"/>
      <c r="AB94" s="245"/>
      <c r="AC94" s="245"/>
      <c r="AD94" s="245"/>
      <c r="AE94" s="245"/>
      <c r="AF94" s="245"/>
      <c r="AG94" s="245"/>
      <c r="AH94" s="245"/>
      <c r="AI94" s="245"/>
      <c r="AJ94" s="245"/>
      <c r="AK94" s="245"/>
      <c r="AL94" s="245"/>
      <c r="AM94" s="245"/>
    </row>
    <row r="95" spans="1:39" x14ac:dyDescent="0.2">
      <c r="A95" s="501">
        <f t="shared" si="10"/>
        <v>76</v>
      </c>
      <c r="B95" s="262" t="str">
        <f>CONCATENATE('3. Consumption by Rate Class'!B100,"-",'3. Consumption by Rate Class'!C100)</f>
        <v>2012-April</v>
      </c>
      <c r="C95" s="694">
        <v>6887823</v>
      </c>
      <c r="D95" s="700">
        <v>-57424</v>
      </c>
      <c r="E95" s="700">
        <v>-888655</v>
      </c>
      <c r="F95" s="704"/>
      <c r="G95" s="700"/>
      <c r="H95" s="701"/>
      <c r="I95" s="701"/>
      <c r="J95" s="263">
        <f t="shared" si="8"/>
        <v>5941744</v>
      </c>
      <c r="K95" s="722">
        <f>IF(K$18='5.Variables'!$B$16,+'5.Variables'!$F33,+IF(K$18='5.Variables'!$B$39,+'5.Variables'!$F56,+IF(K$18='5.Variables'!$B$62,+'5.Variables'!$F70,+IF(K$18='5.Variables'!$B$76,+'5.Variables'!$F84,+IF(K$18='5.Variables'!$B$90,+'5.Variables'!$F98,+IF(K$18='5.Variables'!$B$104,+'5.Variables'!$F112,0))))))</f>
        <v>351.89999999999992</v>
      </c>
      <c r="L95" s="722">
        <f>IF(L$18='5.Variables'!$B$16,+'5.Variables'!$F32,+IF(L$18='5.Variables'!$B$39,+'5.Variables'!$F56,+IF(L$18='5.Variables'!$B$62,+'5.Variables'!$F70,+IF(L$18='5.Variables'!$B$76,+'5.Variables'!$F84,+IF(L$18='5.Variables'!$B$90,+'5.Variables'!$F98,+IF(L$18='5.Variables'!$B$104,+'5.Variables'!$F112,0))))))</f>
        <v>3</v>
      </c>
      <c r="M95" s="722">
        <f>IF(M$18='5.Variables'!$B$16,+'5.Variables'!$F32,+IF(M$18='5.Variables'!$B$39,+'5.Variables'!$F56,+IF(M$18='5.Variables'!$B$62,+'5.Variables'!$F70,+IF(M$18='5.Variables'!$B$76,+'5.Variables'!$F84,+IF(M$18='5.Variables'!$B$90,+'5.Variables'!$F98,+IF(M$18='5.Variables'!$B$104,+'5.Variables'!$F112,0))))))</f>
        <v>30</v>
      </c>
      <c r="N95" s="722">
        <f>IF(N$18='5.Variables'!$B$16,+'5.Variables'!$F32,+IF(N$18='5.Variables'!$B$39,+'5.Variables'!$F56,+IF(N$18='5.Variables'!$B$62,+'5.Variables'!$F70,+IF(N$18='5.Variables'!$B$76,+'5.Variables'!$F84,+IF(N$18='5.Variables'!$B$90,+'5.Variables'!$F98,+IF(N$18='5.Variables'!$B$104,+'5.Variables'!$F112,0))))))</f>
        <v>368.2</v>
      </c>
      <c r="O95" s="722">
        <f>IF(O$18='5.Variables'!$B$16,+'5.Variables'!$F32,+IF(O$18='5.Variables'!$B$39,+'5.Variables'!$F56,+IF(O$18='5.Variables'!$B$62,+'5.Variables'!$F70,+IF(O$18='5.Variables'!$B$76,+'5.Variables'!$F84,+IF(O$18='5.Variables'!$B$90,+'5.Variables'!$F98,+IF(O$18='5.Variables'!$B$104,+'5.Variables'!$F112,0))))))</f>
        <v>13.28</v>
      </c>
      <c r="P95" s="983">
        <f>IF(P$18='5.Variables'!$B$16,+'5.Variables'!$F32,+IF(P$18='5.Variables'!$B$39,+'5.Variables'!$F56,+IF(P$18='5.Variables'!$B$62,+'5.Variables'!$F70,+IF(P$18='5.Variables'!$B$76,+'5.Variables'!$F84,+IF(P$18='5.Variables'!$B$90,+'5.Variables'!$F98,+IF(P$18='5.Variables'!$B$104,+'5.Variables'!$F112,0))))))</f>
        <v>0</v>
      </c>
      <c r="Q95" s="245"/>
      <c r="R95" s="556">
        <f t="shared" si="9"/>
        <v>7147890.3660164876</v>
      </c>
      <c r="S95" s="265"/>
      <c r="T95" s="245"/>
      <c r="U95" s="245"/>
      <c r="V95" s="245"/>
      <c r="W95" s="245"/>
      <c r="X95" s="245"/>
      <c r="Y95" s="245"/>
      <c r="Z95" s="245"/>
      <c r="AA95" s="245"/>
      <c r="AB95" s="245"/>
      <c r="AC95" s="245"/>
      <c r="AD95" s="245"/>
      <c r="AE95" s="245"/>
      <c r="AF95" s="245"/>
      <c r="AG95" s="245"/>
      <c r="AH95" s="245"/>
      <c r="AI95" s="245"/>
      <c r="AJ95" s="245"/>
      <c r="AK95" s="245"/>
      <c r="AL95" s="245"/>
      <c r="AM95" s="245"/>
    </row>
    <row r="96" spans="1:39" x14ac:dyDescent="0.2">
      <c r="A96" s="501">
        <f t="shared" si="10"/>
        <v>77</v>
      </c>
      <c r="B96" s="262" t="str">
        <f>CONCATENATE('3. Consumption by Rate Class'!B101,"-",'3. Consumption by Rate Class'!C101)</f>
        <v>2012-May</v>
      </c>
      <c r="C96" s="694">
        <v>6951612</v>
      </c>
      <c r="D96" s="700">
        <v>-51649</v>
      </c>
      <c r="E96" s="700">
        <v>-94501</v>
      </c>
      <c r="F96" s="704"/>
      <c r="G96" s="700"/>
      <c r="H96" s="701"/>
      <c r="I96" s="701"/>
      <c r="J96" s="263">
        <f t="shared" si="8"/>
        <v>6805462</v>
      </c>
      <c r="K96" s="722">
        <f>IF(K$18='5.Variables'!$B$16,+'5.Variables'!$G33,+IF(K$18='5.Variables'!$B$39,+'5.Variables'!$G56,+IF(K$18='5.Variables'!$B$62,+'5.Variables'!$G70,+IF(K$18='5.Variables'!$B$76,+'5.Variables'!$G84,+IF(K$18='5.Variables'!$B$90,+'5.Variables'!$G98,+IF(K$18='5.Variables'!$B$104,+'5.Variables'!$G112,0))))))</f>
        <v>94.300000000000011</v>
      </c>
      <c r="L96" s="722">
        <f>IF(L$18='5.Variables'!$B$16,+'5.Variables'!$G32,+IF(L$18='5.Variables'!$B$39,+'5.Variables'!$G56,+IF(L$18='5.Variables'!$B$62,+'5.Variables'!$G70,+IF(L$18='5.Variables'!$B$76,+'5.Variables'!$G84,+IF(L$18='5.Variables'!$B$90,+'5.Variables'!$G98,+IF(L$18='5.Variables'!$B$104,+'5.Variables'!$G112,0))))))</f>
        <v>22.9</v>
      </c>
      <c r="M96" s="722">
        <f>IF(M$18='5.Variables'!$B$16,+'5.Variables'!$G32,+IF(M$18='5.Variables'!$B$39,+'5.Variables'!$G56,+IF(M$18='5.Variables'!$B$62,+'5.Variables'!$G70,+IF(M$18='5.Variables'!$B$76,+'5.Variables'!$G84,+IF(M$18='5.Variables'!$B$90,+'5.Variables'!$G98,+IF(M$18='5.Variables'!$B$104,+'5.Variables'!$G112,0))))))</f>
        <v>31</v>
      </c>
      <c r="N96" s="722">
        <f>IF(N$18='5.Variables'!$B$16,+'5.Variables'!$G32,+IF(N$18='5.Variables'!$B$39,+'5.Variables'!$G56,+IF(N$18='5.Variables'!$B$62,+'5.Variables'!$G70,+IF(N$18='5.Variables'!$B$76,+'5.Variables'!$G84,+IF(N$18='5.Variables'!$B$90,+'5.Variables'!$G98,+IF(N$18='5.Variables'!$B$104,+'5.Variables'!$G112,0))))))</f>
        <v>368.3</v>
      </c>
      <c r="O96" s="722">
        <f>IF(O$18='5.Variables'!$B$16,+'5.Variables'!$G32,+IF(O$18='5.Variables'!$B$39,+'5.Variables'!$G56,+IF(O$18='5.Variables'!$B$62,+'5.Variables'!$G70,+IF(O$18='5.Variables'!$B$76,+'5.Variables'!$G84,+IF(O$18='5.Variables'!$B$90,+'5.Variables'!$G98,+IF(O$18='5.Variables'!$B$104,+'5.Variables'!$G112,0))))))</f>
        <v>14.52</v>
      </c>
      <c r="P96" s="983">
        <f>IF(P$18='5.Variables'!$B$16,+'5.Variables'!$G32,+IF(P$18='5.Variables'!$B$39,+'5.Variables'!$G56,+IF(P$18='5.Variables'!$B$62,+'5.Variables'!$G70,+IF(P$18='5.Variables'!$B$76,+'5.Variables'!$G84,+IF(P$18='5.Variables'!$B$90,+'5.Variables'!$G98,+IF(P$18='5.Variables'!$B$104,+'5.Variables'!$G112,0))))))</f>
        <v>0</v>
      </c>
      <c r="Q96" s="245"/>
      <c r="R96" s="556">
        <f t="shared" si="9"/>
        <v>6800456.1394591806</v>
      </c>
      <c r="S96" s="265"/>
      <c r="T96" s="245"/>
      <c r="U96" s="245"/>
      <c r="V96" s="245"/>
      <c r="W96" s="245"/>
      <c r="X96" s="245"/>
      <c r="Y96" s="245"/>
      <c r="Z96" s="245"/>
      <c r="AA96" s="245"/>
      <c r="AB96" s="245"/>
      <c r="AC96" s="245"/>
      <c r="AD96" s="245"/>
      <c r="AE96" s="245"/>
      <c r="AF96" s="245"/>
      <c r="AG96" s="245"/>
      <c r="AH96" s="245"/>
      <c r="AI96" s="245"/>
      <c r="AJ96" s="245"/>
      <c r="AK96" s="245"/>
      <c r="AL96" s="245"/>
      <c r="AM96" s="245"/>
    </row>
    <row r="97" spans="1:39" x14ac:dyDescent="0.2">
      <c r="A97" s="501">
        <f t="shared" si="10"/>
        <v>78</v>
      </c>
      <c r="B97" s="262" t="str">
        <f>CONCATENATE('3. Consumption by Rate Class'!B102,"-",'3. Consumption by Rate Class'!C102)</f>
        <v>2012-June</v>
      </c>
      <c r="C97" s="694">
        <v>7315606</v>
      </c>
      <c r="D97" s="700">
        <v>-40628</v>
      </c>
      <c r="E97" s="700">
        <v>-62248</v>
      </c>
      <c r="F97" s="704"/>
      <c r="G97" s="700"/>
      <c r="H97" s="701"/>
      <c r="I97" s="701"/>
      <c r="J97" s="263">
        <f t="shared" si="8"/>
        <v>7212730</v>
      </c>
      <c r="K97" s="722">
        <f>IF(K$18='5.Variables'!$B$16,+'5.Variables'!$H33,+IF(K$18='5.Variables'!$B$39,+'5.Variables'!$H56,+IF(K$18='5.Variables'!$B$62,+'5.Variables'!$H70,+IF(K$18='5.Variables'!$B$76,+'5.Variables'!$H84,+IF(K$18='5.Variables'!$B$90,+'5.Variables'!$H98,+IF(K$18='5.Variables'!$B$104,+'5.Variables'!$H112,0))))))</f>
        <v>29.300000000000008</v>
      </c>
      <c r="L97" s="722">
        <f>IF(L$18='5.Variables'!$B$16,+'5.Variables'!$H32,+IF(L$18='5.Variables'!$B$39,+'5.Variables'!$H56,+IF(L$18='5.Variables'!$B$62,+'5.Variables'!$H70,+IF(L$18='5.Variables'!$B$76,+'5.Variables'!$H84,+IF(L$18='5.Variables'!$B$90,+'5.Variables'!$H98,+IF(L$18='5.Variables'!$B$104,+'5.Variables'!$H112,0))))))</f>
        <v>74.099999999999994</v>
      </c>
      <c r="M97" s="722">
        <f>IF(M$18='5.Variables'!$B$16,+'5.Variables'!$H32,+IF(M$18='5.Variables'!$B$39,+'5.Variables'!$H56,+IF(M$18='5.Variables'!$B$62,+'5.Variables'!$H70,+IF(M$18='5.Variables'!$B$76,+'5.Variables'!$H84,+IF(M$18='5.Variables'!$B$90,+'5.Variables'!$H98,+IF(M$18='5.Variables'!$B$104,+'5.Variables'!$H112,0))))))</f>
        <v>30</v>
      </c>
      <c r="N97" s="722">
        <f>IF(N$18='5.Variables'!$B$16,+'5.Variables'!$H32,+IF(N$18='5.Variables'!$B$39,+'5.Variables'!$H56,+IF(N$18='5.Variables'!$B$62,+'5.Variables'!$H70,+IF(N$18='5.Variables'!$B$76,+'5.Variables'!$H84,+IF(N$18='5.Variables'!$B$90,+'5.Variables'!$H98,+IF(N$18='5.Variables'!$B$104,+'5.Variables'!$H112,0))))))</f>
        <v>368.4</v>
      </c>
      <c r="O97" s="722">
        <f>IF(O$18='5.Variables'!$B$16,+'5.Variables'!$H32,+IF(O$18='5.Variables'!$B$39,+'5.Variables'!$H56,+IF(O$18='5.Variables'!$B$62,+'5.Variables'!$H70,+IF(O$18='5.Variables'!$B$76,+'5.Variables'!$H84,+IF(O$18='5.Variables'!$B$90,+'5.Variables'!$H98,+IF(O$18='5.Variables'!$B$104,+'5.Variables'!$H112,0))))))</f>
        <v>15.35</v>
      </c>
      <c r="P97" s="983">
        <f>IF(P$18='5.Variables'!$B$16,+'5.Variables'!$H32,+IF(P$18='5.Variables'!$B$39,+'5.Variables'!$H56,+IF(P$18='5.Variables'!$B$62,+'5.Variables'!$H70,+IF(P$18='5.Variables'!$B$76,+'5.Variables'!$H84,+IF(P$18='5.Variables'!$B$90,+'5.Variables'!$H98,+IF(P$18='5.Variables'!$B$104,+'5.Variables'!$H112,0))))))</f>
        <v>0</v>
      </c>
      <c r="Q97" s="245"/>
      <c r="R97" s="556">
        <f t="shared" si="9"/>
        <v>7208528.1202721437</v>
      </c>
      <c r="S97" s="265"/>
      <c r="T97" s="245"/>
      <c r="U97" s="245"/>
      <c r="V97" s="245"/>
      <c r="W97" s="245"/>
      <c r="X97" s="245"/>
      <c r="Y97" s="245"/>
      <c r="Z97" s="245"/>
      <c r="AA97" s="245"/>
      <c r="AB97" s="245"/>
      <c r="AC97" s="245"/>
      <c r="AD97" s="245"/>
      <c r="AE97" s="245"/>
      <c r="AF97" s="245"/>
      <c r="AG97" s="245"/>
      <c r="AH97" s="245"/>
      <c r="AI97" s="245"/>
      <c r="AJ97" s="245"/>
      <c r="AK97" s="245"/>
      <c r="AL97" s="245"/>
      <c r="AM97" s="245"/>
    </row>
    <row r="98" spans="1:39" x14ac:dyDescent="0.2">
      <c r="A98" s="501">
        <f t="shared" si="10"/>
        <v>79</v>
      </c>
      <c r="B98" s="262" t="str">
        <f>CONCATENATE('3. Consumption by Rate Class'!B103,"-",'3. Consumption by Rate Class'!C103)</f>
        <v>2012-July</v>
      </c>
      <c r="C98" s="694">
        <v>7973747</v>
      </c>
      <c r="D98" s="700">
        <v>-52611</v>
      </c>
      <c r="E98" s="700">
        <v>-60559</v>
      </c>
      <c r="F98" s="704"/>
      <c r="G98" s="700"/>
      <c r="H98" s="701"/>
      <c r="I98" s="701"/>
      <c r="J98" s="263">
        <f t="shared" si="8"/>
        <v>7860577</v>
      </c>
      <c r="K98" s="722">
        <f>IF(K$18='5.Variables'!$B$16,+'5.Variables'!$I33,+IF(K$18='5.Variables'!$B$39,+'5.Variables'!$I56,+IF(K$18='5.Variables'!$B$62,+'5.Variables'!$I70,+IF(K$18='5.Variables'!$B$76,+'5.Variables'!$I84,+IF(K$18='5.Variables'!$B$90,+'5.Variables'!$I98,+IF(K$18='5.Variables'!$B$104,+'5.Variables'!$I112,0))))))</f>
        <v>0</v>
      </c>
      <c r="L98" s="722">
        <f>IF(L$18='5.Variables'!$B$16,+'5.Variables'!$I32,+IF(L$18='5.Variables'!$B$39,+'5.Variables'!$I56,+IF(L$18='5.Variables'!$B$62,+'5.Variables'!$I70,+IF(L$18='5.Variables'!$B$76,+'5.Variables'!$I84,+IF(L$18='5.Variables'!$B$90,+'5.Variables'!$I98,+IF(L$18='5.Variables'!$B$104,+'5.Variables'!$I112,0))))))</f>
        <v>141.80000000000001</v>
      </c>
      <c r="M98" s="722">
        <f>IF(M$18='5.Variables'!$B$16,+'5.Variables'!$I32,+IF(M$18='5.Variables'!$B$39,+'5.Variables'!$I56,+IF(M$18='5.Variables'!$B$62,+'5.Variables'!$I70,+IF(M$18='5.Variables'!$B$76,+'5.Variables'!$I84,+IF(M$18='5.Variables'!$B$90,+'5.Variables'!$I98,+IF(M$18='5.Variables'!$B$104,+'5.Variables'!$I112,0))))))</f>
        <v>31</v>
      </c>
      <c r="N98" s="722">
        <f>IF(N$18='5.Variables'!$B$16,+'5.Variables'!$I32,+IF(N$18='5.Variables'!$B$39,+'5.Variables'!$I56,+IF(N$18='5.Variables'!$B$62,+'5.Variables'!$I70,+IF(N$18='5.Variables'!$B$76,+'5.Variables'!$I84,+IF(N$18='5.Variables'!$B$90,+'5.Variables'!$I98,+IF(N$18='5.Variables'!$B$104,+'5.Variables'!$I112,0))))))</f>
        <v>368.6</v>
      </c>
      <c r="O98" s="722">
        <f>IF(O$18='5.Variables'!$B$16,+'5.Variables'!$I32,+IF(O$18='5.Variables'!$B$39,+'5.Variables'!$I56,+IF(O$18='5.Variables'!$B$62,+'5.Variables'!$I70,+IF(O$18='5.Variables'!$B$76,+'5.Variables'!$I84,+IF(O$18='5.Variables'!$B$90,+'5.Variables'!$I98,+IF(O$18='5.Variables'!$B$104,+'5.Variables'!$I112,0))))))</f>
        <v>15.15</v>
      </c>
      <c r="P98" s="983">
        <f>IF(P$18='5.Variables'!$B$16,+'5.Variables'!$I32,+IF(P$18='5.Variables'!$B$39,+'5.Variables'!$I56,+IF(P$18='5.Variables'!$B$62,+'5.Variables'!$I70,+IF(P$18='5.Variables'!$B$76,+'5.Variables'!$I84,+IF(P$18='5.Variables'!$B$90,+'5.Variables'!$I98,+IF(P$18='5.Variables'!$B$104,+'5.Variables'!$I112,0))))))</f>
        <v>1</v>
      </c>
      <c r="Q98" s="245"/>
      <c r="R98" s="556">
        <f t="shared" si="9"/>
        <v>8424193.4345059078</v>
      </c>
      <c r="S98" s="265"/>
      <c r="T98" s="245"/>
      <c r="U98" s="245"/>
      <c r="V98" s="245"/>
      <c r="W98" s="245"/>
      <c r="X98" s="245"/>
      <c r="Y98" s="245"/>
      <c r="Z98" s="245"/>
      <c r="AA98" s="245"/>
      <c r="AB98" s="245"/>
      <c r="AC98" s="245"/>
      <c r="AD98" s="245"/>
      <c r="AE98" s="245"/>
      <c r="AF98" s="245"/>
      <c r="AG98" s="245"/>
      <c r="AH98" s="245"/>
      <c r="AI98" s="245"/>
      <c r="AJ98" s="245"/>
      <c r="AK98" s="245"/>
      <c r="AL98" s="245"/>
      <c r="AM98" s="245"/>
    </row>
    <row r="99" spans="1:39" x14ac:dyDescent="0.2">
      <c r="A99" s="501">
        <f t="shared" si="10"/>
        <v>80</v>
      </c>
      <c r="B99" s="262" t="str">
        <f>CONCATENATE('3. Consumption by Rate Class'!B104,"-",'3. Consumption by Rate Class'!C104)</f>
        <v>2012-August</v>
      </c>
      <c r="C99" s="694">
        <v>7623357</v>
      </c>
      <c r="D99" s="700">
        <v>-44864</v>
      </c>
      <c r="E99" s="700">
        <v>-57981</v>
      </c>
      <c r="F99" s="704"/>
      <c r="G99" s="700"/>
      <c r="H99" s="701"/>
      <c r="I99" s="701"/>
      <c r="J99" s="263">
        <f t="shared" si="8"/>
        <v>7520512</v>
      </c>
      <c r="K99" s="722">
        <f>IF(K$18='5.Variables'!$B$16,+'5.Variables'!$J33,+IF(K$18='5.Variables'!$B$39,+'5.Variables'!$J56,+IF(K$18='5.Variables'!$B$62,+'5.Variables'!$J70,+IF(K$18='5.Variables'!$B$76,+'5.Variables'!$J84,+IF(K$18='5.Variables'!$B$90,+'5.Variables'!$J98,+IF(K$18='5.Variables'!$B$104,+'5.Variables'!$J112,0))))))</f>
        <v>6.2</v>
      </c>
      <c r="L99" s="722">
        <f>IF(L$18='5.Variables'!$B$16,+'5.Variables'!$J32,+IF(L$18='5.Variables'!$B$39,+'5.Variables'!$J56,+IF(L$18='5.Variables'!$B$62,+'5.Variables'!$J70,+IF(L$18='5.Variables'!$B$76,+'5.Variables'!$J84,+IF(L$18='5.Variables'!$B$90,+'5.Variables'!$J98,+IF(L$18='5.Variables'!$B$104,+'5.Variables'!$J112,0))))))</f>
        <v>99.6</v>
      </c>
      <c r="M99" s="722">
        <f>IF(M$18='5.Variables'!$B$16,+'5.Variables'!$J32,+IF(M$18='5.Variables'!$B$39,+'5.Variables'!$J56,+IF(M$18='5.Variables'!$B$62,+'5.Variables'!$J70,+IF(M$18='5.Variables'!$B$76,+'5.Variables'!$J84,+IF(M$18='5.Variables'!$B$90,+'5.Variables'!$J98,+IF(M$18='5.Variables'!$B$104,+'5.Variables'!$J112,0))))))</f>
        <v>31</v>
      </c>
      <c r="N99" s="722">
        <f>IF(N$18='5.Variables'!$B$16,+'5.Variables'!$J32,+IF(N$18='5.Variables'!$B$39,+'5.Variables'!$J56,+IF(N$18='5.Variables'!$B$62,+'5.Variables'!$J70,+IF(N$18='5.Variables'!$B$76,+'5.Variables'!$J84,+IF(N$18='5.Variables'!$B$90,+'5.Variables'!$J98,+IF(N$18='5.Variables'!$B$104,+'5.Variables'!$J112,0))))))</f>
        <v>368.8</v>
      </c>
      <c r="O99" s="722">
        <f>IF(O$18='5.Variables'!$B$16,+'5.Variables'!$J32,+IF(O$18='5.Variables'!$B$39,+'5.Variables'!$J56,+IF(O$18='5.Variables'!$B$62,+'5.Variables'!$J70,+IF(O$18='5.Variables'!$B$76,+'5.Variables'!$J84,+IF(O$18='5.Variables'!$B$90,+'5.Variables'!$J98,+IF(O$18='5.Variables'!$B$104,+'5.Variables'!$J112,0))))))</f>
        <v>14.03</v>
      </c>
      <c r="P99" s="983">
        <f>IF(P$18='5.Variables'!$B$16,+'5.Variables'!$J32,+IF(P$18='5.Variables'!$B$39,+'5.Variables'!$J56,+IF(P$18='5.Variables'!$B$62,+'5.Variables'!$J70,+IF(P$18='5.Variables'!$B$76,+'5.Variables'!$J84,+IF(P$18='5.Variables'!$B$90,+'5.Variables'!$J98,+IF(P$18='5.Variables'!$B$104,+'5.Variables'!$J112,0))))))</f>
        <v>0</v>
      </c>
      <c r="Q99" s="245"/>
      <c r="R99" s="556">
        <f t="shared" si="9"/>
        <v>7779633.3732125405</v>
      </c>
      <c r="S99" s="265"/>
      <c r="T99" s="245"/>
      <c r="U99" s="245"/>
      <c r="V99" s="245"/>
      <c r="W99" s="245"/>
      <c r="X99" s="245"/>
      <c r="Y99" s="245"/>
      <c r="Z99" s="245"/>
      <c r="AA99" s="245"/>
      <c r="AB99" s="245"/>
      <c r="AC99" s="245"/>
      <c r="AD99" s="245"/>
      <c r="AE99" s="245"/>
      <c r="AF99" s="245"/>
      <c r="AG99" s="245"/>
      <c r="AH99" s="245"/>
      <c r="AI99" s="245"/>
      <c r="AJ99" s="245"/>
      <c r="AK99" s="245"/>
      <c r="AL99" s="245"/>
      <c r="AM99" s="245"/>
    </row>
    <row r="100" spans="1:39" x14ac:dyDescent="0.2">
      <c r="A100" s="501">
        <f t="shared" si="10"/>
        <v>81</v>
      </c>
      <c r="B100" s="262" t="str">
        <f>CONCATENATE('3. Consumption by Rate Class'!B105,"-",'3. Consumption by Rate Class'!C105)</f>
        <v>2012-September</v>
      </c>
      <c r="C100" s="694">
        <v>6780082</v>
      </c>
      <c r="D100" s="700">
        <v>-34324</v>
      </c>
      <c r="E100" s="700">
        <v>-55999</v>
      </c>
      <c r="F100" s="704"/>
      <c r="G100" s="700"/>
      <c r="H100" s="701"/>
      <c r="I100" s="701"/>
      <c r="J100" s="263">
        <f t="shared" si="8"/>
        <v>6689759</v>
      </c>
      <c r="K100" s="722">
        <f>IF(K$18='5.Variables'!$B$16,+'5.Variables'!$K33,+IF(K$18='5.Variables'!$B$39,+'5.Variables'!$K56,+IF(K$18='5.Variables'!$B$62,+'5.Variables'!$K70,+IF(K$18='5.Variables'!$B$76,+'5.Variables'!$K84,+IF(K$18='5.Variables'!$B$90,+'5.Variables'!$K98,+IF(K$18='5.Variables'!$B$104,+'5.Variables'!$K112,0))))))</f>
        <v>119.59999999999997</v>
      </c>
      <c r="L100" s="722">
        <f>IF(L$18='5.Variables'!$B$16,+'5.Variables'!$K32,+IF(L$18='5.Variables'!$B$39,+'5.Variables'!$K56,+IF(L$18='5.Variables'!$B$62,+'5.Variables'!$K70,+IF(L$18='5.Variables'!$B$76,+'5.Variables'!$K84,+IF(L$18='5.Variables'!$B$90,+'5.Variables'!$K98,+IF(L$18='5.Variables'!$B$104,+'5.Variables'!$K112,0))))))</f>
        <v>22</v>
      </c>
      <c r="M100" s="722">
        <f>IF(M$18='5.Variables'!$B$16,+'5.Variables'!$K32,+IF(M$18='5.Variables'!$B$39,+'5.Variables'!$K56,+IF(M$18='5.Variables'!$B$62,+'5.Variables'!$K70,+IF(M$18='5.Variables'!$B$76,+'5.Variables'!$K84,+IF(M$18='5.Variables'!$B$90,+'5.Variables'!$K98,+IF(M$18='5.Variables'!$B$104,+'5.Variables'!$K112,0))))))</f>
        <v>30</v>
      </c>
      <c r="N100" s="722">
        <f>IF(N$18='5.Variables'!$B$16,+'5.Variables'!$K32,+IF(N$18='5.Variables'!$B$39,+'5.Variables'!$K56,+IF(N$18='5.Variables'!$B$62,+'5.Variables'!$K70,+IF(N$18='5.Variables'!$B$76,+'5.Variables'!$K84,+IF(N$18='5.Variables'!$B$90,+'5.Variables'!$K98,+IF(N$18='5.Variables'!$B$104,+'5.Variables'!$K112,0))))))</f>
        <v>368.9</v>
      </c>
      <c r="O100" s="722">
        <f>IF(O$18='5.Variables'!$B$16,+'5.Variables'!$K32,+IF(O$18='5.Variables'!$B$39,+'5.Variables'!$K56,+IF(O$18='5.Variables'!$B$62,+'5.Variables'!$K70,+IF(O$18='5.Variables'!$B$76,+'5.Variables'!$K84,+IF(O$18='5.Variables'!$B$90,+'5.Variables'!$K98,+IF(O$18='5.Variables'!$B$104,+'5.Variables'!$K112,0))))))</f>
        <v>12.29</v>
      </c>
      <c r="P100" s="983">
        <f>IF(P$18='5.Variables'!$B$16,+'5.Variables'!$K32,+IF(P$18='5.Variables'!$B$39,+'5.Variables'!$K56,+IF(P$18='5.Variables'!$B$62,+'5.Variables'!$K70,+IF(P$18='5.Variables'!$B$76,+'5.Variables'!$K84,+IF(P$18='5.Variables'!$B$90,+'5.Variables'!$K98,+IF(P$18='5.Variables'!$B$104,+'5.Variables'!$K112,0))))))</f>
        <v>0</v>
      </c>
      <c r="Q100" s="245"/>
      <c r="R100" s="556">
        <f t="shared" si="9"/>
        <v>6723866.8863249552</v>
      </c>
      <c r="S100" s="265"/>
      <c r="T100" s="245"/>
      <c r="U100" s="245"/>
      <c r="V100" s="245"/>
      <c r="W100" s="245"/>
      <c r="X100" s="245"/>
      <c r="Y100" s="245"/>
      <c r="Z100" s="245"/>
      <c r="AA100" s="245"/>
      <c r="AB100" s="245"/>
      <c r="AC100" s="245"/>
      <c r="AD100" s="245"/>
      <c r="AE100" s="245"/>
      <c r="AF100" s="245"/>
      <c r="AG100" s="245"/>
      <c r="AH100" s="245"/>
      <c r="AI100" s="245"/>
      <c r="AJ100" s="245"/>
      <c r="AK100" s="245"/>
      <c r="AL100" s="245"/>
      <c r="AM100" s="245"/>
    </row>
    <row r="101" spans="1:39" x14ac:dyDescent="0.2">
      <c r="A101" s="501">
        <f t="shared" si="10"/>
        <v>82</v>
      </c>
      <c r="B101" s="262" t="str">
        <f>CONCATENATE('3. Consumption by Rate Class'!B106,"-",'3. Consumption by Rate Class'!C106)</f>
        <v>2012-October</v>
      </c>
      <c r="C101" s="694">
        <v>7048526</v>
      </c>
      <c r="D101" s="700">
        <v>-39273</v>
      </c>
      <c r="E101" s="700">
        <v>-43682</v>
      </c>
      <c r="F101" s="704"/>
      <c r="G101" s="700"/>
      <c r="H101" s="701"/>
      <c r="I101" s="701"/>
      <c r="J101" s="263">
        <f t="shared" si="8"/>
        <v>6965571</v>
      </c>
      <c r="K101" s="722">
        <f>IF(K$18='5.Variables'!$B$16,+'5.Variables'!$L33,+IF(K$18='5.Variables'!$B$39,+'5.Variables'!$L56,+IF(K$18='5.Variables'!$B$62,+'5.Variables'!$L70,+IF(K$18='5.Variables'!$B$76,+'5.Variables'!$L84,+IF(K$18='5.Variables'!$B$90,+'5.Variables'!$L98,+IF(K$18='5.Variables'!$B$104,+'5.Variables'!$L112,0))))))</f>
        <v>252.59999999999994</v>
      </c>
      <c r="L101" s="722">
        <f>IF(L$18='5.Variables'!$B$16,+'5.Variables'!$L32,+IF(L$18='5.Variables'!$B$39,+'5.Variables'!$L56,+IF(L$18='5.Variables'!$B$62,+'5.Variables'!$L70,+IF(L$18='5.Variables'!$B$76,+'5.Variables'!$L84,+IF(L$18='5.Variables'!$B$90,+'5.Variables'!$L98,+IF(L$18='5.Variables'!$B$104,+'5.Variables'!$L112,0))))))</f>
        <v>0</v>
      </c>
      <c r="M101" s="722">
        <f>IF(M$18='5.Variables'!$B$16,+'5.Variables'!$L32,+IF(M$18='5.Variables'!$B$39,+'5.Variables'!$L56,+IF(M$18='5.Variables'!$B$62,+'5.Variables'!$L70,+IF(M$18='5.Variables'!$B$76,+'5.Variables'!$L84,+IF(M$18='5.Variables'!$B$90,+'5.Variables'!$L98,+IF(M$18='5.Variables'!$B$104,+'5.Variables'!$L112,0))))))</f>
        <v>31</v>
      </c>
      <c r="N101" s="722">
        <f>IF(N$18='5.Variables'!$B$16,+'5.Variables'!$L32,+IF(N$18='5.Variables'!$B$39,+'5.Variables'!$L56,+IF(N$18='5.Variables'!$B$62,+'5.Variables'!$L70,+IF(N$18='5.Variables'!$B$76,+'5.Variables'!$L84,+IF(N$18='5.Variables'!$B$90,+'5.Variables'!$L98,+IF(N$18='5.Variables'!$B$104,+'5.Variables'!$L112,0))))))</f>
        <v>369</v>
      </c>
      <c r="O101" s="722">
        <f>IF(O$18='5.Variables'!$B$16,+'5.Variables'!$L32,+IF(O$18='5.Variables'!$B$39,+'5.Variables'!$L56,+IF(O$18='5.Variables'!$B$62,+'5.Variables'!$L70,+IF(O$18='5.Variables'!$B$76,+'5.Variables'!$L84,+IF(O$18='5.Variables'!$B$90,+'5.Variables'!$L98,+IF(O$18='5.Variables'!$B$104,+'5.Variables'!$L112,0))))))</f>
        <v>10.51</v>
      </c>
      <c r="P101" s="983">
        <f>IF(P$18='5.Variables'!$B$16,+'5.Variables'!$L32,+IF(P$18='5.Variables'!$B$39,+'5.Variables'!$L56,+IF(P$18='5.Variables'!$B$62,+'5.Variables'!$L70,+IF(P$18='5.Variables'!$B$76,+'5.Variables'!$L84,+IF(P$18='5.Variables'!$B$90,+'5.Variables'!$L98,+IF(P$18='5.Variables'!$B$104,+'5.Variables'!$L112,0))))))</f>
        <v>0</v>
      </c>
      <c r="Q101" s="245"/>
      <c r="R101" s="556">
        <f t="shared" si="9"/>
        <v>7038917.4493872961</v>
      </c>
      <c r="S101" s="265"/>
      <c r="T101" s="245"/>
      <c r="U101" s="245"/>
      <c r="V101" s="245"/>
      <c r="W101" s="245"/>
      <c r="X101" s="245"/>
      <c r="Y101" s="245"/>
      <c r="Z101" s="245"/>
      <c r="AA101" s="245"/>
      <c r="AB101" s="245"/>
      <c r="AC101" s="245"/>
      <c r="AD101" s="245"/>
      <c r="AE101" s="245"/>
      <c r="AF101" s="245"/>
      <c r="AG101" s="245"/>
      <c r="AH101" s="245"/>
      <c r="AI101" s="245"/>
      <c r="AJ101" s="245"/>
      <c r="AK101" s="245"/>
      <c r="AL101" s="245"/>
      <c r="AM101" s="245"/>
    </row>
    <row r="102" spans="1:39" x14ac:dyDescent="0.2">
      <c r="A102" s="501">
        <f t="shared" si="10"/>
        <v>83</v>
      </c>
      <c r="B102" s="262" t="str">
        <f>CONCATENATE('3. Consumption by Rate Class'!B107,"-",'3. Consumption by Rate Class'!C107)</f>
        <v>2012-November</v>
      </c>
      <c r="C102" s="694">
        <v>7601279</v>
      </c>
      <c r="D102" s="700">
        <v>-45843</v>
      </c>
      <c r="E102" s="700">
        <v>-56116</v>
      </c>
      <c r="F102" s="704"/>
      <c r="G102" s="700"/>
      <c r="H102" s="701"/>
      <c r="I102" s="701"/>
      <c r="J102" s="263">
        <f t="shared" si="8"/>
        <v>7499320</v>
      </c>
      <c r="K102" s="722">
        <f>IF(K$18='5.Variables'!$B$16,+'5.Variables'!$M33,+IF(K$18='5.Variables'!$B$39,+'5.Variables'!$M56,+IF(K$18='5.Variables'!$B$62,+'5.Variables'!$M70,+IF(K$18='5.Variables'!$B$76,+'5.Variables'!$M84,+IF(K$18='5.Variables'!$B$90,+'5.Variables'!$M98,+IF(K$18='5.Variables'!$B$104,+'5.Variables'!$M112,0))))))</f>
        <v>473.3</v>
      </c>
      <c r="L102" s="722">
        <f>IF(L$18='5.Variables'!$B$16,+'5.Variables'!$M32,+IF(L$18='5.Variables'!$B$39,+'5.Variables'!$M56,+IF(L$18='5.Variables'!$B$62,+'5.Variables'!$M70,+IF(L$18='5.Variables'!$B$76,+'5.Variables'!$M84,+IF(L$18='5.Variables'!$B$90,+'5.Variables'!$M98,+IF(L$18='5.Variables'!$B$104,+'5.Variables'!$M112,0))))))</f>
        <v>0</v>
      </c>
      <c r="M102" s="722">
        <f>IF(M$18='5.Variables'!$B$16,+'5.Variables'!$M32,+IF(M$18='5.Variables'!$B$39,+'5.Variables'!$M56,+IF(M$18='5.Variables'!$B$62,+'5.Variables'!$M70,+IF(M$18='5.Variables'!$B$76,+'5.Variables'!$M84,+IF(M$18='5.Variables'!$B$90,+'5.Variables'!$M98,+IF(M$18='5.Variables'!$B$104,+'5.Variables'!$M112,0))))))</f>
        <v>30</v>
      </c>
      <c r="N102" s="722">
        <f>IF(N$18='5.Variables'!$B$16,+'5.Variables'!$M32,+IF(N$18='5.Variables'!$B$39,+'5.Variables'!$M56,+IF(N$18='5.Variables'!$B$62,+'5.Variables'!$M70,+IF(N$18='5.Variables'!$B$76,+'5.Variables'!$M84,+IF(N$18='5.Variables'!$B$90,+'5.Variables'!$M98,+IF(N$18='5.Variables'!$B$104,+'5.Variables'!$M112,0))))))</f>
        <v>369.1</v>
      </c>
      <c r="O102" s="722">
        <f>IF(O$18='5.Variables'!$B$16,+'5.Variables'!$M32,+IF(O$18='5.Variables'!$B$39,+'5.Variables'!$M56,+IF(O$18='5.Variables'!$B$62,+'5.Variables'!$M70,+IF(O$18='5.Variables'!$B$76,+'5.Variables'!$M84,+IF(O$18='5.Variables'!$B$90,+'5.Variables'!$M98,+IF(O$18='5.Variables'!$B$104,+'5.Variables'!$M112,0))))))</f>
        <v>9.2799999999999994</v>
      </c>
      <c r="P102" s="983">
        <f>IF(P$18='5.Variables'!$B$16,+'5.Variables'!$M32,+IF(P$18='5.Variables'!$B$39,+'5.Variables'!$M56,+IF(P$18='5.Variables'!$B$62,+'5.Variables'!$M70,+IF(P$18='5.Variables'!$B$76,+'5.Variables'!$M84,+IF(P$18='5.Variables'!$B$90,+'5.Variables'!$M98,+IF(P$18='5.Variables'!$B$104,+'5.Variables'!$M112,0))))))</f>
        <v>0</v>
      </c>
      <c r="Q102" s="245"/>
      <c r="R102" s="556">
        <f t="shared" si="9"/>
        <v>7589317.2489787322</v>
      </c>
      <c r="S102" s="265"/>
      <c r="T102" s="245"/>
      <c r="U102" s="245"/>
      <c r="V102" s="245"/>
      <c r="W102" s="245"/>
      <c r="X102" s="245"/>
      <c r="Y102" s="245"/>
      <c r="Z102" s="245"/>
      <c r="AA102" s="245"/>
      <c r="AB102" s="245"/>
      <c r="AC102" s="245"/>
      <c r="AD102" s="245"/>
      <c r="AE102" s="245"/>
      <c r="AF102" s="245"/>
      <c r="AG102" s="245"/>
      <c r="AH102" s="245"/>
      <c r="AI102" s="245"/>
      <c r="AJ102" s="245"/>
      <c r="AK102" s="245"/>
      <c r="AL102" s="245"/>
      <c r="AM102" s="245"/>
    </row>
    <row r="103" spans="1:39" x14ac:dyDescent="0.2">
      <c r="A103" s="501">
        <f t="shared" si="10"/>
        <v>84</v>
      </c>
      <c r="B103" s="520" t="str">
        <f>CONCATENATE('3. Consumption by Rate Class'!B108,"-",'3. Consumption by Rate Class'!C108)</f>
        <v>2012-December</v>
      </c>
      <c r="C103" s="695">
        <v>8509800</v>
      </c>
      <c r="D103" s="702">
        <v>-30893</v>
      </c>
      <c r="E103" s="702">
        <v>-70934</v>
      </c>
      <c r="F103" s="702"/>
      <c r="G103" s="702"/>
      <c r="H103" s="703"/>
      <c r="I103" s="703"/>
      <c r="J103" s="263">
        <f t="shared" si="8"/>
        <v>8407973</v>
      </c>
      <c r="K103" s="722">
        <f>IF(K$18='5.Variables'!$B$16,+'5.Variables'!$N33,+IF(K$18='5.Variables'!$B$39,+'5.Variables'!$N56,+IF(K$18='5.Variables'!$B$62,+'5.Variables'!$N70,+IF(K$18='5.Variables'!$B$76,+'5.Variables'!$N84,+IF(K$18='5.Variables'!$B$90,+'5.Variables'!$N98,+IF(K$18='5.Variables'!$B$104,+'5.Variables'!$N112,0))))))</f>
        <v>702.5999999999998</v>
      </c>
      <c r="L103" s="722">
        <f>IF(L$18='5.Variables'!$B$16,+'5.Variables'!$N32,+IF(L$18='5.Variables'!$B$39,+'5.Variables'!$N56,+IF(L$18='5.Variables'!$B$62,+'5.Variables'!$N70,+IF(L$18='5.Variables'!$B$76,+'5.Variables'!$N84,+IF(L$18='5.Variables'!$B$90,+'5.Variables'!$N98,+IF(L$18='5.Variables'!$B$104,+'5.Variables'!$N112,0))))))</f>
        <v>0</v>
      </c>
      <c r="M103" s="722">
        <f>IF(M$18='5.Variables'!$B$16,+'5.Variables'!$N32,+IF(M$18='5.Variables'!$B$39,+'5.Variables'!$N56,+IF(M$18='5.Variables'!$B$62,+'5.Variables'!$N70,+IF(M$18='5.Variables'!$B$76,+'5.Variables'!$N84,+IF(M$18='5.Variables'!$B$90,+'5.Variables'!$N98,+IF(M$18='5.Variables'!$B$104,+'5.Variables'!$N112,0))))))</f>
        <v>31</v>
      </c>
      <c r="N103" s="722">
        <f>IF(N$18='5.Variables'!$B$16,+'5.Variables'!$N32,+IF(N$18='5.Variables'!$B$39,+'5.Variables'!$N56,+IF(N$18='5.Variables'!$B$62,+'5.Variables'!$N70,+IF(N$18='5.Variables'!$B$76,+'5.Variables'!$N84,+IF(N$18='5.Variables'!$B$90,+'5.Variables'!$N98,+IF(N$18='5.Variables'!$B$104,+'5.Variables'!$N112,0))))))</f>
        <v>369.2</v>
      </c>
      <c r="O103" s="722">
        <f>IF(O$18='5.Variables'!$B$16,+'5.Variables'!$N32,+IF(O$18='5.Variables'!$B$39,+'5.Variables'!$N56,+IF(O$18='5.Variables'!$B$62,+'5.Variables'!$N70,+IF(O$18='5.Variables'!$B$76,+'5.Variables'!$N84,+IF(O$18='5.Variables'!$B$90,+'5.Variables'!$N98,+IF(O$18='5.Variables'!$B$104,+'5.Variables'!$N112,0))))))</f>
        <v>8.4700000000000006</v>
      </c>
      <c r="P103" s="983">
        <f>IF(P$18='5.Variables'!$B$16,+'5.Variables'!$N32,+IF(P$18='5.Variables'!$B$39,+'5.Variables'!$N56,+IF(P$18='5.Variables'!$B$62,+'5.Variables'!$N70,+IF(P$18='5.Variables'!$B$76,+'5.Variables'!$N84,+IF(P$18='5.Variables'!$B$90,+'5.Variables'!$N98,+IF(P$18='5.Variables'!$B$104,+'5.Variables'!$N112,0))))))</f>
        <v>1</v>
      </c>
      <c r="Q103" s="245"/>
      <c r="R103" s="556">
        <f t="shared" si="9"/>
        <v>8547487.4703716598</v>
      </c>
      <c r="S103" s="265">
        <f>SUM(R92:R103)</f>
        <v>91730059.579689622</v>
      </c>
      <c r="T103" s="245"/>
      <c r="U103" s="245"/>
      <c r="V103" s="245"/>
      <c r="W103" s="245"/>
      <c r="X103" s="245"/>
      <c r="Y103" s="245"/>
      <c r="Z103" s="245"/>
      <c r="AA103" s="245"/>
      <c r="AB103" s="245"/>
      <c r="AC103" s="245"/>
      <c r="AD103" s="245"/>
      <c r="AE103" s="245"/>
      <c r="AF103" s="245"/>
      <c r="AG103" s="245"/>
      <c r="AH103" s="245"/>
      <c r="AI103" s="245"/>
      <c r="AJ103" s="245"/>
      <c r="AK103" s="245"/>
      <c r="AL103" s="245"/>
      <c r="AM103" s="245"/>
    </row>
    <row r="104" spans="1:39" x14ac:dyDescent="0.2">
      <c r="A104" s="501">
        <f t="shared" si="10"/>
        <v>85</v>
      </c>
      <c r="B104" s="262" t="str">
        <f>CONCATENATE('3. Consumption by Rate Class'!B109,"-",'3. Consumption by Rate Class'!C109)</f>
        <v>2013-January</v>
      </c>
      <c r="C104" s="694">
        <v>9101600</v>
      </c>
      <c r="D104" s="700">
        <v>-30771</v>
      </c>
      <c r="E104" s="700">
        <v>-66933</v>
      </c>
      <c r="F104" s="704"/>
      <c r="G104" s="700"/>
      <c r="H104" s="701"/>
      <c r="I104" s="701"/>
      <c r="J104" s="263">
        <f t="shared" si="8"/>
        <v>9003896</v>
      </c>
      <c r="K104" s="722">
        <f>IF(K$18='5.Variables'!$B$16,+'5.Variables'!$C34,+IF(K$18='5.Variables'!$B$39,+'5.Variables'!$C57,+IF(K$18='5.Variables'!$B$62,+'5.Variables'!$C71,+IF(K$18='5.Variables'!$B$76,+'5.Variables'!$C85,+IF(K$18='5.Variables'!$B$90,+'5.Variables'!$C99,+IF(K$18='5.Variables'!$B$104,+'5.Variables'!$C113,0))))))</f>
        <v>805.39999999999975</v>
      </c>
      <c r="L104" s="722">
        <f>IF(L$18='5.Variables'!$B$16,+'5.Variables'!$C33,+IF(L$18='5.Variables'!$B$39,+'5.Variables'!$C57,+IF(L$18='5.Variables'!$B$62,+'5.Variables'!$C71,+IF(L$18='5.Variables'!$B$76,+'5.Variables'!$C85,+IF(L$18='5.Variables'!$B$90,+'5.Variables'!$C99,+IF(L$18='5.Variables'!$B$104,+'5.Variables'!$C113,0))))))</f>
        <v>0</v>
      </c>
      <c r="M104" s="722">
        <f>IF(M$18='5.Variables'!$B$16,+'5.Variables'!$C33,+IF(M$18='5.Variables'!$B$39,+'5.Variables'!$C57,+IF(M$18='5.Variables'!$B$62,+'5.Variables'!$C71,+IF(M$18='5.Variables'!$B$76,+'5.Variables'!$C85,+IF(M$18='5.Variables'!$B$90,+'5.Variables'!$C99,+IF(M$18='5.Variables'!$B$104,+'5.Variables'!$C113,0))))))</f>
        <v>31</v>
      </c>
      <c r="N104" s="722">
        <f>IF(N$18='5.Variables'!$B$16,+'5.Variables'!$C33,+IF(N$18='5.Variables'!$B$39,+'5.Variables'!$C57,+IF(N$18='5.Variables'!$B$62,+'5.Variables'!$C71,+IF(N$18='5.Variables'!$B$76,+'5.Variables'!$C85,+IF(N$18='5.Variables'!$B$90,+'5.Variables'!$C99,+IF(N$18='5.Variables'!$B$104,+'5.Variables'!$C113,0))))))</f>
        <v>369.3</v>
      </c>
      <c r="O104" s="722">
        <f>IF(O$18='5.Variables'!$B$16,+'5.Variables'!$C33,+IF(O$18='5.Variables'!$B$39,+'5.Variables'!$C57,+IF(O$18='5.Variables'!$B$62,+'5.Variables'!$C71,+IF(O$18='5.Variables'!$B$76,+'5.Variables'!$C85,+IF(O$18='5.Variables'!$B$90,+'5.Variables'!$C99,+IF(O$18='5.Variables'!$B$104,+'5.Variables'!$C113,0))))))</f>
        <v>9.09</v>
      </c>
      <c r="P104" s="983">
        <f>IF(P$18='5.Variables'!$B$16,+'5.Variables'!$C33,+IF(P$18='5.Variables'!$B$39,+'5.Variables'!$C57,+IF(P$18='5.Variables'!$B$62,+'5.Variables'!$C71,+IF(P$18='5.Variables'!$B$76,+'5.Variables'!$C85,+IF(P$18='5.Variables'!$B$90,+'5.Variables'!$C99,+IF(P$18='5.Variables'!$B$104,+'5.Variables'!$C113,0))))))</f>
        <v>1</v>
      </c>
      <c r="Q104" s="245"/>
      <c r="R104" s="556">
        <f t="shared" si="9"/>
        <v>8858196.0583797693</v>
      </c>
      <c r="S104" s="265"/>
      <c r="T104" s="245"/>
      <c r="U104" s="245"/>
      <c r="V104" s="245"/>
      <c r="W104" s="245"/>
      <c r="X104" s="245"/>
      <c r="Y104" s="245"/>
      <c r="Z104" s="245"/>
      <c r="AA104" s="245"/>
      <c r="AB104" s="245"/>
      <c r="AC104" s="245"/>
      <c r="AD104" s="245"/>
      <c r="AE104" s="245"/>
      <c r="AF104" s="245"/>
      <c r="AG104" s="245"/>
      <c r="AH104" s="245"/>
      <c r="AI104" s="245"/>
      <c r="AJ104" s="245"/>
      <c r="AK104" s="245"/>
      <c r="AL104" s="245"/>
      <c r="AM104" s="245"/>
    </row>
    <row r="105" spans="1:39" x14ac:dyDescent="0.2">
      <c r="A105" s="501">
        <f t="shared" si="10"/>
        <v>86</v>
      </c>
      <c r="B105" s="262" t="str">
        <f>CONCATENATE('3. Consumption by Rate Class'!B110,"-",'3. Consumption by Rate Class'!C110)</f>
        <v>2013-February</v>
      </c>
      <c r="C105" s="694">
        <v>7991165</v>
      </c>
      <c r="D105" s="700">
        <v>-32610</v>
      </c>
      <c r="E105" s="700">
        <v>-79343</v>
      </c>
      <c r="F105" s="704"/>
      <c r="G105" s="700"/>
      <c r="H105" s="701"/>
      <c r="I105" s="701"/>
      <c r="J105" s="263">
        <f t="shared" si="8"/>
        <v>7879212</v>
      </c>
      <c r="K105" s="722">
        <f>IF(K$18='5.Variables'!$B$16,+'5.Variables'!$D34,+IF(K$18='5.Variables'!$B$39,+'5.Variables'!$D57,+IF(K$18='5.Variables'!$B$62,+'5.Variables'!$D71,+IF(K$18='5.Variables'!$B$76,+'5.Variables'!$D85,+IF(K$18='5.Variables'!$B$90,+'5.Variables'!$D99,+IF(K$18='5.Variables'!$B$104,+'5.Variables'!$D113,0))))))</f>
        <v>720.99999999999977</v>
      </c>
      <c r="L105" s="722">
        <f>IF(L$18='5.Variables'!$B$16,+'5.Variables'!$D33,+IF(L$18='5.Variables'!$B$39,+'5.Variables'!$D57,+IF(L$18='5.Variables'!$B$62,+'5.Variables'!$D71,+IF(L$18='5.Variables'!$B$76,+'5.Variables'!$D85,+IF(L$18='5.Variables'!$B$90,+'5.Variables'!$D99,+IF(L$18='5.Variables'!$B$104,+'5.Variables'!$D113,0))))))</f>
        <v>0</v>
      </c>
      <c r="M105" s="722">
        <f>IF(M$18='5.Variables'!$B$16,+'5.Variables'!$D33,+IF(M$18='5.Variables'!$B$39,+'5.Variables'!$D57,+IF(M$18='5.Variables'!$B$62,+'5.Variables'!$D71,+IF(M$18='5.Variables'!$B$76,+'5.Variables'!$D85,+IF(M$18='5.Variables'!$B$90,+'5.Variables'!$D99,+IF(M$18='5.Variables'!$B$104,+'5.Variables'!$D113,0))))))</f>
        <v>29</v>
      </c>
      <c r="N105" s="722">
        <f>IF(N$18='5.Variables'!$B$16,+'5.Variables'!$D33,+IF(N$18='5.Variables'!$B$39,+'5.Variables'!$D57,+IF(N$18='5.Variables'!$B$62,+'5.Variables'!$D71,+IF(N$18='5.Variables'!$B$76,+'5.Variables'!$D85,+IF(N$18='5.Variables'!$B$90,+'5.Variables'!$D99,+IF(N$18='5.Variables'!$B$104,+'5.Variables'!$D113,0))))))</f>
        <v>369.3</v>
      </c>
      <c r="O105" s="722">
        <f>IF(O$18='5.Variables'!$B$16,+'5.Variables'!$D33,+IF(O$18='5.Variables'!$B$39,+'5.Variables'!$D57,+IF(O$18='5.Variables'!$B$62,+'5.Variables'!$D71,+IF(O$18='5.Variables'!$B$76,+'5.Variables'!$D85,+IF(O$18='5.Variables'!$B$90,+'5.Variables'!$D99,+IF(O$18='5.Variables'!$B$104,+'5.Variables'!$D113,0))))))</f>
        <v>10.19</v>
      </c>
      <c r="P105" s="983">
        <f>IF(P$18='5.Variables'!$B$16,+'5.Variables'!$D33,+IF(P$18='5.Variables'!$B$39,+'5.Variables'!$D57,+IF(P$18='5.Variables'!$B$62,+'5.Variables'!$D71,+IF(P$18='5.Variables'!$B$76,+'5.Variables'!$D85,+IF(P$18='5.Variables'!$B$90,+'5.Variables'!$D99,+IF(P$18='5.Variables'!$B$104,+'5.Variables'!$D113,0))))))</f>
        <v>0</v>
      </c>
      <c r="Q105" s="245"/>
      <c r="R105" s="556">
        <f t="shared" si="9"/>
        <v>8160169.9653104786</v>
      </c>
      <c r="S105" s="265"/>
      <c r="T105" s="245"/>
      <c r="U105" s="245"/>
      <c r="V105" s="245"/>
      <c r="W105" s="245"/>
      <c r="X105" s="245"/>
      <c r="Y105" s="245"/>
      <c r="Z105" s="245"/>
      <c r="AA105" s="245"/>
      <c r="AB105" s="245"/>
      <c r="AC105" s="245"/>
      <c r="AD105" s="245"/>
      <c r="AE105" s="245"/>
      <c r="AF105" s="245"/>
      <c r="AG105" s="245"/>
      <c r="AH105" s="245"/>
      <c r="AI105" s="245"/>
      <c r="AJ105" s="245"/>
      <c r="AK105" s="245"/>
      <c r="AL105" s="245"/>
      <c r="AM105" s="245"/>
    </row>
    <row r="106" spans="1:39" x14ac:dyDescent="0.2">
      <c r="A106" s="501">
        <f t="shared" si="10"/>
        <v>87</v>
      </c>
      <c r="B106" s="262" t="str">
        <f>CONCATENATE('3. Consumption by Rate Class'!B111,"-",'3. Consumption by Rate Class'!C111)</f>
        <v>2013-March</v>
      </c>
      <c r="C106" s="694">
        <v>8052530</v>
      </c>
      <c r="D106" s="700">
        <v>-27801</v>
      </c>
      <c r="E106" s="700">
        <v>-55965</v>
      </c>
      <c r="F106" s="704"/>
      <c r="G106" s="700"/>
      <c r="H106" s="701"/>
      <c r="I106" s="701"/>
      <c r="J106" s="263">
        <f t="shared" si="8"/>
        <v>7968764</v>
      </c>
      <c r="K106" s="722">
        <f>IF(K$18='5.Variables'!$B$16,+'5.Variables'!$E34,+IF(K$18='5.Variables'!$B$39,+'5.Variables'!$E57,+IF(K$18='5.Variables'!$B$62,+'5.Variables'!$E71,+IF(K$18='5.Variables'!$B$76,+'5.Variables'!$E85,+IF(K$18='5.Variables'!$B$90,+'5.Variables'!$E99,+IF(K$18='5.Variables'!$B$104,+'5.Variables'!$E113,0))))))</f>
        <v>614.59999999999991</v>
      </c>
      <c r="L106" s="722">
        <f>IF(L$18='5.Variables'!$B$16,+'5.Variables'!$E33,+IF(L$18='5.Variables'!$B$39,+'5.Variables'!$E57,+IF(L$18='5.Variables'!$B$62,+'5.Variables'!$E71,+IF(L$18='5.Variables'!$B$76,+'5.Variables'!$E85,+IF(L$18='5.Variables'!$B$90,+'5.Variables'!$E99,+IF(L$18='5.Variables'!$B$104,+'5.Variables'!$E113,0))))))</f>
        <v>0</v>
      </c>
      <c r="M106" s="722">
        <f>IF(M$18='5.Variables'!$B$16,+'5.Variables'!$E33,+IF(M$18='5.Variables'!$B$39,+'5.Variables'!$E57,+IF(M$18='5.Variables'!$B$62,+'5.Variables'!$E71,+IF(M$18='5.Variables'!$B$76,+'5.Variables'!$E85,+IF(M$18='5.Variables'!$B$90,+'5.Variables'!$E99,+IF(M$18='5.Variables'!$B$104,+'5.Variables'!$E113,0))))))</f>
        <v>31</v>
      </c>
      <c r="N106" s="722">
        <f>IF(N$18='5.Variables'!$B$16,+'5.Variables'!$E33,+IF(N$18='5.Variables'!$B$39,+'5.Variables'!$E57,+IF(N$18='5.Variables'!$B$62,+'5.Variables'!$E71,+IF(N$18='5.Variables'!$B$76,+'5.Variables'!$E85,+IF(N$18='5.Variables'!$B$90,+'5.Variables'!$E99,+IF(N$18='5.Variables'!$B$104,+'5.Variables'!$E113,0))))))</f>
        <v>369.4</v>
      </c>
      <c r="O106" s="722">
        <f>IF(O$18='5.Variables'!$B$16,+'5.Variables'!$E33,+IF(O$18='5.Variables'!$B$39,+'5.Variables'!$E57,+IF(O$18='5.Variables'!$B$62,+'5.Variables'!$E71,+IF(O$18='5.Variables'!$B$76,+'5.Variables'!$E85,+IF(O$18='5.Variables'!$B$90,+'5.Variables'!$E99,+IF(O$18='5.Variables'!$B$104,+'5.Variables'!$E113,0))))))</f>
        <v>11.51</v>
      </c>
      <c r="P106" s="983">
        <f>IF(P$18='5.Variables'!$B$16,+'5.Variables'!$E33,+IF(P$18='5.Variables'!$B$39,+'5.Variables'!$E57,+IF(P$18='5.Variables'!$B$62,+'5.Variables'!$E71,+IF(P$18='5.Variables'!$B$76,+'5.Variables'!$E85,+IF(P$18='5.Variables'!$B$90,+'5.Variables'!$E99,+IF(P$18='5.Variables'!$B$104,+'5.Variables'!$E113,0))))))</f>
        <v>1</v>
      </c>
      <c r="Q106" s="245"/>
      <c r="R106" s="556">
        <f t="shared" si="9"/>
        <v>8167479.6423994126</v>
      </c>
      <c r="S106" s="265"/>
      <c r="T106" s="245"/>
      <c r="U106" s="245"/>
      <c r="V106" s="245"/>
      <c r="W106" s="245"/>
      <c r="X106" s="245"/>
      <c r="Y106" s="245"/>
      <c r="Z106" s="245"/>
      <c r="AA106" s="245"/>
      <c r="AB106" s="245"/>
      <c r="AC106" s="245"/>
      <c r="AD106" s="245"/>
      <c r="AE106" s="245"/>
      <c r="AF106" s="245"/>
      <c r="AG106" s="245"/>
      <c r="AH106" s="245"/>
      <c r="AI106" s="245"/>
      <c r="AJ106" s="245"/>
      <c r="AK106" s="245"/>
      <c r="AL106" s="245"/>
      <c r="AM106" s="245"/>
    </row>
    <row r="107" spans="1:39" x14ac:dyDescent="0.2">
      <c r="A107" s="501">
        <f t="shared" si="10"/>
        <v>88</v>
      </c>
      <c r="B107" s="262" t="str">
        <f>CONCATENATE('3. Consumption by Rate Class'!B112,"-",'3. Consumption by Rate Class'!C112)</f>
        <v>2013-April</v>
      </c>
      <c r="C107" s="694">
        <v>7150699</v>
      </c>
      <c r="D107" s="700">
        <v>-28667</v>
      </c>
      <c r="E107" s="700">
        <v>-59951</v>
      </c>
      <c r="F107" s="704"/>
      <c r="G107" s="700"/>
      <c r="H107" s="701"/>
      <c r="I107" s="701"/>
      <c r="J107" s="263">
        <f t="shared" si="8"/>
        <v>7062081</v>
      </c>
      <c r="K107" s="722">
        <f>IF(K$18='5.Variables'!$B$16,+'5.Variables'!$F34,+IF(K$18='5.Variables'!$B$39,+'5.Variables'!$F57,+IF(K$18='5.Variables'!$B$62,+'5.Variables'!$F71,+IF(K$18='5.Variables'!$B$76,+'5.Variables'!$F85,+IF(K$18='5.Variables'!$B$90,+'5.Variables'!$F99,+IF(K$18='5.Variables'!$B$104,+'5.Variables'!$F113,0))))))</f>
        <v>366.59999999999997</v>
      </c>
      <c r="L107" s="722">
        <f>IF(L$18='5.Variables'!$B$16,+'5.Variables'!$F33,+IF(L$18='5.Variables'!$B$39,+'5.Variables'!$F57,+IF(L$18='5.Variables'!$B$62,+'5.Variables'!$F71,+IF(L$18='5.Variables'!$B$76,+'5.Variables'!$F85,+IF(L$18='5.Variables'!$B$90,+'5.Variables'!$F99,+IF(L$18='5.Variables'!$B$104,+'5.Variables'!$F113,0))))))</f>
        <v>0</v>
      </c>
      <c r="M107" s="722">
        <f>IF(M$18='5.Variables'!$B$16,+'5.Variables'!$F33,+IF(M$18='5.Variables'!$B$39,+'5.Variables'!$F57,+IF(M$18='5.Variables'!$B$62,+'5.Variables'!$F71,+IF(M$18='5.Variables'!$B$76,+'5.Variables'!$F85,+IF(M$18='5.Variables'!$B$90,+'5.Variables'!$F99,+IF(M$18='5.Variables'!$B$104,+'5.Variables'!$F113,0))))))</f>
        <v>30</v>
      </c>
      <c r="N107" s="722">
        <f>IF(N$18='5.Variables'!$B$16,+'5.Variables'!$F33,+IF(N$18='5.Variables'!$B$39,+'5.Variables'!$F57,+IF(N$18='5.Variables'!$B$62,+'5.Variables'!$F71,+IF(N$18='5.Variables'!$B$76,+'5.Variables'!$F85,+IF(N$18='5.Variables'!$B$90,+'5.Variables'!$F99,+IF(N$18='5.Variables'!$B$104,+'5.Variables'!$F113,0))))))</f>
        <v>369.5</v>
      </c>
      <c r="O107" s="722">
        <f>IF(O$18='5.Variables'!$B$16,+'5.Variables'!$F33,+IF(O$18='5.Variables'!$B$39,+'5.Variables'!$F57,+IF(O$18='5.Variables'!$B$62,+'5.Variables'!$F71,+IF(O$18='5.Variables'!$B$76,+'5.Variables'!$F85,+IF(O$18='5.Variables'!$B$90,+'5.Variables'!$F99,+IF(O$18='5.Variables'!$B$104,+'5.Variables'!$F113,0))))))</f>
        <v>13.28</v>
      </c>
      <c r="P107" s="983">
        <f>IF(P$18='5.Variables'!$B$16,+'5.Variables'!$F33,+IF(P$18='5.Variables'!$B$39,+'5.Variables'!$F57,+IF(P$18='5.Variables'!$B$62,+'5.Variables'!$F71,+IF(P$18='5.Variables'!$B$76,+'5.Variables'!$F85,+IF(P$18='5.Variables'!$B$90,+'5.Variables'!$F99,+IF(P$18='5.Variables'!$B$104,+'5.Variables'!$F113,0))))))</f>
        <v>0</v>
      </c>
      <c r="Q107" s="245"/>
      <c r="R107" s="556">
        <f t="shared" si="9"/>
        <v>7115413.4063154189</v>
      </c>
      <c r="S107" s="265"/>
      <c r="T107" s="245"/>
      <c r="U107" s="245"/>
      <c r="V107" s="245"/>
      <c r="W107" s="245"/>
      <c r="X107" s="245"/>
      <c r="Y107" s="245"/>
      <c r="Z107" s="245"/>
      <c r="AA107" s="245"/>
      <c r="AB107" s="245"/>
      <c r="AC107" s="245"/>
      <c r="AD107" s="245"/>
      <c r="AE107" s="245"/>
      <c r="AF107" s="245"/>
      <c r="AG107" s="245"/>
      <c r="AH107" s="245"/>
      <c r="AI107" s="245"/>
      <c r="AJ107" s="245"/>
      <c r="AK107" s="245"/>
      <c r="AL107" s="245"/>
      <c r="AM107" s="245"/>
    </row>
    <row r="108" spans="1:39" x14ac:dyDescent="0.2">
      <c r="A108" s="501">
        <f t="shared" si="10"/>
        <v>89</v>
      </c>
      <c r="B108" s="262" t="str">
        <f>CONCATENATE('3. Consumption by Rate Class'!B113,"-",'3. Consumption by Rate Class'!C113)</f>
        <v>2013-May</v>
      </c>
      <c r="C108" s="694">
        <v>6854461</v>
      </c>
      <c r="D108" s="700">
        <v>-24766</v>
      </c>
      <c r="E108" s="700">
        <v>-49920</v>
      </c>
      <c r="F108" s="704"/>
      <c r="G108" s="700"/>
      <c r="H108" s="701"/>
      <c r="I108" s="701"/>
      <c r="J108" s="263">
        <f t="shared" si="8"/>
        <v>6779775</v>
      </c>
      <c r="K108" s="722">
        <f>IF(K$18='5.Variables'!$B$16,+'5.Variables'!$G34,+IF(K$18='5.Variables'!$B$39,+'5.Variables'!$G57,+IF(K$18='5.Variables'!$B$62,+'5.Variables'!$G71,+IF(K$18='5.Variables'!$B$76,+'5.Variables'!$G85,+IF(K$18='5.Variables'!$B$90,+'5.Variables'!$G99,+IF(K$18='5.Variables'!$B$104,+'5.Variables'!$G113,0))))))</f>
        <v>111.6</v>
      </c>
      <c r="L108" s="722">
        <f>IF(L$18='5.Variables'!$B$16,+'5.Variables'!$G33,+IF(L$18='5.Variables'!$B$39,+'5.Variables'!$G57,+IF(L$18='5.Variables'!$B$62,+'5.Variables'!$G71,+IF(L$18='5.Variables'!$B$76,+'5.Variables'!$G85,+IF(L$18='5.Variables'!$B$90,+'5.Variables'!$G99,+IF(L$18='5.Variables'!$B$104,+'5.Variables'!$G113,0))))))</f>
        <v>14.3</v>
      </c>
      <c r="M108" s="722">
        <f>IF(M$18='5.Variables'!$B$16,+'5.Variables'!$G33,+IF(M$18='5.Variables'!$B$39,+'5.Variables'!$G57,+IF(M$18='5.Variables'!$B$62,+'5.Variables'!$G71,+IF(M$18='5.Variables'!$B$76,+'5.Variables'!$G85,+IF(M$18='5.Variables'!$B$90,+'5.Variables'!$G99,+IF(M$18='5.Variables'!$B$104,+'5.Variables'!$G113,0))))))</f>
        <v>31</v>
      </c>
      <c r="N108" s="722">
        <f>IF(N$18='5.Variables'!$B$16,+'5.Variables'!$G33,+IF(N$18='5.Variables'!$B$39,+'5.Variables'!$G57,+IF(N$18='5.Variables'!$B$62,+'5.Variables'!$G71,+IF(N$18='5.Variables'!$B$76,+'5.Variables'!$G85,+IF(N$18='5.Variables'!$B$90,+'5.Variables'!$G99,+IF(N$18='5.Variables'!$B$104,+'5.Variables'!$G113,0))))))</f>
        <v>369.7</v>
      </c>
      <c r="O108" s="722">
        <f>IF(O$18='5.Variables'!$B$16,+'5.Variables'!$G33,+IF(O$18='5.Variables'!$B$39,+'5.Variables'!$G57,+IF(O$18='5.Variables'!$B$62,+'5.Variables'!$G71,+IF(O$18='5.Variables'!$B$76,+'5.Variables'!$G85,+IF(O$18='5.Variables'!$B$90,+'5.Variables'!$G99,+IF(O$18='5.Variables'!$B$104,+'5.Variables'!$G113,0))))))</f>
        <v>14.52</v>
      </c>
      <c r="P108" s="983">
        <f>IF(P$18='5.Variables'!$B$16,+'5.Variables'!$G33,+IF(P$18='5.Variables'!$B$39,+'5.Variables'!$G57,+IF(P$18='5.Variables'!$B$62,+'5.Variables'!$G71,+IF(P$18='5.Variables'!$B$76,+'5.Variables'!$G85,+IF(P$18='5.Variables'!$B$90,+'5.Variables'!$G99,+IF(P$18='5.Variables'!$B$104,+'5.Variables'!$G113,0))))))</f>
        <v>0</v>
      </c>
      <c r="Q108" s="245"/>
      <c r="R108" s="556">
        <f t="shared" si="9"/>
        <v>6681983.6739820121</v>
      </c>
      <c r="S108" s="265"/>
      <c r="T108" s="245"/>
      <c r="U108" s="245"/>
      <c r="V108" s="245"/>
      <c r="W108" s="245"/>
      <c r="X108" s="245"/>
      <c r="Y108" s="245"/>
      <c r="Z108" s="245"/>
      <c r="AA108" s="245"/>
      <c r="AB108" s="245"/>
      <c r="AC108" s="245"/>
      <c r="AD108" s="245"/>
      <c r="AE108" s="245"/>
      <c r="AF108" s="245"/>
      <c r="AG108" s="245"/>
      <c r="AH108" s="245"/>
      <c r="AI108" s="245"/>
      <c r="AJ108" s="245"/>
      <c r="AK108" s="245"/>
      <c r="AL108" s="245"/>
      <c r="AM108" s="245"/>
    </row>
    <row r="109" spans="1:39" x14ac:dyDescent="0.2">
      <c r="A109" s="501">
        <f t="shared" si="10"/>
        <v>90</v>
      </c>
      <c r="B109" s="262" t="str">
        <f>CONCATENATE('3. Consumption by Rate Class'!B114,"-",'3. Consumption by Rate Class'!C114)</f>
        <v>2013-June</v>
      </c>
      <c r="C109" s="694">
        <v>6905812</v>
      </c>
      <c r="D109" s="700">
        <v>-22468</v>
      </c>
      <c r="E109" s="700">
        <v>-44486</v>
      </c>
      <c r="F109" s="704"/>
      <c r="G109" s="700"/>
      <c r="H109" s="701"/>
      <c r="I109" s="701"/>
      <c r="J109" s="263">
        <f t="shared" si="8"/>
        <v>6838858</v>
      </c>
      <c r="K109" s="722">
        <f>IF(K$18='5.Variables'!$B$16,+'5.Variables'!$H34,+IF(K$18='5.Variables'!$B$39,+'5.Variables'!$H57,+IF(K$18='5.Variables'!$B$62,+'5.Variables'!$H71,+IF(K$18='5.Variables'!$B$76,+'5.Variables'!$H85,+IF(K$18='5.Variables'!$B$90,+'5.Variables'!$H99,+IF(K$18='5.Variables'!$B$104,+'5.Variables'!$H113,0))))))</f>
        <v>48.300000000000011</v>
      </c>
      <c r="L109" s="722">
        <f>IF(L$18='5.Variables'!$B$16,+'5.Variables'!$H33,+IF(L$18='5.Variables'!$B$39,+'5.Variables'!$H57,+IF(L$18='5.Variables'!$B$62,+'5.Variables'!$H71,+IF(L$18='5.Variables'!$B$76,+'5.Variables'!$H85,+IF(L$18='5.Variables'!$B$90,+'5.Variables'!$H99,+IF(L$18='5.Variables'!$B$104,+'5.Variables'!$H113,0))))))</f>
        <v>42.600000000000009</v>
      </c>
      <c r="M109" s="722">
        <f>IF(M$18='5.Variables'!$B$16,+'5.Variables'!$H33,+IF(M$18='5.Variables'!$B$39,+'5.Variables'!$H57,+IF(M$18='5.Variables'!$B$62,+'5.Variables'!$H71,+IF(M$18='5.Variables'!$B$76,+'5.Variables'!$H85,+IF(M$18='5.Variables'!$B$90,+'5.Variables'!$H99,+IF(M$18='5.Variables'!$B$104,+'5.Variables'!$H113,0))))))</f>
        <v>30</v>
      </c>
      <c r="N109" s="722">
        <f>IF(N$18='5.Variables'!$B$16,+'5.Variables'!$H33,+IF(N$18='5.Variables'!$B$39,+'5.Variables'!$H57,+IF(N$18='5.Variables'!$B$62,+'5.Variables'!$H71,+IF(N$18='5.Variables'!$B$76,+'5.Variables'!$H85,+IF(N$18='5.Variables'!$B$90,+'5.Variables'!$H99,+IF(N$18='5.Variables'!$B$104,+'5.Variables'!$H113,0))))))</f>
        <v>369.9</v>
      </c>
      <c r="O109" s="722">
        <f>IF(O$18='5.Variables'!$B$16,+'5.Variables'!$H33,+IF(O$18='5.Variables'!$B$39,+'5.Variables'!$H57,+IF(O$18='5.Variables'!$B$62,+'5.Variables'!$H71,+IF(O$18='5.Variables'!$B$76,+'5.Variables'!$H85,+IF(O$18='5.Variables'!$B$90,+'5.Variables'!$H99,+IF(O$18='5.Variables'!$B$104,+'5.Variables'!$H113,0))))))</f>
        <v>15.35</v>
      </c>
      <c r="P109" s="983">
        <f>IF(P$18='5.Variables'!$B$16,+'5.Variables'!$H33,+IF(P$18='5.Variables'!$B$39,+'5.Variables'!$H57,+IF(P$18='5.Variables'!$B$62,+'5.Variables'!$H71,+IF(P$18='5.Variables'!$B$76,+'5.Variables'!$H85,+IF(P$18='5.Variables'!$B$90,+'5.Variables'!$H99,+IF(P$18='5.Variables'!$B$104,+'5.Variables'!$H113,0))))))</f>
        <v>0</v>
      </c>
      <c r="Q109" s="245"/>
      <c r="R109" s="556">
        <f t="shared" si="9"/>
        <v>6716848.1051027263</v>
      </c>
      <c r="S109" s="265"/>
      <c r="T109" s="245"/>
      <c r="U109" s="245"/>
      <c r="V109" s="245"/>
      <c r="W109" s="245"/>
      <c r="X109" s="245"/>
      <c r="Y109" s="245"/>
      <c r="Z109" s="245"/>
      <c r="AA109" s="245"/>
      <c r="AB109" s="245"/>
      <c r="AC109" s="245"/>
      <c r="AD109" s="245"/>
      <c r="AE109" s="245"/>
      <c r="AF109" s="245"/>
      <c r="AG109" s="245"/>
      <c r="AH109" s="245"/>
      <c r="AI109" s="245"/>
      <c r="AJ109" s="245"/>
      <c r="AK109" s="245"/>
      <c r="AL109" s="245"/>
      <c r="AM109" s="245"/>
    </row>
    <row r="110" spans="1:39" x14ac:dyDescent="0.2">
      <c r="A110" s="501">
        <f t="shared" si="10"/>
        <v>91</v>
      </c>
      <c r="B110" s="262" t="str">
        <f>CONCATENATE('3. Consumption by Rate Class'!B115,"-",'3. Consumption by Rate Class'!C115)</f>
        <v>2013-July</v>
      </c>
      <c r="C110" s="694">
        <v>7879017</v>
      </c>
      <c r="D110" s="700">
        <v>-25409</v>
      </c>
      <c r="E110" s="700">
        <v>-41307</v>
      </c>
      <c r="F110" s="704"/>
      <c r="G110" s="700"/>
      <c r="H110" s="701"/>
      <c r="I110" s="701"/>
      <c r="J110" s="263">
        <f t="shared" si="8"/>
        <v>7812301</v>
      </c>
      <c r="K110" s="722">
        <f>IF(K$18='5.Variables'!$B$16,+'5.Variables'!$I34,+IF(K$18='5.Variables'!$B$39,+'5.Variables'!$I57,+IF(K$18='5.Variables'!$B$62,+'5.Variables'!$I71,+IF(K$18='5.Variables'!$B$76,+'5.Variables'!$I85,+IF(K$18='5.Variables'!$B$90,+'5.Variables'!$I99,+IF(K$18='5.Variables'!$B$104,+'5.Variables'!$I113,0))))))</f>
        <v>7.3999999999999995</v>
      </c>
      <c r="L110" s="722">
        <f>IF(L$18='5.Variables'!$B$16,+'5.Variables'!$I33,+IF(L$18='5.Variables'!$B$39,+'5.Variables'!$I57,+IF(L$18='5.Variables'!$B$62,+'5.Variables'!$I71,+IF(L$18='5.Variables'!$B$76,+'5.Variables'!$I85,+IF(L$18='5.Variables'!$B$90,+'5.Variables'!$I99,+IF(L$18='5.Variables'!$B$104,+'5.Variables'!$I113,0))))))</f>
        <v>104.40000000000002</v>
      </c>
      <c r="M110" s="722">
        <f>IF(M$18='5.Variables'!$B$16,+'5.Variables'!$I33,+IF(M$18='5.Variables'!$B$39,+'5.Variables'!$I57,+IF(M$18='5.Variables'!$B$62,+'5.Variables'!$I71,+IF(M$18='5.Variables'!$B$76,+'5.Variables'!$I85,+IF(M$18='5.Variables'!$B$90,+'5.Variables'!$I99,+IF(M$18='5.Variables'!$B$104,+'5.Variables'!$I113,0))))))</f>
        <v>31</v>
      </c>
      <c r="N110" s="722">
        <f>IF(N$18='5.Variables'!$B$16,+'5.Variables'!$I33,+IF(N$18='5.Variables'!$B$39,+'5.Variables'!$I57,+IF(N$18='5.Variables'!$B$62,+'5.Variables'!$I71,+IF(N$18='5.Variables'!$B$76,+'5.Variables'!$I85,+IF(N$18='5.Variables'!$B$90,+'5.Variables'!$I99,+IF(N$18='5.Variables'!$B$104,+'5.Variables'!$I113,0))))))</f>
        <v>370.2</v>
      </c>
      <c r="O110" s="722">
        <f>IF(O$18='5.Variables'!$B$16,+'5.Variables'!$I33,+IF(O$18='5.Variables'!$B$39,+'5.Variables'!$I57,+IF(O$18='5.Variables'!$B$62,+'5.Variables'!$I71,+IF(O$18='5.Variables'!$B$76,+'5.Variables'!$I85,+IF(O$18='5.Variables'!$B$90,+'5.Variables'!$I99,+IF(O$18='5.Variables'!$B$104,+'5.Variables'!$I113,0))))))</f>
        <v>15.15</v>
      </c>
      <c r="P110" s="983">
        <f>IF(P$18='5.Variables'!$B$16,+'5.Variables'!$I33,+IF(P$18='5.Variables'!$B$39,+'5.Variables'!$I57,+IF(P$18='5.Variables'!$B$62,+'5.Variables'!$I71,+IF(P$18='5.Variables'!$B$76,+'5.Variables'!$I85,+IF(P$18='5.Variables'!$B$90,+'5.Variables'!$I99,+IF(P$18='5.Variables'!$B$104,+'5.Variables'!$I113,0))))))</f>
        <v>1</v>
      </c>
      <c r="Q110" s="245"/>
      <c r="R110" s="556">
        <f t="shared" si="9"/>
        <v>7795769.9097728273</v>
      </c>
      <c r="S110" s="265"/>
      <c r="T110" s="245"/>
      <c r="U110" s="245"/>
      <c r="V110" s="245"/>
      <c r="W110" s="245"/>
      <c r="X110" s="245"/>
      <c r="Y110" s="245"/>
      <c r="Z110" s="245"/>
      <c r="AA110" s="245"/>
      <c r="AB110" s="245"/>
      <c r="AC110" s="245"/>
      <c r="AD110" s="245"/>
      <c r="AE110" s="245"/>
      <c r="AF110" s="245"/>
      <c r="AG110" s="245"/>
      <c r="AH110" s="245"/>
      <c r="AI110" s="245"/>
      <c r="AJ110" s="245"/>
      <c r="AK110" s="245"/>
      <c r="AL110" s="245"/>
      <c r="AM110" s="245"/>
    </row>
    <row r="111" spans="1:39" x14ac:dyDescent="0.2">
      <c r="A111" s="501">
        <f t="shared" si="10"/>
        <v>92</v>
      </c>
      <c r="B111" s="262" t="str">
        <f>CONCATENATE('3. Consumption by Rate Class'!B116,"-",'3. Consumption by Rate Class'!C116)</f>
        <v>2013-August</v>
      </c>
      <c r="C111" s="694">
        <v>7318263</v>
      </c>
      <c r="D111" s="700">
        <v>-29150</v>
      </c>
      <c r="E111" s="700">
        <v>-47596</v>
      </c>
      <c r="F111" s="704"/>
      <c r="G111" s="700"/>
      <c r="H111" s="701"/>
      <c r="I111" s="701"/>
      <c r="J111" s="263">
        <f t="shared" si="8"/>
        <v>7241517</v>
      </c>
      <c r="K111" s="722">
        <f>IF(K$18='5.Variables'!$B$16,+'5.Variables'!$J34,+IF(K$18='5.Variables'!$B$39,+'5.Variables'!$J57,+IF(K$18='5.Variables'!$B$62,+'5.Variables'!$J71,+IF(K$18='5.Variables'!$B$76,+'5.Variables'!$J85,+IF(K$18='5.Variables'!$B$90,+'5.Variables'!$J99,+IF(K$18='5.Variables'!$B$104,+'5.Variables'!$J113,0))))))</f>
        <v>11.299999999999999</v>
      </c>
      <c r="L111" s="722">
        <f>IF(L$18='5.Variables'!$B$16,+'5.Variables'!$J33,+IF(L$18='5.Variables'!$B$39,+'5.Variables'!$J57,+IF(L$18='5.Variables'!$B$62,+'5.Variables'!$J71,+IF(L$18='5.Variables'!$B$76,+'5.Variables'!$J85,+IF(L$18='5.Variables'!$B$90,+'5.Variables'!$J99,+IF(L$18='5.Variables'!$B$104,+'5.Variables'!$J113,0))))))</f>
        <v>60.300000000000004</v>
      </c>
      <c r="M111" s="722">
        <f>IF(M$18='5.Variables'!$B$16,+'5.Variables'!$J33,+IF(M$18='5.Variables'!$B$39,+'5.Variables'!$J57,+IF(M$18='5.Variables'!$B$62,+'5.Variables'!$J71,+IF(M$18='5.Variables'!$B$76,+'5.Variables'!$J85,+IF(M$18='5.Variables'!$B$90,+'5.Variables'!$J99,+IF(M$18='5.Variables'!$B$104,+'5.Variables'!$J113,0))))))</f>
        <v>31</v>
      </c>
      <c r="N111" s="722">
        <f>IF(N$18='5.Variables'!$B$16,+'5.Variables'!$J33,+IF(N$18='5.Variables'!$B$39,+'5.Variables'!$J57,+IF(N$18='5.Variables'!$B$62,+'5.Variables'!$J71,+IF(N$18='5.Variables'!$B$76,+'5.Variables'!$J85,+IF(N$18='5.Variables'!$B$90,+'5.Variables'!$J99,+IF(N$18='5.Variables'!$B$104,+'5.Variables'!$J113,0))))))</f>
        <v>370.5</v>
      </c>
      <c r="O111" s="722">
        <f>IF(O$18='5.Variables'!$B$16,+'5.Variables'!$J33,+IF(O$18='5.Variables'!$B$39,+'5.Variables'!$J57,+IF(O$18='5.Variables'!$B$62,+'5.Variables'!$J71,+IF(O$18='5.Variables'!$B$76,+'5.Variables'!$J85,+IF(O$18='5.Variables'!$B$90,+'5.Variables'!$J99,+IF(O$18='5.Variables'!$B$104,+'5.Variables'!$J113,0))))))</f>
        <v>14.03</v>
      </c>
      <c r="P111" s="983">
        <f>IF(P$18='5.Variables'!$B$16,+'5.Variables'!$J33,+IF(P$18='5.Variables'!$B$39,+'5.Variables'!$J57,+IF(P$18='5.Variables'!$B$62,+'5.Variables'!$J71,+IF(P$18='5.Variables'!$B$76,+'5.Variables'!$J85,+IF(P$18='5.Variables'!$B$90,+'5.Variables'!$J99,+IF(P$18='5.Variables'!$B$104,+'5.Variables'!$J113,0))))))</f>
        <v>0</v>
      </c>
      <c r="Q111" s="245"/>
      <c r="R111" s="556">
        <f t="shared" si="9"/>
        <v>7110209.7514739968</v>
      </c>
      <c r="S111" s="265"/>
      <c r="T111" s="245"/>
      <c r="U111" s="245"/>
      <c r="V111" s="245"/>
      <c r="W111" s="245"/>
      <c r="X111" s="245"/>
      <c r="Y111" s="245"/>
      <c r="Z111" s="245"/>
      <c r="AA111" s="245"/>
      <c r="AB111" s="245"/>
      <c r="AC111" s="245"/>
      <c r="AD111" s="245"/>
      <c r="AE111" s="245"/>
      <c r="AF111" s="245"/>
      <c r="AG111" s="245"/>
      <c r="AH111" s="245"/>
      <c r="AI111" s="245"/>
      <c r="AJ111" s="245"/>
      <c r="AK111" s="245"/>
      <c r="AL111" s="245"/>
      <c r="AM111" s="245"/>
    </row>
    <row r="112" spans="1:39" x14ac:dyDescent="0.2">
      <c r="A112" s="501">
        <f t="shared" si="10"/>
        <v>93</v>
      </c>
      <c r="B112" s="262" t="str">
        <f>CONCATENATE('3. Consumption by Rate Class'!B117,"-",'3. Consumption by Rate Class'!C117)</f>
        <v>2013-September</v>
      </c>
      <c r="C112" s="694">
        <v>6702828</v>
      </c>
      <c r="D112" s="700">
        <v>-22450</v>
      </c>
      <c r="E112" s="700">
        <v>-44959</v>
      </c>
      <c r="F112" s="704"/>
      <c r="G112" s="700"/>
      <c r="H112" s="701"/>
      <c r="I112" s="701"/>
      <c r="J112" s="263">
        <f t="shared" si="8"/>
        <v>6635419</v>
      </c>
      <c r="K112" s="722">
        <f>IF(K$18='5.Variables'!$B$16,+'5.Variables'!$K34,+IF(K$18='5.Variables'!$B$39,+'5.Variables'!$K57,+IF(K$18='5.Variables'!$B$62,+'5.Variables'!$K71,+IF(K$18='5.Variables'!$B$76,+'5.Variables'!$K85,+IF(K$18='5.Variables'!$B$90,+'5.Variables'!$K99,+IF(K$18='5.Variables'!$B$104,+'5.Variables'!$K113,0))))))</f>
        <v>130.6</v>
      </c>
      <c r="L112" s="722">
        <f>IF(L$18='5.Variables'!$B$16,+'5.Variables'!$K33,+IF(L$18='5.Variables'!$B$39,+'5.Variables'!$K57,+IF(L$18='5.Variables'!$B$62,+'5.Variables'!$K71,+IF(L$18='5.Variables'!$B$76,+'5.Variables'!$K85,+IF(L$18='5.Variables'!$B$90,+'5.Variables'!$K99,+IF(L$18='5.Variables'!$B$104,+'5.Variables'!$K113,0))))))</f>
        <v>9.2999999999999989</v>
      </c>
      <c r="M112" s="722">
        <f>IF(M$18='5.Variables'!$B$16,+'5.Variables'!$K33,+IF(M$18='5.Variables'!$B$39,+'5.Variables'!$K57,+IF(M$18='5.Variables'!$B$62,+'5.Variables'!$K71,+IF(M$18='5.Variables'!$B$76,+'5.Variables'!$K85,+IF(M$18='5.Variables'!$B$90,+'5.Variables'!$K99,+IF(M$18='5.Variables'!$B$104,+'5.Variables'!$K113,0))))))</f>
        <v>30</v>
      </c>
      <c r="N112" s="722">
        <f>IF(N$18='5.Variables'!$B$16,+'5.Variables'!$K33,+IF(N$18='5.Variables'!$B$39,+'5.Variables'!$K57,+IF(N$18='5.Variables'!$B$62,+'5.Variables'!$K71,+IF(N$18='5.Variables'!$B$76,+'5.Variables'!$K85,+IF(N$18='5.Variables'!$B$90,+'5.Variables'!$K99,+IF(N$18='5.Variables'!$B$104,+'5.Variables'!$K113,0))))))</f>
        <v>370.7</v>
      </c>
      <c r="O112" s="722">
        <f>IF(O$18='5.Variables'!$B$16,+'5.Variables'!$K33,+IF(O$18='5.Variables'!$B$39,+'5.Variables'!$K57,+IF(O$18='5.Variables'!$B$62,+'5.Variables'!$K71,+IF(O$18='5.Variables'!$B$76,+'5.Variables'!$K85,+IF(O$18='5.Variables'!$B$90,+'5.Variables'!$K99,+IF(O$18='5.Variables'!$B$104,+'5.Variables'!$K113,0))))))</f>
        <v>12.29</v>
      </c>
      <c r="P112" s="983">
        <f>IF(P$18='5.Variables'!$B$16,+'5.Variables'!$K33,+IF(P$18='5.Variables'!$B$39,+'5.Variables'!$K57,+IF(P$18='5.Variables'!$B$62,+'5.Variables'!$K71,+IF(P$18='5.Variables'!$B$76,+'5.Variables'!$K85,+IF(P$18='5.Variables'!$B$90,+'5.Variables'!$K99,+IF(P$18='5.Variables'!$B$104,+'5.Variables'!$K113,0))))))</f>
        <v>0</v>
      </c>
      <c r="Q112" s="245"/>
      <c r="R112" s="556">
        <f t="shared" si="9"/>
        <v>6508270.1697610952</v>
      </c>
      <c r="S112" s="265"/>
      <c r="T112" s="245"/>
      <c r="U112" s="245"/>
      <c r="V112" s="245"/>
      <c r="W112" s="245"/>
      <c r="X112" s="245"/>
      <c r="Y112" s="245"/>
      <c r="Z112" s="245"/>
      <c r="AA112" s="245"/>
      <c r="AB112" s="245"/>
      <c r="AC112" s="245"/>
      <c r="AD112" s="245"/>
      <c r="AE112" s="245"/>
      <c r="AF112" s="245"/>
      <c r="AG112" s="245"/>
      <c r="AH112" s="245"/>
      <c r="AI112" s="245"/>
      <c r="AJ112" s="245"/>
      <c r="AK112" s="245"/>
      <c r="AL112" s="245"/>
      <c r="AM112" s="245"/>
    </row>
    <row r="113" spans="1:39" x14ac:dyDescent="0.2">
      <c r="A113" s="501">
        <f t="shared" si="10"/>
        <v>94</v>
      </c>
      <c r="B113" s="262" t="str">
        <f>CONCATENATE('3. Consumption by Rate Class'!B118,"-",'3. Consumption by Rate Class'!C118)</f>
        <v>2013-October</v>
      </c>
      <c r="C113" s="694">
        <v>7083341</v>
      </c>
      <c r="D113" s="700">
        <v>-18395</v>
      </c>
      <c r="E113" s="700">
        <v>-42504</v>
      </c>
      <c r="F113" s="704"/>
      <c r="G113" s="700"/>
      <c r="H113" s="701"/>
      <c r="I113" s="701"/>
      <c r="J113" s="263">
        <f t="shared" si="8"/>
        <v>7022442</v>
      </c>
      <c r="K113" s="722">
        <f>IF(K$18='5.Variables'!$B$16,+'5.Variables'!$L34,+IF(K$18='5.Variables'!$B$39,+'5.Variables'!$L57,+IF(K$18='5.Variables'!$B$62,+'5.Variables'!$L71,+IF(K$18='5.Variables'!$B$76,+'5.Variables'!$L85,+IF(K$18='5.Variables'!$B$90,+'5.Variables'!$L99,+IF(K$18='5.Variables'!$B$104,+'5.Variables'!$L113,0))))))</f>
        <v>221.6</v>
      </c>
      <c r="L113" s="722">
        <f>IF(L$18='5.Variables'!$B$16,+'5.Variables'!$L33,+IF(L$18='5.Variables'!$B$39,+'5.Variables'!$L57,+IF(L$18='5.Variables'!$B$62,+'5.Variables'!$L71,+IF(L$18='5.Variables'!$B$76,+'5.Variables'!$L85,+IF(L$18='5.Variables'!$B$90,+'5.Variables'!$L99,+IF(L$18='5.Variables'!$B$104,+'5.Variables'!$L113,0))))))</f>
        <v>1.6</v>
      </c>
      <c r="M113" s="722">
        <f>IF(M$18='5.Variables'!$B$16,+'5.Variables'!$L33,+IF(M$18='5.Variables'!$B$39,+'5.Variables'!$L57,+IF(M$18='5.Variables'!$B$62,+'5.Variables'!$L71,+IF(M$18='5.Variables'!$B$76,+'5.Variables'!$L85,+IF(M$18='5.Variables'!$B$90,+'5.Variables'!$L99,+IF(M$18='5.Variables'!$B$104,+'5.Variables'!$L113,0))))))</f>
        <v>31</v>
      </c>
      <c r="N113" s="722">
        <f>IF(N$18='5.Variables'!$B$16,+'5.Variables'!$L33,+IF(N$18='5.Variables'!$B$39,+'5.Variables'!$L57,+IF(N$18='5.Variables'!$B$62,+'5.Variables'!$L71,+IF(N$18='5.Variables'!$B$76,+'5.Variables'!$L85,+IF(N$18='5.Variables'!$B$90,+'5.Variables'!$L99,+IF(N$18='5.Variables'!$B$104,+'5.Variables'!$L113,0))))))</f>
        <v>370.9</v>
      </c>
      <c r="O113" s="722">
        <f>IF(O$18='5.Variables'!$B$16,+'5.Variables'!$L33,+IF(O$18='5.Variables'!$B$39,+'5.Variables'!$L57,+IF(O$18='5.Variables'!$B$62,+'5.Variables'!$L71,+IF(O$18='5.Variables'!$B$76,+'5.Variables'!$L85,+IF(O$18='5.Variables'!$B$90,+'5.Variables'!$L99,+IF(O$18='5.Variables'!$B$104,+'5.Variables'!$L113,0))))))</f>
        <v>10.51</v>
      </c>
      <c r="P113" s="983">
        <f>IF(P$18='5.Variables'!$B$16,+'5.Variables'!$L33,+IF(P$18='5.Variables'!$B$39,+'5.Variables'!$L57,+IF(P$18='5.Variables'!$B$62,+'5.Variables'!$L71,+IF(P$18='5.Variables'!$B$76,+'5.Variables'!$L85,+IF(P$18='5.Variables'!$B$90,+'5.Variables'!$L99,+IF(P$18='5.Variables'!$B$104,+'5.Variables'!$L113,0))))))</f>
        <v>0</v>
      </c>
      <c r="Q113" s="245"/>
      <c r="R113" s="556">
        <f t="shared" si="9"/>
        <v>6920455.0815938795</v>
      </c>
      <c r="S113" s="265"/>
      <c r="T113" s="245"/>
      <c r="U113" s="245"/>
      <c r="V113" s="245"/>
      <c r="W113" s="245"/>
      <c r="X113" s="80"/>
      <c r="Y113" s="245"/>
      <c r="Z113" s="245"/>
      <c r="AA113" s="245"/>
      <c r="AB113" s="245"/>
      <c r="AC113" s="245"/>
      <c r="AD113" s="245"/>
      <c r="AE113" s="245"/>
      <c r="AF113" s="245"/>
      <c r="AG113" s="245"/>
      <c r="AH113" s="245"/>
      <c r="AI113" s="245"/>
      <c r="AJ113" s="245"/>
      <c r="AK113" s="245"/>
      <c r="AL113" s="245"/>
      <c r="AM113" s="245"/>
    </row>
    <row r="114" spans="1:39" x14ac:dyDescent="0.2">
      <c r="A114" s="501">
        <f t="shared" si="10"/>
        <v>95</v>
      </c>
      <c r="B114" s="262" t="str">
        <f>CONCATENATE('3. Consumption by Rate Class'!B119,"-",'3. Consumption by Rate Class'!C119)</f>
        <v>2013-November</v>
      </c>
      <c r="C114" s="694">
        <v>7744935</v>
      </c>
      <c r="D114" s="700">
        <v>-22803</v>
      </c>
      <c r="E114" s="700">
        <v>-43552</v>
      </c>
      <c r="F114" s="704"/>
      <c r="G114" s="700"/>
      <c r="H114" s="701"/>
      <c r="I114" s="701"/>
      <c r="J114" s="263">
        <f t="shared" si="8"/>
        <v>7678580</v>
      </c>
      <c r="K114" s="722">
        <f>IF(K$18='5.Variables'!$B$16,+'5.Variables'!$M34,+IF(K$18='5.Variables'!$B$39,+'5.Variables'!$M57,+IF(K$18='5.Variables'!$B$62,+'5.Variables'!$M71,+IF(K$18='5.Variables'!$B$76,+'5.Variables'!$M85,+IF(K$18='5.Variables'!$B$90,+'5.Variables'!$M99,+IF(K$18='5.Variables'!$B$104,+'5.Variables'!$M113,0))))))</f>
        <v>511.3</v>
      </c>
      <c r="L114" s="722">
        <f>IF(L$18='5.Variables'!$B$16,+'5.Variables'!$M33,+IF(L$18='5.Variables'!$B$39,+'5.Variables'!$M57,+IF(L$18='5.Variables'!$B$62,+'5.Variables'!$M71,+IF(L$18='5.Variables'!$B$76,+'5.Variables'!$M85,+IF(L$18='5.Variables'!$B$90,+'5.Variables'!$M99,+IF(L$18='5.Variables'!$B$104,+'5.Variables'!$M113,0))))))</f>
        <v>0</v>
      </c>
      <c r="M114" s="722">
        <f>IF(M$18='5.Variables'!$B$16,+'5.Variables'!$M33,+IF(M$18='5.Variables'!$B$39,+'5.Variables'!$M57,+IF(M$18='5.Variables'!$B$62,+'5.Variables'!$M71,+IF(M$18='5.Variables'!$B$76,+'5.Variables'!$M85,+IF(M$18='5.Variables'!$B$90,+'5.Variables'!$M99,+IF(M$18='5.Variables'!$B$104,+'5.Variables'!$M113,0))))))</f>
        <v>30</v>
      </c>
      <c r="N114" s="722">
        <f>IF(N$18='5.Variables'!$B$16,+'5.Variables'!$M33,+IF(N$18='5.Variables'!$B$39,+'5.Variables'!$M57,+IF(N$18='5.Variables'!$B$62,+'5.Variables'!$M71,+IF(N$18='5.Variables'!$B$76,+'5.Variables'!$M85,+IF(N$18='5.Variables'!$B$90,+'5.Variables'!$M99,+IF(N$18='5.Variables'!$B$104,+'5.Variables'!$M113,0))))))</f>
        <v>371</v>
      </c>
      <c r="O114" s="722">
        <f>IF(O$18='5.Variables'!$B$16,+'5.Variables'!$M33,+IF(O$18='5.Variables'!$B$39,+'5.Variables'!$M57,+IF(O$18='5.Variables'!$B$62,+'5.Variables'!$M71,+IF(O$18='5.Variables'!$B$76,+'5.Variables'!$M85,+IF(O$18='5.Variables'!$B$90,+'5.Variables'!$M99,+IF(O$18='5.Variables'!$B$104,+'5.Variables'!$M113,0))))))</f>
        <v>9.2799999999999994</v>
      </c>
      <c r="P114" s="983">
        <f>IF(P$18='5.Variables'!$B$16,+'5.Variables'!$M33,+IF(P$18='5.Variables'!$B$39,+'5.Variables'!$M57,+IF(P$18='5.Variables'!$B$62,+'5.Variables'!$M71,+IF(P$18='5.Variables'!$B$76,+'5.Variables'!$M85,+IF(P$18='5.Variables'!$B$90,+'5.Variables'!$M99,+IF(P$18='5.Variables'!$B$104,+'5.Variables'!$M113,0))))))</f>
        <v>0</v>
      </c>
      <c r="Q114" s="245"/>
      <c r="R114" s="556">
        <f t="shared" si="9"/>
        <v>7667196.3062630948</v>
      </c>
      <c r="S114" s="265"/>
      <c r="T114" s="245"/>
      <c r="U114" s="245"/>
      <c r="V114" s="245"/>
      <c r="W114" s="245"/>
      <c r="X114" s="245"/>
      <c r="Y114" s="245"/>
      <c r="Z114" s="245"/>
      <c r="AA114" s="245"/>
      <c r="AB114" s="245"/>
      <c r="AC114" s="245"/>
      <c r="AD114" s="245"/>
      <c r="AE114" s="245"/>
      <c r="AF114" s="245"/>
      <c r="AG114" s="245"/>
      <c r="AH114" s="245"/>
      <c r="AI114" s="245"/>
      <c r="AJ114" s="245"/>
      <c r="AK114" s="245"/>
      <c r="AL114" s="245"/>
      <c r="AM114" s="245"/>
    </row>
    <row r="115" spans="1:39" x14ac:dyDescent="0.2">
      <c r="A115" s="501">
        <f t="shared" si="10"/>
        <v>96</v>
      </c>
      <c r="B115" s="520" t="str">
        <f>CONCATENATE('3. Consumption by Rate Class'!B120,"-",'3. Consumption by Rate Class'!C120)</f>
        <v>2013-December</v>
      </c>
      <c r="C115" s="695">
        <v>9122002</v>
      </c>
      <c r="D115" s="702">
        <v>-30250</v>
      </c>
      <c r="E115" s="702">
        <v>-41765</v>
      </c>
      <c r="F115" s="702"/>
      <c r="G115" s="702"/>
      <c r="H115" s="703"/>
      <c r="I115" s="703"/>
      <c r="J115" s="263">
        <f t="shared" si="8"/>
        <v>9049987</v>
      </c>
      <c r="K115" s="722">
        <f>IF(K$18='5.Variables'!$B$16,+'5.Variables'!$N34,+IF(K$18='5.Variables'!$B$39,+'5.Variables'!$N57,+IF(K$18='5.Variables'!$B$62,+'5.Variables'!$N71,+IF(K$18='5.Variables'!$B$76,+'5.Variables'!$N85,+IF(K$18='5.Variables'!$B$90,+'5.Variables'!$N99,+IF(K$18='5.Variables'!$B$104,+'5.Variables'!$N113,0))))))</f>
        <v>834.59999999999991</v>
      </c>
      <c r="L115" s="722">
        <f>IF(L$18='5.Variables'!$B$16,+'5.Variables'!$N33,+IF(L$18='5.Variables'!$B$39,+'5.Variables'!$N57,+IF(L$18='5.Variables'!$B$62,+'5.Variables'!$N71,+IF(L$18='5.Variables'!$B$76,+'5.Variables'!$N85,+IF(L$18='5.Variables'!$B$90,+'5.Variables'!$N99,+IF(L$18='5.Variables'!$B$104,+'5.Variables'!$N113,0))))))</f>
        <v>0</v>
      </c>
      <c r="M115" s="722">
        <f>IF(M$18='5.Variables'!$B$16,+'5.Variables'!$N33,+IF(M$18='5.Variables'!$B$39,+'5.Variables'!$N57,+IF(M$18='5.Variables'!$B$62,+'5.Variables'!$N71,+IF(M$18='5.Variables'!$B$76,+'5.Variables'!$N85,+IF(M$18='5.Variables'!$B$90,+'5.Variables'!$N99,+IF(M$18='5.Variables'!$B$104,+'5.Variables'!$N113,0))))))</f>
        <v>31</v>
      </c>
      <c r="N115" s="722">
        <f>IF(N$18='5.Variables'!$B$16,+'5.Variables'!$N33,+IF(N$18='5.Variables'!$B$39,+'5.Variables'!$N57,+IF(N$18='5.Variables'!$B$62,+'5.Variables'!$N71,+IF(N$18='5.Variables'!$B$76,+'5.Variables'!$N85,+IF(N$18='5.Variables'!$B$90,+'5.Variables'!$N99,+IF(N$18='5.Variables'!$B$104,+'5.Variables'!$N113,0))))))</f>
        <v>371.2</v>
      </c>
      <c r="O115" s="722">
        <f>IF(O$18='5.Variables'!$B$16,+'5.Variables'!$N33,+IF(O$18='5.Variables'!$B$39,+'5.Variables'!$N57,+IF(O$18='5.Variables'!$B$62,+'5.Variables'!$N71,+IF(O$18='5.Variables'!$B$76,+'5.Variables'!$N85,+IF(O$18='5.Variables'!$B$90,+'5.Variables'!$N99,+IF(O$18='5.Variables'!$B$104,+'5.Variables'!$N113,0))))))</f>
        <v>8.4700000000000006</v>
      </c>
      <c r="P115" s="983">
        <f>IF(P$18='5.Variables'!$B$16,+'5.Variables'!$N33,+IF(P$18='5.Variables'!$B$39,+'5.Variables'!$N57,+IF(P$18='5.Variables'!$B$62,+'5.Variables'!$N71,+IF(P$18='5.Variables'!$B$76,+'5.Variables'!$N85,+IF(P$18='5.Variables'!$B$90,+'5.Variables'!$N99,+IF(P$18='5.Variables'!$B$104,+'5.Variables'!$N113,0))))))</f>
        <v>1</v>
      </c>
      <c r="Q115" s="245"/>
      <c r="R115" s="556">
        <f t="shared" si="9"/>
        <v>8926313.1796611082</v>
      </c>
      <c r="S115" s="265">
        <f>SUM(R104:R115)</f>
        <v>90628305.25001581</v>
      </c>
      <c r="T115" s="245"/>
      <c r="U115" s="245"/>
      <c r="V115" s="245"/>
      <c r="W115" s="245"/>
      <c r="X115" s="245"/>
      <c r="Y115" s="245"/>
      <c r="Z115" s="245"/>
      <c r="AA115" s="245"/>
      <c r="AB115" s="245"/>
      <c r="AC115" s="245"/>
      <c r="AD115" s="245"/>
      <c r="AE115" s="245"/>
      <c r="AF115" s="245"/>
      <c r="AG115" s="245"/>
      <c r="AH115" s="245"/>
      <c r="AI115" s="245"/>
      <c r="AJ115" s="245"/>
      <c r="AK115" s="245"/>
      <c r="AL115" s="245"/>
      <c r="AM115" s="245"/>
    </row>
    <row r="116" spans="1:39" x14ac:dyDescent="0.2">
      <c r="A116" s="501">
        <f t="shared" si="10"/>
        <v>97</v>
      </c>
      <c r="B116" s="262" t="str">
        <f>CONCATENATE('3. Consumption by Rate Class'!B121,"-",'3. Consumption by Rate Class'!C121)</f>
        <v>2014-January</v>
      </c>
      <c r="C116" s="694">
        <v>9438027</v>
      </c>
      <c r="D116" s="700">
        <v>-37973</v>
      </c>
      <c r="E116" s="700">
        <v>-39510</v>
      </c>
      <c r="F116" s="704"/>
      <c r="G116" s="700"/>
      <c r="H116" s="701"/>
      <c r="I116" s="701"/>
      <c r="J116" s="263">
        <f t="shared" si="8"/>
        <v>9360544</v>
      </c>
      <c r="K116" s="722">
        <f>IF(K$18='5.Variables'!$B$16,+'5.Variables'!$C35,+IF(K$18='5.Variables'!$B$39,+'5.Variables'!$C58,+IF(K$18='5.Variables'!$B$62,+'5.Variables'!$C72,+IF(K$18='5.Variables'!$B$76,+'5.Variables'!$C86,+IF(K$18='5.Variables'!$B$90,+'5.Variables'!$C100,+IF(K$18='5.Variables'!$B$104,+'5.Variables'!$C114,0))))))</f>
        <v>917.69999999999993</v>
      </c>
      <c r="L116" s="722">
        <f>IF(L$18='5.Variables'!$B$16,+'5.Variables'!$C34,+IF(L$18='5.Variables'!$B$39,+'5.Variables'!$C58,+IF(L$18='5.Variables'!$B$62,+'5.Variables'!$C72,+IF(L$18='5.Variables'!$B$76,+'5.Variables'!$C86,+IF(L$18='5.Variables'!$B$90,+'5.Variables'!$C100,+IF(L$18='5.Variables'!$B$104,+'5.Variables'!$C114,0))))))</f>
        <v>0</v>
      </c>
      <c r="M116" s="722">
        <f>IF(M$18='5.Variables'!$B$16,+'5.Variables'!$C34,+IF(M$18='5.Variables'!$B$39,+'5.Variables'!$C58,+IF(M$18='5.Variables'!$B$62,+'5.Variables'!$C72,+IF(M$18='5.Variables'!$B$76,+'5.Variables'!$C86,+IF(M$18='5.Variables'!$B$90,+'5.Variables'!$C100,+IF(M$18='5.Variables'!$B$104,+'5.Variables'!$C114,0))))))</f>
        <v>31</v>
      </c>
      <c r="N116" s="722">
        <f>IF(N$18='5.Variables'!$B$16,+'5.Variables'!$C34,+IF(N$18='5.Variables'!$B$39,+'5.Variables'!$C58,+IF(N$18='5.Variables'!$B$62,+'5.Variables'!$C72,+IF(N$18='5.Variables'!$B$76,+'5.Variables'!$C86,+IF(N$18='5.Variables'!$B$90,+'5.Variables'!$C100,+IF(N$18='5.Variables'!$B$104,+'5.Variables'!$C114,0))))))</f>
        <v>371.4</v>
      </c>
      <c r="O116" s="722">
        <f>IF(O$18='5.Variables'!$B$16,+'5.Variables'!$C34,+IF(O$18='5.Variables'!$B$39,+'5.Variables'!$C58,+IF(O$18='5.Variables'!$B$62,+'5.Variables'!$C72,+IF(O$18='5.Variables'!$B$76,+'5.Variables'!$C86,+IF(O$18='5.Variables'!$B$90,+'5.Variables'!$C100,+IF(O$18='5.Variables'!$B$104,+'5.Variables'!$C114,0))))))</f>
        <v>9.09</v>
      </c>
      <c r="P116" s="983">
        <f>IF(P$18='5.Variables'!$B$16,+'5.Variables'!$C34,+IF(P$18='5.Variables'!$B$39,+'5.Variables'!$C58,+IF(P$18='5.Variables'!$B$62,+'5.Variables'!$C72,+IF(P$18='5.Variables'!$B$76,+'5.Variables'!$C86,+IF(P$18='5.Variables'!$B$90,+'5.Variables'!$C100,+IF(P$18='5.Variables'!$B$104,+'5.Variables'!$C114,0))))))</f>
        <v>1</v>
      </c>
      <c r="Q116" s="245"/>
      <c r="R116" s="556">
        <f t="shared" si="9"/>
        <v>9171103.3146895505</v>
      </c>
      <c r="S116" s="265"/>
      <c r="T116" s="245"/>
      <c r="U116" s="245"/>
      <c r="V116" s="245"/>
      <c r="W116" s="245"/>
      <c r="X116" s="245"/>
      <c r="Y116" s="245"/>
      <c r="Z116" s="245"/>
      <c r="AA116" s="245"/>
      <c r="AB116" s="245"/>
      <c r="AC116" s="245"/>
      <c r="AD116" s="245"/>
      <c r="AE116" s="245"/>
      <c r="AF116" s="245"/>
      <c r="AG116" s="245"/>
      <c r="AH116" s="245"/>
      <c r="AI116" s="245"/>
      <c r="AJ116" s="245"/>
      <c r="AK116" s="245"/>
      <c r="AL116" s="245"/>
      <c r="AM116" s="245"/>
    </row>
    <row r="117" spans="1:39" x14ac:dyDescent="0.2">
      <c r="A117" s="501">
        <f t="shared" si="10"/>
        <v>98</v>
      </c>
      <c r="B117" s="262" t="str">
        <f>CONCATENATE('3. Consumption by Rate Class'!B122,"-",'3. Consumption by Rate Class'!C122)</f>
        <v>2014-February</v>
      </c>
      <c r="C117" s="694">
        <v>8139359</v>
      </c>
      <c r="D117" s="700">
        <v>-42127</v>
      </c>
      <c r="E117" s="700">
        <v>-44238</v>
      </c>
      <c r="F117" s="704"/>
      <c r="G117" s="700"/>
      <c r="H117" s="701"/>
      <c r="I117" s="701"/>
      <c r="J117" s="263">
        <f t="shared" si="8"/>
        <v>8052994</v>
      </c>
      <c r="K117" s="722">
        <f>IF(K$18='5.Variables'!$B$16,+'5.Variables'!$D35,+IF(K$18='5.Variables'!$B$39,+'5.Variables'!$D58,+IF(K$18='5.Variables'!$B$62,+'5.Variables'!$D72,+IF(K$18='5.Variables'!$B$76,+'5.Variables'!$D86,+IF(K$18='5.Variables'!$B$90,+'5.Variables'!$D100,+IF(K$18='5.Variables'!$B$104,+'5.Variables'!$D114,0))))))</f>
        <v>792.5</v>
      </c>
      <c r="L117" s="722">
        <f>IF(L$18='5.Variables'!$B$16,+'5.Variables'!$D34,+IF(L$18='5.Variables'!$B$39,+'5.Variables'!$D58,+IF(L$18='5.Variables'!$B$62,+'5.Variables'!$D72,+IF(L$18='5.Variables'!$B$76,+'5.Variables'!$D86,+IF(L$18='5.Variables'!$B$90,+'5.Variables'!$D100,+IF(L$18='5.Variables'!$B$104,+'5.Variables'!$D114,0))))))</f>
        <v>0</v>
      </c>
      <c r="M117" s="722">
        <f>IF(M$18='5.Variables'!$B$16,+'5.Variables'!$D34,+IF(M$18='5.Variables'!$B$39,+'5.Variables'!$D58,+IF(M$18='5.Variables'!$B$62,+'5.Variables'!$D72,+IF(M$18='5.Variables'!$B$76,+'5.Variables'!$D86,+IF(M$18='5.Variables'!$B$90,+'5.Variables'!$D100,+IF(M$18='5.Variables'!$B$104,+'5.Variables'!$D114,0))))))</f>
        <v>28</v>
      </c>
      <c r="N117" s="722">
        <f>IF(N$18='5.Variables'!$B$16,+'5.Variables'!$D34,+IF(N$18='5.Variables'!$B$39,+'5.Variables'!$D58,+IF(N$18='5.Variables'!$B$62,+'5.Variables'!$D72,+IF(N$18='5.Variables'!$B$76,+'5.Variables'!$D86,+IF(N$18='5.Variables'!$B$90,+'5.Variables'!$D100,+IF(N$18='5.Variables'!$B$104,+'5.Variables'!$D114,0))))))</f>
        <v>371.5</v>
      </c>
      <c r="O117" s="722">
        <f>IF(O$18='5.Variables'!$B$16,+'5.Variables'!$D34,+IF(O$18='5.Variables'!$B$39,+'5.Variables'!$D58,+IF(O$18='5.Variables'!$B$62,+'5.Variables'!$D72,+IF(O$18='5.Variables'!$B$76,+'5.Variables'!$D86,+IF(O$18='5.Variables'!$B$90,+'5.Variables'!$D100,+IF(O$18='5.Variables'!$B$104,+'5.Variables'!$D114,0))))))</f>
        <v>10.19</v>
      </c>
      <c r="P117" s="983">
        <f>IF(P$18='5.Variables'!$B$16,+'5.Variables'!$D34,+IF(P$18='5.Variables'!$B$39,+'5.Variables'!$D58,+IF(P$18='5.Variables'!$B$62,+'5.Variables'!$D72,+IF(P$18='5.Variables'!$B$76,+'5.Variables'!$D86,+IF(P$18='5.Variables'!$B$90,+'5.Variables'!$D100,+IF(P$18='5.Variables'!$B$104,+'5.Variables'!$D114,0))))))</f>
        <v>0</v>
      </c>
      <c r="Q117" s="245"/>
      <c r="R117" s="556">
        <f t="shared" si="9"/>
        <v>8142755.6710886545</v>
      </c>
      <c r="S117" s="265"/>
      <c r="T117" s="245"/>
      <c r="U117" s="245"/>
      <c r="V117" s="245"/>
      <c r="W117" s="245"/>
      <c r="X117" s="245"/>
      <c r="Y117" s="245"/>
      <c r="Z117" s="245"/>
      <c r="AA117" s="245"/>
      <c r="AB117" s="245"/>
      <c r="AC117" s="245"/>
      <c r="AD117" s="245"/>
      <c r="AE117" s="245"/>
      <c r="AF117" s="245"/>
      <c r="AG117" s="245"/>
      <c r="AH117" s="245"/>
      <c r="AI117" s="245"/>
      <c r="AJ117" s="245"/>
      <c r="AK117" s="245"/>
      <c r="AL117" s="245"/>
      <c r="AM117" s="245"/>
    </row>
    <row r="118" spans="1:39" x14ac:dyDescent="0.2">
      <c r="A118" s="501">
        <f t="shared" si="10"/>
        <v>99</v>
      </c>
      <c r="B118" s="262" t="str">
        <f>CONCATENATE('3. Consumption by Rate Class'!B123,"-",'3. Consumption by Rate Class'!C123)</f>
        <v>2014-March</v>
      </c>
      <c r="C118" s="694">
        <v>8549683</v>
      </c>
      <c r="D118" s="700">
        <v>-39758</v>
      </c>
      <c r="E118" s="700">
        <v>-41926</v>
      </c>
      <c r="F118" s="704"/>
      <c r="G118" s="700"/>
      <c r="H118" s="701"/>
      <c r="I118" s="701"/>
      <c r="J118" s="263">
        <f t="shared" si="8"/>
        <v>8467999</v>
      </c>
      <c r="K118" s="722">
        <f>IF(K$18='5.Variables'!$B$16,+'5.Variables'!$E35,+IF(K$18='5.Variables'!$B$39,+'5.Variables'!$E58,+IF(K$18='5.Variables'!$B$62,+'5.Variables'!$E72,+IF(K$18='5.Variables'!$B$76,+'5.Variables'!$E86,+IF(K$18='5.Variables'!$B$90,+'5.Variables'!$E100,+IF(K$18='5.Variables'!$B$104,+'5.Variables'!$E114,0))))))</f>
        <v>777.30000000000007</v>
      </c>
      <c r="L118" s="722">
        <f>IF(L$18='5.Variables'!$B$16,+'5.Variables'!$E34,+IF(L$18='5.Variables'!$B$39,+'5.Variables'!$E58,+IF(L$18='5.Variables'!$B$62,+'5.Variables'!$E72,+IF(L$18='5.Variables'!$B$76,+'5.Variables'!$E86,+IF(L$18='5.Variables'!$B$90,+'5.Variables'!$E100,+IF(L$18='5.Variables'!$B$104,+'5.Variables'!$E114,0))))))</f>
        <v>0</v>
      </c>
      <c r="M118" s="722">
        <f>IF(M$18='5.Variables'!$B$16,+'5.Variables'!$E34,+IF(M$18='5.Variables'!$B$39,+'5.Variables'!$E58,+IF(M$18='5.Variables'!$B$62,+'5.Variables'!$E72,+IF(M$18='5.Variables'!$B$76,+'5.Variables'!$E86,+IF(M$18='5.Variables'!$B$90,+'5.Variables'!$E100,+IF(M$18='5.Variables'!$B$104,+'5.Variables'!$E114,0))))))</f>
        <v>31</v>
      </c>
      <c r="N118" s="722">
        <f>IF(N$18='5.Variables'!$B$16,+'5.Variables'!$E34,+IF(N$18='5.Variables'!$B$39,+'5.Variables'!$E58,+IF(N$18='5.Variables'!$B$62,+'5.Variables'!$E72,+IF(N$18='5.Variables'!$B$76,+'5.Variables'!$E86,+IF(N$18='5.Variables'!$B$90,+'5.Variables'!$E100,+IF(N$18='5.Variables'!$B$104,+'5.Variables'!$E114,0))))))</f>
        <v>371.6</v>
      </c>
      <c r="O118" s="722">
        <f>IF(O$18='5.Variables'!$B$16,+'5.Variables'!$E34,+IF(O$18='5.Variables'!$B$39,+'5.Variables'!$E58,+IF(O$18='5.Variables'!$B$62,+'5.Variables'!$E72,+IF(O$18='5.Variables'!$B$76,+'5.Variables'!$E86,+IF(O$18='5.Variables'!$B$90,+'5.Variables'!$E100,+IF(O$18='5.Variables'!$B$104,+'5.Variables'!$E114,0))))))</f>
        <v>11.51</v>
      </c>
      <c r="P118" s="983">
        <f>IF(P$18='5.Variables'!$B$16,+'5.Variables'!$E34,+IF(P$18='5.Variables'!$B$39,+'5.Variables'!$E58,+IF(P$18='5.Variables'!$B$62,+'5.Variables'!$E72,+IF(P$18='5.Variables'!$B$76,+'5.Variables'!$E86,+IF(P$18='5.Variables'!$B$90,+'5.Variables'!$E100,+IF(P$18='5.Variables'!$B$104,+'5.Variables'!$E114,0))))))</f>
        <v>1</v>
      </c>
      <c r="Q118" s="245"/>
      <c r="R118" s="556">
        <f t="shared" si="9"/>
        <v>8640653.528046418</v>
      </c>
      <c r="S118" s="265"/>
      <c r="T118" s="245"/>
      <c r="U118" s="245"/>
      <c r="V118" s="245"/>
      <c r="W118" s="245"/>
      <c r="X118" s="245"/>
      <c r="Y118" s="245"/>
      <c r="Z118" s="245"/>
      <c r="AA118" s="245"/>
      <c r="AB118" s="245"/>
      <c r="AC118" s="245"/>
      <c r="AD118" s="245"/>
      <c r="AE118" s="245"/>
      <c r="AF118" s="245"/>
      <c r="AG118" s="245"/>
      <c r="AH118" s="245"/>
      <c r="AI118" s="245"/>
      <c r="AJ118" s="245"/>
      <c r="AK118" s="245"/>
      <c r="AL118" s="245"/>
      <c r="AM118" s="245"/>
    </row>
    <row r="119" spans="1:39" x14ac:dyDescent="0.2">
      <c r="A119" s="501">
        <f t="shared" si="10"/>
        <v>100</v>
      </c>
      <c r="B119" s="262" t="str">
        <f>CONCATENATE('3. Consumption by Rate Class'!B124,"-",'3. Consumption by Rate Class'!C124)</f>
        <v>2014-April</v>
      </c>
      <c r="C119" s="694">
        <v>6965454</v>
      </c>
      <c r="D119" s="700">
        <v>-38688</v>
      </c>
      <c r="E119" s="700">
        <v>-43293</v>
      </c>
      <c r="F119" s="704"/>
      <c r="G119" s="700"/>
      <c r="H119" s="701"/>
      <c r="I119" s="701"/>
      <c r="J119" s="263">
        <f>SUM(C119:I119)</f>
        <v>6883473</v>
      </c>
      <c r="K119" s="722">
        <f>IF(K$18='5.Variables'!$B$16,+'5.Variables'!$F35,+IF(K$18='5.Variables'!$B$39,+'5.Variables'!$F58,+IF(K$18='5.Variables'!$B$62,+'5.Variables'!$F72,+IF(K$18='5.Variables'!$B$76,+'5.Variables'!$F86,+IF(K$18='5.Variables'!$B$90,+'5.Variables'!$F100,+IF(K$18='5.Variables'!$B$104,+'5.Variables'!$F114,0))))))</f>
        <v>366.3</v>
      </c>
      <c r="L119" s="722">
        <f>IF(L$18='5.Variables'!$B$16,+'5.Variables'!$F34,+IF(L$18='5.Variables'!$B$39,+'5.Variables'!$F58,+IF(L$18='5.Variables'!$B$62,+'5.Variables'!$F72,+IF(L$18='5.Variables'!$B$76,+'5.Variables'!$F86,+IF(L$18='5.Variables'!$B$90,+'5.Variables'!$F100,+IF(L$18='5.Variables'!$B$104,+'5.Variables'!$F114,0))))))</f>
        <v>0</v>
      </c>
      <c r="M119" s="722">
        <f>IF(M$18='5.Variables'!$B$16,+'5.Variables'!$F34,+IF(M$18='5.Variables'!$B$39,+'5.Variables'!$F58,+IF(M$18='5.Variables'!$B$62,+'5.Variables'!$F72,+IF(M$18='5.Variables'!$B$76,+'5.Variables'!$F86,+IF(M$18='5.Variables'!$B$90,+'5.Variables'!$F100,+IF(M$18='5.Variables'!$B$104,+'5.Variables'!$F114,0))))))</f>
        <v>30</v>
      </c>
      <c r="N119" s="722">
        <f>IF(N$18='5.Variables'!$B$16,+'5.Variables'!$F34,+IF(N$18='5.Variables'!$B$39,+'5.Variables'!$F58,+IF(N$18='5.Variables'!$B$62,+'5.Variables'!$F72,+IF(N$18='5.Variables'!$B$76,+'5.Variables'!$F86,+IF(N$18='5.Variables'!$B$90,+'5.Variables'!$F100,+IF(N$18='5.Variables'!$B$104,+'5.Variables'!$F114,0))))))</f>
        <v>371.6</v>
      </c>
      <c r="O119" s="722">
        <f>IF(O$18='5.Variables'!$B$16,+'5.Variables'!$F34,+IF(O$18='5.Variables'!$B$39,+'5.Variables'!$F58,+IF(O$18='5.Variables'!$B$62,+'5.Variables'!$F72,+IF(O$18='5.Variables'!$B$76,+'5.Variables'!$F86,+IF(O$18='5.Variables'!$B$90,+'5.Variables'!$F100,+IF(O$18='5.Variables'!$B$104,+'5.Variables'!$F114,0))))))</f>
        <v>13.28</v>
      </c>
      <c r="P119" s="983">
        <f>IF(P$18='5.Variables'!$B$16,+'5.Variables'!$F34,+IF(P$18='5.Variables'!$B$39,+'5.Variables'!$F58,+IF(P$18='5.Variables'!$B$62,+'5.Variables'!$F72,+IF(P$18='5.Variables'!$B$76,+'5.Variables'!$F86,+IF(P$18='5.Variables'!$B$90,+'5.Variables'!$F100,+IF(P$18='5.Variables'!$B$104,+'5.Variables'!$F114,0))))))</f>
        <v>0</v>
      </c>
      <c r="Q119" s="245"/>
      <c r="R119" s="556">
        <f t="shared" si="9"/>
        <v>7065004.8242673846</v>
      </c>
      <c r="S119" s="265"/>
      <c r="T119" s="245"/>
      <c r="U119" s="245"/>
      <c r="V119" s="245"/>
      <c r="W119" s="245"/>
      <c r="X119" s="245"/>
      <c r="Y119" s="245"/>
      <c r="Z119" s="245"/>
      <c r="AA119" s="245"/>
      <c r="AB119" s="245"/>
      <c r="AC119" s="245"/>
      <c r="AD119" s="245"/>
      <c r="AE119" s="245"/>
      <c r="AF119" s="245"/>
      <c r="AG119" s="245"/>
      <c r="AH119" s="245"/>
      <c r="AI119" s="245"/>
      <c r="AJ119" s="245"/>
      <c r="AK119" s="245"/>
      <c r="AL119" s="245"/>
      <c r="AM119" s="245"/>
    </row>
    <row r="120" spans="1:39" x14ac:dyDescent="0.2">
      <c r="A120" s="501">
        <f t="shared" si="10"/>
        <v>101</v>
      </c>
      <c r="B120" s="262" t="str">
        <f>CONCATENATE('3. Consumption by Rate Class'!B125,"-",'3. Consumption by Rate Class'!C125)</f>
        <v>2014-May</v>
      </c>
      <c r="C120" s="694">
        <v>6623820</v>
      </c>
      <c r="D120" s="700">
        <v>-34071</v>
      </c>
      <c r="E120" s="700">
        <v>-40874</v>
      </c>
      <c r="F120" s="700"/>
      <c r="G120" s="700"/>
      <c r="H120" s="701"/>
      <c r="I120" s="701"/>
      <c r="J120" s="263">
        <f t="shared" si="8"/>
        <v>6548875</v>
      </c>
      <c r="K120" s="722">
        <f>IF(K$18='5.Variables'!$B$16,+'5.Variables'!$G35,+IF(K$18='5.Variables'!$B$39,+'5.Variables'!$G58,+IF(K$18='5.Variables'!$B$62,+'5.Variables'!$G72,+IF(K$18='5.Variables'!$B$76,+'5.Variables'!$G86,+IF(K$18='5.Variables'!$B$90,+'5.Variables'!$G100,+IF(K$18='5.Variables'!$B$104,+'5.Variables'!$G114,0))))))</f>
        <v>120.59999999999997</v>
      </c>
      <c r="L120" s="722">
        <f>IF(L$18='5.Variables'!$B$16,+'5.Variables'!$G34,+IF(L$18='5.Variables'!$B$39,+'5.Variables'!$G58,+IF(L$18='5.Variables'!$B$62,+'5.Variables'!$G72,+IF(L$18='5.Variables'!$B$76,+'5.Variables'!$G86,+IF(L$18='5.Variables'!$B$90,+'5.Variables'!$G100,+IF(L$18='5.Variables'!$B$104,+'5.Variables'!$G114,0))))))</f>
        <v>9.4</v>
      </c>
      <c r="M120" s="722">
        <f>IF(M$18='5.Variables'!$B$16,+'5.Variables'!$G34,+IF(M$18='5.Variables'!$B$39,+'5.Variables'!$G58,+IF(M$18='5.Variables'!$B$62,+'5.Variables'!$G72,+IF(M$18='5.Variables'!$B$76,+'5.Variables'!$G86,+IF(M$18='5.Variables'!$B$90,+'5.Variables'!$G100,+IF(M$18='5.Variables'!$B$104,+'5.Variables'!$G114,0))))))</f>
        <v>31</v>
      </c>
      <c r="N120" s="722">
        <f>IF(N$18='5.Variables'!$B$16,+'5.Variables'!$G34,+IF(N$18='5.Variables'!$B$39,+'5.Variables'!$G58,+IF(N$18='5.Variables'!$B$62,+'5.Variables'!$G72,+IF(N$18='5.Variables'!$B$76,+'5.Variables'!$G86,+IF(N$18='5.Variables'!$B$90,+'5.Variables'!$G100,+IF(N$18='5.Variables'!$B$104,+'5.Variables'!$G114,0))))))</f>
        <v>371.7</v>
      </c>
      <c r="O120" s="722">
        <f>IF(O$18='5.Variables'!$B$16,+'5.Variables'!$G34,+IF(O$18='5.Variables'!$B$39,+'5.Variables'!$G58,+IF(O$18='5.Variables'!$B$62,+'5.Variables'!$G72,+IF(O$18='5.Variables'!$B$76,+'5.Variables'!$G86,+IF(O$18='5.Variables'!$B$90,+'5.Variables'!$G100,+IF(O$18='5.Variables'!$B$104,+'5.Variables'!$G114,0))))))</f>
        <v>14.52</v>
      </c>
      <c r="P120" s="983">
        <f>IF(P$18='5.Variables'!$B$16,+'5.Variables'!$G34,+IF(P$18='5.Variables'!$B$39,+'5.Variables'!$G58,+IF(P$18='5.Variables'!$B$62,+'5.Variables'!$G72,+IF(P$18='5.Variables'!$B$76,+'5.Variables'!$G86,+IF(P$18='5.Variables'!$B$90,+'5.Variables'!$G100,+IF(P$18='5.Variables'!$B$104,+'5.Variables'!$G114,0))))))</f>
        <v>0</v>
      </c>
      <c r="Q120" s="245"/>
      <c r="R120" s="556">
        <f t="shared" si="9"/>
        <v>6583410.2710091518</v>
      </c>
      <c r="S120" s="265"/>
      <c r="T120" s="245"/>
      <c r="U120" s="245"/>
      <c r="V120" s="245"/>
      <c r="W120" s="245"/>
      <c r="X120" s="245"/>
      <c r="Y120" s="245"/>
      <c r="Z120" s="245"/>
      <c r="AA120" s="245"/>
      <c r="AB120" s="245"/>
      <c r="AC120" s="245"/>
      <c r="AD120" s="245"/>
      <c r="AE120" s="245"/>
      <c r="AF120" s="245"/>
      <c r="AG120" s="245"/>
      <c r="AH120" s="245"/>
      <c r="AI120" s="245"/>
      <c r="AJ120" s="245"/>
      <c r="AK120" s="245"/>
      <c r="AL120" s="245"/>
      <c r="AM120" s="245"/>
    </row>
    <row r="121" spans="1:39" x14ac:dyDescent="0.2">
      <c r="A121" s="501">
        <f t="shared" si="10"/>
        <v>102</v>
      </c>
      <c r="B121" s="262" t="str">
        <f>CONCATENATE('3. Consumption by Rate Class'!B126,"-",'3. Consumption by Rate Class'!C126)</f>
        <v>2014-June</v>
      </c>
      <c r="C121" s="694">
        <v>6925619</v>
      </c>
      <c r="D121" s="700">
        <v>-26918</v>
      </c>
      <c r="E121" s="700">
        <v>-46209</v>
      </c>
      <c r="F121" s="700"/>
      <c r="G121" s="700"/>
      <c r="H121" s="701"/>
      <c r="I121" s="701"/>
      <c r="J121" s="263">
        <f t="shared" si="8"/>
        <v>6852492</v>
      </c>
      <c r="K121" s="722">
        <f>IF(K$18='5.Variables'!$B$16,+'5.Variables'!$H35,+IF(K$18='5.Variables'!$B$39,+'5.Variables'!$H58,+IF(K$18='5.Variables'!$B$62,+'5.Variables'!$H72,+IF(K$18='5.Variables'!$B$76,+'5.Variables'!$H86,+IF(K$18='5.Variables'!$B$90,+'5.Variables'!$H100,+IF(K$18='5.Variables'!$B$104,+'5.Variables'!$H114,0))))))</f>
        <v>15.1</v>
      </c>
      <c r="L121" s="722">
        <f>IF(L$18='5.Variables'!$B$16,+'5.Variables'!$H34,+IF(L$18='5.Variables'!$B$39,+'5.Variables'!$H58,+IF(L$18='5.Variables'!$B$62,+'5.Variables'!$H72,+IF(L$18='5.Variables'!$B$76,+'5.Variables'!$H86,+IF(L$18='5.Variables'!$B$90,+'5.Variables'!$H100,+IF(L$18='5.Variables'!$B$104,+'5.Variables'!$H114,0))))))</f>
        <v>27.299999999999997</v>
      </c>
      <c r="M121" s="722">
        <f>IF(M$18='5.Variables'!$B$16,+'5.Variables'!$H34,+IF(M$18='5.Variables'!$B$39,+'5.Variables'!$H58,+IF(M$18='5.Variables'!$B$62,+'5.Variables'!$H72,+IF(M$18='5.Variables'!$B$76,+'5.Variables'!$H86,+IF(M$18='5.Variables'!$B$90,+'5.Variables'!$H100,+IF(M$18='5.Variables'!$B$104,+'5.Variables'!$H114,0))))))</f>
        <v>30</v>
      </c>
      <c r="N121" s="722">
        <f>IF(N$18='5.Variables'!$B$16,+'5.Variables'!$H34,+IF(N$18='5.Variables'!$B$39,+'5.Variables'!$H58,+IF(N$18='5.Variables'!$B$62,+'5.Variables'!$H72,+IF(N$18='5.Variables'!$B$76,+'5.Variables'!$H86,+IF(N$18='5.Variables'!$B$90,+'5.Variables'!$H100,+IF(N$18='5.Variables'!$B$104,+'5.Variables'!$H114,0))))))</f>
        <v>372</v>
      </c>
      <c r="O121" s="722">
        <f>IF(O$18='5.Variables'!$B$16,+'5.Variables'!$H34,+IF(O$18='5.Variables'!$B$39,+'5.Variables'!$H58,+IF(O$18='5.Variables'!$B$62,+'5.Variables'!$H72,+IF(O$18='5.Variables'!$B$76,+'5.Variables'!$H86,+IF(O$18='5.Variables'!$B$90,+'5.Variables'!$H100,+IF(O$18='5.Variables'!$B$104,+'5.Variables'!$H114,0))))))</f>
        <v>15.35</v>
      </c>
      <c r="P121" s="983">
        <f>IF(P$18='5.Variables'!$B$16,+'5.Variables'!$H34,+IF(P$18='5.Variables'!$B$39,+'5.Variables'!$H58,+IF(P$18='5.Variables'!$B$62,+'5.Variables'!$H72,+IF(P$18='5.Variables'!$B$76,+'5.Variables'!$H86,+IF(P$18='5.Variables'!$B$90,+'5.Variables'!$H100,+IF(P$18='5.Variables'!$B$104,+'5.Variables'!$H114,0))))))</f>
        <v>0</v>
      </c>
      <c r="Q121" s="245"/>
      <c r="R121" s="556">
        <f t="shared" si="9"/>
        <v>6308844.0746200113</v>
      </c>
      <c r="S121" s="265"/>
      <c r="T121" s="245"/>
      <c r="U121" s="245"/>
      <c r="V121" s="245"/>
      <c r="W121" s="245"/>
      <c r="X121" s="245"/>
      <c r="Y121" s="245"/>
      <c r="Z121" s="245"/>
      <c r="AA121" s="245"/>
      <c r="AB121" s="245"/>
      <c r="AC121" s="245"/>
      <c r="AD121" s="245"/>
      <c r="AE121" s="245"/>
      <c r="AF121" s="245"/>
      <c r="AG121" s="245"/>
      <c r="AH121" s="245"/>
      <c r="AI121" s="245"/>
      <c r="AJ121" s="245"/>
      <c r="AK121" s="245"/>
      <c r="AL121" s="245"/>
      <c r="AM121" s="245"/>
    </row>
    <row r="122" spans="1:39" x14ac:dyDescent="0.2">
      <c r="A122" s="501">
        <f t="shared" si="10"/>
        <v>103</v>
      </c>
      <c r="B122" s="262" t="str">
        <f>CONCATENATE('3. Consumption by Rate Class'!B127,"-",'3. Consumption by Rate Class'!C127)</f>
        <v>2014-July</v>
      </c>
      <c r="C122" s="696">
        <v>7189425</v>
      </c>
      <c r="D122" s="700">
        <v>-22187</v>
      </c>
      <c r="E122" s="700">
        <v>-40841</v>
      </c>
      <c r="F122" s="700"/>
      <c r="G122" s="700"/>
      <c r="H122" s="701"/>
      <c r="I122" s="701"/>
      <c r="J122" s="263">
        <f t="shared" si="8"/>
        <v>7126397</v>
      </c>
      <c r="K122" s="722">
        <f>IF(K$18='5.Variables'!$B$16,+'5.Variables'!$I35,+IF(K$18='5.Variables'!$B$39,+'5.Variables'!$I58,+IF(K$18='5.Variables'!$B$62,+'5.Variables'!$I72,+IF(K$18='5.Variables'!$B$76,+'5.Variables'!$I86,+IF(K$18='5.Variables'!$B$90,+'5.Variables'!$I100,+IF(K$18='5.Variables'!$B$104,+'5.Variables'!$I114,0))))))</f>
        <v>7.9</v>
      </c>
      <c r="L122" s="722">
        <f>IF(L$18='5.Variables'!$B$16,+'5.Variables'!$I34,+IF(L$18='5.Variables'!$B$39,+'5.Variables'!$I58,+IF(L$18='5.Variables'!$B$62,+'5.Variables'!$I72,+IF(L$18='5.Variables'!$B$76,+'5.Variables'!$I86,+IF(L$18='5.Variables'!$B$90,+'5.Variables'!$I100,+IF(L$18='5.Variables'!$B$104,+'5.Variables'!$I114,0))))))</f>
        <v>56.9</v>
      </c>
      <c r="M122" s="722">
        <f>IF(M$18='5.Variables'!$B$16,+'5.Variables'!$I34,+IF(M$18='5.Variables'!$B$39,+'5.Variables'!$I58,+IF(M$18='5.Variables'!$B$62,+'5.Variables'!$I72,+IF(M$18='5.Variables'!$B$76,+'5.Variables'!$I86,+IF(M$18='5.Variables'!$B$90,+'5.Variables'!$I100,+IF(M$18='5.Variables'!$B$104,+'5.Variables'!$I114,0))))))</f>
        <v>31</v>
      </c>
      <c r="N122" s="722">
        <f>IF(N$18='5.Variables'!$B$16,+'5.Variables'!$I34,+IF(N$18='5.Variables'!$B$39,+'5.Variables'!$I58,+IF(N$18='5.Variables'!$B$62,+'5.Variables'!$I72,+IF(N$18='5.Variables'!$B$76,+'5.Variables'!$I86,+IF(N$18='5.Variables'!$B$90,+'5.Variables'!$I100,+IF(N$18='5.Variables'!$B$104,+'5.Variables'!$I114,0))))))</f>
        <v>372.2</v>
      </c>
      <c r="O122" s="722">
        <f>IF(O$18='5.Variables'!$B$16,+'5.Variables'!$I34,+IF(O$18='5.Variables'!$B$39,+'5.Variables'!$I58,+IF(O$18='5.Variables'!$B$62,+'5.Variables'!$I72,+IF(O$18='5.Variables'!$B$76,+'5.Variables'!$I86,+IF(O$18='5.Variables'!$B$90,+'5.Variables'!$I100,+IF(O$18='5.Variables'!$B$104,+'5.Variables'!$I114,0))))))</f>
        <v>15.15</v>
      </c>
      <c r="P122" s="983">
        <f>IF(P$18='5.Variables'!$B$16,+'5.Variables'!$I34,+IF(P$18='5.Variables'!$B$39,+'5.Variables'!$I58,+IF(P$18='5.Variables'!$B$62,+'5.Variables'!$I72,+IF(P$18='5.Variables'!$B$76,+'5.Variables'!$I86,+IF(P$18='5.Variables'!$B$90,+'5.Variables'!$I100,+IF(P$18='5.Variables'!$B$104,+'5.Variables'!$I114,0))))))</f>
        <v>1</v>
      </c>
      <c r="Q122" s="245"/>
      <c r="R122" s="556">
        <f t="shared" si="9"/>
        <v>6969682.2055427106</v>
      </c>
      <c r="S122" s="265"/>
      <c r="T122" s="245"/>
      <c r="U122" s="245"/>
      <c r="V122" s="245"/>
      <c r="W122" s="245"/>
      <c r="X122" s="245"/>
      <c r="Y122" s="245"/>
      <c r="Z122" s="245"/>
      <c r="AA122" s="245"/>
      <c r="AB122" s="245"/>
      <c r="AC122" s="245"/>
      <c r="AD122" s="245"/>
      <c r="AE122" s="245"/>
      <c r="AF122" s="245"/>
      <c r="AG122" s="245"/>
      <c r="AH122" s="245"/>
      <c r="AI122" s="245"/>
      <c r="AJ122" s="245"/>
      <c r="AK122" s="245"/>
      <c r="AL122" s="245"/>
      <c r="AM122" s="245"/>
    </row>
    <row r="123" spans="1:39" x14ac:dyDescent="0.2">
      <c r="A123" s="501">
        <f t="shared" si="10"/>
        <v>104</v>
      </c>
      <c r="B123" s="262" t="str">
        <f>CONCATENATE('3. Consumption by Rate Class'!B128,"-",'3. Consumption by Rate Class'!C128)</f>
        <v>2014-August</v>
      </c>
      <c r="C123" s="696">
        <v>7010898</v>
      </c>
      <c r="D123" s="700">
        <v>-16168</v>
      </c>
      <c r="E123" s="700">
        <v>-38487</v>
      </c>
      <c r="F123" s="700"/>
      <c r="G123" s="700"/>
      <c r="H123" s="701"/>
      <c r="I123" s="701"/>
      <c r="J123" s="263">
        <f t="shared" si="8"/>
        <v>6956243</v>
      </c>
      <c r="K123" s="722">
        <f>IF(K$18='5.Variables'!$B$16,+'5.Variables'!$J35,+IF(K$18='5.Variables'!$B$39,+'5.Variables'!$J58,+IF(K$18='5.Variables'!$B$62,+'5.Variables'!$J72,+IF(K$18='5.Variables'!$B$76,+'5.Variables'!$J86,+IF(K$18='5.Variables'!$B$90,+'5.Variables'!$J100,+IF(K$18='5.Variables'!$B$104,+'5.Variables'!$J114,0))))))</f>
        <v>18.2</v>
      </c>
      <c r="L123" s="722">
        <f>IF(L$18='5.Variables'!$B$16,+'5.Variables'!$J34,+IF(L$18='5.Variables'!$B$39,+'5.Variables'!$J58,+IF(L$18='5.Variables'!$B$62,+'5.Variables'!$J72,+IF(L$18='5.Variables'!$B$76,+'5.Variables'!$J86,+IF(L$18='5.Variables'!$B$90,+'5.Variables'!$J100,+IF(L$18='5.Variables'!$B$104,+'5.Variables'!$J114,0))))))</f>
        <v>49.7</v>
      </c>
      <c r="M123" s="722">
        <f>IF(M$18='5.Variables'!$B$16,+'5.Variables'!$J34,+IF(M$18='5.Variables'!$B$39,+'5.Variables'!$J58,+IF(M$18='5.Variables'!$B$62,+'5.Variables'!$J72,+IF(M$18='5.Variables'!$B$76,+'5.Variables'!$J86,+IF(M$18='5.Variables'!$B$90,+'5.Variables'!$J100,+IF(M$18='5.Variables'!$B$104,+'5.Variables'!$J114,0))))))</f>
        <v>31</v>
      </c>
      <c r="N123" s="722">
        <f>IF(N$18='5.Variables'!$B$16,+'5.Variables'!$J34,+IF(N$18='5.Variables'!$B$39,+'5.Variables'!$J58,+IF(N$18='5.Variables'!$B$62,+'5.Variables'!$J72,+IF(N$18='5.Variables'!$B$76,+'5.Variables'!$J86,+IF(N$18='5.Variables'!$B$90,+'5.Variables'!$J100,+IF(N$18='5.Variables'!$B$104,+'5.Variables'!$J114,0))))))</f>
        <v>372.5</v>
      </c>
      <c r="O123" s="722">
        <f>IF(O$18='5.Variables'!$B$16,+'5.Variables'!$J34,+IF(O$18='5.Variables'!$B$39,+'5.Variables'!$J58,+IF(O$18='5.Variables'!$B$62,+'5.Variables'!$J72,+IF(O$18='5.Variables'!$B$76,+'5.Variables'!$J86,+IF(O$18='5.Variables'!$B$90,+'5.Variables'!$J100,+IF(O$18='5.Variables'!$B$104,+'5.Variables'!$J114,0))))))</f>
        <v>14.03</v>
      </c>
      <c r="P123" s="983">
        <f>IF(P$18='5.Variables'!$B$16,+'5.Variables'!$J34,+IF(P$18='5.Variables'!$B$39,+'5.Variables'!$J58,+IF(P$18='5.Variables'!$B$62,+'5.Variables'!$J72,+IF(P$18='5.Variables'!$B$76,+'5.Variables'!$J86,+IF(P$18='5.Variables'!$B$90,+'5.Variables'!$J100,+IF(P$18='5.Variables'!$B$104,+'5.Variables'!$J114,0))))))</f>
        <v>0</v>
      </c>
      <c r="Q123" s="245"/>
      <c r="R123" s="556">
        <f t="shared" si="9"/>
        <v>6911186.7092938442</v>
      </c>
      <c r="S123" s="265"/>
      <c r="T123" s="245"/>
      <c r="U123" s="245"/>
      <c r="V123" s="245"/>
      <c r="W123" s="245"/>
      <c r="X123" s="245"/>
      <c r="Y123" s="245"/>
      <c r="Z123" s="245"/>
      <c r="AA123" s="245"/>
      <c r="AB123" s="245"/>
      <c r="AC123" s="245"/>
      <c r="AD123" s="245"/>
      <c r="AE123" s="245"/>
      <c r="AF123" s="245"/>
      <c r="AG123" s="245"/>
      <c r="AH123" s="245"/>
      <c r="AI123" s="245"/>
      <c r="AJ123" s="245"/>
      <c r="AK123" s="245"/>
      <c r="AL123" s="245"/>
      <c r="AM123" s="245"/>
    </row>
    <row r="124" spans="1:39" x14ac:dyDescent="0.2">
      <c r="A124" s="501">
        <f t="shared" si="10"/>
        <v>105</v>
      </c>
      <c r="B124" s="262" t="str">
        <f>CONCATENATE('3. Consumption by Rate Class'!B129,"-",'3. Consumption by Rate Class'!C129)</f>
        <v>2014-September</v>
      </c>
      <c r="C124" s="696">
        <v>6707937</v>
      </c>
      <c r="D124" s="700">
        <v>-9545</v>
      </c>
      <c r="E124" s="700">
        <v>-32856</v>
      </c>
      <c r="F124" s="700"/>
      <c r="G124" s="700"/>
      <c r="H124" s="701"/>
      <c r="I124" s="701"/>
      <c r="J124" s="263">
        <f t="shared" si="8"/>
        <v>6665536</v>
      </c>
      <c r="K124" s="722">
        <f>IF(K$18='5.Variables'!$B$16,+'5.Variables'!$K35,+IF(K$18='5.Variables'!$B$39,+'5.Variables'!$K58,+IF(K$18='5.Variables'!$B$62,+'5.Variables'!$K72,+IF(K$18='5.Variables'!$B$76,+'5.Variables'!$K86,+IF(K$18='5.Variables'!$B$90,+'5.Variables'!$K100,+IF(K$18='5.Variables'!$B$104,+'5.Variables'!$K114,0))))))</f>
        <v>103.19999999999999</v>
      </c>
      <c r="L124" s="722">
        <f>IF(L$18='5.Variables'!$B$16,+'5.Variables'!$K34,+IF(L$18='5.Variables'!$B$39,+'5.Variables'!$K58,+IF(L$18='5.Variables'!$B$62,+'5.Variables'!$K72,+IF(L$18='5.Variables'!$B$76,+'5.Variables'!$K86,+IF(L$18='5.Variables'!$B$90,+'5.Variables'!$K100,+IF(L$18='5.Variables'!$B$104,+'5.Variables'!$K114,0))))))</f>
        <v>16.100000000000001</v>
      </c>
      <c r="M124" s="722">
        <f>IF(M$18='5.Variables'!$B$16,+'5.Variables'!$K34,+IF(M$18='5.Variables'!$B$39,+'5.Variables'!$K58,+IF(M$18='5.Variables'!$B$62,+'5.Variables'!$K72,+IF(M$18='5.Variables'!$B$76,+'5.Variables'!$K86,+IF(M$18='5.Variables'!$B$90,+'5.Variables'!$K100,+IF(M$18='5.Variables'!$B$104,+'5.Variables'!$K114,0))))))</f>
        <v>30</v>
      </c>
      <c r="N124" s="722">
        <f>IF(N$18='5.Variables'!$B$16,+'5.Variables'!$K34,+IF(N$18='5.Variables'!$B$39,+'5.Variables'!$K58,+IF(N$18='5.Variables'!$B$62,+'5.Variables'!$K72,+IF(N$18='5.Variables'!$B$76,+'5.Variables'!$K86,+IF(N$18='5.Variables'!$B$90,+'5.Variables'!$K100,+IF(N$18='5.Variables'!$B$104,+'5.Variables'!$K114,0))))))</f>
        <v>372.5</v>
      </c>
      <c r="O124" s="722">
        <f>IF(O$18='5.Variables'!$B$16,+'5.Variables'!$K34,+IF(O$18='5.Variables'!$B$39,+'5.Variables'!$K58,+IF(O$18='5.Variables'!$B$62,+'5.Variables'!$K72,+IF(O$18='5.Variables'!$B$76,+'5.Variables'!$K86,+IF(O$18='5.Variables'!$B$90,+'5.Variables'!$K100,+IF(O$18='5.Variables'!$B$104,+'5.Variables'!$K114,0))))))</f>
        <v>12.29</v>
      </c>
      <c r="P124" s="983">
        <f>IF(P$18='5.Variables'!$B$16,+'5.Variables'!$K34,+IF(P$18='5.Variables'!$B$39,+'5.Variables'!$K58,+IF(P$18='5.Variables'!$B$62,+'5.Variables'!$K72,+IF(P$18='5.Variables'!$B$76,+'5.Variables'!$K86,+IF(P$18='5.Variables'!$B$90,+'5.Variables'!$K100,+IF(P$18='5.Variables'!$B$104,+'5.Variables'!$K114,0))))))</f>
        <v>0</v>
      </c>
      <c r="Q124" s="245"/>
      <c r="R124" s="556">
        <f t="shared" si="9"/>
        <v>6489234.6674425807</v>
      </c>
      <c r="S124" s="265"/>
      <c r="T124" s="245"/>
      <c r="U124" s="245"/>
      <c r="V124" s="245"/>
      <c r="W124" s="245"/>
      <c r="X124" s="245"/>
      <c r="Y124" s="245"/>
      <c r="Z124" s="245"/>
      <c r="AA124" s="245"/>
      <c r="AB124" s="245"/>
      <c r="AC124" s="245"/>
      <c r="AD124" s="245"/>
      <c r="AE124" s="245"/>
      <c r="AF124" s="245"/>
      <c r="AG124" s="245"/>
      <c r="AH124" s="245"/>
      <c r="AI124" s="245"/>
      <c r="AJ124" s="245"/>
      <c r="AK124" s="245"/>
      <c r="AL124" s="245"/>
      <c r="AM124" s="245"/>
    </row>
    <row r="125" spans="1:39" x14ac:dyDescent="0.2">
      <c r="A125" s="501">
        <f t="shared" si="10"/>
        <v>106</v>
      </c>
      <c r="B125" s="262" t="str">
        <f>CONCATENATE('3. Consumption by Rate Class'!B130,"-",'3. Consumption by Rate Class'!C130)</f>
        <v>2014-October</v>
      </c>
      <c r="C125" s="696">
        <v>6979096</v>
      </c>
      <c r="D125" s="700">
        <v>0</v>
      </c>
      <c r="E125" s="700">
        <v>-33960</v>
      </c>
      <c r="F125" s="700"/>
      <c r="G125" s="700"/>
      <c r="H125" s="701"/>
      <c r="I125" s="701"/>
      <c r="J125" s="263">
        <f t="shared" si="8"/>
        <v>6945136</v>
      </c>
      <c r="K125" s="722">
        <f>IF(K$18='5.Variables'!$B$16,+'5.Variables'!$L35,+IF(K$18='5.Variables'!$B$39,+'5.Variables'!$L58,+IF(K$18='5.Variables'!$B$62,+'5.Variables'!$L72,+IF(K$18='5.Variables'!$B$76,+'5.Variables'!$L86,+IF(K$18='5.Variables'!$B$90,+'5.Variables'!$L100,+IF(K$18='5.Variables'!$B$104,+'5.Variables'!$L114,0))))))</f>
        <v>129.80000000000001</v>
      </c>
      <c r="L125" s="722">
        <f>IF(L$18='5.Variables'!$B$16,+'5.Variables'!$L34,+IF(L$18='5.Variables'!$B$39,+'5.Variables'!$L58,+IF(L$18='5.Variables'!$B$62,+'5.Variables'!$L72,+IF(L$18='5.Variables'!$B$76,+'5.Variables'!$L86,+IF(L$18='5.Variables'!$B$90,+'5.Variables'!$L100,+IF(L$18='5.Variables'!$B$104,+'5.Variables'!$L114,0))))))</f>
        <v>2.8</v>
      </c>
      <c r="M125" s="722">
        <f>IF(M$18='5.Variables'!$B$16,+'5.Variables'!$L34,+IF(M$18='5.Variables'!$B$39,+'5.Variables'!$L58,+IF(M$18='5.Variables'!$B$62,+'5.Variables'!$L72,+IF(M$18='5.Variables'!$B$76,+'5.Variables'!$L86,+IF(M$18='5.Variables'!$B$90,+'5.Variables'!$L100,+IF(M$18='5.Variables'!$B$104,+'5.Variables'!$L114,0))))))</f>
        <v>31</v>
      </c>
      <c r="N125" s="722">
        <f>IF(N$18='5.Variables'!$B$16,+'5.Variables'!$L34,+IF(N$18='5.Variables'!$B$39,+'5.Variables'!$L58,+IF(N$18='5.Variables'!$B$62,+'5.Variables'!$L72,+IF(N$18='5.Variables'!$B$76,+'5.Variables'!$L86,+IF(N$18='5.Variables'!$B$90,+'5.Variables'!$L100,+IF(N$18='5.Variables'!$B$104,+'5.Variables'!$L114,0))))))</f>
        <v>372.5</v>
      </c>
      <c r="O125" s="722">
        <f>IF(O$18='5.Variables'!$B$16,+'5.Variables'!$L34,+IF(O$18='5.Variables'!$B$39,+'5.Variables'!$L58,+IF(O$18='5.Variables'!$B$62,+'5.Variables'!$L72,+IF(O$18='5.Variables'!$B$76,+'5.Variables'!$L86,+IF(O$18='5.Variables'!$B$90,+'5.Variables'!$L100,+IF(O$18='5.Variables'!$B$104,+'5.Variables'!$L114,0))))))</f>
        <v>10.51</v>
      </c>
      <c r="P125" s="983">
        <f>IF(P$18='5.Variables'!$B$16,+'5.Variables'!$L34,+IF(P$18='5.Variables'!$B$39,+'5.Variables'!$L58,+IF(P$18='5.Variables'!$B$62,+'5.Variables'!$L72,+IF(P$18='5.Variables'!$B$76,+'5.Variables'!$L86,+IF(P$18='5.Variables'!$B$90,+'5.Variables'!$L100,+IF(P$18='5.Variables'!$B$104,+'5.Variables'!$L114,0))))))</f>
        <v>0</v>
      </c>
      <c r="Q125" s="245"/>
      <c r="R125" s="556">
        <f t="shared" si="9"/>
        <v>6606304.412749826</v>
      </c>
      <c r="S125" s="265"/>
      <c r="T125" s="245"/>
      <c r="U125" s="245"/>
      <c r="V125" s="245"/>
      <c r="W125" s="245"/>
      <c r="X125" s="245"/>
      <c r="Y125" s="245"/>
      <c r="Z125" s="245"/>
      <c r="AA125" s="245"/>
      <c r="AB125" s="245"/>
      <c r="AC125" s="245"/>
      <c r="AD125" s="245"/>
      <c r="AE125" s="245"/>
      <c r="AF125" s="245"/>
      <c r="AG125" s="245"/>
      <c r="AH125" s="245"/>
      <c r="AI125" s="245"/>
      <c r="AJ125" s="245"/>
      <c r="AK125" s="245"/>
      <c r="AL125" s="245"/>
      <c r="AM125" s="245"/>
    </row>
    <row r="126" spans="1:39" x14ac:dyDescent="0.2">
      <c r="A126" s="501">
        <f t="shared" si="10"/>
        <v>107</v>
      </c>
      <c r="B126" s="262" t="str">
        <f>CONCATENATE('3. Consumption by Rate Class'!B131,"-",'3. Consumption by Rate Class'!C131)</f>
        <v>2014-November</v>
      </c>
      <c r="C126" s="696">
        <v>7414780</v>
      </c>
      <c r="D126" s="700">
        <v>0</v>
      </c>
      <c r="E126" s="700">
        <v>-31831</v>
      </c>
      <c r="F126" s="700"/>
      <c r="G126" s="700"/>
      <c r="H126" s="701"/>
      <c r="I126" s="701"/>
      <c r="J126" s="263">
        <f t="shared" si="8"/>
        <v>7382949</v>
      </c>
      <c r="K126" s="722">
        <f>IF(K$18='5.Variables'!$B$16,+'5.Variables'!$M35,+IF(K$18='5.Variables'!$B$39,+'5.Variables'!$M58,+IF(K$18='5.Variables'!$B$62,+'5.Variables'!$M72,+IF(K$18='5.Variables'!$B$76,+'5.Variables'!$M86,+IF(K$18='5.Variables'!$B$90,+'5.Variables'!$M100,+IF(K$18='5.Variables'!$B$104,+'5.Variables'!$M114,0))))))</f>
        <v>499.20000000000005</v>
      </c>
      <c r="L126" s="722">
        <f>IF(L$18='5.Variables'!$B$16,+'5.Variables'!$M34,+IF(L$18='5.Variables'!$B$39,+'5.Variables'!$M58,+IF(L$18='5.Variables'!$B$62,+'5.Variables'!$M72,+IF(L$18='5.Variables'!$B$76,+'5.Variables'!$M86,+IF(L$18='5.Variables'!$B$90,+'5.Variables'!$M100,+IF(L$18='5.Variables'!$B$104,+'5.Variables'!$M114,0))))))</f>
        <v>0</v>
      </c>
      <c r="M126" s="722">
        <f>IF(M$18='5.Variables'!$B$16,+'5.Variables'!$M34,+IF(M$18='5.Variables'!$B$39,+'5.Variables'!$M58,+IF(M$18='5.Variables'!$B$62,+'5.Variables'!$M72,+IF(M$18='5.Variables'!$B$76,+'5.Variables'!$M86,+IF(M$18='5.Variables'!$B$90,+'5.Variables'!$M100,+IF(M$18='5.Variables'!$B$104,+'5.Variables'!$M114,0))))))</f>
        <v>30</v>
      </c>
      <c r="N126" s="722">
        <f>IF(N$18='5.Variables'!$B$16,+'5.Variables'!$M34,+IF(N$18='5.Variables'!$B$39,+'5.Variables'!$M58,+IF(N$18='5.Variables'!$B$62,+'5.Variables'!$M72,+IF(N$18='5.Variables'!$B$76,+'5.Variables'!$M86,+IF(N$18='5.Variables'!$B$90,+'5.Variables'!$M100,+IF(N$18='5.Variables'!$B$104,+'5.Variables'!$M114,0))))))</f>
        <v>372.5</v>
      </c>
      <c r="O126" s="722">
        <f>IF(O$18='5.Variables'!$B$16,+'5.Variables'!$M34,+IF(O$18='5.Variables'!$B$39,+'5.Variables'!$M58,+IF(O$18='5.Variables'!$B$62,+'5.Variables'!$M72,+IF(O$18='5.Variables'!$B$76,+'5.Variables'!$M86,+IF(O$18='5.Variables'!$B$90,+'5.Variables'!$M100,+IF(O$18='5.Variables'!$B$104,+'5.Variables'!$M114,0))))))</f>
        <v>9.2799999999999994</v>
      </c>
      <c r="P126" s="983">
        <f>IF(P$18='5.Variables'!$B$16,+'5.Variables'!$M34,+IF(P$18='5.Variables'!$B$39,+'5.Variables'!$M58,+IF(P$18='5.Variables'!$B$62,+'5.Variables'!$M72,+IF(P$18='5.Variables'!$B$76,+'5.Variables'!$M86,+IF(P$18='5.Variables'!$B$90,+'5.Variables'!$M100,+IF(P$18='5.Variables'!$B$104,+'5.Variables'!$M114,0))))))</f>
        <v>0</v>
      </c>
      <c r="Q126" s="245"/>
      <c r="R126" s="556">
        <f t="shared" si="9"/>
        <v>7592839.6589091085</v>
      </c>
      <c r="S126" s="265"/>
      <c r="T126" s="245"/>
      <c r="U126" s="245"/>
      <c r="V126" s="245"/>
      <c r="W126" s="245"/>
      <c r="X126" s="245"/>
      <c r="Y126" s="245"/>
      <c r="Z126" s="245"/>
      <c r="AA126" s="245"/>
      <c r="AB126" s="245"/>
      <c r="AC126" s="245"/>
      <c r="AD126" s="245"/>
      <c r="AE126" s="245"/>
      <c r="AF126" s="245"/>
      <c r="AG126" s="245"/>
      <c r="AH126" s="245"/>
      <c r="AI126" s="245"/>
      <c r="AJ126" s="245"/>
      <c r="AK126" s="245"/>
      <c r="AL126" s="245"/>
      <c r="AM126" s="245"/>
    </row>
    <row r="127" spans="1:39" x14ac:dyDescent="0.2">
      <c r="A127" s="501">
        <f t="shared" si="10"/>
        <v>108</v>
      </c>
      <c r="B127" s="520" t="str">
        <f>CONCATENATE('3. Consumption by Rate Class'!B132,"-",'3. Consumption by Rate Class'!C132)</f>
        <v>2014-December</v>
      </c>
      <c r="C127" s="695">
        <v>8362346</v>
      </c>
      <c r="D127" s="702">
        <v>0</v>
      </c>
      <c r="E127" s="702">
        <v>-30674</v>
      </c>
      <c r="F127" s="702"/>
      <c r="G127" s="702"/>
      <c r="H127" s="703"/>
      <c r="I127" s="703"/>
      <c r="J127" s="263">
        <f t="shared" si="8"/>
        <v>8331672</v>
      </c>
      <c r="K127" s="722">
        <f>IF(K$18='5.Variables'!$B$16,+'5.Variables'!$N35,+IF(K$18='5.Variables'!$B$39,+'5.Variables'!$N58,+IF(K$18='5.Variables'!$B$62,+'5.Variables'!$N72,+IF(K$18='5.Variables'!$B$76,+'5.Variables'!$N86,+IF(K$18='5.Variables'!$B$90,+'5.Variables'!$N100,+IF(K$18='5.Variables'!$B$104,+'5.Variables'!$N114,0))))))</f>
        <v>684.5</v>
      </c>
      <c r="L127" s="722">
        <f>IF(L$18='5.Variables'!$B$16,+'5.Variables'!$N34,+IF(L$18='5.Variables'!$B$39,+'5.Variables'!$N58,+IF(L$18='5.Variables'!$B$62,+'5.Variables'!$N72,+IF(L$18='5.Variables'!$B$76,+'5.Variables'!$N86,+IF(L$18='5.Variables'!$B$90,+'5.Variables'!$N100,+IF(L$18='5.Variables'!$B$104,+'5.Variables'!$N114,0))))))</f>
        <v>0</v>
      </c>
      <c r="M127" s="722">
        <f>IF(M$18='5.Variables'!$B$16,+'5.Variables'!$N34,+IF(M$18='5.Variables'!$B$39,+'5.Variables'!$N58,+IF(M$18='5.Variables'!$B$62,+'5.Variables'!$N72,+IF(M$18='5.Variables'!$B$76,+'5.Variables'!$N86,+IF(M$18='5.Variables'!$B$90,+'5.Variables'!$N100,+IF(M$18='5.Variables'!$B$104,+'5.Variables'!$N114,0))))))</f>
        <v>31</v>
      </c>
      <c r="N127" s="722">
        <f>IF(N$18='5.Variables'!$B$16,+'5.Variables'!$N34,+IF(N$18='5.Variables'!$B$39,+'5.Variables'!$N58,+IF(N$18='5.Variables'!$B$62,+'5.Variables'!$N72,+IF(N$18='5.Variables'!$B$76,+'5.Variables'!$N86,+IF(N$18='5.Variables'!$B$90,+'5.Variables'!$N100,+IF(N$18='5.Variables'!$B$104,+'5.Variables'!$N114,0))))))</f>
        <v>372.5</v>
      </c>
      <c r="O127" s="722">
        <f>IF(O$18='5.Variables'!$B$16,+'5.Variables'!$N34,+IF(O$18='5.Variables'!$B$39,+'5.Variables'!$N58,+IF(O$18='5.Variables'!$B$62,+'5.Variables'!$N72,+IF(O$18='5.Variables'!$B$76,+'5.Variables'!$N86,+IF(O$18='5.Variables'!$B$90,+'5.Variables'!$N100,+IF(O$18='5.Variables'!$B$104,+'5.Variables'!$N114,0))))))</f>
        <v>8.4700000000000006</v>
      </c>
      <c r="P127" s="983">
        <f>IF(P$18='5.Variables'!$B$16,+'5.Variables'!$N34,+IF(P$18='5.Variables'!$B$39,+'5.Variables'!$N58,+IF(P$18='5.Variables'!$B$62,+'5.Variables'!$N72,+IF(P$18='5.Variables'!$B$76,+'5.Variables'!$N86,+IF(P$18='5.Variables'!$B$90,+'5.Variables'!$N100,+IF(P$18='5.Variables'!$B$104,+'5.Variables'!$N114,0))))))</f>
        <v>1</v>
      </c>
      <c r="Q127" s="245"/>
      <c r="R127" s="556">
        <f t="shared" si="9"/>
        <v>8411393.5295215622</v>
      </c>
      <c r="S127" s="265">
        <f>SUM(R116:R127)</f>
        <v>88892412.867180794</v>
      </c>
      <c r="T127" s="245"/>
      <c r="U127" s="245"/>
      <c r="V127" s="245"/>
      <c r="W127" s="245"/>
      <c r="X127" s="245"/>
      <c r="Y127" s="245"/>
      <c r="Z127" s="245"/>
      <c r="AA127" s="245"/>
      <c r="AB127" s="245"/>
      <c r="AC127" s="245"/>
      <c r="AD127" s="245"/>
      <c r="AE127" s="245"/>
      <c r="AF127" s="245"/>
      <c r="AG127" s="245"/>
      <c r="AH127" s="245"/>
      <c r="AI127" s="245"/>
      <c r="AJ127" s="245"/>
      <c r="AK127" s="245"/>
      <c r="AL127" s="245"/>
      <c r="AM127" s="245"/>
    </row>
    <row r="128" spans="1:39" x14ac:dyDescent="0.2">
      <c r="A128" s="501">
        <f t="shared" si="10"/>
        <v>109</v>
      </c>
      <c r="B128" s="262" t="str">
        <f>CONCATENATE('3. Consumption by Rate Class'!B133,"-",'3. Consumption by Rate Class'!C133)</f>
        <v>2015-January</v>
      </c>
      <c r="C128" s="696">
        <v>9446128</v>
      </c>
      <c r="D128" s="700">
        <v>0</v>
      </c>
      <c r="E128" s="700">
        <v>-34207</v>
      </c>
      <c r="F128" s="700"/>
      <c r="G128" s="700"/>
      <c r="H128" s="701"/>
      <c r="I128" s="701"/>
      <c r="J128" s="263">
        <f t="shared" si="8"/>
        <v>9411921</v>
      </c>
      <c r="K128" s="722">
        <f>IF(K$18='5.Variables'!$B$16,+'5.Variables'!$C36,+IF(K$18='5.Variables'!$B$39,+'5.Variables'!$C59,+IF(K$18='5.Variables'!$B$62,+'5.Variables'!$C73,+IF(K$18='5.Variables'!$B$76,+'5.Variables'!$C87,+IF(K$18='5.Variables'!$B$90,+'5.Variables'!$C101,+IF(K$18='5.Variables'!$B$104,+'5.Variables'!$C115,0))))))</f>
        <v>894.29999999999984</v>
      </c>
      <c r="L128" s="722">
        <f>IF(L$18='5.Variables'!$B$16,+'5.Variables'!$C35,+IF(L$18='5.Variables'!$B$39,+'5.Variables'!$C59,+IF(L$18='5.Variables'!$B$62,+'5.Variables'!$C73,+IF(L$18='5.Variables'!$B$76,+'5.Variables'!$C87,+IF(L$18='5.Variables'!$B$90,+'5.Variables'!$C101,+IF(L$18='5.Variables'!$B$104,+'5.Variables'!$C115,0))))))</f>
        <v>0</v>
      </c>
      <c r="M128" s="722">
        <f>IF(M$18='5.Variables'!$B$16,+'5.Variables'!$C35,+IF(M$18='5.Variables'!$B$39,+'5.Variables'!$C59,+IF(M$18='5.Variables'!$B$62,+'5.Variables'!$C73,+IF(M$18='5.Variables'!$B$76,+'5.Variables'!$C87,+IF(M$18='5.Variables'!$B$90,+'5.Variables'!$C101,+IF(M$18='5.Variables'!$B$104,+'5.Variables'!$C115,0))))))</f>
        <v>31</v>
      </c>
      <c r="N128" s="722">
        <f>IF(N$18='5.Variables'!$B$16,+'5.Variables'!$C35,+IF(N$18='5.Variables'!$B$39,+'5.Variables'!$C59,+IF(N$18='5.Variables'!$B$62,+'5.Variables'!$C73,+IF(N$18='5.Variables'!$B$76,+'5.Variables'!$C87,+IF(N$18='5.Variables'!$B$90,+'5.Variables'!$C101,+IF(N$18='5.Variables'!$B$104,+'5.Variables'!$C115,0))))))</f>
        <v>372.5</v>
      </c>
      <c r="O128" s="722">
        <f>IF(O$18='5.Variables'!$B$16,+'5.Variables'!$C35,+IF(O$18='5.Variables'!$B$39,+'5.Variables'!$C59,+IF(O$18='5.Variables'!$B$62,+'5.Variables'!$C73,+IF(O$18='5.Variables'!$B$76,+'5.Variables'!$C87,+IF(O$18='5.Variables'!$B$90,+'5.Variables'!$C101,+IF(O$18='5.Variables'!$B$104,+'5.Variables'!$C115,0))))))</f>
        <v>9.09</v>
      </c>
      <c r="P128" s="983">
        <f>IF(P$18='5.Variables'!$B$16,+'5.Variables'!$C35,+IF(P$18='5.Variables'!$B$39,+'5.Variables'!$C59,+IF(P$18='5.Variables'!$B$62,+'5.Variables'!$C73,+IF(P$18='5.Variables'!$B$76,+'5.Variables'!$C87,+IF(P$18='5.Variables'!$B$90,+'5.Variables'!$C101,+IF(P$18='5.Variables'!$B$104,+'5.Variables'!$C115,0))))))</f>
        <v>1</v>
      </c>
      <c r="Q128" s="245"/>
      <c r="R128" s="556">
        <f t="shared" si="9"/>
        <v>9069703.276447501</v>
      </c>
      <c r="S128" s="265"/>
      <c r="T128" s="245"/>
      <c r="U128" s="245"/>
      <c r="V128" s="245"/>
      <c r="W128" s="245"/>
      <c r="X128" s="245"/>
      <c r="Y128" s="245"/>
      <c r="Z128" s="245"/>
      <c r="AA128" s="245"/>
      <c r="AB128" s="245"/>
      <c r="AC128" s="245"/>
      <c r="AD128" s="245"/>
      <c r="AE128" s="245"/>
      <c r="AF128" s="245"/>
      <c r="AG128" s="245"/>
      <c r="AH128" s="245"/>
      <c r="AI128" s="245"/>
      <c r="AJ128" s="245"/>
      <c r="AK128" s="245"/>
      <c r="AL128" s="245"/>
      <c r="AM128" s="245"/>
    </row>
    <row r="129" spans="1:39" x14ac:dyDescent="0.2">
      <c r="A129" s="501">
        <f t="shared" si="10"/>
        <v>110</v>
      </c>
      <c r="B129" s="262" t="str">
        <f>CONCATENATE('3. Consumption by Rate Class'!B134,"-",'3. Consumption by Rate Class'!C134)</f>
        <v>2015-February</v>
      </c>
      <c r="C129" s="696">
        <v>8809615</v>
      </c>
      <c r="D129" s="700">
        <v>0</v>
      </c>
      <c r="E129" s="700">
        <v>-34207</v>
      </c>
      <c r="F129" s="700"/>
      <c r="G129" s="700"/>
      <c r="H129" s="701"/>
      <c r="I129" s="701"/>
      <c r="J129" s="263">
        <f t="shared" si="8"/>
        <v>8775408</v>
      </c>
      <c r="K129" s="722">
        <f>IF(K$18='5.Variables'!$B$16,+'5.Variables'!$D36,+IF(K$18='5.Variables'!$B$39,+'5.Variables'!$D59,+IF(K$18='5.Variables'!$B$62,+'5.Variables'!$D73,+IF(K$18='5.Variables'!$B$76,+'5.Variables'!$D87,+IF(K$18='5.Variables'!$B$90,+'5.Variables'!$D101,+IF(K$18='5.Variables'!$B$104,+'5.Variables'!$D115,0))))))</f>
        <v>957.39999999999975</v>
      </c>
      <c r="L129" s="722">
        <f>IF(L$18='5.Variables'!$B$16,+'5.Variables'!$D35,+IF(L$18='5.Variables'!$B$39,+'5.Variables'!$D59,+IF(L$18='5.Variables'!$B$62,+'5.Variables'!$D73,+IF(L$18='5.Variables'!$B$76,+'5.Variables'!$D87,+IF(L$18='5.Variables'!$B$90,+'5.Variables'!$D101,+IF(L$18='5.Variables'!$B$104,+'5.Variables'!$D115,0))))))</f>
        <v>0</v>
      </c>
      <c r="M129" s="722">
        <f>IF(M$18='5.Variables'!$B$16,+'5.Variables'!$D35,+IF(M$18='5.Variables'!$B$39,+'5.Variables'!$D59,+IF(M$18='5.Variables'!$B$62,+'5.Variables'!$D73,+IF(M$18='5.Variables'!$B$76,+'5.Variables'!$D87,+IF(M$18='5.Variables'!$B$90,+'5.Variables'!$D101,+IF(M$18='5.Variables'!$B$104,+'5.Variables'!$D115,0))))))</f>
        <v>28</v>
      </c>
      <c r="N129" s="722">
        <f>IF(N$18='5.Variables'!$B$16,+'5.Variables'!$D35,+IF(N$18='5.Variables'!$B$39,+'5.Variables'!$D59,+IF(N$18='5.Variables'!$B$62,+'5.Variables'!$D73,+IF(N$18='5.Variables'!$B$76,+'5.Variables'!$D87,+IF(N$18='5.Variables'!$B$90,+'5.Variables'!$D101,+IF(N$18='5.Variables'!$B$104,+'5.Variables'!$D115,0))))))</f>
        <v>372.5</v>
      </c>
      <c r="O129" s="722">
        <f>IF(O$18='5.Variables'!$B$16,+'5.Variables'!$D35,+IF(O$18='5.Variables'!$B$39,+'5.Variables'!$D59,+IF(O$18='5.Variables'!$B$62,+'5.Variables'!$D73,+IF(O$18='5.Variables'!$B$76,+'5.Variables'!$D87,+IF(O$18='5.Variables'!$B$90,+'5.Variables'!$D101,+IF(O$18='5.Variables'!$B$104,+'5.Variables'!$D115,0))))))</f>
        <v>10.19</v>
      </c>
      <c r="P129" s="983">
        <f>IF(P$18='5.Variables'!$B$16,+'5.Variables'!$D35,+IF(P$18='5.Variables'!$B$39,+'5.Variables'!$D59,+IF(P$18='5.Variables'!$B$62,+'5.Variables'!$D73,+IF(P$18='5.Variables'!$B$76,+'5.Variables'!$D87,+IF(P$18='5.Variables'!$B$90,+'5.Variables'!$D101,+IF(P$18='5.Variables'!$B$104,+'5.Variables'!$D115,0))))))</f>
        <v>0</v>
      </c>
      <c r="Q129" s="245"/>
      <c r="R129" s="556">
        <f t="shared" si="9"/>
        <v>8651279.8615556452</v>
      </c>
      <c r="S129" s="265"/>
      <c r="T129" s="245"/>
      <c r="U129" s="245"/>
      <c r="V129" s="245"/>
      <c r="W129" s="245"/>
      <c r="X129" s="245"/>
      <c r="Y129" s="245"/>
      <c r="Z129" s="245"/>
      <c r="AA129" s="245"/>
      <c r="AB129" s="245"/>
      <c r="AC129" s="245"/>
      <c r="AD129" s="245"/>
      <c r="AE129" s="245"/>
      <c r="AF129" s="245"/>
      <c r="AG129" s="245"/>
      <c r="AH129" s="245"/>
      <c r="AI129" s="245"/>
      <c r="AJ129" s="245"/>
      <c r="AK129" s="245"/>
      <c r="AL129" s="245"/>
      <c r="AM129" s="245"/>
    </row>
    <row r="130" spans="1:39" x14ac:dyDescent="0.2">
      <c r="A130" s="501">
        <f t="shared" si="10"/>
        <v>111</v>
      </c>
      <c r="B130" s="262" t="str">
        <f>CONCATENATE('3. Consumption by Rate Class'!B135,"-",'3. Consumption by Rate Class'!C135)</f>
        <v>2015-March</v>
      </c>
      <c r="C130" s="696">
        <v>8471059</v>
      </c>
      <c r="D130" s="700">
        <v>0</v>
      </c>
      <c r="E130" s="700">
        <v>-34207</v>
      </c>
      <c r="F130" s="700"/>
      <c r="G130" s="700"/>
      <c r="H130" s="701"/>
      <c r="I130" s="701"/>
      <c r="J130" s="263">
        <f t="shared" si="8"/>
        <v>8436852</v>
      </c>
      <c r="K130" s="722">
        <f>IF(K$18='5.Variables'!$B$16,+'5.Variables'!$E36,+IF(K$18='5.Variables'!$B$39,+'5.Variables'!$E59,+IF(K$18='5.Variables'!$B$62,+'5.Variables'!$E73,+IF(K$18='5.Variables'!$B$76,+'5.Variables'!$E87,+IF(K$18='5.Variables'!$B$90,+'5.Variables'!$E101,+IF(K$18='5.Variables'!$B$104,+'5.Variables'!$E115,0))))))</f>
        <v>726.4</v>
      </c>
      <c r="L130" s="722">
        <f>IF(L$18='5.Variables'!$B$16,+'5.Variables'!$E35,+IF(L$18='5.Variables'!$B$39,+'5.Variables'!$E59,+IF(L$18='5.Variables'!$B$62,+'5.Variables'!$E73,+IF(L$18='5.Variables'!$B$76,+'5.Variables'!$E87,+IF(L$18='5.Variables'!$B$90,+'5.Variables'!$E101,+IF(L$18='5.Variables'!$B$104,+'5.Variables'!$E115,0))))))</f>
        <v>0</v>
      </c>
      <c r="M130" s="722">
        <f>IF(M$18='5.Variables'!$B$16,+'5.Variables'!$E35,+IF(M$18='5.Variables'!$B$39,+'5.Variables'!$E59,+IF(M$18='5.Variables'!$B$62,+'5.Variables'!$E73,+IF(M$18='5.Variables'!$B$76,+'5.Variables'!$E87,+IF(M$18='5.Variables'!$B$90,+'5.Variables'!$E101,+IF(M$18='5.Variables'!$B$104,+'5.Variables'!$E115,0))))))</f>
        <v>31</v>
      </c>
      <c r="N130" s="722">
        <f>IF(N$18='5.Variables'!$B$16,+'5.Variables'!$E35,+IF(N$18='5.Variables'!$B$39,+'5.Variables'!$E59,+IF(N$18='5.Variables'!$B$62,+'5.Variables'!$E73,+IF(N$18='5.Variables'!$B$76,+'5.Variables'!$E87,+IF(N$18='5.Variables'!$B$90,+'5.Variables'!$E101,+IF(N$18='5.Variables'!$B$104,+'5.Variables'!$E115,0))))))</f>
        <v>372.5</v>
      </c>
      <c r="O130" s="722">
        <f>IF(O$18='5.Variables'!$B$16,+'5.Variables'!$E35,+IF(O$18='5.Variables'!$B$39,+'5.Variables'!$E59,+IF(O$18='5.Variables'!$B$62,+'5.Variables'!$E73,+IF(O$18='5.Variables'!$B$76,+'5.Variables'!$E87,+IF(O$18='5.Variables'!$B$90,+'5.Variables'!$E101,+IF(O$18='5.Variables'!$B$104,+'5.Variables'!$E115,0))))))</f>
        <v>11.51</v>
      </c>
      <c r="P130" s="983">
        <f>IF(P$18='5.Variables'!$B$16,+'5.Variables'!$E35,+IF(P$18='5.Variables'!$B$39,+'5.Variables'!$E59,+IF(P$18='5.Variables'!$B$62,+'5.Variables'!$E73,+IF(P$18='5.Variables'!$B$76,+'5.Variables'!$E87,+IF(P$18='5.Variables'!$B$90,+'5.Variables'!$E101,+IF(P$18='5.Variables'!$B$104,+'5.Variables'!$E115,0))))))</f>
        <v>1</v>
      </c>
      <c r="Q130" s="245"/>
      <c r="R130" s="556">
        <f t="shared" si="9"/>
        <v>8455230.4527251888</v>
      </c>
      <c r="S130" s="265"/>
      <c r="T130" s="245"/>
      <c r="U130" s="245"/>
      <c r="V130" s="245"/>
      <c r="W130" s="245"/>
      <c r="X130" s="245"/>
      <c r="Y130" s="245"/>
      <c r="Z130" s="245"/>
      <c r="AA130" s="245"/>
      <c r="AB130" s="245"/>
      <c r="AC130" s="245"/>
      <c r="AD130" s="245"/>
      <c r="AE130" s="245"/>
      <c r="AF130" s="245"/>
      <c r="AG130" s="245"/>
      <c r="AH130" s="245"/>
      <c r="AI130" s="245"/>
      <c r="AJ130" s="245"/>
      <c r="AK130" s="245"/>
      <c r="AL130" s="245"/>
      <c r="AM130" s="245"/>
    </row>
    <row r="131" spans="1:39" x14ac:dyDescent="0.2">
      <c r="A131" s="501">
        <f t="shared" si="10"/>
        <v>112</v>
      </c>
      <c r="B131" s="262" t="str">
        <f>CONCATENATE('3. Consumption by Rate Class'!B136,"-",'3. Consumption by Rate Class'!C136)</f>
        <v>2015-April</v>
      </c>
      <c r="C131" s="696">
        <v>6789448</v>
      </c>
      <c r="D131" s="700">
        <v>0</v>
      </c>
      <c r="E131" s="700">
        <v>-34207</v>
      </c>
      <c r="F131" s="700"/>
      <c r="G131" s="700"/>
      <c r="H131" s="701"/>
      <c r="I131" s="701"/>
      <c r="J131" s="263">
        <f t="shared" si="8"/>
        <v>6755241</v>
      </c>
      <c r="K131" s="722">
        <f>IF(K$18='5.Variables'!$B$16,+'5.Variables'!$F36,+IF(K$18='5.Variables'!$B$39,+'5.Variables'!$F59,+IF(K$18='5.Variables'!$B$62,+'5.Variables'!$F73,+IF(K$18='5.Variables'!$B$76,+'5.Variables'!$F87,+IF(K$18='5.Variables'!$B$90,+'5.Variables'!$F101,+IF(K$18='5.Variables'!$B$104,+'5.Variables'!$F115,0))))))</f>
        <v>345.19999999999993</v>
      </c>
      <c r="L131" s="722">
        <f>IF(L$18='5.Variables'!$B$16,+'5.Variables'!$F35,+IF(L$18='5.Variables'!$B$39,+'5.Variables'!$F59,+IF(L$18='5.Variables'!$B$62,+'5.Variables'!$F73,+IF(L$18='5.Variables'!$B$76,+'5.Variables'!$F87,+IF(L$18='5.Variables'!$B$90,+'5.Variables'!$F101,+IF(L$18='5.Variables'!$B$104,+'5.Variables'!$F115,0))))))</f>
        <v>0</v>
      </c>
      <c r="M131" s="722">
        <f>IF(M$18='5.Variables'!$B$16,+'5.Variables'!$F35,+IF(M$18='5.Variables'!$B$39,+'5.Variables'!$F59,+IF(M$18='5.Variables'!$B$62,+'5.Variables'!$F73,+IF(M$18='5.Variables'!$B$76,+'5.Variables'!$F87,+IF(M$18='5.Variables'!$B$90,+'5.Variables'!$F101,+IF(M$18='5.Variables'!$B$104,+'5.Variables'!$F115,0))))))</f>
        <v>30</v>
      </c>
      <c r="N131" s="722">
        <f>IF(N$18='5.Variables'!$B$16,+'5.Variables'!$F35,+IF(N$18='5.Variables'!$B$39,+'5.Variables'!$F59,+IF(N$18='5.Variables'!$B$62,+'5.Variables'!$F73,+IF(N$18='5.Variables'!$B$76,+'5.Variables'!$F87,+IF(N$18='5.Variables'!$B$90,+'5.Variables'!$F101,+IF(N$18='5.Variables'!$B$104,+'5.Variables'!$F115,0))))))</f>
        <v>372.6</v>
      </c>
      <c r="O131" s="722">
        <f>IF(O$18='5.Variables'!$B$16,+'5.Variables'!$F35,+IF(O$18='5.Variables'!$B$39,+'5.Variables'!$F59,+IF(O$18='5.Variables'!$B$62,+'5.Variables'!$F73,+IF(O$18='5.Variables'!$B$76,+'5.Variables'!$F87,+IF(O$18='5.Variables'!$B$90,+'5.Variables'!$F101,+IF(O$18='5.Variables'!$B$104,+'5.Variables'!$F115,0))))))</f>
        <v>13.28</v>
      </c>
      <c r="P131" s="983">
        <f>IF(P$18='5.Variables'!$B$16,+'5.Variables'!$F35,+IF(P$18='5.Variables'!$B$39,+'5.Variables'!$F59,+IF(P$18='5.Variables'!$B$62,+'5.Variables'!$F73,+IF(P$18='5.Variables'!$B$76,+'5.Variables'!$F87,+IF(P$18='5.Variables'!$B$90,+'5.Variables'!$F101,+IF(P$18='5.Variables'!$B$104,+'5.Variables'!$F115,0))))))</f>
        <v>0</v>
      </c>
      <c r="Q131" s="245"/>
      <c r="R131" s="556">
        <f t="shared" si="9"/>
        <v>6973380.2941788482</v>
      </c>
      <c r="S131" s="265"/>
      <c r="T131" s="245"/>
      <c r="U131" s="245"/>
      <c r="V131" s="245"/>
      <c r="W131" s="245"/>
      <c r="X131" s="245"/>
      <c r="Y131" s="245"/>
      <c r="Z131" s="245"/>
      <c r="AA131" s="245"/>
      <c r="AB131" s="245"/>
      <c r="AC131" s="245"/>
      <c r="AD131" s="245"/>
      <c r="AE131" s="245"/>
      <c r="AF131" s="245"/>
      <c r="AG131" s="245"/>
      <c r="AH131" s="245"/>
      <c r="AI131" s="245"/>
      <c r="AJ131" s="245"/>
      <c r="AK131" s="245"/>
      <c r="AL131" s="245"/>
      <c r="AM131" s="245"/>
    </row>
    <row r="132" spans="1:39" x14ac:dyDescent="0.2">
      <c r="A132" s="501">
        <f t="shared" si="10"/>
        <v>113</v>
      </c>
      <c r="B132" s="262" t="str">
        <f>CONCATENATE('3. Consumption by Rate Class'!B137,"-",'3. Consumption by Rate Class'!C137)</f>
        <v>2015-May</v>
      </c>
      <c r="C132" s="696">
        <v>6763079</v>
      </c>
      <c r="D132" s="700">
        <v>0</v>
      </c>
      <c r="E132" s="700">
        <v>-34207</v>
      </c>
      <c r="F132" s="700"/>
      <c r="G132" s="700"/>
      <c r="H132" s="701"/>
      <c r="I132" s="701"/>
      <c r="J132" s="263">
        <f t="shared" si="8"/>
        <v>6728872</v>
      </c>
      <c r="K132" s="722">
        <f>IF(K$18='5.Variables'!$B$16,+'5.Variables'!$G36,+IF(K$18='5.Variables'!$B$39,+'5.Variables'!$G59,+IF(K$18='5.Variables'!$B$62,+'5.Variables'!$G73,+IF(K$18='5.Variables'!$B$76,+'5.Variables'!$G87,+IF(K$18='5.Variables'!$B$90,+'5.Variables'!$G101,+IF(K$18='5.Variables'!$B$104,+'5.Variables'!$G115,0))))))</f>
        <v>90.9</v>
      </c>
      <c r="L132" s="722">
        <f>IF(L$18='5.Variables'!$B$16,+'5.Variables'!$G35,+IF(L$18='5.Variables'!$B$39,+'5.Variables'!$G59,+IF(L$18='5.Variables'!$B$62,+'5.Variables'!$G73,+IF(L$18='5.Variables'!$B$76,+'5.Variables'!$G87,+IF(L$18='5.Variables'!$B$90,+'5.Variables'!$G101,+IF(L$18='5.Variables'!$B$104,+'5.Variables'!$G115,0))))))</f>
        <v>23.500000000000004</v>
      </c>
      <c r="M132" s="722">
        <f>IF(M$18='5.Variables'!$B$16,+'5.Variables'!$G35,+IF(M$18='5.Variables'!$B$39,+'5.Variables'!$G59,+IF(M$18='5.Variables'!$B$62,+'5.Variables'!$G73,+IF(M$18='5.Variables'!$B$76,+'5.Variables'!$G87,+IF(M$18='5.Variables'!$B$90,+'5.Variables'!$G101,+IF(M$18='5.Variables'!$B$104,+'5.Variables'!$G115,0))))))</f>
        <v>31</v>
      </c>
      <c r="N132" s="722">
        <f>IF(N$18='5.Variables'!$B$16,+'5.Variables'!$G35,+IF(N$18='5.Variables'!$B$39,+'5.Variables'!$G59,+IF(N$18='5.Variables'!$B$62,+'5.Variables'!$G73,+IF(N$18='5.Variables'!$B$76,+'5.Variables'!$G87,+IF(N$18='5.Variables'!$B$90,+'5.Variables'!$G101,+IF(N$18='5.Variables'!$B$104,+'5.Variables'!$G115,0))))))</f>
        <v>372.8</v>
      </c>
      <c r="O132" s="722">
        <f>IF(O$18='5.Variables'!$B$16,+'5.Variables'!$G35,+IF(O$18='5.Variables'!$B$39,+'5.Variables'!$G59,+IF(O$18='5.Variables'!$B$62,+'5.Variables'!$G73,+IF(O$18='5.Variables'!$B$76,+'5.Variables'!$G87,+IF(O$18='5.Variables'!$B$90,+'5.Variables'!$G101,+IF(O$18='5.Variables'!$B$104,+'5.Variables'!$G115,0))))))</f>
        <v>14.52</v>
      </c>
      <c r="P132" s="983">
        <f>IF(P$18='5.Variables'!$B$16,+'5.Variables'!$G35,+IF(P$18='5.Variables'!$B$39,+'5.Variables'!$G59,+IF(P$18='5.Variables'!$B$62,+'5.Variables'!$G73,+IF(P$18='5.Variables'!$B$76,+'5.Variables'!$G87,+IF(P$18='5.Variables'!$B$90,+'5.Variables'!$G101,+IF(P$18='5.Variables'!$B$104,+'5.Variables'!$G115,0))))))</f>
        <v>0</v>
      </c>
      <c r="Q132" s="245"/>
      <c r="R132" s="556">
        <f t="shared" si="9"/>
        <v>6693401.932082572</v>
      </c>
      <c r="S132" s="265"/>
      <c r="T132" s="245"/>
      <c r="U132" s="245"/>
      <c r="V132" s="245"/>
      <c r="W132" s="245"/>
      <c r="X132" s="245"/>
      <c r="Y132" s="245"/>
      <c r="Z132" s="245"/>
      <c r="AA132" s="245"/>
      <c r="AB132" s="245"/>
      <c r="AC132" s="245"/>
      <c r="AD132" s="245"/>
      <c r="AE132" s="245"/>
      <c r="AF132" s="245"/>
      <c r="AG132" s="245"/>
      <c r="AH132" s="245"/>
      <c r="AI132" s="245"/>
      <c r="AJ132" s="245"/>
      <c r="AK132" s="245"/>
      <c r="AL132" s="245"/>
      <c r="AM132" s="245"/>
    </row>
    <row r="133" spans="1:39" x14ac:dyDescent="0.2">
      <c r="A133" s="501">
        <f t="shared" si="10"/>
        <v>114</v>
      </c>
      <c r="B133" s="262" t="str">
        <f>CONCATENATE('3. Consumption by Rate Class'!B138,"-",'3. Consumption by Rate Class'!C138)</f>
        <v>2015-June</v>
      </c>
      <c r="C133" s="696">
        <v>6744783</v>
      </c>
      <c r="D133" s="700">
        <v>0</v>
      </c>
      <c r="E133" s="700">
        <v>-34207</v>
      </c>
      <c r="F133" s="700"/>
      <c r="G133" s="700"/>
      <c r="H133" s="701"/>
      <c r="I133" s="701"/>
      <c r="J133" s="263">
        <f t="shared" si="8"/>
        <v>6710576</v>
      </c>
      <c r="K133" s="722">
        <f>IF(K$18='5.Variables'!$B$16,+'5.Variables'!$H36,+IF(K$18='5.Variables'!$B$39,+'5.Variables'!$H59,+IF(K$18='5.Variables'!$B$62,+'5.Variables'!$H73,+IF(K$18='5.Variables'!$B$76,+'5.Variables'!$H87,+IF(K$18='5.Variables'!$B$90,+'5.Variables'!$H101,+IF(K$18='5.Variables'!$B$104,+'5.Variables'!$H115,0))))))</f>
        <v>40.300000000000004</v>
      </c>
      <c r="L133" s="722">
        <f>IF(L$18='5.Variables'!$B$16,+'5.Variables'!$H35,+IF(L$18='5.Variables'!$B$39,+'5.Variables'!$H59,+IF(L$18='5.Variables'!$B$62,+'5.Variables'!$H73,+IF(L$18='5.Variables'!$B$76,+'5.Variables'!$H87,+IF(L$18='5.Variables'!$B$90,+'5.Variables'!$H101,+IF(L$18='5.Variables'!$B$104,+'5.Variables'!$H115,0))))))</f>
        <v>22.5</v>
      </c>
      <c r="M133" s="722">
        <f>IF(M$18='5.Variables'!$B$16,+'5.Variables'!$H35,+IF(M$18='5.Variables'!$B$39,+'5.Variables'!$H59,+IF(M$18='5.Variables'!$B$62,+'5.Variables'!$H73,+IF(M$18='5.Variables'!$B$76,+'5.Variables'!$H87,+IF(M$18='5.Variables'!$B$90,+'5.Variables'!$H101,+IF(M$18='5.Variables'!$B$104,+'5.Variables'!$H115,0))))))</f>
        <v>30</v>
      </c>
      <c r="N133" s="722">
        <f>IF(N$18='5.Variables'!$B$16,+'5.Variables'!$H35,+IF(N$18='5.Variables'!$B$39,+'5.Variables'!$H59,+IF(N$18='5.Variables'!$B$62,+'5.Variables'!$H73,+IF(N$18='5.Variables'!$B$76,+'5.Variables'!$H87,+IF(N$18='5.Variables'!$B$90,+'5.Variables'!$H101,+IF(N$18='5.Variables'!$B$104,+'5.Variables'!$H115,0))))))</f>
        <v>372.9</v>
      </c>
      <c r="O133" s="722">
        <f>IF(O$18='5.Variables'!$B$16,+'5.Variables'!$H35,+IF(O$18='5.Variables'!$B$39,+'5.Variables'!$H59,+IF(O$18='5.Variables'!$B$62,+'5.Variables'!$H73,+IF(O$18='5.Variables'!$B$76,+'5.Variables'!$H87,+IF(O$18='5.Variables'!$B$90,+'5.Variables'!$H101,+IF(O$18='5.Variables'!$B$104,+'5.Variables'!$H115,0))))))</f>
        <v>15.35</v>
      </c>
      <c r="P133" s="983">
        <f>IF(P$18='5.Variables'!$B$16,+'5.Variables'!$H35,+IF(P$18='5.Variables'!$B$39,+'5.Variables'!$H59,+IF(P$18='5.Variables'!$B$62,+'5.Variables'!$H73,+IF(P$18='5.Variables'!$B$76,+'5.Variables'!$H87,+IF(P$18='5.Variables'!$B$90,+'5.Variables'!$H101,+IF(P$18='5.Variables'!$B$104,+'5.Variables'!$H115,0))))))</f>
        <v>0</v>
      </c>
      <c r="Q133" s="245"/>
      <c r="R133" s="556">
        <f t="shared" si="9"/>
        <v>6290082.5459261173</v>
      </c>
      <c r="S133" s="265"/>
      <c r="T133" s="245"/>
      <c r="U133" s="245"/>
      <c r="V133" s="245"/>
      <c r="W133" s="245"/>
      <c r="X133" s="245"/>
      <c r="Y133" s="245"/>
      <c r="Z133" s="245"/>
      <c r="AA133" s="245"/>
      <c r="AB133" s="245"/>
      <c r="AC133" s="245"/>
      <c r="AD133" s="245"/>
      <c r="AE133" s="245"/>
      <c r="AF133" s="245"/>
      <c r="AG133" s="245"/>
      <c r="AH133" s="245"/>
      <c r="AI133" s="245"/>
      <c r="AJ133" s="245"/>
      <c r="AK133" s="245"/>
      <c r="AL133" s="245"/>
      <c r="AM133" s="245"/>
    </row>
    <row r="134" spans="1:39" x14ac:dyDescent="0.2">
      <c r="A134" s="501">
        <f t="shared" si="10"/>
        <v>115</v>
      </c>
      <c r="B134" s="262" t="str">
        <f>CONCATENATE('3. Consumption by Rate Class'!B139,"-",'3. Consumption by Rate Class'!C139)</f>
        <v>2015-July</v>
      </c>
      <c r="C134" s="696">
        <v>7818096</v>
      </c>
      <c r="D134" s="700">
        <v>0</v>
      </c>
      <c r="E134" s="700">
        <v>-34207</v>
      </c>
      <c r="F134" s="700"/>
      <c r="G134" s="700"/>
      <c r="H134" s="701"/>
      <c r="I134" s="701"/>
      <c r="J134" s="263">
        <f t="shared" si="8"/>
        <v>7783889</v>
      </c>
      <c r="K134" s="722">
        <f>IF(K$18='5.Variables'!$B$16,+'5.Variables'!$I35,+IF(K$18='5.Variables'!$B$39,+'5.Variables'!$I59,+IF(K$18='5.Variables'!$B$62,+'5.Variables'!$I73,+IF(K$18='5.Variables'!$B$76,+'5.Variables'!$I87,+IF(K$18='5.Variables'!$B$90,+'5.Variables'!$I101,+IF(K$18='5.Variables'!$B$104,+'5.Variables'!$I115,0))))))</f>
        <v>7.9</v>
      </c>
      <c r="L134" s="722">
        <f>IF(L$18='5.Variables'!$B$16,+'5.Variables'!$I35,+IF(L$18='5.Variables'!$B$39,+'5.Variables'!$I59,+IF(L$18='5.Variables'!$B$62,+'5.Variables'!$I73,+IF(L$18='5.Variables'!$B$76,+'5.Variables'!$I87,+IF(L$18='5.Variables'!$B$90,+'5.Variables'!$I101,+IF(L$18='5.Variables'!$B$104,+'5.Variables'!$I115,0))))))</f>
        <v>103.80000000000001</v>
      </c>
      <c r="M134" s="722">
        <f>IF(M$18='5.Variables'!$B$16,+'5.Variables'!$I35,+IF(M$18='5.Variables'!$B$39,+'5.Variables'!$I59,+IF(M$18='5.Variables'!$B$62,+'5.Variables'!$I73,+IF(M$18='5.Variables'!$B$76,+'5.Variables'!$I87,+IF(M$18='5.Variables'!$B$90,+'5.Variables'!$I101,+IF(M$18='5.Variables'!$B$104,+'5.Variables'!$I115,0))))))</f>
        <v>31</v>
      </c>
      <c r="N134" s="722">
        <f>IF(N$18='5.Variables'!$B$16,+'5.Variables'!$I35,+IF(N$18='5.Variables'!$B$39,+'5.Variables'!$I59,+IF(N$18='5.Variables'!$B$62,+'5.Variables'!$I73,+IF(N$18='5.Variables'!$B$76,+'5.Variables'!$I87,+IF(N$18='5.Variables'!$B$90,+'5.Variables'!$I101,+IF(N$18='5.Variables'!$B$104,+'5.Variables'!$I115,0))))))</f>
        <v>373.1</v>
      </c>
      <c r="O134" s="722">
        <f>IF(O$18='5.Variables'!$B$16,+'5.Variables'!$I35,+IF(O$18='5.Variables'!$B$39,+'5.Variables'!$I59,+IF(O$18='5.Variables'!$B$62,+'5.Variables'!$I73,+IF(O$18='5.Variables'!$B$76,+'5.Variables'!$I87,+IF(O$18='5.Variables'!$B$90,+'5.Variables'!$I101,+IF(O$18='5.Variables'!$B$104,+'5.Variables'!$I115,0))))))</f>
        <v>15.15</v>
      </c>
      <c r="P134" s="983">
        <f>IF(P$18='5.Variables'!$B$16,+'5.Variables'!$I35,+IF(P$18='5.Variables'!$B$39,+'5.Variables'!$I59,+IF(P$18='5.Variables'!$B$62,+'5.Variables'!$I73,+IF(P$18='5.Variables'!$B$76,+'5.Variables'!$I87,+IF(P$18='5.Variables'!$B$90,+'5.Variables'!$I101,+IF(P$18='5.Variables'!$B$104,+'5.Variables'!$I115,0))))))</f>
        <v>1</v>
      </c>
      <c r="Q134" s="245"/>
      <c r="R134" s="556">
        <f t="shared" si="9"/>
        <v>7719247.7016874151</v>
      </c>
      <c r="S134" s="265"/>
      <c r="T134" s="245"/>
      <c r="U134" s="245"/>
      <c r="V134" s="245"/>
      <c r="W134" s="245"/>
      <c r="X134" s="245"/>
      <c r="Y134" s="245"/>
      <c r="Z134" s="245"/>
      <c r="AA134" s="245"/>
      <c r="AB134" s="245"/>
      <c r="AC134" s="245"/>
      <c r="AD134" s="245"/>
      <c r="AE134" s="245"/>
      <c r="AF134" s="245"/>
      <c r="AG134" s="245"/>
      <c r="AH134" s="245"/>
      <c r="AI134" s="245"/>
      <c r="AJ134" s="245"/>
      <c r="AK134" s="245"/>
      <c r="AL134" s="245"/>
      <c r="AM134" s="245"/>
    </row>
    <row r="135" spans="1:39" x14ac:dyDescent="0.2">
      <c r="A135" s="501">
        <f t="shared" si="10"/>
        <v>116</v>
      </c>
      <c r="B135" s="262" t="str">
        <f>CONCATENATE('3. Consumption by Rate Class'!B140,"-",'3. Consumption by Rate Class'!C140)</f>
        <v>2015-August</v>
      </c>
      <c r="C135" s="696">
        <v>7422834</v>
      </c>
      <c r="D135" s="700">
        <v>0</v>
      </c>
      <c r="E135" s="700">
        <v>-34207</v>
      </c>
      <c r="F135" s="700"/>
      <c r="G135" s="700"/>
      <c r="H135" s="701"/>
      <c r="I135" s="701"/>
      <c r="J135" s="263">
        <f t="shared" si="8"/>
        <v>7388627</v>
      </c>
      <c r="K135" s="722">
        <f>IF(K$18='5.Variables'!$B$16,+'5.Variables'!$J36,+IF(K$18='5.Variables'!$B$39,+'5.Variables'!$J59,+IF(K$18='5.Variables'!$B$62,+'5.Variables'!$J73,+IF(K$18='5.Variables'!$B$76,+'5.Variables'!$J87,+IF(K$18='5.Variables'!$B$90,+'5.Variables'!$J101,+IF(K$18='5.Variables'!$B$104,+'5.Variables'!$J115,0))))))</f>
        <v>7.1999999999999993</v>
      </c>
      <c r="L135" s="722">
        <f>IF(L$18='5.Variables'!$B$16,+'5.Variables'!$J35,+IF(L$18='5.Variables'!$B$39,+'5.Variables'!$J59,+IF(L$18='5.Variables'!$B$62,+'5.Variables'!$J73,+IF(L$18='5.Variables'!$B$76,+'5.Variables'!$J87,+IF(L$18='5.Variables'!$B$90,+'5.Variables'!$J101,+IF(L$18='5.Variables'!$B$104,+'5.Variables'!$J115,0))))))</f>
        <v>71.2</v>
      </c>
      <c r="M135" s="722">
        <f>IF(M$18='5.Variables'!$B$16,+'5.Variables'!$J35,+IF(M$18='5.Variables'!$B$39,+'5.Variables'!$J59,+IF(M$18='5.Variables'!$B$62,+'5.Variables'!$J73,+IF(M$18='5.Variables'!$B$76,+'5.Variables'!$J87,+IF(M$18='5.Variables'!$B$90,+'5.Variables'!$J101,+IF(M$18='5.Variables'!$B$104,+'5.Variables'!$J115,0))))))</f>
        <v>31</v>
      </c>
      <c r="N135" s="722">
        <f>IF(N$18='5.Variables'!$B$16,+'5.Variables'!$J35,+IF(N$18='5.Variables'!$B$39,+'5.Variables'!$J59,+IF(N$18='5.Variables'!$B$62,+'5.Variables'!$J73,+IF(N$18='5.Variables'!$B$76,+'5.Variables'!$J87,+IF(N$18='5.Variables'!$B$90,+'5.Variables'!$J101,+IF(N$18='5.Variables'!$B$104,+'5.Variables'!$J115,0))))))</f>
        <v>373.4</v>
      </c>
      <c r="O135" s="722">
        <f>IF(O$18='5.Variables'!$B$16,+'5.Variables'!$J35,+IF(O$18='5.Variables'!$B$39,+'5.Variables'!$J59,+IF(O$18='5.Variables'!$B$62,+'5.Variables'!$J73,+IF(O$18='5.Variables'!$B$76,+'5.Variables'!$J87,+IF(O$18='5.Variables'!$B$90,+'5.Variables'!$J101,+IF(O$18='5.Variables'!$B$104,+'5.Variables'!$J115,0))))))</f>
        <v>14.03</v>
      </c>
      <c r="P135" s="983">
        <f>IF(P$18='5.Variables'!$B$16,+'5.Variables'!$J35,+IF(P$18='5.Variables'!$B$39,+'5.Variables'!$J59,+IF(P$18='5.Variables'!$B$62,+'5.Variables'!$J73,+IF(P$18='5.Variables'!$B$76,+'5.Variables'!$J87,+IF(P$18='5.Variables'!$B$90,+'5.Variables'!$J101,+IF(P$18='5.Variables'!$B$104,+'5.Variables'!$J115,0))))))</f>
        <v>0</v>
      </c>
      <c r="Q135" s="245"/>
      <c r="R135" s="556">
        <f t="shared" si="9"/>
        <v>7207836.0882009119</v>
      </c>
      <c r="S135" s="265"/>
      <c r="T135" s="245"/>
      <c r="U135" s="245"/>
      <c r="V135" s="245"/>
      <c r="W135" s="245"/>
      <c r="X135" s="245"/>
      <c r="Y135" s="245"/>
      <c r="Z135" s="245"/>
      <c r="AA135" s="245"/>
      <c r="AB135" s="245"/>
      <c r="AC135" s="245"/>
      <c r="AD135" s="245"/>
      <c r="AE135" s="245"/>
      <c r="AF135" s="245"/>
      <c r="AG135" s="245"/>
      <c r="AH135" s="245"/>
      <c r="AI135" s="245"/>
      <c r="AJ135" s="245"/>
      <c r="AK135" s="245"/>
      <c r="AL135" s="245"/>
      <c r="AM135" s="245"/>
    </row>
    <row r="136" spans="1:39" x14ac:dyDescent="0.2">
      <c r="A136" s="501">
        <f t="shared" si="10"/>
        <v>117</v>
      </c>
      <c r="B136" s="262" t="str">
        <f>CONCATENATE('3. Consumption by Rate Class'!B141,"-",'3. Consumption by Rate Class'!C141)</f>
        <v>2015-September</v>
      </c>
      <c r="C136" s="696">
        <v>7183196</v>
      </c>
      <c r="D136" s="700">
        <v>0</v>
      </c>
      <c r="E136" s="700">
        <v>-34207</v>
      </c>
      <c r="F136" s="700"/>
      <c r="G136" s="700"/>
      <c r="H136" s="701"/>
      <c r="I136" s="701"/>
      <c r="J136" s="263">
        <f t="shared" si="8"/>
        <v>7148989</v>
      </c>
      <c r="K136" s="722">
        <f>IF(K$18='5.Variables'!$B$16,+'5.Variables'!$K36,+IF(K$18='5.Variables'!$B$39,+'5.Variables'!$K59,+IF(K$18='5.Variables'!$B$62,+'5.Variables'!$K73,+IF(K$18='5.Variables'!$B$76,+'5.Variables'!$K87,+IF(K$18='5.Variables'!$B$90,+'5.Variables'!$K101,+IF(K$18='5.Variables'!$B$104,+'5.Variables'!$K115,0))))))</f>
        <v>46.3</v>
      </c>
      <c r="L136" s="722">
        <f>IF(L$18='5.Variables'!$B$16,+'5.Variables'!$K35,+IF(L$18='5.Variables'!$B$39,+'5.Variables'!$K59,+IF(L$18='5.Variables'!$B$62,+'5.Variables'!$K73,+IF(L$18='5.Variables'!$B$76,+'5.Variables'!$K87,+IF(L$18='5.Variables'!$B$90,+'5.Variables'!$K101,+IF(L$18='5.Variables'!$B$104,+'5.Variables'!$K115,0))))))</f>
        <v>51.7</v>
      </c>
      <c r="M136" s="722">
        <f>IF(M$18='5.Variables'!$B$16,+'5.Variables'!$K35,+IF(M$18='5.Variables'!$B$39,+'5.Variables'!$K59,+IF(M$18='5.Variables'!$B$62,+'5.Variables'!$K73,+IF(M$18='5.Variables'!$B$76,+'5.Variables'!$K87,+IF(M$18='5.Variables'!$B$90,+'5.Variables'!$K101,+IF(M$18='5.Variables'!$B$104,+'5.Variables'!$K115,0))))))</f>
        <v>30</v>
      </c>
      <c r="N136" s="722">
        <f>IF(N$18='5.Variables'!$B$16,+'5.Variables'!$K35,+IF(N$18='5.Variables'!$B$39,+'5.Variables'!$K59,+IF(N$18='5.Variables'!$B$62,+'5.Variables'!$K73,+IF(N$18='5.Variables'!$B$76,+'5.Variables'!$K87,+IF(N$18='5.Variables'!$B$90,+'5.Variables'!$K101,+IF(N$18='5.Variables'!$B$104,+'5.Variables'!$K115,0))))))</f>
        <v>373.5</v>
      </c>
      <c r="O136" s="722">
        <f>IF(O$18='5.Variables'!$B$16,+'5.Variables'!$K35,+IF(O$18='5.Variables'!$B$39,+'5.Variables'!$K59,+IF(O$18='5.Variables'!$B$62,+'5.Variables'!$K73,+IF(O$18='5.Variables'!$B$76,+'5.Variables'!$K87,+IF(O$18='5.Variables'!$B$90,+'5.Variables'!$K101,+IF(O$18='5.Variables'!$B$104,+'5.Variables'!$K115,0))))))</f>
        <v>12.29</v>
      </c>
      <c r="P136" s="983">
        <f>IF(P$18='5.Variables'!$B$16,+'5.Variables'!$K35,+IF(P$18='5.Variables'!$B$39,+'5.Variables'!$K59,+IF(P$18='5.Variables'!$B$62,+'5.Variables'!$K73,+IF(P$18='5.Variables'!$B$76,+'5.Variables'!$K87,+IF(P$18='5.Variables'!$B$90,+'5.Variables'!$K101,+IF(P$18='5.Variables'!$B$104,+'5.Variables'!$K115,0))))))</f>
        <v>0</v>
      </c>
      <c r="Q136" s="245"/>
      <c r="R136" s="556">
        <f t="shared" si="9"/>
        <v>6867147.8327980507</v>
      </c>
      <c r="S136" s="265"/>
      <c r="T136" s="245"/>
      <c r="U136" s="245"/>
      <c r="V136" s="245"/>
      <c r="W136" s="245"/>
      <c r="X136" s="245"/>
      <c r="Y136" s="245"/>
      <c r="Z136" s="245"/>
      <c r="AA136" s="245"/>
      <c r="AB136" s="245"/>
      <c r="AC136" s="245"/>
      <c r="AD136" s="245"/>
      <c r="AE136" s="245"/>
      <c r="AF136" s="245"/>
      <c r="AG136" s="245"/>
      <c r="AH136" s="245"/>
      <c r="AI136" s="245"/>
      <c r="AJ136" s="245"/>
      <c r="AK136" s="245"/>
      <c r="AL136" s="245"/>
      <c r="AM136" s="245"/>
    </row>
    <row r="137" spans="1:39" x14ac:dyDescent="0.2">
      <c r="A137" s="501">
        <f t="shared" si="10"/>
        <v>118</v>
      </c>
      <c r="B137" s="262" t="str">
        <f>CONCATENATE('3. Consumption by Rate Class'!B142,"-",'3. Consumption by Rate Class'!C142)</f>
        <v>2015-October</v>
      </c>
      <c r="C137" s="696">
        <v>6840217</v>
      </c>
      <c r="D137" s="700">
        <v>0</v>
      </c>
      <c r="E137" s="700">
        <v>-34207</v>
      </c>
      <c r="F137" s="700"/>
      <c r="G137" s="700"/>
      <c r="H137" s="701"/>
      <c r="I137" s="701"/>
      <c r="J137" s="263">
        <f t="shared" si="8"/>
        <v>6806010</v>
      </c>
      <c r="K137" s="722">
        <f>IF(K$18='5.Variables'!$B$16,+'5.Variables'!$L36,+IF(K$18='5.Variables'!$B$39,+'5.Variables'!$L59,+IF(K$18='5.Variables'!$B$62,+'5.Variables'!$L73,+IF(K$18='5.Variables'!$B$76,+'5.Variables'!$L87,+IF(K$18='5.Variables'!$B$90,+'5.Variables'!$L101,+IF(K$18='5.Variables'!$B$104,+'5.Variables'!$L115,0))))))</f>
        <v>311.39999999999998</v>
      </c>
      <c r="L137" s="722">
        <f>IF(L$18='5.Variables'!$B$16,+'5.Variables'!$L35,+IF(L$18='5.Variables'!$B$39,+'5.Variables'!$L59,+IF(L$18='5.Variables'!$B$62,+'5.Variables'!$L73,+IF(L$18='5.Variables'!$B$76,+'5.Variables'!$L87,+IF(L$18='5.Variables'!$B$90,+'5.Variables'!$L101,+IF(L$18='5.Variables'!$B$104,+'5.Variables'!$L115,0))))))</f>
        <v>0</v>
      </c>
      <c r="M137" s="722">
        <f>IF(M$18='5.Variables'!$B$16,+'5.Variables'!$L35,+IF(M$18='5.Variables'!$B$39,+'5.Variables'!$L59,+IF(M$18='5.Variables'!$B$62,+'5.Variables'!$L73,+IF(M$18='5.Variables'!$B$76,+'5.Variables'!$L87,+IF(M$18='5.Variables'!$B$90,+'5.Variables'!$L101,+IF(M$18='5.Variables'!$B$104,+'5.Variables'!$L115,0))))))</f>
        <v>31</v>
      </c>
      <c r="N137" s="722">
        <f>IF(N$18='5.Variables'!$B$16,+'5.Variables'!$L35,+IF(N$18='5.Variables'!$B$39,+'5.Variables'!$L59,+IF(N$18='5.Variables'!$B$62,+'5.Variables'!$L73,+IF(N$18='5.Variables'!$B$76,+'5.Variables'!$L87,+IF(N$18='5.Variables'!$B$90,+'5.Variables'!$L101,+IF(N$18='5.Variables'!$B$104,+'5.Variables'!$L115,0))))))</f>
        <v>373.6</v>
      </c>
      <c r="O137" s="722">
        <f>IF(O$18='5.Variables'!$B$16,+'5.Variables'!$L35,+IF(O$18='5.Variables'!$B$39,+'5.Variables'!$L59,+IF(O$18='5.Variables'!$B$62,+'5.Variables'!$L73,+IF(O$18='5.Variables'!$B$76,+'5.Variables'!$L87,+IF(O$18='5.Variables'!$B$90,+'5.Variables'!$L101,+IF(O$18='5.Variables'!$B$104,+'5.Variables'!$L115,0))))))</f>
        <v>10.51</v>
      </c>
      <c r="P137" s="983">
        <f>IF(P$18='5.Variables'!$B$16,+'5.Variables'!$L35,+IF(P$18='5.Variables'!$B$39,+'5.Variables'!$L59,+IF(P$18='5.Variables'!$B$62,+'5.Variables'!$L73,+IF(P$18='5.Variables'!$B$76,+'5.Variables'!$L87,+IF(P$18='5.Variables'!$B$90,+'5.Variables'!$L101,+IF(P$18='5.Variables'!$B$104,+'5.Variables'!$L115,0))))))</f>
        <v>0</v>
      </c>
      <c r="Q137" s="245"/>
      <c r="R137" s="556">
        <f t="shared" si="9"/>
        <v>7120343.4259573584</v>
      </c>
      <c r="S137" s="265"/>
      <c r="T137" s="245"/>
      <c r="U137" s="245"/>
      <c r="V137" s="245"/>
      <c r="W137" s="245"/>
      <c r="X137" s="245"/>
      <c r="Y137" s="245"/>
      <c r="Z137" s="245"/>
      <c r="AA137" s="245"/>
      <c r="AB137" s="245"/>
      <c r="AC137" s="245"/>
      <c r="AD137" s="245"/>
      <c r="AE137" s="245"/>
      <c r="AF137" s="245"/>
      <c r="AG137" s="245"/>
      <c r="AH137" s="245"/>
      <c r="AI137" s="245"/>
      <c r="AJ137" s="245"/>
      <c r="AK137" s="245"/>
      <c r="AL137" s="245"/>
      <c r="AM137" s="245"/>
    </row>
    <row r="138" spans="1:39" x14ac:dyDescent="0.2">
      <c r="A138" s="501">
        <f t="shared" si="10"/>
        <v>119</v>
      </c>
      <c r="B138" s="262" t="str">
        <f>CONCATENATE('3. Consumption by Rate Class'!B143,"-",'3. Consumption by Rate Class'!C143)</f>
        <v>2015-November</v>
      </c>
      <c r="C138" s="696">
        <v>7093015</v>
      </c>
      <c r="D138" s="700">
        <v>0</v>
      </c>
      <c r="E138" s="700">
        <v>-34207</v>
      </c>
      <c r="F138" s="700"/>
      <c r="G138" s="700"/>
      <c r="H138" s="701"/>
      <c r="I138" s="701"/>
      <c r="J138" s="263">
        <f t="shared" si="8"/>
        <v>7058808</v>
      </c>
      <c r="K138" s="722">
        <f>IF(K$18='5.Variables'!$B$16,+'5.Variables'!$M36,+IF(K$18='5.Variables'!$B$39,+'5.Variables'!$M59,+IF(K$18='5.Variables'!$B$62,+'5.Variables'!$M73,+IF(K$18='5.Variables'!$B$76,+'5.Variables'!$M87,+IF(K$18='5.Variables'!$B$90,+'5.Variables'!$M101,+IF(K$18='5.Variables'!$B$104,+'5.Variables'!$M115,0))))))</f>
        <v>417.49999999999994</v>
      </c>
      <c r="L138" s="722">
        <f>IF(L$18='5.Variables'!$B$16,+'5.Variables'!$M35,+IF(L$18='5.Variables'!$B$39,+'5.Variables'!$M59,+IF(L$18='5.Variables'!$B$62,+'5.Variables'!$M73,+IF(L$18='5.Variables'!$B$76,+'5.Variables'!$M87,+IF(L$18='5.Variables'!$B$90,+'5.Variables'!$M101,+IF(L$18='5.Variables'!$B$104,+'5.Variables'!$M115,0))))))</f>
        <v>0</v>
      </c>
      <c r="M138" s="722">
        <f>IF(M$18='5.Variables'!$B$16,+'5.Variables'!$M35,+IF(M$18='5.Variables'!$B$39,+'5.Variables'!$M59,+IF(M$18='5.Variables'!$B$62,+'5.Variables'!$M73,+IF(M$18='5.Variables'!$B$76,+'5.Variables'!$M87,+IF(M$18='5.Variables'!$B$90,+'5.Variables'!$M101,+IF(M$18='5.Variables'!$B$104,+'5.Variables'!$M115,0))))))</f>
        <v>30</v>
      </c>
      <c r="N138" s="722">
        <f>IF(N$18='5.Variables'!$B$16,+'5.Variables'!$M35,+IF(N$18='5.Variables'!$B$39,+'5.Variables'!$M59,+IF(N$18='5.Variables'!$B$62,+'5.Variables'!$M73,+IF(N$18='5.Variables'!$B$76,+'5.Variables'!$M87,+IF(N$18='5.Variables'!$B$90,+'5.Variables'!$M101,+IF(N$18='5.Variables'!$B$104,+'5.Variables'!$M115,0))))))</f>
        <v>373.6</v>
      </c>
      <c r="O138" s="722">
        <f>IF(O$18='5.Variables'!$B$16,+'5.Variables'!$M35,+IF(O$18='5.Variables'!$B$39,+'5.Variables'!$M59,+IF(O$18='5.Variables'!$B$62,+'5.Variables'!$M73,+IF(O$18='5.Variables'!$B$76,+'5.Variables'!$M87,+IF(O$18='5.Variables'!$B$90,+'5.Variables'!$M101,+IF(O$18='5.Variables'!$B$104,+'5.Variables'!$M115,0))))))</f>
        <v>9.2799999999999994</v>
      </c>
      <c r="P138" s="983">
        <f>IF(P$18='5.Variables'!$B$16,+'5.Variables'!$M35,+IF(P$18='5.Variables'!$B$39,+'5.Variables'!$M59,+IF(P$18='5.Variables'!$B$62,+'5.Variables'!$M73,+IF(P$18='5.Variables'!$B$76,+'5.Variables'!$M87,+IF(P$18='5.Variables'!$B$90,+'5.Variables'!$M101,+IF(P$18='5.Variables'!$B$104,+'5.Variables'!$M115,0))))))</f>
        <v>0</v>
      </c>
      <c r="Q138" s="245"/>
      <c r="R138" s="556">
        <f t="shared" si="9"/>
        <v>7303328.4894391708</v>
      </c>
      <c r="S138" s="265"/>
      <c r="T138" s="245"/>
      <c r="U138" s="245"/>
      <c r="V138" s="245"/>
      <c r="W138" s="245"/>
      <c r="X138" s="245"/>
      <c r="Y138" s="245"/>
      <c r="Z138" s="245"/>
      <c r="AA138" s="245"/>
      <c r="AB138" s="245"/>
      <c r="AC138" s="245"/>
      <c r="AD138" s="245"/>
      <c r="AE138" s="245"/>
      <c r="AF138" s="245"/>
      <c r="AG138" s="245"/>
      <c r="AH138" s="245"/>
      <c r="AI138" s="245"/>
      <c r="AJ138" s="245"/>
      <c r="AK138" s="245"/>
      <c r="AL138" s="245"/>
      <c r="AM138" s="245"/>
    </row>
    <row r="139" spans="1:39" x14ac:dyDescent="0.2">
      <c r="A139" s="501">
        <f t="shared" si="10"/>
        <v>120</v>
      </c>
      <c r="B139" s="520" t="str">
        <f>CONCATENATE('3. Consumption by Rate Class'!B144,"-",'3. Consumption by Rate Class'!C144)</f>
        <v>2015-December</v>
      </c>
      <c r="C139" s="695">
        <v>7532024</v>
      </c>
      <c r="D139" s="702">
        <v>0</v>
      </c>
      <c r="E139" s="702">
        <v>-34207</v>
      </c>
      <c r="F139" s="702"/>
      <c r="G139" s="702"/>
      <c r="H139" s="703"/>
      <c r="I139" s="703"/>
      <c r="J139" s="263">
        <f t="shared" si="8"/>
        <v>7497817</v>
      </c>
      <c r="K139" s="722">
        <f>IF(K$18='5.Variables'!$B$16,+'5.Variables'!$N36,+IF(K$18='5.Variables'!$B$39,+'5.Variables'!$N59,+IF(K$18='5.Variables'!$B$62,+'5.Variables'!$N73,+IF(K$18='5.Variables'!$B$76,+'5.Variables'!$N87,+IF(K$18='5.Variables'!$B$90,+'5.Variables'!$N101,+IF(K$18='5.Variables'!$B$104,+'5.Variables'!$N115,0))))))</f>
        <v>490.1</v>
      </c>
      <c r="L139" s="722">
        <f>IF(L$18='5.Variables'!$B$16,+'5.Variables'!$N35,+IF(L$18='5.Variables'!$B$39,+'5.Variables'!$N59,+IF(L$18='5.Variables'!$B$62,+'5.Variables'!$N73,+IF(L$18='5.Variables'!$B$76,+'5.Variables'!$N87,+IF(L$18='5.Variables'!$B$90,+'5.Variables'!$N101,+IF(L$18='5.Variables'!$B$104,+'5.Variables'!$N115,0))))))</f>
        <v>0</v>
      </c>
      <c r="M139" s="722">
        <f>IF(M$18='5.Variables'!$B$16,+'5.Variables'!$N35,+IF(M$18='5.Variables'!$B$39,+'5.Variables'!$N59,+IF(M$18='5.Variables'!$B$62,+'5.Variables'!$N73,+IF(M$18='5.Variables'!$B$76,+'5.Variables'!$N87,+IF(M$18='5.Variables'!$B$90,+'5.Variables'!$N101,+IF(M$18='5.Variables'!$B$104,+'5.Variables'!$N115,0))))))</f>
        <v>31</v>
      </c>
      <c r="N139" s="722">
        <f>IF(N$18='5.Variables'!$B$16,+'5.Variables'!$N35,+IF(N$18='5.Variables'!$B$39,+'5.Variables'!$N59,+IF(N$18='5.Variables'!$B$62,+'5.Variables'!$N73,+IF(N$18='5.Variables'!$B$76,+'5.Variables'!$N87,+IF(N$18='5.Variables'!$B$90,+'5.Variables'!$N101,+IF(N$18='5.Variables'!$B$104,+'5.Variables'!$N115,0))))))</f>
        <v>373.7</v>
      </c>
      <c r="O139" s="722">
        <f>IF(O$18='5.Variables'!$B$16,+'5.Variables'!$N35,+IF(O$18='5.Variables'!$B$39,+'5.Variables'!$N59,+IF(O$18='5.Variables'!$B$62,+'5.Variables'!$N73,+IF(O$18='5.Variables'!$B$76,+'5.Variables'!$N87,+IF(O$18='5.Variables'!$B$90,+'5.Variables'!$N101,+IF(O$18='5.Variables'!$B$104,+'5.Variables'!$N115,0))))))</f>
        <v>8.4700000000000006</v>
      </c>
      <c r="P139" s="983">
        <f>IF(P$18='5.Variables'!$B$16,+'5.Variables'!$N35,+IF(P$18='5.Variables'!$B$39,+'5.Variables'!$N59,+IF(P$18='5.Variables'!$B$62,+'5.Variables'!$N73,+IF(P$18='5.Variables'!$B$76,+'5.Variables'!$N87,+IF(P$18='5.Variables'!$B$90,+'5.Variables'!$N101,+IF(P$18='5.Variables'!$B$104,+'5.Variables'!$N115,0))))))</f>
        <v>1</v>
      </c>
      <c r="Q139" s="245"/>
      <c r="R139" s="556">
        <f t="shared" si="9"/>
        <v>7755889.5467941891</v>
      </c>
      <c r="S139" s="265">
        <f>SUM(R128:R139)</f>
        <v>90106871.447792977</v>
      </c>
      <c r="T139" s="245"/>
      <c r="U139" s="245"/>
      <c r="V139" s="245"/>
      <c r="W139" s="245"/>
      <c r="X139" s="245"/>
      <c r="Y139" s="245"/>
      <c r="Z139" s="245"/>
      <c r="AA139" s="245"/>
      <c r="AB139" s="245"/>
      <c r="AC139" s="245"/>
      <c r="AD139" s="245"/>
      <c r="AE139" s="245"/>
      <c r="AF139" s="245"/>
      <c r="AG139" s="245"/>
      <c r="AH139" s="245"/>
      <c r="AI139" s="245"/>
      <c r="AJ139" s="245"/>
      <c r="AK139" s="245"/>
      <c r="AL139" s="245"/>
      <c r="AM139" s="245"/>
    </row>
    <row r="140" spans="1:39" x14ac:dyDescent="0.2">
      <c r="A140" s="501">
        <f t="shared" si="10"/>
        <v>121</v>
      </c>
      <c r="B140" s="262" t="str">
        <f>CONCATENATE('3. Consumption by Rate Class'!B145,"-",'3. Consumption by Rate Class'!C145)</f>
        <v>2016-January</v>
      </c>
      <c r="C140" s="696"/>
      <c r="D140" s="700"/>
      <c r="E140" s="700"/>
      <c r="F140" s="700"/>
      <c r="G140" s="700"/>
      <c r="H140" s="701"/>
      <c r="I140" s="701"/>
      <c r="J140" s="263"/>
      <c r="K140" s="741">
        <f>IF(K$19=$B$169,+AVERAGE(K20,K32,K44,K56,K68,K80,K92,K104,K116,K128),+IF(K$19=$B$170,+(EXP((LN(+'4. Customer Growth'!$W$42)/12))*$K139),IF($K$19=$B$171,+$A140*$C$176+$D$176,0)))</f>
        <v>839.08999999999992</v>
      </c>
      <c r="L140" s="741">
        <f>IF(L$19=$B$169,+AVERAGE(L20,L32,L44,L56,L68,L80,L92,L104,L116,L128),+IF(L$19=$B$170,+(EXP((LN(+'4. Customer Growth'!$W$42)/12))*$K139),IF($L$19=$B$171,+$A140*$C$177+$D$177,0)))</f>
        <v>0</v>
      </c>
      <c r="M140" s="741">
        <f>IF(M$19=$B$169,+AVERAGE(M20,M32,M44,M56,M68,M80,M92,M104,M116,M128),+IF(M$19=$B$170,+(EXP((LN(+'4. Customer Growth'!$W$42)/12))*$K139),IF($M$19=$B$171,+$A140*$C$178+$D$178,0)))</f>
        <v>31</v>
      </c>
      <c r="N140" s="741">
        <f>IF(N$19=$B$169,+AVERAGE(N20,N32,N44,N56,N68,N80,N92,N104,N116,N128),+IF(N$19=$B$170,+(EXP((LN(+'4. Customer Growth'!$W$42)/12))*$K139),IF($N$19=$B$171,+$A140*$C$179+$D$179,0)))</f>
        <v>375.11787114845936</v>
      </c>
      <c r="O140" s="741">
        <f>IF(O$19=$B$169,+AVERAGE(O20,O32,O44,O56,O68,O80,O92,O104,O116,O128),+IF(O$19=$B$170,+(EXP((LN(+'4. Customer Growth'!$W$42)/12))*$O139),IF($O$19=$B$171,+$A140*$C$180+$D$180,0)))</f>
        <v>9.0900000000000016</v>
      </c>
      <c r="P140" s="984">
        <f>IF(P$19=$B$169,+AVERAGE(P20,P32,P44,P56,P68,P80,P92,P104,P116,P128),+IF(P$19=$B$170,+(EXP((LN(+'4. Customer Growth'!$W$42)/12))*$P139),IF($P$19=$B$171,+$A140*$C$181+$D$181,0)))</f>
        <v>1</v>
      </c>
      <c r="Q140" s="245"/>
      <c r="R140" s="556">
        <f t="shared" si="9"/>
        <v>8829929.4431054816</v>
      </c>
      <c r="S140" s="265"/>
      <c r="T140" s="245"/>
      <c r="U140" s="245"/>
      <c r="V140" s="245"/>
      <c r="W140" s="245"/>
      <c r="X140" s="245"/>
      <c r="Y140" s="245"/>
      <c r="Z140" s="245"/>
      <c r="AA140" s="245"/>
      <c r="AB140" s="245"/>
      <c r="AC140" s="245"/>
      <c r="AD140" s="245"/>
      <c r="AE140" s="245"/>
      <c r="AF140" s="245"/>
      <c r="AG140" s="245"/>
      <c r="AH140" s="245"/>
      <c r="AI140" s="245"/>
      <c r="AJ140" s="245"/>
      <c r="AK140" s="245"/>
      <c r="AL140" s="245"/>
      <c r="AM140" s="245"/>
    </row>
    <row r="141" spans="1:39" x14ac:dyDescent="0.2">
      <c r="A141" s="501">
        <f t="shared" si="10"/>
        <v>122</v>
      </c>
      <c r="B141" s="262" t="str">
        <f>CONCATENATE('3. Consumption by Rate Class'!B146,"-",'3. Consumption by Rate Class'!C146)</f>
        <v>2016-February</v>
      </c>
      <c r="C141" s="696"/>
      <c r="D141" s="700"/>
      <c r="E141" s="700"/>
      <c r="F141" s="700"/>
      <c r="G141" s="700"/>
      <c r="H141" s="701"/>
      <c r="I141" s="701"/>
      <c r="J141" s="263"/>
      <c r="K141" s="741">
        <f>IF(K$19=$B$169,+AVERAGE(K21,K33,K45,K57,K69,K81,K93,K105,K117,K129),+IF(K$19=$B$170,+(EXP((LN(+'4. Customer Growth'!$W$42)/12))*$K140),IF($K$19=$B$171,+$A141*$C$176+$D$176,0)))</f>
        <v>754.18000000000006</v>
      </c>
      <c r="L141" s="741">
        <f>IF(L$19=$B$169,+AVERAGE(L21,L33,L45,L57,L69,L81,L93,L105,L117,L129),+IF(L$19=$B$170,+(EXP((LN(+'4. Customer Growth'!$W$42)/12))*$K140),IF($L$19=$B$171,+$A141*$C$177+$D$177,0)))</f>
        <v>0</v>
      </c>
      <c r="M141" s="741">
        <f>IF(M$19=$B$169,+AVERAGE(M21,M33,M45,M57,M69,M81,M93,M105,M117,M129),+IF(M$19=$B$170,+(EXP((LN(+'4. Customer Growth'!$W$42)/12))*$K140),IF($M$19=$B$171,+$A141*$C$178+$D$178,0)))</f>
        <v>28.2</v>
      </c>
      <c r="N141" s="741">
        <f>IF(N$19=$B$169,+AVERAGE(N21,N33,N45,N57,N69,N81,N93,N105,N117,N129),+IF(N$19=$B$170,+(EXP((LN(+'4. Customer Growth'!$W$42)/12))*$K140),IF($N$19=$B$171,+$A141*$C$179+$D$179,0)))</f>
        <v>375.28141722804821</v>
      </c>
      <c r="O141" s="741">
        <f>IF(O$19=$B$169,+AVERAGE(O21,O33,O45,O57,O69,O81,O93,O105,O117,O129),+IF(O$19=$B$170,+(EXP((LN(+'4. Customer Growth'!$W$42)/12))*$O140),IF($O$19=$B$171,+$A141*$C$180+$D$180,0)))</f>
        <v>10.19</v>
      </c>
      <c r="P141" s="984">
        <f>IF(P$19=$B$169,+AVERAGE(P21,P33,P45,P57,P69,P81,P93,P105,P117,P129),+IF(P$19=$B$170,+(EXP((LN(+'4. Customer Growth'!$W$42)/12))*$P140),IF($P$19=$B$171,+$A141*$C$181+$D$181,0)))</f>
        <v>0</v>
      </c>
      <c r="Q141" s="245"/>
      <c r="R141" s="556">
        <f t="shared" si="9"/>
        <v>7969350.0238813497</v>
      </c>
      <c r="S141" s="265"/>
      <c r="T141" s="245"/>
      <c r="U141" s="245"/>
      <c r="V141" s="245"/>
      <c r="W141" s="245"/>
      <c r="X141" s="245"/>
      <c r="Y141" s="245"/>
      <c r="Z141" s="245"/>
      <c r="AA141" s="245"/>
      <c r="AB141" s="245"/>
      <c r="AC141" s="245"/>
      <c r="AD141" s="245"/>
      <c r="AE141" s="245"/>
      <c r="AF141" s="245"/>
      <c r="AG141" s="245"/>
      <c r="AH141" s="245"/>
      <c r="AI141" s="245"/>
      <c r="AJ141" s="245"/>
      <c r="AK141" s="245"/>
      <c r="AL141" s="245"/>
      <c r="AM141" s="245"/>
    </row>
    <row r="142" spans="1:39" x14ac:dyDescent="0.2">
      <c r="A142" s="501">
        <f t="shared" si="10"/>
        <v>123</v>
      </c>
      <c r="B142" s="262" t="str">
        <f>CONCATENATE('3. Consumption by Rate Class'!B147,"-",'3. Consumption by Rate Class'!C147)</f>
        <v>2016-March</v>
      </c>
      <c r="C142" s="696"/>
      <c r="D142" s="700"/>
      <c r="E142" s="700"/>
      <c r="F142" s="700"/>
      <c r="G142" s="700"/>
      <c r="H142" s="701"/>
      <c r="I142" s="701"/>
      <c r="J142" s="263"/>
      <c r="K142" s="741">
        <f>IF(K$19=$B$169,+AVERAGE(K22,K34,K46,K58,K70,K82,K94,K106,K118,K130),+IF(K$19=$B$170,+(EXP((LN(+'4. Customer Growth'!$W$42)/12))*$K141),IF($K$19=$B$171,+$A142*$C$176+$D$176,0)))</f>
        <v>622.56999999999994</v>
      </c>
      <c r="L142" s="741">
        <f>IF(L$19=$B$169,+AVERAGE(L22,L34,L46,L58,L70,L82,L94,L106,L118,L130),+IF(L$19=$B$170,+(EXP((LN(+'4. Customer Growth'!$W$42)/12))*$K141),IF($L$19=$B$171,+$A142*$C$177+$D$177,0)))</f>
        <v>0</v>
      </c>
      <c r="M142" s="741">
        <f>IF(M$19=$B$169,+AVERAGE(M22,M34,M46,M58,M70,M82,M94,M106,M118,M130),+IF(M$19=$B$170,+(EXP((LN(+'4. Customer Growth'!$W$42)/12))*$K141),IF($M$19=$B$171,+$A142*$C$178+$D$178,0)))</f>
        <v>31</v>
      </c>
      <c r="N142" s="741">
        <f>IF(N$19=$B$169,+AVERAGE(N22,N34,N46,N58,N70,N82,N94,N106,N118,N130),+IF(N$19=$B$170,+(EXP((LN(+'4. Customer Growth'!$W$42)/12))*$K141),IF($N$19=$B$171,+$A142*$C$179+$D$179,0)))</f>
        <v>375.44496330763707</v>
      </c>
      <c r="O142" s="741">
        <f>IF(O$19=$B$169,+AVERAGE(O22,O34,O46,O58,O70,O82,O94,O106,O118,O130),+IF(O$19=$B$170,+(EXP((LN(+'4. Customer Growth'!$W$42)/12))*$O141),IF($O$19=$B$171,+$A142*$C$180+$D$180,0)))</f>
        <v>11.510000000000002</v>
      </c>
      <c r="P142" s="984">
        <f>IF(P$19=$B$169,+AVERAGE(P22,P34,P46,P58,P70,P82,P94,P106,P118,P130),+IF(P$19=$B$170,+(EXP((LN(+'4. Customer Growth'!$W$42)/12))*$P141),IF($P$19=$B$171,+$A142*$C$181+$D$181,0)))</f>
        <v>1</v>
      </c>
      <c r="Q142" s="245"/>
      <c r="R142" s="556">
        <f t="shared" si="9"/>
        <v>8050878.2570039025</v>
      </c>
      <c r="S142" s="265"/>
      <c r="T142" s="245"/>
      <c r="U142" s="245"/>
      <c r="V142" s="245"/>
      <c r="W142" s="245"/>
      <c r="X142" s="245"/>
      <c r="Y142" s="245"/>
      <c r="Z142" s="245"/>
      <c r="AA142" s="245"/>
      <c r="AB142" s="245"/>
      <c r="AC142" s="245"/>
      <c r="AD142" s="245"/>
      <c r="AE142" s="245"/>
      <c r="AF142" s="245"/>
      <c r="AG142" s="245"/>
      <c r="AH142" s="245"/>
      <c r="AI142" s="245"/>
      <c r="AJ142" s="245"/>
      <c r="AK142" s="245"/>
      <c r="AL142" s="245"/>
      <c r="AM142" s="245"/>
    </row>
    <row r="143" spans="1:39" x14ac:dyDescent="0.2">
      <c r="A143" s="501">
        <f t="shared" si="10"/>
        <v>124</v>
      </c>
      <c r="B143" s="262" t="str">
        <f>CONCATENATE('3. Consumption by Rate Class'!B148,"-",'3. Consumption by Rate Class'!C148)</f>
        <v>2016-April</v>
      </c>
      <c r="C143" s="696"/>
      <c r="D143" s="700"/>
      <c r="E143" s="700"/>
      <c r="F143" s="700"/>
      <c r="G143" s="700"/>
      <c r="H143" s="701"/>
      <c r="I143" s="701"/>
      <c r="J143" s="263"/>
      <c r="K143" s="741">
        <f>IF(K$19=$B$169,+AVERAGE(K23,K35,K47,K59,K71,K83,K95,K107,K119,K131),+IF(K$19=$B$170,+(EXP((LN(+'4. Customer Growth'!$W$42)/12))*$K142),IF($K$19=$B$171,+$A143*$C$176+$D$176,0)))</f>
        <v>324.82</v>
      </c>
      <c r="L143" s="741">
        <f>IF(L$19=$B$169,+AVERAGE(L23,L35,L47,L59,L71,L83,L95,L107,L119,L131),+IF(L$19=$B$170,+(EXP((LN(+'4. Customer Growth'!$W$42)/12))*$K142),IF($L$19=$B$171,+$A143*$C$177+$D$177,0)))</f>
        <v>0.55999999999999994</v>
      </c>
      <c r="M143" s="741">
        <f>IF(M$19=$B$169,+AVERAGE(M23,M35,M47,M59,M71,M83,M95,M107,M119,M131),+IF(M$19=$B$170,+(EXP((LN(+'4. Customer Growth'!$W$42)/12))*$K142),IF($M$19=$B$171,+$A143*$C$178+$D$178,0)))</f>
        <v>30</v>
      </c>
      <c r="N143" s="741">
        <f>IF(N$19=$B$169,+AVERAGE(N23,N35,N47,N59,N71,N83,N95,N107,N119,N131),+IF(N$19=$B$170,+(EXP((LN(+'4. Customer Growth'!$W$42)/12))*$K142),IF($N$19=$B$171,+$A143*$C$179+$D$179,0)))</f>
        <v>375.60850938722592</v>
      </c>
      <c r="O143" s="741">
        <f>IF(O$19=$B$169,+AVERAGE(O23,O35,O47,O59,O71,O83,O95,O107,O119,O131),+IF(O$19=$B$170,+(EXP((LN(+'4. Customer Growth'!$W$42)/12))*$O142),IF($O$19=$B$171,+$A143*$C$180+$D$180,0)))</f>
        <v>13.279999999999998</v>
      </c>
      <c r="P143" s="984">
        <f>IF(P$19=$B$169,+AVERAGE(P23,P35,P47,P59,P71,P83,P95,P107,P119,P131),+IF(P$19=$B$170,+(EXP((LN(+'4. Customer Growth'!$W$42)/12))*$P142),IF($P$19=$B$171,+$A143*$C$181+$D$181,0)))</f>
        <v>0</v>
      </c>
      <c r="Q143" s="245"/>
      <c r="R143" s="556">
        <f t="shared" si="9"/>
        <v>6845995.3334786268</v>
      </c>
      <c r="S143" s="265"/>
      <c r="T143" s="245"/>
      <c r="U143" s="245"/>
      <c r="V143" s="245"/>
      <c r="W143" s="245"/>
      <c r="X143" s="245"/>
      <c r="Y143" s="245"/>
      <c r="Z143" s="245"/>
      <c r="AA143" s="245"/>
      <c r="AB143" s="245"/>
      <c r="AC143" s="245"/>
      <c r="AD143" s="245"/>
      <c r="AE143" s="245"/>
      <c r="AF143" s="245"/>
      <c r="AG143" s="245"/>
      <c r="AH143" s="245"/>
      <c r="AI143" s="245"/>
      <c r="AJ143" s="245"/>
      <c r="AK143" s="245"/>
      <c r="AL143" s="245"/>
      <c r="AM143" s="245"/>
    </row>
    <row r="144" spans="1:39" x14ac:dyDescent="0.2">
      <c r="A144" s="501">
        <f t="shared" si="10"/>
        <v>125</v>
      </c>
      <c r="B144" s="262" t="str">
        <f>CONCATENATE('3. Consumption by Rate Class'!B149,"-",'3. Consumption by Rate Class'!C149)</f>
        <v>2016-May</v>
      </c>
      <c r="C144" s="696"/>
      <c r="D144" s="700"/>
      <c r="E144" s="700"/>
      <c r="F144" s="700"/>
      <c r="G144" s="700"/>
      <c r="H144" s="701"/>
      <c r="I144" s="701"/>
      <c r="J144" s="263"/>
      <c r="K144" s="741">
        <f>IF(K$19=$B$169,+AVERAGE(K24,K36,K48,K60,K72,K84,K96,K108,K120,K132),+IF(K$19=$B$170,+(EXP((LN(+'4. Customer Growth'!$W$42)/12))*$K143),IF($K$19=$B$171,+$A144*$C$176+$D$176,0)))</f>
        <v>129.66999999999999</v>
      </c>
      <c r="L144" s="741">
        <f>IF(L$19=$B$169,+AVERAGE(L24,L36,L48,L60,L72,L84,L96,L108,L120,L132),+IF(L$19=$B$170,+(EXP((LN(+'4. Customer Growth'!$W$42)/12))*$K143),IF($L$19=$B$171,+$A144*$C$177+$D$177,0)))</f>
        <v>15.25</v>
      </c>
      <c r="M144" s="741">
        <f>IF(M$19=$B$169,+AVERAGE(M24,M36,M48,M60,M72,M84,M96,M108,M120,M132),+IF(M$19=$B$170,+(EXP((LN(+'4. Customer Growth'!$W$42)/12))*$K143),IF($M$19=$B$171,+$A144*$C$178+$D$178,0)))</f>
        <v>31</v>
      </c>
      <c r="N144" s="741">
        <f>IF(N$19=$B$169,+AVERAGE(N24,N36,N48,N60,N72,N84,N96,N108,N120,N132),+IF(N$19=$B$170,+(EXP((LN(+'4. Customer Growth'!$W$42)/12))*$K143),IF($N$19=$B$171,+$A144*$C$179+$D$179,0)))</f>
        <v>375.77205546681478</v>
      </c>
      <c r="O144" s="741">
        <f>IF(O$19=$B$169,+AVERAGE(O24,O36,O48,O60,O72,O84,O96,O108,O120,O132),+IF(O$19=$B$170,+(EXP((LN(+'4. Customer Growth'!$W$42)/12))*$O143),IF($O$19=$B$171,+$A144*$C$180+$D$180,0)))</f>
        <v>14.52</v>
      </c>
      <c r="P144" s="984">
        <f>IF(P$19=$B$169,+AVERAGE(P24,P36,P48,P60,P72,P84,P96,P108,P120,P132),+IF(P$19=$B$170,+(EXP((LN(+'4. Customer Growth'!$W$42)/12))*$P143),IF($P$19=$B$171,+$A144*$C$181+$D$181,0)))</f>
        <v>0</v>
      </c>
      <c r="Q144" s="245"/>
      <c r="R144" s="556">
        <f t="shared" si="9"/>
        <v>6612945.469282913</v>
      </c>
      <c r="S144" s="265"/>
      <c r="T144" s="245"/>
      <c r="U144" s="245"/>
      <c r="V144" s="245"/>
      <c r="W144" s="245"/>
      <c r="X144" s="245"/>
      <c r="Y144" s="245"/>
      <c r="Z144" s="245"/>
      <c r="AA144" s="245"/>
      <c r="AB144" s="245"/>
      <c r="AC144" s="245"/>
      <c r="AD144" s="245"/>
      <c r="AE144" s="245"/>
      <c r="AF144" s="245"/>
      <c r="AG144" s="245"/>
      <c r="AH144" s="245"/>
      <c r="AI144" s="245"/>
      <c r="AJ144" s="245"/>
      <c r="AK144" s="245"/>
      <c r="AL144" s="245"/>
      <c r="AM144" s="245"/>
    </row>
    <row r="145" spans="1:39" x14ac:dyDescent="0.2">
      <c r="A145" s="501">
        <f t="shared" si="10"/>
        <v>126</v>
      </c>
      <c r="B145" s="262" t="str">
        <f>CONCATENATE('3. Consumption by Rate Class'!B150,"-",'3. Consumption by Rate Class'!C150)</f>
        <v>2016-June</v>
      </c>
      <c r="C145" s="696"/>
      <c r="D145" s="700"/>
      <c r="E145" s="700"/>
      <c r="F145" s="700"/>
      <c r="G145" s="700"/>
      <c r="H145" s="701"/>
      <c r="I145" s="701"/>
      <c r="J145" s="263"/>
      <c r="K145" s="741">
        <f>IF(K$19=$B$169,+AVERAGE(K25,K37,K49,K61,K73,K85,K97,K109,K121,K133),+IF(K$19=$B$170,+(EXP((LN(+'4. Customer Growth'!$W$42)/12))*$K144),IF($K$19=$B$171,+$A145*$C$176+$D$176,0)))</f>
        <v>32.550000000000004</v>
      </c>
      <c r="L145" s="741">
        <f>IF(L$19=$B$169,+AVERAGE(L25,L37,L49,L61,L73,L85,L97,L109,L121,L133),+IF(L$19=$B$170,+(EXP((LN(+'4. Customer Growth'!$W$42)/12))*$K144),IF($L$19=$B$171,+$A145*$C$177+$D$177,0)))</f>
        <v>47.040000000000006</v>
      </c>
      <c r="M145" s="741">
        <f>IF(M$19=$B$169,+AVERAGE(M25,M37,M49,M61,M73,M85,M97,M109,M121,M133),+IF(M$19=$B$170,+(EXP((LN(+'4. Customer Growth'!$W$42)/12))*$K144),IF($M$19=$B$171,+$A145*$C$178+$D$178,0)))</f>
        <v>30</v>
      </c>
      <c r="N145" s="741">
        <f>IF(N$19=$B$169,+AVERAGE(N25,N37,N49,N61,N73,N85,N97,N109,N121,N133),+IF(N$19=$B$170,+(EXP((LN(+'4. Customer Growth'!$W$42)/12))*$K144),IF($N$19=$B$171,+$A145*$C$179+$D$179,0)))</f>
        <v>375.93560154640363</v>
      </c>
      <c r="O145" s="741">
        <f>IF(O$19=$B$169,+AVERAGE(O25,O37,O49,O61,O73,O85,O97,O109,O121,O133),+IF(O$19=$B$170,+(EXP((LN(+'4. Customer Growth'!$W$42)/12))*$O144),IF($O$19=$B$171,+$A145*$C$180+$D$180,0)))</f>
        <v>15.349999999999998</v>
      </c>
      <c r="P145" s="984">
        <f>IF(P$19=$B$169,+AVERAGE(P25,P37,P49,P61,P73,P85,P97,P109,P121,P133),+IF(P$19=$B$170,+(EXP((LN(+'4. Customer Growth'!$W$42)/12))*$P144),IF($P$19=$B$171,+$A145*$C$181+$D$181,0)))</f>
        <v>0</v>
      </c>
      <c r="Q145" s="245"/>
      <c r="R145" s="556">
        <f t="shared" si="9"/>
        <v>6596898.9640382258</v>
      </c>
      <c r="S145" s="265"/>
      <c r="T145" s="245"/>
      <c r="U145" s="245"/>
      <c r="V145" s="245"/>
      <c r="W145" s="245"/>
      <c r="X145" s="276"/>
      <c r="Y145" s="245"/>
      <c r="Z145" s="245"/>
      <c r="AA145" s="245"/>
      <c r="AB145" s="245"/>
      <c r="AC145" s="245"/>
      <c r="AD145" s="245"/>
      <c r="AE145" s="245"/>
      <c r="AF145" s="245"/>
      <c r="AG145" s="245"/>
      <c r="AH145" s="245"/>
      <c r="AI145" s="245"/>
      <c r="AJ145" s="245"/>
      <c r="AK145" s="245"/>
      <c r="AL145" s="245"/>
      <c r="AM145" s="245"/>
    </row>
    <row r="146" spans="1:39" x14ac:dyDescent="0.2">
      <c r="A146" s="501">
        <f t="shared" si="10"/>
        <v>127</v>
      </c>
      <c r="B146" s="262" t="str">
        <f>CONCATENATE('3. Consumption by Rate Class'!B151,"-",'3. Consumption by Rate Class'!C151)</f>
        <v>2016-July</v>
      </c>
      <c r="C146" s="696"/>
      <c r="D146" s="700"/>
      <c r="E146" s="700"/>
      <c r="F146" s="700"/>
      <c r="G146" s="700"/>
      <c r="H146" s="701"/>
      <c r="I146" s="701"/>
      <c r="J146" s="263"/>
      <c r="K146" s="741">
        <f>IF(K$19=$B$169,+AVERAGE(K26,K38,K50,K62,K74,K86,K98,K110,K122,K134),+IF(K$19=$B$170,+(EXP((LN(+'4. Customer Growth'!$W$42)/12))*$K145),IF($K$19=$B$171,+$A146*$C$176+$D$176,0)))</f>
        <v>5.85</v>
      </c>
      <c r="L146" s="741">
        <f>IF(L$19=$B$169,+AVERAGE(L26,L38,L50,L62,L74,L86,L98,L110,L122,L134),+IF(L$19=$B$170,+(EXP((LN(+'4. Customer Growth'!$W$42)/12))*$K145),IF($L$19=$B$171,+$A146*$C$177+$D$177,0)))</f>
        <v>97.839999999999989</v>
      </c>
      <c r="M146" s="741">
        <f>IF(M$19=$B$169,+AVERAGE(M26,M38,M50,M62,M74,M86,M98,M110,M122,M134),+IF(M$19=$B$170,+(EXP((LN(+'4. Customer Growth'!$W$42)/12))*$K145),IF($M$19=$B$171,+$A146*$C$178+$D$178,0)))</f>
        <v>31</v>
      </c>
      <c r="N146" s="741">
        <f>IF(N$19=$B$169,+AVERAGE(N26,N38,N50,N62,N74,N86,N98,N110,N122,N134),+IF(N$19=$B$170,+(EXP((LN(+'4. Customer Growth'!$W$42)/12))*$K145),IF($N$19=$B$171,+$A146*$C$179+$D$179,0)))</f>
        <v>376.09914762599249</v>
      </c>
      <c r="O146" s="741">
        <f>IF(O$19=$B$169,+AVERAGE(O26,O38,O50,O62,O74,O86,O98,O110,O122,O134),+IF(O$19=$B$170,+(EXP((LN(+'4. Customer Growth'!$W$42)/12))*$O145),IF($O$19=$B$171,+$A146*$C$180+$D$180,0)))</f>
        <v>15.150000000000002</v>
      </c>
      <c r="P146" s="984">
        <f>IF(P$19=$B$169,+AVERAGE(P26,P38,P50,P62,P74,P86,P98,P110,P122,P134),+IF(P$19=$B$170,+(EXP((LN(+'4. Customer Growth'!$W$42)/12))*$P145),IF($P$19=$B$171,+$A146*$C$181+$D$181,0)))</f>
        <v>1</v>
      </c>
      <c r="Q146" s="245"/>
      <c r="R146" s="556">
        <f t="shared" si="9"/>
        <v>7544077.1929547293</v>
      </c>
      <c r="S146" s="265"/>
      <c r="T146" s="245"/>
      <c r="U146" s="245"/>
      <c r="V146" s="245"/>
      <c r="W146" s="245"/>
      <c r="X146" s="245"/>
      <c r="Y146" s="245"/>
      <c r="Z146" s="245"/>
      <c r="AA146" s="245"/>
      <c r="AB146" s="245"/>
      <c r="AC146" s="245"/>
      <c r="AD146" s="245"/>
      <c r="AE146" s="245"/>
      <c r="AF146" s="245"/>
      <c r="AG146" s="245"/>
      <c r="AH146" s="245"/>
      <c r="AI146" s="245"/>
      <c r="AJ146" s="245"/>
      <c r="AK146" s="245"/>
      <c r="AL146" s="245"/>
      <c r="AM146" s="245"/>
    </row>
    <row r="147" spans="1:39" x14ac:dyDescent="0.2">
      <c r="A147" s="501">
        <f t="shared" si="10"/>
        <v>128</v>
      </c>
      <c r="B147" s="262" t="str">
        <f>CONCATENATE('3. Consumption by Rate Class'!B152,"-",'3. Consumption by Rate Class'!C152)</f>
        <v>2016-August</v>
      </c>
      <c r="C147" s="696"/>
      <c r="D147" s="700"/>
      <c r="E147" s="700"/>
      <c r="F147" s="700"/>
      <c r="G147" s="700"/>
      <c r="H147" s="701"/>
      <c r="I147" s="701"/>
      <c r="J147" s="263"/>
      <c r="K147" s="741">
        <f>IF(K$19=$B$169,+AVERAGE(K27,K39,K51,K63,K75,K87,K99,K111,K123,K135),+IF(K$19=$B$170,+(EXP((LN(+'4. Customer Growth'!$W$42)/12))*$K146),IF($K$19=$B$171,+$A147*$C$176+$D$176,0)))</f>
        <v>15.76</v>
      </c>
      <c r="L147" s="741">
        <f>IF(L$19=$B$169,+AVERAGE(L27,L39,L51,L63,L75,L87,L99,L111,L123,L135),+IF(L$19=$B$170,+(EXP((LN(+'4. Customer Growth'!$W$42)/12))*$K146),IF($L$19=$B$171,+$A147*$C$177+$D$177,0)))</f>
        <v>67.23</v>
      </c>
      <c r="M147" s="741">
        <f>IF(M$19=$B$169,+AVERAGE(M27,M39,M51,M63,M75,M87,M99,M111,M123,M135),+IF(M$19=$B$170,+(EXP((LN(+'4. Customer Growth'!$W$42)/12))*$K146),IF($M$19=$B$171,+$A147*$C$178+$D$178,0)))</f>
        <v>31</v>
      </c>
      <c r="N147" s="741">
        <f>IF(N$19=$B$169,+AVERAGE(N27,N39,N51,N63,N75,N87,N99,N111,N123,N135),+IF(N$19=$B$170,+(EXP((LN(+'4. Customer Growth'!$W$42)/12))*$K146),IF($N$19=$B$171,+$A147*$C$179+$D$179,0)))</f>
        <v>376.26269370558134</v>
      </c>
      <c r="O147" s="741">
        <f>IF(O$19=$B$169,+AVERAGE(O27,O39,O51,O63,O75,O87,O99,O111,O123,O135),+IF(O$19=$B$170,+(EXP((LN(+'4. Customer Growth'!$W$42)/12))*$O146),IF($O$19=$B$171,+$A147*$C$180+$D$180,0)))</f>
        <v>14.029999999999998</v>
      </c>
      <c r="P147" s="984">
        <f>IF(P$19=$B$169,+AVERAGE(P27,P39,P51,P63,P75,P87,P99,P111,P123,P135),+IF(P$19=$B$170,+(EXP((LN(+'4. Customer Growth'!$W$42)/12))*$P146),IF($P$19=$B$171,+$A147*$C$181+$D$181,0)))</f>
        <v>0</v>
      </c>
      <c r="Q147" s="245"/>
      <c r="R147" s="556">
        <f t="shared" si="9"/>
        <v>7102816.0718692672</v>
      </c>
      <c r="S147" s="265"/>
      <c r="T147" s="245"/>
      <c r="U147" s="245"/>
      <c r="V147" s="245"/>
      <c r="W147" s="245"/>
      <c r="X147" s="245"/>
      <c r="Y147" s="245"/>
      <c r="Z147" s="245"/>
      <c r="AA147" s="245"/>
      <c r="AB147" s="245"/>
      <c r="AC147" s="245"/>
      <c r="AD147" s="245"/>
      <c r="AE147" s="245"/>
      <c r="AF147" s="245"/>
      <c r="AG147" s="245"/>
      <c r="AH147" s="245"/>
      <c r="AI147" s="245"/>
      <c r="AJ147" s="245"/>
      <c r="AK147" s="245"/>
      <c r="AL147" s="245"/>
      <c r="AM147" s="245"/>
    </row>
    <row r="148" spans="1:39" x14ac:dyDescent="0.2">
      <c r="A148" s="501">
        <f t="shared" si="10"/>
        <v>129</v>
      </c>
      <c r="B148" s="262" t="str">
        <f>CONCATENATE('3. Consumption by Rate Class'!B153,"-",'3. Consumption by Rate Class'!C153)</f>
        <v>2016-September</v>
      </c>
      <c r="C148" s="696"/>
      <c r="D148" s="700"/>
      <c r="E148" s="700"/>
      <c r="F148" s="700"/>
      <c r="G148" s="700"/>
      <c r="H148" s="701"/>
      <c r="I148" s="701"/>
      <c r="J148" s="263"/>
      <c r="K148" s="741">
        <f>IF(K$19=$B$169,+AVERAGE(K28,K40,K52,K64,K76,K88,K100,K112,K124,K136),+IF(K$19=$B$170,+(EXP((LN(+'4. Customer Growth'!$W$42)/12))*$K147),IF($K$19=$B$171,+$A148*$C$176+$D$176,0)))</f>
        <v>99.359999999999985</v>
      </c>
      <c r="L148" s="741">
        <f>IF(L$19=$B$169,+AVERAGE(L28,L40,L52,L64,L76,L88,L100,L112,L124,L136),+IF(L$19=$B$170,+(EXP((LN(+'4. Customer Growth'!$W$42)/12))*$K147),IF($L$19=$B$171,+$A148*$C$177+$D$177,0)))</f>
        <v>20.389999999999997</v>
      </c>
      <c r="M148" s="741">
        <f>IF(M$19=$B$169,+AVERAGE(M28,M40,M52,M64,M76,M88,M100,M112,M124,M136),+IF(M$19=$B$170,+(EXP((LN(+'4. Customer Growth'!$W$42)/12))*$K147),IF($M$19=$B$171,+$A148*$C$178+$D$178,0)))</f>
        <v>30</v>
      </c>
      <c r="N148" s="741">
        <f>IF(N$19=$B$169,+AVERAGE(N28,N40,N52,N64,N76,N88,N100,N112,N124,N136),+IF(N$19=$B$170,+(EXP((LN(+'4. Customer Growth'!$W$42)/12))*$K147),IF($N$19=$B$171,+$A148*$C$179+$D$179,0)))</f>
        <v>376.42623978517025</v>
      </c>
      <c r="O148" s="741">
        <f>IF(O$19=$B$169,+AVERAGE(O28,O40,O52,O64,O76,O88,O100,O112,O124,O136),+IF(O$19=$B$170,+(EXP((LN(+'4. Customer Growth'!$W$42)/12))*$O147),IF($O$19=$B$171,+$A148*$C$180+$D$180,0)))</f>
        <v>12.289999999999997</v>
      </c>
      <c r="P148" s="984">
        <f>IF(P$19=$B$169,+AVERAGE(P28,P40,P52,P64,P76,P88,P100,P112,P124,P136),+IF(P$19=$B$170,+(EXP((LN(+'4. Customer Growth'!$W$42)/12))*$P147),IF($P$19=$B$171,+$A148*$C$181+$D$181,0)))</f>
        <v>0</v>
      </c>
      <c r="Q148" s="245"/>
      <c r="R148" s="556">
        <f t="shared" si="9"/>
        <v>6454910.310533762</v>
      </c>
      <c r="S148" s="265"/>
      <c r="T148" s="245"/>
      <c r="U148" s="245"/>
      <c r="V148" s="245"/>
      <c r="W148" s="245"/>
      <c r="X148" s="245"/>
      <c r="Y148" s="245"/>
      <c r="Z148" s="245"/>
      <c r="AA148" s="245"/>
      <c r="AB148" s="245"/>
      <c r="AC148" s="245"/>
      <c r="AD148" s="245"/>
      <c r="AE148" s="245"/>
      <c r="AF148" s="245"/>
      <c r="AG148" s="245"/>
      <c r="AH148" s="245"/>
      <c r="AI148" s="245"/>
      <c r="AJ148" s="245"/>
      <c r="AK148" s="245"/>
      <c r="AL148" s="245"/>
      <c r="AM148" s="245"/>
    </row>
    <row r="149" spans="1:39" x14ac:dyDescent="0.2">
      <c r="A149" s="501">
        <f t="shared" si="10"/>
        <v>130</v>
      </c>
      <c r="B149" s="262" t="str">
        <f>CONCATENATE('3. Consumption by Rate Class'!B154,"-",'3. Consumption by Rate Class'!C154)</f>
        <v>2016-October</v>
      </c>
      <c r="C149" s="696"/>
      <c r="D149" s="700"/>
      <c r="E149" s="700"/>
      <c r="F149" s="700"/>
      <c r="G149" s="700"/>
      <c r="H149" s="701"/>
      <c r="I149" s="701"/>
      <c r="J149" s="263"/>
      <c r="K149" s="741">
        <f>IF(K$19=$B$169,+AVERAGE(K29,K41,K53,K65,K77,K89,K101,K113,K125,K137),+IF(K$19=$B$170,+(EXP((LN(+'4. Customer Growth'!$W$42)/12))*$K148),IF($K$19=$B$171,+$A149*$C$176+$D$176,0)))</f>
        <v>272.91000000000003</v>
      </c>
      <c r="L149" s="741">
        <f>IF(L$19=$B$169,+AVERAGE(L29,L41,L53,L65,L77,L89,L101,L113,L125,L137),+IF(L$19=$B$170,+(EXP((LN(+'4. Customer Growth'!$W$42)/12))*$K148),IF($L$19=$B$171,+$A149*$C$177+$D$177,0)))</f>
        <v>0.6</v>
      </c>
      <c r="M149" s="741">
        <f>IF(M$19=$B$169,+AVERAGE(M29,M41,M53,M65,M77,M89,M101,M113,M125,M137),+IF(M$19=$B$170,+(EXP((LN(+'4. Customer Growth'!$W$42)/12))*$K148),IF($M$19=$B$171,+$A149*$C$178+$D$178,0)))</f>
        <v>31</v>
      </c>
      <c r="N149" s="741">
        <f>IF(N$19=$B$169,+AVERAGE(N29,N41,N53,N65,N77,N89,N101,N113,N125,N137),+IF(N$19=$B$170,+(EXP((LN(+'4. Customer Growth'!$W$42)/12))*$K148),IF($N$19=$B$171,+$A149*$C$179+$D$179,0)))</f>
        <v>376.58978586475911</v>
      </c>
      <c r="O149" s="741">
        <f>IF(O$19=$B$169,+AVERAGE(O29,O41,O53,O65,O77,O89,O101,O113,O125,O137),+IF(O$19=$B$170,+(EXP((LN(+'4. Customer Growth'!$W$42)/12))*$O148),IF($O$19=$B$171,+$A149*$C$180+$D$180,0)))</f>
        <v>10.510000000000002</v>
      </c>
      <c r="P149" s="984">
        <f>IF(P$19=$B$169,+AVERAGE(P29,P41,P53,P65,P77,P89,P101,P113,P125,P137),+IF(P$19=$B$170,+(EXP((LN(+'4. Customer Growth'!$W$42)/12))*$P148),IF($P$19=$B$171,+$A149*$C$181+$D$181,0)))</f>
        <v>0</v>
      </c>
      <c r="Q149" s="245"/>
      <c r="R149" s="556">
        <f t="shared" ref="R149:R162" si="11">$V$34+(K149*$V$35)+(L149*$V$36)+(M149*$V$37)+(N149*$V$38)+(O149*$V$39)</f>
        <v>6935622.8004852673</v>
      </c>
      <c r="S149" s="265"/>
      <c r="T149" s="245"/>
      <c r="U149" s="245"/>
      <c r="V149" s="245"/>
      <c r="W149" s="245"/>
      <c r="X149" s="245"/>
      <c r="Y149" s="245"/>
      <c r="Z149" s="245"/>
      <c r="AA149" s="245"/>
      <c r="AB149" s="245"/>
      <c r="AC149" s="245"/>
      <c r="AD149" s="245"/>
      <c r="AE149" s="245"/>
      <c r="AF149" s="245"/>
      <c r="AG149" s="245"/>
      <c r="AH149" s="245"/>
      <c r="AI149" s="245"/>
      <c r="AJ149" s="245"/>
      <c r="AK149" s="245"/>
      <c r="AL149" s="245"/>
      <c r="AM149" s="245"/>
    </row>
    <row r="150" spans="1:39" x14ac:dyDescent="0.2">
      <c r="A150" s="501">
        <f t="shared" ref="A150:A163" si="12">+A149+1</f>
        <v>131</v>
      </c>
      <c r="B150" s="262" t="str">
        <f>CONCATENATE('3. Consumption by Rate Class'!B155,"-",'3. Consumption by Rate Class'!C155)</f>
        <v>2016-November</v>
      </c>
      <c r="C150" s="696"/>
      <c r="D150" s="700"/>
      <c r="E150" s="700"/>
      <c r="F150" s="700"/>
      <c r="G150" s="700"/>
      <c r="H150" s="701"/>
      <c r="I150" s="701"/>
      <c r="J150" s="263"/>
      <c r="K150" s="741">
        <f>IF(K$19=$B$169,+AVERAGE(K30,K42,K54,K66,K78,K90,K102,K114,K126,K138),+IF(K$19=$B$170,+(EXP((LN(+'4. Customer Growth'!$W$42)/12))*$K149),IF($K$19=$B$171,+$A150*$C$176+$D$176,0)))</f>
        <v>456.23</v>
      </c>
      <c r="L150" s="741">
        <f>IF(L$19=$B$169,+AVERAGE(L30,L42,L54,L66,L78,L90,L102,L114,L126,L138),+IF(L$19=$B$170,+(EXP((LN(+'4. Customer Growth'!$W$42)/12))*$K149),IF($L$19=$B$171,+$A150*$C$177+$D$177,0)))</f>
        <v>0</v>
      </c>
      <c r="M150" s="741">
        <f>IF(M$19=$B$169,+AVERAGE(M30,M42,M54,M66,M78,M90,M102,M114,M126,M138),+IF(M$19=$B$170,+(EXP((LN(+'4. Customer Growth'!$W$42)/12))*$K149),IF($M$19=$B$171,+$A150*$C$178+$D$178,0)))</f>
        <v>30</v>
      </c>
      <c r="N150" s="741">
        <f>IF(N$19=$B$169,+AVERAGE(N30,N42,N54,N66,N78,N90,N102,N114,N126,N138),+IF(N$19=$B$170,+(EXP((LN(+'4. Customer Growth'!$W$42)/12))*$K149),IF($N$19=$B$171,+$A150*$C$179+$D$179,0)))</f>
        <v>376.75333194434796</v>
      </c>
      <c r="O150" s="741">
        <f>IF(O$19=$B$169,+AVERAGE(O30,O42,O54,O66,O78,O90,O102,O114,O126,O138),+IF(O$19=$B$170,+(EXP((LN(+'4. Customer Growth'!$W$42)/12))*$O149),IF($O$19=$B$171,+$A150*$C$180+$D$180,0)))</f>
        <v>9.2799999999999994</v>
      </c>
      <c r="P150" s="984">
        <f>IF(P$19=$B$169,+AVERAGE(P30,P42,P54,P66,P78,P90,P102,P114,P126,P138),+IF(P$19=$B$170,+(EXP((LN(+'4. Customer Growth'!$W$42)/12))*$P149),IF($P$19=$B$171,+$A150*$C$181+$D$181,0)))</f>
        <v>0</v>
      </c>
      <c r="Q150" s="245"/>
      <c r="R150" s="556">
        <f t="shared" si="11"/>
        <v>7354055.5959645677</v>
      </c>
      <c r="S150" s="265"/>
      <c r="T150" s="245"/>
      <c r="U150" s="245"/>
      <c r="V150" s="245"/>
      <c r="W150" s="245"/>
      <c r="X150" s="245"/>
      <c r="Y150" s="245"/>
      <c r="Z150" s="245"/>
      <c r="AA150" s="245"/>
      <c r="AB150" s="245"/>
      <c r="AC150" s="245"/>
      <c r="AD150" s="245"/>
      <c r="AE150" s="245"/>
      <c r="AF150" s="245"/>
      <c r="AG150" s="245"/>
      <c r="AH150" s="245"/>
      <c r="AI150" s="245"/>
      <c r="AJ150" s="245"/>
      <c r="AK150" s="245"/>
      <c r="AL150" s="245"/>
      <c r="AM150" s="245"/>
    </row>
    <row r="151" spans="1:39" x14ac:dyDescent="0.2">
      <c r="A151" s="501">
        <f t="shared" si="12"/>
        <v>132</v>
      </c>
      <c r="B151" s="520" t="str">
        <f>CONCATENATE('3. Consumption by Rate Class'!B156,"-",'3. Consumption by Rate Class'!C156)</f>
        <v>2016-December</v>
      </c>
      <c r="C151" s="695"/>
      <c r="D151" s="702"/>
      <c r="E151" s="702"/>
      <c r="F151" s="702"/>
      <c r="G151" s="702"/>
      <c r="H151" s="703"/>
      <c r="I151" s="703"/>
      <c r="J151" s="263"/>
      <c r="K151" s="741">
        <v>860</v>
      </c>
      <c r="L151" s="741">
        <f>IF(L$19=$B$169,+AVERAGE(L31,L43,L55,L67,L79,L91,L103,L115,L127,L139),+IF(L$19=$B$170,+(EXP((LN(+'4. Customer Growth'!$W$42)/12))*$K150),IF($L$19=$B$171,+$A151*$C$177+$D$177,0)))</f>
        <v>0</v>
      </c>
      <c r="M151" s="741">
        <f>IF(M$19=$B$169,+AVERAGE(M31,M43,M55,M67,M79,M91,M103,M115,M127,M139),+IF(M$19=$B$170,+(EXP((LN(+'4. Customer Growth'!$W$42)/12))*$K150),IF($M$19=$B$171,+$A151*$C$178+$D$178,0)))</f>
        <v>31</v>
      </c>
      <c r="N151" s="741">
        <f>IF(N$19=$B$169,+AVERAGE(N31,N43,N55,N67,N79,N91,N103,N115,N127,N139),+IF(N$19=$B$170,+(EXP((LN(+'4. Customer Growth'!$W$42)/12))*$K150),IF($N$19=$B$171,+$A151*$C$179+$D$179,0)))</f>
        <v>376.91687802393682</v>
      </c>
      <c r="O151" s="741">
        <f>IF(O$19=$B$169,+AVERAGE(O31,O43,O55,O67,O79,O91,O103,O115,O127,O139),+IF(O$19=$B$170,+(EXP((LN(+'4. Customer Growth'!$W$42)/12))*$O150),IF($O$19=$B$171,+$A151*$C$180+$D$180,0)))</f>
        <v>8.4700000000000006</v>
      </c>
      <c r="P151" s="984">
        <f>IF(P$19=$B$169,+AVERAGE(P31,P43,P55,P67,P79,P91,P103,P115,P127,P139),+IF(P$19=$B$170,+(EXP((LN(+'4. Customer Growth'!$W$42)/12))*$P150),IF($P$19=$B$171,+$A151*$C$181+$D$181,0)))</f>
        <v>1</v>
      </c>
      <c r="Q151" s="245"/>
      <c r="R151" s="556">
        <f t="shared" si="11"/>
        <v>8873675.6960135773</v>
      </c>
      <c r="S151" s="265">
        <f>SUM(R140:R151)</f>
        <v>89171155.158611655</v>
      </c>
      <c r="T151" s="245"/>
      <c r="U151" s="245"/>
      <c r="V151" s="245"/>
      <c r="W151" s="245"/>
      <c r="X151" s="245"/>
      <c r="Y151" s="245"/>
      <c r="Z151" s="245"/>
      <c r="AA151" s="245"/>
      <c r="AB151" s="245"/>
      <c r="AC151" s="245"/>
      <c r="AD151" s="245"/>
      <c r="AE151" s="245"/>
      <c r="AF151" s="245"/>
      <c r="AG151" s="245"/>
      <c r="AH151" s="245"/>
      <c r="AI151" s="245"/>
      <c r="AJ151" s="245"/>
      <c r="AK151" s="245"/>
      <c r="AL151" s="245"/>
      <c r="AM151" s="245"/>
    </row>
    <row r="152" spans="1:39" x14ac:dyDescent="0.2">
      <c r="A152" s="501">
        <f t="shared" si="12"/>
        <v>133</v>
      </c>
      <c r="B152" s="262" t="str">
        <f>CONCATENATE('3. Consumption by Rate Class'!B157,"-",'3. Consumption by Rate Class'!C157)</f>
        <v>2017-January</v>
      </c>
      <c r="C152" s="712"/>
      <c r="D152" s="275"/>
      <c r="E152" s="275"/>
      <c r="F152" s="275"/>
      <c r="G152" s="275"/>
      <c r="H152" s="275"/>
      <c r="I152" s="275"/>
      <c r="J152" s="246"/>
      <c r="K152" s="741">
        <v>732</v>
      </c>
      <c r="L152" s="741">
        <v>0</v>
      </c>
      <c r="M152" s="741">
        <f>IF(M$19=$B$169,+AVERAGE(M32,M44,M56,M68,M80,M92,M104,M116,M128,M140),+IF(M$19=$B$170,+(EXP((LN(+'4. Customer Growth'!$W$43)/12))*$K151),IF($M$19=$B$171,+$A152*$C$178+$D$178,0)))</f>
        <v>31</v>
      </c>
      <c r="N152" s="741">
        <f>IF(N$19=$B$169,+AVERAGE(N32,N44,N56,N68,N80,N92,N104,N116,N128,N140),+IF(N$19=$B$170,+(EXP((LN(+'4. Customer Growth'!$W$43)/12))*$K151),IF($N$19=$B$171,+$A152*$C$179+$D$179,0)))</f>
        <v>377.08042410352567</v>
      </c>
      <c r="O152" s="741">
        <f>IF(O$19=$B$169,+AVERAGE(O32,O44,O56,O68,O80,O92,O104,O116,O128,O140),+IF(O$19=$B$170,+(EXP((LN(+'4. Customer Growth'!$W$43)/12))*$O151),IF($O$19=$B$171,+$A152*$C$180+$D$180,0)))</f>
        <v>9.0900000000000016</v>
      </c>
      <c r="P152" s="984">
        <f>IF(P$19=$B$169,+AVERAGE(P32,P44,P56,P68,P80,P92,P104,P116,P128,P140),+IF(P$19=$B$170,+(EXP((LN(+'4. Customer Growth'!$W$43)/12))*$P151),IF($P$19=$B$171,+$A152*$C$181+$D$181,0)))</f>
        <v>1</v>
      </c>
      <c r="Q152" s="245"/>
      <c r="R152" s="556">
        <f>$V$34+(K152*$V$35)+(L152*$V$36)+(M152*$V$37)+(N152*$V$38)+(O152*$V$39)</f>
        <v>8438187.5391318556</v>
      </c>
      <c r="S152" s="265"/>
      <c r="T152" s="245"/>
      <c r="U152" s="245"/>
      <c r="V152" s="245"/>
      <c r="W152" s="245"/>
      <c r="X152" s="245"/>
      <c r="Y152" s="245"/>
      <c r="Z152" s="245"/>
      <c r="AA152" s="245"/>
      <c r="AB152" s="245"/>
      <c r="AC152" s="245"/>
      <c r="AD152" s="245"/>
      <c r="AE152" s="245"/>
      <c r="AF152" s="245"/>
      <c r="AG152" s="245"/>
      <c r="AH152" s="245"/>
      <c r="AI152" s="245"/>
      <c r="AJ152" s="245"/>
      <c r="AK152" s="245"/>
      <c r="AL152" s="245"/>
      <c r="AM152" s="245"/>
    </row>
    <row r="153" spans="1:39" x14ac:dyDescent="0.2">
      <c r="A153" s="501">
        <f t="shared" si="12"/>
        <v>134</v>
      </c>
      <c r="B153" s="262" t="str">
        <f>CONCATENATE('3. Consumption by Rate Class'!B158,"-",'3. Consumption by Rate Class'!C158)</f>
        <v>2017-February</v>
      </c>
      <c r="C153" s="712"/>
      <c r="D153" s="275"/>
      <c r="E153" s="275"/>
      <c r="F153" s="275"/>
      <c r="G153" s="275"/>
      <c r="H153" s="275"/>
      <c r="I153" s="275"/>
      <c r="J153" s="246"/>
      <c r="K153" s="741">
        <v>614</v>
      </c>
      <c r="L153" s="741">
        <v>0</v>
      </c>
      <c r="M153" s="741">
        <f>IF(M$19=$B$169,+AVERAGE(M33,M45,M57,M69,M81,M93,M105,M117,M129,M141),+IF(M$19=$B$170,+(EXP((LN(+'4. Customer Growth'!$W$43)/12))*$K152),IF($M$19=$B$171,+$A153*$C$178+$D$178,0)))</f>
        <v>28.22</v>
      </c>
      <c r="N153" s="741">
        <f>IF(N$19=$B$169,+AVERAGE(N33,N45,N57,N69,N81,N93,N105,N117,N129,N141),+IF(N$19=$B$170,+(EXP((LN(+'4. Customer Growth'!$W$43)/12))*$K152),IF($N$19=$B$171,+$A153*$C$179+$D$179,0)))</f>
        <v>377.24397018311453</v>
      </c>
      <c r="O153" s="741">
        <f>IF(O$19=$B$169,+AVERAGE(O33,O45,O57,O69,O81,O93,O105,O117,O129,O141),+IF(O$19=$B$170,+(EXP((LN(+'4. Customer Growth'!$W$43)/12))*$O152),IF($O$19=$B$171,+$A153*$C$180+$D$180,0)))</f>
        <v>10.19</v>
      </c>
      <c r="P153" s="984">
        <f>IF(P$19=$B$169,+AVERAGE(P33,P45,P57,P69,P81,P93,P105,P117,P129,P141),+IF(P$19=$B$170,+(EXP((LN(+'4. Customer Growth'!$W$43)/12))*$P152),IF($P$19=$B$171,+$A153*$C$181+$D$181,0)))</f>
        <v>0</v>
      </c>
      <c r="Q153" s="245"/>
      <c r="R153" s="556">
        <f t="shared" si="11"/>
        <v>7474766.1607659813</v>
      </c>
      <c r="S153" s="265"/>
      <c r="T153" s="245"/>
      <c r="U153" s="245"/>
      <c r="V153" s="245"/>
      <c r="W153" s="245"/>
      <c r="X153" s="245"/>
      <c r="Y153" s="245"/>
      <c r="Z153" s="245"/>
      <c r="AA153" s="245"/>
      <c r="AB153" s="245"/>
      <c r="AC153" s="245"/>
      <c r="AD153" s="245"/>
      <c r="AE153" s="245"/>
      <c r="AF153" s="245"/>
      <c r="AG153" s="245"/>
      <c r="AH153" s="245"/>
      <c r="AI153" s="245"/>
      <c r="AJ153" s="245"/>
      <c r="AK153" s="245"/>
      <c r="AL153" s="245"/>
      <c r="AM153" s="245"/>
    </row>
    <row r="154" spans="1:39" x14ac:dyDescent="0.2">
      <c r="A154" s="501">
        <f t="shared" si="12"/>
        <v>135</v>
      </c>
      <c r="B154" s="262" t="str">
        <f>CONCATENATE('3. Consumption by Rate Class'!B159,"-",'3. Consumption by Rate Class'!C159)</f>
        <v>2017-March</v>
      </c>
      <c r="C154" s="712"/>
      <c r="D154" s="275"/>
      <c r="E154" s="275"/>
      <c r="F154" s="275"/>
      <c r="G154" s="275"/>
      <c r="H154" s="275"/>
      <c r="I154" s="275"/>
      <c r="J154" s="246"/>
      <c r="K154" s="741">
        <v>351</v>
      </c>
      <c r="L154" s="741">
        <v>0</v>
      </c>
      <c r="M154" s="741">
        <f>IF(M$19=$B$169,+AVERAGE(M34,M46,M58,M70,M82,M94,M106,M118,M130,M142),+IF(M$19=$B$170,+(EXP((LN(+'4. Customer Growth'!$W$43)/12))*$K153),IF($M$19=$B$171,+$A154*$C$178+$D$178,0)))</f>
        <v>31</v>
      </c>
      <c r="N154" s="741">
        <f>IF(N$19=$B$169,+AVERAGE(N34,N46,N58,N70,N82,N94,N106,N118,N130,N142),+IF(N$19=$B$170,+(EXP((LN(+'4. Customer Growth'!$W$43)/12))*$K153),IF($N$19=$B$171,+$A154*$C$179+$D$179,0)))</f>
        <v>377.40751626270338</v>
      </c>
      <c r="O154" s="741">
        <f>IF(O$19=$B$169,+AVERAGE(O34,O46,O58,O70,O82,O94,O106,O118,O130,O142),+IF(O$19=$B$170,+(EXP((LN(+'4. Customer Growth'!$W$43)/12))*$O153),IF($O$19=$B$171,+$A154*$C$180+$D$180,0)))</f>
        <v>11.510000000000002</v>
      </c>
      <c r="P154" s="984">
        <f>IF(P$19=$B$169,+AVERAGE(P34,P46,P58,P70,P82,P94,P106,P118,P130,P142),+IF(P$19=$B$170,+(EXP((LN(+'4. Customer Growth'!$W$43)/12))*$P153),IF($P$19=$B$171,+$A154*$C$181+$D$181,0)))</f>
        <v>1</v>
      </c>
      <c r="Q154" s="245"/>
      <c r="R154" s="556">
        <f t="shared" si="11"/>
        <v>7128424.1941218143</v>
      </c>
      <c r="S154" s="265"/>
      <c r="T154" s="245"/>
      <c r="U154" s="245"/>
      <c r="V154" s="245"/>
      <c r="W154" s="245"/>
      <c r="X154" s="245"/>
      <c r="Y154" s="245"/>
      <c r="Z154" s="245"/>
      <c r="AA154" s="245"/>
      <c r="AB154" s="245"/>
      <c r="AC154" s="245"/>
      <c r="AD154" s="245"/>
      <c r="AE154" s="245"/>
      <c r="AF154" s="245"/>
      <c r="AG154" s="245"/>
      <c r="AH154" s="245"/>
      <c r="AI154" s="245"/>
      <c r="AJ154" s="245"/>
      <c r="AK154" s="245"/>
      <c r="AL154" s="245"/>
      <c r="AM154" s="245"/>
    </row>
    <row r="155" spans="1:39" x14ac:dyDescent="0.2">
      <c r="A155" s="501">
        <f t="shared" si="12"/>
        <v>136</v>
      </c>
      <c r="B155" s="262" t="str">
        <f>CONCATENATE('3. Consumption by Rate Class'!B160,"-",'3. Consumption by Rate Class'!C160)</f>
        <v>2017-April</v>
      </c>
      <c r="C155" s="712"/>
      <c r="D155" s="275"/>
      <c r="E155" s="275"/>
      <c r="F155" s="275"/>
      <c r="G155" s="275"/>
      <c r="H155" s="275"/>
      <c r="I155" s="275"/>
      <c r="J155" s="246"/>
      <c r="K155" s="741">
        <v>148</v>
      </c>
      <c r="L155" s="741">
        <v>1</v>
      </c>
      <c r="M155" s="741">
        <f>IF(M$19=$B$169,+AVERAGE(M35,M47,M59,M71,M83,M95,M107,M119,M131,M143),+IF(M$19=$B$170,+(EXP((LN(+'4. Customer Growth'!$W$43)/12))*$K154),IF($M$19=$B$171,+$A155*$C$178+$D$178,0)))</f>
        <v>30</v>
      </c>
      <c r="N155" s="741">
        <f>IF(N$19=$B$169,+AVERAGE(N35,N47,N59,N71,N83,N95,N107,N119,N131,N143),+IF(N$19=$B$170,+(EXP((LN(+'4. Customer Growth'!$W$43)/12))*$K154),IF($N$19=$B$171,+$A155*$C$179+$D$179,0)))</f>
        <v>377.57106234229224</v>
      </c>
      <c r="O155" s="741">
        <f>IF(O$19=$B$169,+AVERAGE(O35,O47,O59,O71,O83,O95,O107,O119,O131,O143),+IF(O$19=$B$170,+(EXP((LN(+'4. Customer Growth'!$W$43)/12))*$O154),IF($O$19=$B$171,+$A155*$C$180+$D$180,0)))</f>
        <v>13.279999999999998</v>
      </c>
      <c r="P155" s="984">
        <f>IF(P$19=$B$169,+AVERAGE(P35,P47,P59,P71,P83,P95,P107,P119,P131,P143),+IF(P$19=$B$170,+(EXP((LN(+'4. Customer Growth'!$W$43)/12))*$P154),IF($P$19=$B$171,+$A155*$C$181+$D$181,0)))</f>
        <v>0</v>
      </c>
      <c r="Q155" s="245"/>
      <c r="R155" s="556">
        <f t="shared" si="11"/>
        <v>6236493.1488355147</v>
      </c>
      <c r="S155" s="265"/>
      <c r="T155" s="245"/>
      <c r="U155" s="245"/>
      <c r="V155" s="245"/>
      <c r="W155" s="245"/>
      <c r="X155" s="245"/>
      <c r="Y155" s="245"/>
      <c r="Z155" s="245"/>
      <c r="AA155" s="245"/>
      <c r="AB155" s="245"/>
      <c r="AC155" s="245"/>
      <c r="AD155" s="245"/>
      <c r="AE155" s="245"/>
      <c r="AF155" s="245"/>
      <c r="AG155" s="245"/>
      <c r="AH155" s="245"/>
      <c r="AI155" s="245"/>
      <c r="AJ155" s="245"/>
      <c r="AK155" s="245"/>
      <c r="AL155" s="245"/>
      <c r="AM155" s="245"/>
    </row>
    <row r="156" spans="1:39" x14ac:dyDescent="0.2">
      <c r="A156" s="501">
        <f t="shared" si="12"/>
        <v>137</v>
      </c>
      <c r="B156" s="262" t="str">
        <f>CONCATENATE('3. Consumption by Rate Class'!B161,"-",'3. Consumption by Rate Class'!C161)</f>
        <v>2017-May</v>
      </c>
      <c r="C156" s="712"/>
      <c r="D156" s="275"/>
      <c r="E156" s="275"/>
      <c r="F156" s="275"/>
      <c r="G156" s="275"/>
      <c r="H156" s="275"/>
      <c r="I156" s="275"/>
      <c r="J156" s="246"/>
      <c r="K156" s="741">
        <v>32</v>
      </c>
      <c r="L156" s="741">
        <v>12</v>
      </c>
      <c r="M156" s="741">
        <f>IF(M$19=$B$169,+AVERAGE(M36,M48,M60,M72,M84,M96,M108,M120,M132,M144),+IF(M$19=$B$170,+(EXP((LN(+'4. Customer Growth'!$W$43)/12))*$K155),IF($M$19=$B$171,+$A156*$C$178+$D$178,0)))</f>
        <v>31</v>
      </c>
      <c r="N156" s="741">
        <f>IF(N$19=$B$169,+AVERAGE(N36,N48,N60,N72,N84,N96,N108,N120,N132,N144),+IF(N$19=$B$170,+(EXP((LN(+'4. Customer Growth'!$W$43)/12))*$K155),IF($N$19=$B$171,+$A156*$C$179+$D$179,0)))</f>
        <v>377.73460842188109</v>
      </c>
      <c r="O156" s="741">
        <f>IF(O$19=$B$169,+AVERAGE(O36,O48,O60,O72,O84,O96,O108,O120,O132,O144),+IF(O$19=$B$170,+(EXP((LN(+'4. Customer Growth'!$W$43)/12))*$O155),IF($O$19=$B$171,+$A156*$C$180+$D$180,0)))</f>
        <v>14.52</v>
      </c>
      <c r="P156" s="984">
        <f>IF(P$19=$B$169,+AVERAGE(P36,P48,P60,P72,P84,P96,P108,P120,P132,P144),+IF(P$19=$B$170,+(EXP((LN(+'4. Customer Growth'!$W$43)/12))*$P155),IF($P$19=$B$171,+$A156*$C$181+$D$181,0)))</f>
        <v>0</v>
      </c>
      <c r="Q156" s="245"/>
      <c r="R156" s="556">
        <f t="shared" si="11"/>
        <v>6198187.7131290296</v>
      </c>
      <c r="S156" s="265"/>
      <c r="T156" s="245"/>
      <c r="U156" s="245"/>
      <c r="V156" s="245"/>
      <c r="W156" s="245"/>
      <c r="X156" s="245"/>
      <c r="Y156" s="245"/>
      <c r="Z156" s="245"/>
      <c r="AA156" s="245"/>
      <c r="AB156" s="245"/>
      <c r="AC156" s="245"/>
      <c r="AD156" s="245"/>
      <c r="AE156" s="245"/>
      <c r="AF156" s="245"/>
      <c r="AG156" s="245"/>
      <c r="AH156" s="245"/>
      <c r="AI156" s="245"/>
      <c r="AJ156" s="245"/>
      <c r="AK156" s="245"/>
      <c r="AL156" s="245"/>
      <c r="AM156" s="245"/>
    </row>
    <row r="157" spans="1:39" x14ac:dyDescent="0.2">
      <c r="A157" s="501">
        <f t="shared" si="12"/>
        <v>138</v>
      </c>
      <c r="B157" s="262" t="str">
        <f>CONCATENATE('3. Consumption by Rate Class'!B162,"-",'3. Consumption by Rate Class'!C162)</f>
        <v>2017-June</v>
      </c>
      <c r="C157" s="712"/>
      <c r="D157" s="275"/>
      <c r="E157" s="275"/>
      <c r="F157" s="275"/>
      <c r="G157" s="275"/>
      <c r="H157" s="275"/>
      <c r="I157" s="275"/>
      <c r="J157" s="246"/>
      <c r="K157" s="741">
        <v>6</v>
      </c>
      <c r="L157" s="741">
        <v>61</v>
      </c>
      <c r="M157" s="741">
        <f>IF(M$19=$B$169,+AVERAGE(M37,M49,M61,M73,M85,M97,M109,M121,M133,M145),+IF(M$19=$B$170,+(EXP((LN(+'4. Customer Growth'!$W$43)/12))*$K156),IF($M$19=$B$171,+$A157*$C$178+$D$178,0)))</f>
        <v>30</v>
      </c>
      <c r="N157" s="741">
        <f>IF(N$19=$B$169,+AVERAGE(N37,N49,N61,N73,N85,N97,N109,N121,N133,N145),+IF(N$19=$B$170,+(EXP((LN(+'4. Customer Growth'!$W$43)/12))*$K156),IF($N$19=$B$171,+$A157*$C$179+$D$179,0)))</f>
        <v>377.89815450147</v>
      </c>
      <c r="O157" s="741">
        <f>IF(O$19=$B$169,+AVERAGE(O37,O49,O61,O73,O85,O97,O109,O121,O133,O145),+IF(O$19=$B$170,+(EXP((LN(+'4. Customer Growth'!$W$43)/12))*$O156),IF($O$19=$B$171,+$A157*$C$180+$D$180,0)))</f>
        <v>15.349999999999998</v>
      </c>
      <c r="P157" s="984">
        <f>IF(P$19=$B$169,+AVERAGE(P37,P49,P61,P73,P85,P97,P109,P121,P133,P145),+IF(P$19=$B$170,+(EXP((LN(+'4. Customer Growth'!$W$43)/12))*$P156),IF($P$19=$B$171,+$A157*$C$181+$D$181,0)))</f>
        <v>0</v>
      </c>
      <c r="Q157" s="245"/>
      <c r="R157" s="556">
        <f t="shared" si="11"/>
        <v>6694446.4673683932</v>
      </c>
      <c r="S157" s="265"/>
      <c r="T157" s="245"/>
      <c r="U157" s="245"/>
      <c r="V157" s="245"/>
      <c r="W157" s="245"/>
      <c r="X157" s="245"/>
      <c r="Y157" s="245"/>
      <c r="Z157" s="245"/>
      <c r="AA157" s="245"/>
      <c r="AB157" s="245"/>
      <c r="AC157" s="245"/>
      <c r="AD157" s="245"/>
      <c r="AE157" s="245"/>
      <c r="AF157" s="245"/>
      <c r="AG157" s="245"/>
      <c r="AH157" s="245"/>
      <c r="AI157" s="245"/>
      <c r="AJ157" s="245"/>
      <c r="AK157" s="245"/>
      <c r="AL157" s="245"/>
      <c r="AM157" s="245"/>
    </row>
    <row r="158" spans="1:39" x14ac:dyDescent="0.2">
      <c r="A158" s="501">
        <f t="shared" si="12"/>
        <v>139</v>
      </c>
      <c r="B158" s="262" t="str">
        <f>CONCATENATE('3. Consumption by Rate Class'!B163,"-",'3. Consumption by Rate Class'!C163)</f>
        <v>2017-July</v>
      </c>
      <c r="C158" s="712"/>
      <c r="D158" s="275"/>
      <c r="E158" s="275"/>
      <c r="F158" s="275"/>
      <c r="G158" s="275"/>
      <c r="H158" s="275"/>
      <c r="I158" s="275"/>
      <c r="J158" s="246"/>
      <c r="K158" s="741">
        <v>14</v>
      </c>
      <c r="L158" s="741">
        <v>100</v>
      </c>
      <c r="M158" s="741">
        <f>IF(M$19=$B$169,+AVERAGE(M38,M50,M62,M74,M86,M98,M110,M122,M134,M146),+IF(M$19=$B$170,+(EXP((LN(+'4. Customer Growth'!$W$43)/12))*$K157),IF($M$19=$B$171,+$A158*$C$178+$D$178,0)))</f>
        <v>31</v>
      </c>
      <c r="N158" s="741">
        <f>IF(N$19=$B$169,+AVERAGE(N38,N50,N62,N74,N86,N98,N110,N122,N134,N146),+IF(N$19=$B$170,+(EXP((LN(+'4. Customer Growth'!$W$43)/12))*$K157),IF($N$19=$B$171,+$A158*$C$179+$D$179,0)))</f>
        <v>378.06170058105886</v>
      </c>
      <c r="O158" s="741">
        <f>IF(O$19=$B$169,+AVERAGE(O38,O50,O62,O74,O86,O98,O110,O122,O134,O146),+IF(O$19=$B$170,+(EXP((LN(+'4. Customer Growth'!$W$43)/12))*$O157),IF($O$19=$B$171,+$A158*$C$180+$D$180,0)))</f>
        <v>15.150000000000002</v>
      </c>
      <c r="P158" s="984">
        <f>IF(P$19=$B$169,+AVERAGE(P38,P50,P62,P74,P86,P98,P110,P122,P134,P146),+IF(P$19=$B$170,+(EXP((LN(+'4. Customer Growth'!$W$43)/12))*$P157),IF($P$19=$B$171,+$A158*$C$181+$D$181,0)))</f>
        <v>1</v>
      </c>
      <c r="Q158" s="245"/>
      <c r="R158" s="556">
        <f t="shared" si="11"/>
        <v>7559666.7945700036</v>
      </c>
      <c r="S158" s="265"/>
      <c r="T158" s="245"/>
      <c r="U158" s="245"/>
      <c r="V158" s="245"/>
      <c r="W158" s="245"/>
      <c r="X158" s="245"/>
      <c r="Y158" s="245"/>
      <c r="Z158" s="245"/>
      <c r="AA158" s="245"/>
      <c r="AB158" s="245"/>
      <c r="AC158" s="245"/>
      <c r="AD158" s="245"/>
      <c r="AE158" s="245"/>
      <c r="AF158" s="245"/>
      <c r="AG158" s="245"/>
      <c r="AH158" s="245"/>
      <c r="AI158" s="245"/>
      <c r="AJ158" s="245"/>
      <c r="AK158" s="245"/>
      <c r="AL158" s="245"/>
      <c r="AM158" s="245"/>
    </row>
    <row r="159" spans="1:39" x14ac:dyDescent="0.2">
      <c r="A159" s="501">
        <f t="shared" si="12"/>
        <v>140</v>
      </c>
      <c r="B159" s="262" t="str">
        <f>CONCATENATE('3. Consumption by Rate Class'!B164,"-",'3. Consumption by Rate Class'!C164)</f>
        <v>2017-August</v>
      </c>
      <c r="C159" s="712"/>
      <c r="D159" s="275"/>
      <c r="E159" s="275"/>
      <c r="F159" s="275"/>
      <c r="G159" s="275"/>
      <c r="H159" s="275"/>
      <c r="I159" s="275"/>
      <c r="J159" s="246"/>
      <c r="K159" s="741">
        <v>96</v>
      </c>
      <c r="L159" s="741">
        <v>79</v>
      </c>
      <c r="M159" s="741">
        <f>IF(M$19=$B$169,+AVERAGE(M39,M51,M63,M75,M87,M99,M111,M123,M135,M147),+IF(M$19=$B$170,+(EXP((LN(+'4. Customer Growth'!$W$43)/12))*$K158),IF($M$19=$B$171,+$A159*$C$178+$D$178,0)))</f>
        <v>31</v>
      </c>
      <c r="N159" s="741">
        <f>IF(N$19=$B$169,+AVERAGE(N39,N51,N63,N75,N87,N99,N111,N123,N135,N147),+IF(N$19=$B$170,+(EXP((LN(+'4. Customer Growth'!$W$43)/12))*$K158),IF($N$19=$B$171,+$A159*$C$179+$D$179,0)))</f>
        <v>378.22524666064771</v>
      </c>
      <c r="O159" s="741">
        <f>IF(O$19=$B$169,+AVERAGE(O39,O51,O63,O75,O87,O99,O111,O123,O135,O147),+IF(O$19=$B$170,+(EXP((LN(+'4. Customer Growth'!$W$43)/12))*$O158),IF($O$19=$B$171,+$A159*$C$180+$D$180,0)))</f>
        <v>14.029999999999998</v>
      </c>
      <c r="P159" s="984">
        <f>IF(P$19=$B$169,+AVERAGE(P39,P51,P63,P75,P87,P99,P111,P123,P135,P147),+IF(P$19=$B$170,+(EXP((LN(+'4. Customer Growth'!$W$43)/12))*$P158),IF($P$19=$B$171,+$A159*$C$181+$D$181,0)))</f>
        <v>0</v>
      </c>
      <c r="Q159" s="245"/>
      <c r="R159" s="556">
        <f t="shared" si="11"/>
        <v>7508942.3854045346</v>
      </c>
      <c r="S159" s="265"/>
      <c r="T159" s="245"/>
      <c r="U159" s="245"/>
      <c r="V159" s="245"/>
      <c r="W159" s="245"/>
      <c r="X159" s="245"/>
      <c r="Y159" s="245"/>
      <c r="Z159" s="245"/>
      <c r="AA159" s="245"/>
      <c r="AB159" s="245"/>
      <c r="AC159" s="245"/>
      <c r="AD159" s="245"/>
      <c r="AE159" s="245"/>
      <c r="AF159" s="245"/>
      <c r="AG159" s="245"/>
      <c r="AH159" s="245"/>
      <c r="AI159" s="245"/>
      <c r="AJ159" s="245"/>
      <c r="AK159" s="245"/>
      <c r="AL159" s="245"/>
      <c r="AM159" s="245"/>
    </row>
    <row r="160" spans="1:39" x14ac:dyDescent="0.2">
      <c r="A160" s="501">
        <f t="shared" si="12"/>
        <v>141</v>
      </c>
      <c r="B160" s="262" t="str">
        <f>CONCATENATE('3. Consumption by Rate Class'!B165,"-",'3. Consumption by Rate Class'!C165)</f>
        <v>2017-September</v>
      </c>
      <c r="C160" s="712"/>
      <c r="D160" s="275"/>
      <c r="E160" s="275"/>
      <c r="F160" s="275"/>
      <c r="G160" s="275"/>
      <c r="H160" s="275"/>
      <c r="I160" s="275"/>
      <c r="J160" s="246"/>
      <c r="K160" s="741">
        <v>292</v>
      </c>
      <c r="L160" s="741">
        <v>22</v>
      </c>
      <c r="M160" s="741">
        <f>IF(M$19=$B$169,+AVERAGE(M40,M52,M64,M76,M88,M100,M112,M124,M136,M148),+IF(M$19=$B$170,+(EXP((LN(+'4. Customer Growth'!$W$43)/12))*$K159),IF($M$19=$B$171,+$A160*$C$178+$D$178,0)))</f>
        <v>30</v>
      </c>
      <c r="N160" s="741">
        <f>IF(N$19=$B$169,+AVERAGE(N40,N52,N64,N76,N88,N100,N112,N124,N136,N148),+IF(N$19=$B$170,+(EXP((LN(+'4. Customer Growth'!$W$43)/12))*$K159),IF($N$19=$B$171,+$A160*$C$179+$D$179,0)))</f>
        <v>378.38879274023657</v>
      </c>
      <c r="O160" s="741">
        <f>IF(O$19=$B$169,+AVERAGE(O40,O52,O64,O76,O88,O100,O112,O124,O136,O148),+IF(O$19=$B$170,+(EXP((LN(+'4. Customer Growth'!$W$43)/12))*$O159),IF($O$19=$B$171,+$A160*$C$180+$D$180,0)))</f>
        <v>12.289999999999997</v>
      </c>
      <c r="P160" s="984">
        <f>IF(P$19=$B$169,+AVERAGE(P40,P52,P64,P76,P88,P100,P112,P124,P136,P148),+IF(P$19=$B$170,+(EXP((LN(+'4. Customer Growth'!$W$43)/12))*$P159),IF($P$19=$B$171,+$A160*$C$181+$D$181,0)))</f>
        <v>0</v>
      </c>
      <c r="Q160" s="245"/>
      <c r="R160" s="556">
        <f t="shared" si="11"/>
        <v>7056737.7608346548</v>
      </c>
      <c r="S160" s="265"/>
      <c r="T160" s="245"/>
      <c r="U160" s="245"/>
      <c r="V160" s="245"/>
      <c r="W160" s="245"/>
      <c r="X160" s="245"/>
      <c r="Y160" s="245"/>
      <c r="Z160" s="245"/>
      <c r="AA160" s="245"/>
      <c r="AB160" s="245"/>
      <c r="AC160" s="245"/>
      <c r="AD160" s="245"/>
      <c r="AE160" s="245"/>
      <c r="AF160" s="245"/>
      <c r="AG160" s="245"/>
      <c r="AH160" s="245"/>
      <c r="AI160" s="245"/>
      <c r="AJ160" s="245"/>
      <c r="AK160" s="245"/>
      <c r="AL160" s="245"/>
      <c r="AM160" s="245"/>
    </row>
    <row r="161" spans="1:39" x14ac:dyDescent="0.2">
      <c r="A161" s="501">
        <f t="shared" si="12"/>
        <v>142</v>
      </c>
      <c r="B161" s="262" t="str">
        <f>CONCATENATE('3. Consumption by Rate Class'!B166,"-",'3. Consumption by Rate Class'!C166)</f>
        <v>2017-October</v>
      </c>
      <c r="C161" s="712"/>
      <c r="D161" s="275"/>
      <c r="E161" s="275"/>
      <c r="F161" s="275"/>
      <c r="G161" s="275"/>
      <c r="H161" s="275"/>
      <c r="I161" s="275"/>
      <c r="J161" s="246"/>
      <c r="K161" s="741">
        <v>491</v>
      </c>
      <c r="L161" s="741">
        <v>1</v>
      </c>
      <c r="M161" s="741">
        <f>IF(M$19=$B$169,+AVERAGE(M41,M53,M65,M77,M89,M101,M113,M125,M137,M149),+IF(M$19=$B$170,+(EXP((LN(+'4. Customer Growth'!$W$43)/12))*$K160),IF($M$19=$B$171,+$A161*$C$178+$D$178,0)))</f>
        <v>31</v>
      </c>
      <c r="N161" s="741">
        <f>IF(N$19=$B$169,+AVERAGE(N41,N53,N65,N77,N89,N101,N113,N125,N137,N149),+IF(N$19=$B$170,+(EXP((LN(+'4. Customer Growth'!$W$43)/12))*$K160),IF($N$19=$B$171,+$A161*$C$179+$D$179,0)))</f>
        <v>378.55233881982542</v>
      </c>
      <c r="O161" s="741">
        <f>IF(O$19=$B$169,+AVERAGE(O41,O53,O65,O77,O89,O101,O113,O125,O137,O149),+IF(O$19=$B$170,+(EXP((LN(+'4. Customer Growth'!$W$43)/12))*$O160),IF($O$19=$B$171,+$A161*$C$180+$D$180,0)))</f>
        <v>10.510000000000002</v>
      </c>
      <c r="P161" s="984">
        <f>IF(P$19=$B$169,+AVERAGE(P41,P53,P65,P77,P89,P101,P113,P125,P137,P149),+IF(P$19=$B$170,+(EXP((LN(+'4. Customer Growth'!$W$43)/12))*$P160),IF($P$19=$B$171,+$A161*$C$181+$D$181,0)))</f>
        <v>0</v>
      </c>
      <c r="Q161" s="245"/>
      <c r="R161" s="556">
        <f t="shared" si="11"/>
        <v>7599682.2412090274</v>
      </c>
      <c r="S161" s="265"/>
      <c r="T161" s="245"/>
      <c r="U161" s="245"/>
      <c r="V161" s="245"/>
      <c r="W161" s="245"/>
      <c r="X161" s="245"/>
      <c r="Y161" s="245"/>
      <c r="Z161" s="245"/>
      <c r="AA161" s="245"/>
      <c r="AB161" s="245"/>
      <c r="AC161" s="245"/>
      <c r="AD161" s="245"/>
      <c r="AE161" s="245"/>
      <c r="AF161" s="245"/>
      <c r="AG161" s="245"/>
      <c r="AH161" s="245"/>
      <c r="AI161" s="245"/>
      <c r="AJ161" s="245"/>
      <c r="AK161" s="245"/>
      <c r="AL161" s="245"/>
      <c r="AM161" s="245"/>
    </row>
    <row r="162" spans="1:39" x14ac:dyDescent="0.2">
      <c r="A162" s="501">
        <f t="shared" si="12"/>
        <v>143</v>
      </c>
      <c r="B162" s="175" t="str">
        <f>CONCATENATE('3. Consumption by Rate Class'!B167,"-",'3. Consumption by Rate Class'!C167)</f>
        <v>2017-November</v>
      </c>
      <c r="C162" s="713"/>
      <c r="D162" s="60"/>
      <c r="E162" s="60"/>
      <c r="F162" s="60"/>
      <c r="G162" s="60"/>
      <c r="H162" s="60"/>
      <c r="I162" s="60"/>
      <c r="K162" s="741">
        <v>721</v>
      </c>
      <c r="L162" s="741">
        <v>0</v>
      </c>
      <c r="M162" s="741">
        <f>IF(M$19=$B$169,+AVERAGE(M42,M54,M66,M78,M90,M102,M114,M126,M138,M150),+IF(M$19=$B$170,+(EXP((LN(+'4. Customer Growth'!$W$43)/12))*$K161),IF($M$19=$B$171,+$A162*$C$178+$D$178,0)))</f>
        <v>30</v>
      </c>
      <c r="N162" s="741">
        <f>IF(N$19=$B$169,+AVERAGE(N42,N54,N66,N78,N90,N102,N114,N126,N138,N150),+IF(N$19=$B$170,+(EXP((LN(+'4. Customer Growth'!$W$43)/12))*$K161),IF($N$19=$B$171,+$A162*$C$179+$D$179,0)))</f>
        <v>378.71588489941428</v>
      </c>
      <c r="O162" s="741">
        <f>IF(O$19=$B$169,+AVERAGE(O42,O54,O66,O78,O90,O102,O114,O126,O138,O150),+IF(O$19=$B$170,+(EXP((LN(+'4. Customer Growth'!$W$43)/12))*$O161),IF($O$19=$B$171,+$A162*$C$180+$D$180,0)))</f>
        <v>9.2799999999999994</v>
      </c>
      <c r="P162" s="984">
        <f>IF(P$19=$B$169,+AVERAGE(P42,P54,P66,P78,P90,P102,P114,P126,P138,P150),+IF(P$19=$B$170,+(EXP((LN(+'4. Customer Growth'!$W$43)/12))*$P161),IF($P$19=$B$171,+$A162*$C$181+$D$181,0)))</f>
        <v>0</v>
      </c>
      <c r="R162" s="556">
        <f t="shared" si="11"/>
        <v>8162159.4082585759</v>
      </c>
      <c r="S162" s="221"/>
      <c r="U162" s="245"/>
      <c r="V162" s="245"/>
      <c r="W162" s="245"/>
      <c r="X162" s="245"/>
      <c r="Y162" s="245"/>
      <c r="Z162" s="245"/>
    </row>
    <row r="163" spans="1:39" x14ac:dyDescent="0.2">
      <c r="A163" s="501">
        <f t="shared" si="12"/>
        <v>144</v>
      </c>
      <c r="B163" s="175" t="str">
        <f>CONCATENATE('3. Consumption by Rate Class'!B168,"-",'3. Consumption by Rate Class'!C168)</f>
        <v>2017-December</v>
      </c>
      <c r="C163" s="713"/>
      <c r="D163" s="60"/>
      <c r="E163" s="60"/>
      <c r="F163" s="60"/>
      <c r="G163" s="60"/>
      <c r="H163" s="60"/>
      <c r="I163" s="60"/>
      <c r="K163" s="741">
        <f>IF(K$19=$B$169,+AVERAGE(K43,K55,K67,K79,K91,K103,K115,K127,K139,K151),+IF(K$19=$B$170,+(EXP((LN(+'4. Customer Growth'!$W$43)/12))*$K162),IF($K$19=$B$171,+$A163*$C$176+$D$176,0)))</f>
        <v>728.06000000000006</v>
      </c>
      <c r="L163" s="741">
        <v>0</v>
      </c>
      <c r="M163" s="741">
        <f>IF(M$19=$B$169,+AVERAGE(M43,M55,M67,M79,M91,M103,M115,M127,M139,M151),+IF(M$19=$B$170,+(EXP((LN(+'4. Customer Growth'!$W$43)/12))*$K162),IF($M$19=$B$171,+$A163*$C$178+$D$178,0)))</f>
        <v>31</v>
      </c>
      <c r="N163" s="741">
        <f>IF(N$19=$B$169,+AVERAGE(N43,N55,N67,N79,N91,N103,N115,N127,N139,N151),+IF(N$19=$B$170,+(EXP((LN(+'4. Customer Growth'!$W$43)/12))*$K162),IF($N$19=$B$171,+$A163*$C$179+$D$179,0)))</f>
        <v>378.87943097900313</v>
      </c>
      <c r="O163" s="741">
        <f>IF(O$19=$B$169,+AVERAGE(O43,O55,O67,O79,O91,O103,O115,O127,O139,O151),+IF(O$19=$B$170,+(EXP((LN(+'4. Customer Growth'!$W$43)/12))*$O162),IF($O$19=$B$171,+$A163*$C$180+$D$180,0)))</f>
        <v>8.4700000000000006</v>
      </c>
      <c r="P163" s="984">
        <f>IF(P$19=$B$169,+AVERAGE(P43,P55,P67,P79,P91,P103,P115,P127,P139,P151),+IF(P$19=$B$170,+(EXP((LN(+'4. Customer Growth'!$W$43)/12))*$P162),IF($P$19=$B$171,+$A163*$C$181+$D$181,0)))</f>
        <v>1</v>
      </c>
      <c r="R163" s="556">
        <f>$V$34+(K163*$V$35)+(L163*$V$36)+(M163*$V$37)+(N163*$V$38)+(O163*$V$39)</f>
        <v>8401752.632331321</v>
      </c>
      <c r="S163" s="221">
        <f>SUM(R152:R163)</f>
        <v>88459446.445960715</v>
      </c>
    </row>
    <row r="164" spans="1:39" x14ac:dyDescent="0.2">
      <c r="B164" s="176"/>
      <c r="C164" s="713"/>
      <c r="D164" s="60"/>
      <c r="E164" s="60"/>
      <c r="F164" s="60"/>
      <c r="G164" s="60"/>
      <c r="H164" s="60"/>
      <c r="I164" s="60"/>
    </row>
    <row r="167" spans="1:39" x14ac:dyDescent="0.2">
      <c r="B167" s="299"/>
      <c r="C167" s="714"/>
      <c r="D167" s="724"/>
    </row>
    <row r="168" spans="1:39" hidden="1" x14ac:dyDescent="0.2">
      <c r="A168" s="300"/>
      <c r="B168" s="301" t="s">
        <v>170</v>
      </c>
      <c r="C168" s="715"/>
      <c r="D168" s="724"/>
      <c r="L168" s="723"/>
    </row>
    <row r="169" spans="1:39" hidden="1" x14ac:dyDescent="0.2">
      <c r="A169" s="300"/>
      <c r="B169" s="302" t="s">
        <v>168</v>
      </c>
      <c r="C169" s="716"/>
      <c r="D169" s="724"/>
    </row>
    <row r="170" spans="1:39" hidden="1" x14ac:dyDescent="0.2">
      <c r="A170" s="300"/>
      <c r="B170" s="303" t="s">
        <v>169</v>
      </c>
      <c r="C170" s="717"/>
      <c r="D170" s="724"/>
    </row>
    <row r="171" spans="1:39" hidden="1" x14ac:dyDescent="0.2">
      <c r="B171" s="498" t="s">
        <v>235</v>
      </c>
      <c r="C171" s="716"/>
      <c r="D171" s="724"/>
    </row>
    <row r="172" spans="1:39" hidden="1" x14ac:dyDescent="0.2">
      <c r="B172" s="725"/>
      <c r="C172" s="726"/>
      <c r="D172" s="727"/>
    </row>
    <row r="173" spans="1:39" hidden="1" x14ac:dyDescent="0.2">
      <c r="B173" s="725"/>
      <c r="C173" s="726"/>
      <c r="D173" s="727"/>
    </row>
    <row r="174" spans="1:39" hidden="1" x14ac:dyDescent="0.2">
      <c r="B174" s="1046" t="s">
        <v>236</v>
      </c>
      <c r="C174" s="1046"/>
      <c r="D174" s="1046"/>
    </row>
    <row r="175" spans="1:39" hidden="1" x14ac:dyDescent="0.2">
      <c r="B175" s="502" t="s">
        <v>148</v>
      </c>
      <c r="C175" s="718" t="s">
        <v>237</v>
      </c>
      <c r="D175" s="500" t="s">
        <v>238</v>
      </c>
    </row>
    <row r="176" spans="1:39" ht="14.25" hidden="1" x14ac:dyDescent="0.2">
      <c r="B176" s="502" t="s">
        <v>1</v>
      </c>
      <c r="C176" s="719">
        <f>INDEX(LINEST($K$20:$K139,$A$20:$A$139,TRUE,FALSE),1)</f>
        <v>-0.22654281547329758</v>
      </c>
      <c r="D176" s="499">
        <f>INDEX(LINEST($K$20:$K139,$A$20:$A$139,TRUE,FALSE),2)</f>
        <v>368.3225070028011</v>
      </c>
    </row>
    <row r="177" spans="2:4" ht="14.25" hidden="1" x14ac:dyDescent="0.2">
      <c r="B177" s="502" t="s">
        <v>2</v>
      </c>
      <c r="C177" s="719">
        <f>INDEX(LINEST($L$20:$L139,$A$20:$A$139,TRUE,FALSE),1)</f>
        <v>3.3398499895826127E-2</v>
      </c>
      <c r="D177" s="499">
        <f>INDEX(LINEST($L$20:$L139,$A$20:$A$139,TRUE,FALSE),2)</f>
        <v>18.721890756302521</v>
      </c>
    </row>
    <row r="178" spans="2:4" ht="14.25" hidden="1" x14ac:dyDescent="0.2">
      <c r="B178" s="502" t="s">
        <v>133</v>
      </c>
      <c r="C178" s="719">
        <f>INDEX(LINEST($M$20:$M139,$A$20:$A$139,TRUE,FALSE),1)</f>
        <v>6.8060281964024845E-4</v>
      </c>
      <c r="D178" s="499">
        <f>INDEX(LINEST($M$20:$M139,$A$20:$A$139,TRUE,FALSE),2)</f>
        <v>30.3921568627451</v>
      </c>
    </row>
    <row r="179" spans="2:4" ht="14.25" hidden="1" x14ac:dyDescent="0.2">
      <c r="B179" s="502" t="s">
        <v>156</v>
      </c>
      <c r="C179" s="719">
        <f>INDEX(LINEST($N$20:$N139,$A$20:$A$139,TRUE,FALSE),1)</f>
        <v>0.16354607958886036</v>
      </c>
      <c r="D179" s="499">
        <f>INDEX(LINEST($N$20:$N139,$A$20:$A$139,TRUE,FALSE),2)</f>
        <v>355.32879551820724</v>
      </c>
    </row>
    <row r="180" spans="2:4" ht="14.25" hidden="1" x14ac:dyDescent="0.2">
      <c r="B180" s="502" t="s">
        <v>132</v>
      </c>
      <c r="C180" s="719">
        <f>INDEX(LINEST($O$20:$O139,$A$20:$A$139,TRUE,FALSE),1)</f>
        <v>-9.9416626154593996E-4</v>
      </c>
      <c r="D180" s="499">
        <f>INDEX(LINEST($O$20:$O139,$A$20:$A$139,TRUE,FALSE),2)</f>
        <v>12.032647058823523</v>
      </c>
    </row>
    <row r="181" spans="2:4" ht="14.25" hidden="1" x14ac:dyDescent="0.2">
      <c r="B181" s="502" t="s">
        <v>164</v>
      </c>
      <c r="C181" s="719">
        <f>INDEX(LINEST($P$20:$P139,$A$20:$A$139,TRUE,FALSE),1)</f>
        <v>-2.0834780193069099E-4</v>
      </c>
      <c r="D181" s="499">
        <f>INDEX(LINEST($P$20:$P139,$A$20:$A$139,TRUE,FALSE),2)</f>
        <v>0.3459383753501401</v>
      </c>
    </row>
    <row r="182" spans="2:4" x14ac:dyDescent="0.2">
      <c r="B182" s="725"/>
      <c r="C182" s="726"/>
      <c r="D182" s="727"/>
    </row>
  </sheetData>
  <mergeCells count="4">
    <mergeCell ref="K17:P17"/>
    <mergeCell ref="D17:I17"/>
    <mergeCell ref="Q19:S19"/>
    <mergeCell ref="B174:D174"/>
  </mergeCells>
  <phoneticPr fontId="0" type="noConversion"/>
  <dataValidations count="2">
    <dataValidation type="list" allowBlank="1" showInputMessage="1" showErrorMessage="1" sqref="K18:P18">
      <formula1>AllVariables</formula1>
    </dataValidation>
    <dataValidation type="list" allowBlank="1" showInputMessage="1" showErrorMessage="1" sqref="K19:P19">
      <formula1>$B$169:$B$171</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M38"/>
  <sheetViews>
    <sheetView showGridLines="0" topLeftCell="A7" zoomScaleNormal="100" workbookViewId="0">
      <selection activeCell="I62" sqref="I62"/>
    </sheetView>
  </sheetViews>
  <sheetFormatPr defaultRowHeight="12.75" x14ac:dyDescent="0.2"/>
  <cols>
    <col min="1" max="1" width="13.6640625" style="1" customWidth="1"/>
    <col min="2" max="2" width="9.33203125" style="1"/>
    <col min="3" max="3" width="47.33203125" style="1" bestFit="1" customWidth="1"/>
    <col min="4" max="4" width="16.33203125" style="1" bestFit="1" customWidth="1"/>
    <col min="5" max="5" width="16.1640625" style="1" bestFit="1" customWidth="1"/>
    <col min="6" max="6" width="14.6640625" style="1" bestFit="1" customWidth="1"/>
    <col min="7" max="7" width="13" style="1" bestFit="1" customWidth="1"/>
    <col min="8" max="8" width="14" style="1" customWidth="1"/>
    <col min="9" max="9" width="13" style="1" bestFit="1" customWidth="1"/>
    <col min="10" max="11" width="14.1640625" style="1" bestFit="1" customWidth="1"/>
    <col min="12" max="16384" width="9.33203125" style="1"/>
  </cols>
  <sheetData>
    <row r="1" spans="1:39" s="534" customFormat="1" x14ac:dyDescent="0.2">
      <c r="A1" s="755" t="s">
        <v>269</v>
      </c>
    </row>
    <row r="2" spans="1:39" s="534" customFormat="1" x14ac:dyDescent="0.2"/>
    <row r="3" spans="1:39" s="534" customFormat="1" x14ac:dyDescent="0.2"/>
    <row r="4" spans="1:39" s="534" customFormat="1" x14ac:dyDescent="0.2"/>
    <row r="5" spans="1:39" s="534" customFormat="1" x14ac:dyDescent="0.2"/>
    <row r="6" spans="1:39" s="534" customFormat="1" x14ac:dyDescent="0.2"/>
    <row r="7" spans="1:39" s="534" customFormat="1" x14ac:dyDescent="0.2"/>
    <row r="8" spans="1:39" s="534" customFormat="1" x14ac:dyDescent="0.2"/>
    <row r="9" spans="1:39" s="534" customFormat="1" x14ac:dyDescent="0.2"/>
    <row r="10" spans="1:39" s="534" customFormat="1" x14ac:dyDescent="0.2"/>
    <row r="11" spans="1:39" s="534" customFormat="1" ht="23.25" x14ac:dyDescent="0.2">
      <c r="A11" s="259"/>
      <c r="B11" s="260" t="s">
        <v>253</v>
      </c>
      <c r="C11" s="246"/>
      <c r="D11" s="246"/>
      <c r="E11" s="246"/>
      <c r="F11" s="246"/>
      <c r="G11" s="246"/>
      <c r="H11" s="246"/>
      <c r="I11" s="246"/>
      <c r="J11" s="246"/>
      <c r="K11" s="246"/>
      <c r="L11" s="246"/>
      <c r="M11" s="246"/>
      <c r="N11" s="246"/>
      <c r="O11" s="246"/>
      <c r="P11" s="246"/>
      <c r="Q11" s="245"/>
      <c r="R11" s="246"/>
      <c r="S11" s="245"/>
      <c r="T11" s="245"/>
      <c r="U11" s="245"/>
      <c r="V11" s="245"/>
      <c r="W11" s="245"/>
      <c r="X11" s="245"/>
      <c r="Y11" s="245"/>
      <c r="Z11" s="245"/>
      <c r="AA11" s="245"/>
      <c r="AB11" s="245"/>
      <c r="AC11" s="245"/>
      <c r="AD11" s="245"/>
      <c r="AE11" s="245"/>
      <c r="AF11" s="245"/>
      <c r="AG11" s="245"/>
      <c r="AH11" s="245"/>
      <c r="AI11" s="245"/>
      <c r="AJ11" s="245"/>
      <c r="AK11" s="245"/>
      <c r="AL11" s="245"/>
      <c r="AM11" s="245"/>
    </row>
    <row r="12" spans="1:39" s="534" customFormat="1" ht="15" x14ac:dyDescent="0.2">
      <c r="A12" s="259"/>
      <c r="B12" s="63" t="s">
        <v>64</v>
      </c>
      <c r="C12" s="246"/>
      <c r="D12" s="246"/>
      <c r="E12" s="246"/>
      <c r="F12" s="246"/>
      <c r="G12" s="246"/>
      <c r="H12" s="246"/>
      <c r="I12" s="246"/>
      <c r="J12" s="246"/>
      <c r="K12" s="246"/>
      <c r="L12" s="246"/>
      <c r="M12" s="246"/>
      <c r="N12" s="246"/>
      <c r="O12" s="245"/>
      <c r="P12" s="246"/>
      <c r="Q12" s="245"/>
      <c r="R12" s="245"/>
      <c r="S12" s="245"/>
      <c r="T12" s="245"/>
      <c r="U12" s="245"/>
      <c r="V12" s="245"/>
      <c r="W12" s="245"/>
      <c r="X12" s="245"/>
      <c r="Y12" s="245"/>
      <c r="Z12" s="245"/>
      <c r="AA12" s="245"/>
      <c r="AB12" s="245"/>
      <c r="AC12" s="245"/>
      <c r="AD12" s="245"/>
      <c r="AE12" s="245"/>
      <c r="AF12" s="245"/>
      <c r="AG12" s="245"/>
      <c r="AH12" s="245"/>
      <c r="AI12" s="245"/>
      <c r="AJ12" s="245"/>
      <c r="AK12" s="245"/>
    </row>
    <row r="13" spans="1:39" s="534" customFormat="1" ht="14.25" x14ac:dyDescent="0.2">
      <c r="A13" s="259"/>
      <c r="B13" s="100" t="s">
        <v>251</v>
      </c>
      <c r="C13" s="246"/>
      <c r="D13" s="246"/>
      <c r="E13" s="246"/>
      <c r="F13" s="246"/>
      <c r="G13" s="246"/>
      <c r="H13" s="246"/>
      <c r="I13" s="246"/>
      <c r="J13" s="246"/>
      <c r="K13" s="246"/>
      <c r="L13" s="246"/>
      <c r="M13" s="246"/>
      <c r="N13" s="246"/>
      <c r="O13" s="246"/>
      <c r="P13" s="246"/>
      <c r="Q13" s="245"/>
      <c r="R13" s="246"/>
      <c r="S13" s="245"/>
      <c r="T13" s="245"/>
      <c r="U13" s="245"/>
      <c r="V13" s="245"/>
      <c r="W13" s="245"/>
      <c r="X13" s="245"/>
      <c r="Y13" s="245"/>
      <c r="Z13" s="245"/>
      <c r="AA13" s="245"/>
      <c r="AB13" s="245"/>
      <c r="AC13" s="245"/>
      <c r="AD13" s="245"/>
      <c r="AE13" s="245"/>
      <c r="AF13" s="245"/>
      <c r="AG13" s="245"/>
      <c r="AH13" s="245"/>
      <c r="AI13" s="245"/>
      <c r="AJ13" s="245"/>
      <c r="AK13" s="245"/>
      <c r="AL13" s="245"/>
      <c r="AM13" s="245"/>
    </row>
    <row r="14" spans="1:39" s="534" customFormat="1" ht="14.25" x14ac:dyDescent="0.2">
      <c r="A14" s="259"/>
      <c r="B14" s="100" t="s">
        <v>252</v>
      </c>
      <c r="C14" s="246"/>
      <c r="D14" s="246"/>
      <c r="E14" s="246"/>
      <c r="F14" s="246"/>
      <c r="G14" s="246"/>
      <c r="H14" s="246"/>
      <c r="I14" s="246"/>
      <c r="J14" s="246"/>
      <c r="K14" s="246"/>
      <c r="L14" s="246"/>
      <c r="M14" s="246"/>
      <c r="N14" s="246"/>
      <c r="O14" s="246"/>
      <c r="P14" s="246"/>
      <c r="Q14" s="245"/>
      <c r="R14" s="246"/>
      <c r="S14" s="245"/>
      <c r="T14" s="245"/>
      <c r="U14" s="245"/>
      <c r="V14" s="245"/>
      <c r="W14" s="245"/>
      <c r="X14" s="245"/>
      <c r="Y14" s="245"/>
      <c r="Z14" s="245"/>
      <c r="AA14" s="245"/>
      <c r="AB14" s="245"/>
      <c r="AC14" s="245"/>
      <c r="AD14" s="245"/>
      <c r="AE14" s="245"/>
      <c r="AF14" s="245"/>
      <c r="AG14" s="245"/>
      <c r="AH14" s="245"/>
      <c r="AI14" s="245"/>
      <c r="AJ14" s="245"/>
      <c r="AK14" s="245"/>
      <c r="AL14" s="245"/>
      <c r="AM14" s="245"/>
    </row>
    <row r="17" spans="2:11" x14ac:dyDescent="0.2">
      <c r="B17" t="s">
        <v>157</v>
      </c>
      <c r="C17"/>
      <c r="D17"/>
      <c r="E17"/>
      <c r="F17"/>
      <c r="G17"/>
      <c r="H17"/>
      <c r="I17"/>
      <c r="J17"/>
      <c r="K17"/>
    </row>
    <row r="18" spans="2:11" ht="13.5" thickBot="1" x14ac:dyDescent="0.25">
      <c r="B18"/>
      <c r="C18"/>
      <c r="D18"/>
      <c r="E18"/>
      <c r="F18"/>
      <c r="G18"/>
      <c r="H18"/>
      <c r="I18"/>
      <c r="J18"/>
      <c r="K18"/>
    </row>
    <row r="19" spans="2:11" x14ac:dyDescent="0.2">
      <c r="B19" s="547" t="s">
        <v>7</v>
      </c>
      <c r="C19" s="547"/>
      <c r="D19"/>
      <c r="E19"/>
      <c r="F19"/>
      <c r="G19"/>
      <c r="H19"/>
      <c r="I19"/>
      <c r="J19"/>
      <c r="K19"/>
    </row>
    <row r="20" spans="2:11" x14ac:dyDescent="0.2">
      <c r="B20" s="544" t="s">
        <v>8</v>
      </c>
      <c r="C20" s="544">
        <v>0.92668223566941954</v>
      </c>
      <c r="D20"/>
      <c r="E20"/>
      <c r="F20"/>
      <c r="G20"/>
      <c r="H20"/>
      <c r="I20"/>
      <c r="J20"/>
      <c r="K20"/>
    </row>
    <row r="21" spans="2:11" x14ac:dyDescent="0.2">
      <c r="B21" s="544" t="s">
        <v>9</v>
      </c>
      <c r="C21" s="544">
        <v>0.85873996590527357</v>
      </c>
      <c r="D21"/>
      <c r="E21"/>
      <c r="F21"/>
      <c r="G21"/>
      <c r="H21"/>
      <c r="I21"/>
      <c r="J21"/>
      <c r="K21"/>
    </row>
    <row r="22" spans="2:11" x14ac:dyDescent="0.2">
      <c r="B22" s="544" t="s">
        <v>10</v>
      </c>
      <c r="C22" s="544">
        <v>0.85254435037480314</v>
      </c>
      <c r="D22"/>
      <c r="E22"/>
      <c r="F22"/>
      <c r="G22"/>
      <c r="H22"/>
      <c r="I22"/>
      <c r="J22"/>
      <c r="K22"/>
    </row>
    <row r="23" spans="2:11" x14ac:dyDescent="0.2">
      <c r="B23" s="544" t="s">
        <v>11</v>
      </c>
      <c r="C23" s="544">
        <v>912139.52476786438</v>
      </c>
      <c r="D23"/>
      <c r="E23"/>
      <c r="F23"/>
      <c r="G23"/>
      <c r="H23"/>
      <c r="I23"/>
      <c r="J23"/>
      <c r="K23"/>
    </row>
    <row r="24" spans="2:11" ht="13.5" thickBot="1" x14ac:dyDescent="0.25">
      <c r="B24" s="545" t="s">
        <v>12</v>
      </c>
      <c r="C24" s="545">
        <v>120</v>
      </c>
      <c r="D24"/>
      <c r="E24"/>
      <c r="F24"/>
      <c r="G24"/>
      <c r="H24"/>
      <c r="I24"/>
      <c r="J24"/>
      <c r="K24"/>
    </row>
    <row r="25" spans="2:11" x14ac:dyDescent="0.2">
      <c r="B25"/>
      <c r="C25"/>
      <c r="D25"/>
      <c r="E25"/>
      <c r="F25"/>
      <c r="G25"/>
      <c r="H25"/>
      <c r="I25"/>
      <c r="J25"/>
      <c r="K25"/>
    </row>
    <row r="26" spans="2:11" ht="13.5" thickBot="1" x14ac:dyDescent="0.25">
      <c r="B26" t="s">
        <v>13</v>
      </c>
      <c r="C26"/>
      <c r="D26"/>
      <c r="E26"/>
      <c r="F26"/>
      <c r="G26"/>
      <c r="H26"/>
      <c r="I26"/>
      <c r="J26"/>
      <c r="K26"/>
    </row>
    <row r="27" spans="2:11" x14ac:dyDescent="0.2">
      <c r="B27" s="546"/>
      <c r="C27" s="546" t="s">
        <v>18</v>
      </c>
      <c r="D27" s="546" t="s">
        <v>19</v>
      </c>
      <c r="E27" s="546" t="s">
        <v>20</v>
      </c>
      <c r="F27" s="546" t="s">
        <v>21</v>
      </c>
      <c r="G27" s="546" t="s">
        <v>22</v>
      </c>
      <c r="H27"/>
      <c r="I27"/>
      <c r="J27"/>
      <c r="K27"/>
    </row>
    <row r="28" spans="2:11" x14ac:dyDescent="0.2">
      <c r="B28" s="544" t="s">
        <v>14</v>
      </c>
      <c r="C28" s="544">
        <v>5</v>
      </c>
      <c r="D28" s="544">
        <v>576593536886782.62</v>
      </c>
      <c r="E28" s="544">
        <v>115318707377356.53</v>
      </c>
      <c r="F28" s="544">
        <v>138.60446337929332</v>
      </c>
      <c r="G28" s="544">
        <v>9.5068561616320363E-47</v>
      </c>
      <c r="H28"/>
      <c r="I28"/>
      <c r="J28"/>
      <c r="K28"/>
    </row>
    <row r="29" spans="2:11" x14ac:dyDescent="0.2">
      <c r="B29" s="544" t="s">
        <v>15</v>
      </c>
      <c r="C29" s="544">
        <v>114</v>
      </c>
      <c r="D29" s="544">
        <v>94847830441386.984</v>
      </c>
      <c r="E29" s="544">
        <v>831998512643.74548</v>
      </c>
      <c r="F29" s="544"/>
      <c r="G29" s="544"/>
      <c r="H29"/>
      <c r="I29"/>
      <c r="J29"/>
      <c r="K29"/>
    </row>
    <row r="30" spans="2:11" ht="13.5" thickBot="1" x14ac:dyDescent="0.25">
      <c r="B30" s="545" t="s">
        <v>16</v>
      </c>
      <c r="C30" s="545">
        <v>119</v>
      </c>
      <c r="D30" s="545">
        <v>671441367328169.62</v>
      </c>
      <c r="E30" s="545"/>
      <c r="F30" s="545"/>
      <c r="G30" s="545"/>
      <c r="H30"/>
      <c r="I30"/>
      <c r="J30"/>
      <c r="K30"/>
    </row>
    <row r="31" spans="2:11" ht="13.5" thickBot="1" x14ac:dyDescent="0.25">
      <c r="B31"/>
      <c r="C31"/>
      <c r="D31"/>
      <c r="E31"/>
      <c r="F31"/>
      <c r="G31"/>
      <c r="H31"/>
      <c r="I31"/>
      <c r="J31"/>
      <c r="K31"/>
    </row>
    <row r="32" spans="2:11" x14ac:dyDescent="0.2">
      <c r="B32" s="546"/>
      <c r="C32" s="546" t="s">
        <v>23</v>
      </c>
      <c r="D32" s="546" t="s">
        <v>11</v>
      </c>
      <c r="E32" s="546" t="s">
        <v>24</v>
      </c>
      <c r="F32" s="546" t="s">
        <v>25</v>
      </c>
      <c r="G32" s="546" t="s">
        <v>26</v>
      </c>
      <c r="H32" s="546" t="s">
        <v>27</v>
      </c>
      <c r="I32" s="546" t="s">
        <v>28</v>
      </c>
      <c r="J32" s="546" t="s">
        <v>29</v>
      </c>
      <c r="K32"/>
    </row>
    <row r="33" spans="2:11" x14ac:dyDescent="0.2">
      <c r="B33" s="544" t="s">
        <v>17</v>
      </c>
      <c r="C33" s="544">
        <v>8741032.4856701158</v>
      </c>
      <c r="D33" s="544">
        <v>4558814.727491878</v>
      </c>
      <c r="E33" s="544">
        <v>1.9173914730417587</v>
      </c>
      <c r="F33" s="544">
        <v>5.7690619174398487E-2</v>
      </c>
      <c r="G33" s="544">
        <v>-289944.37739021145</v>
      </c>
      <c r="H33" s="544">
        <v>17772009.348730445</v>
      </c>
      <c r="I33" s="544">
        <v>-289944.37739021145</v>
      </c>
      <c r="J33" s="544">
        <v>17772009.348730445</v>
      </c>
      <c r="K33"/>
    </row>
    <row r="34" spans="2:11" x14ac:dyDescent="0.2">
      <c r="B34" s="544" t="s">
        <v>405</v>
      </c>
      <c r="C34" s="544">
        <v>6535.9894244588641</v>
      </c>
      <c r="D34" s="544">
        <v>697.1191117335693</v>
      </c>
      <c r="E34" s="544">
        <v>9.3757140127824261</v>
      </c>
      <c r="F34" s="544">
        <v>7.9193340633128532E-16</v>
      </c>
      <c r="G34" s="544">
        <v>5155.0018333428907</v>
      </c>
      <c r="H34" s="544">
        <v>7916.9770155748374</v>
      </c>
      <c r="I34" s="544">
        <v>5155.0018333428907</v>
      </c>
      <c r="J34" s="544">
        <v>7916.9770155748374</v>
      </c>
      <c r="K34"/>
    </row>
    <row r="35" spans="2:11" x14ac:dyDescent="0.2">
      <c r="B35" s="544" t="s">
        <v>406</v>
      </c>
      <c r="C35" s="544">
        <v>23882.238363365457</v>
      </c>
      <c r="D35" s="544">
        <v>3791.0175307780228</v>
      </c>
      <c r="E35" s="544">
        <v>6.2996908269279759</v>
      </c>
      <c r="F35" s="544">
        <v>5.7778879292262121E-9</v>
      </c>
      <c r="G35" s="544">
        <v>16372.261833402732</v>
      </c>
      <c r="H35" s="544">
        <v>31392.214893328182</v>
      </c>
      <c r="I35" s="544">
        <v>16372.261833402732</v>
      </c>
      <c r="J35" s="544">
        <v>31392.214893328182</v>
      </c>
      <c r="K35"/>
    </row>
    <row r="36" spans="2:11" x14ac:dyDescent="0.2">
      <c r="B36" s="544" t="s">
        <v>407</v>
      </c>
      <c r="C36" s="544">
        <v>1602289.4249446383</v>
      </c>
      <c r="D36" s="544">
        <v>330721.58922940941</v>
      </c>
      <c r="E36" s="544">
        <v>4.8448286326816996</v>
      </c>
      <c r="F36" s="544">
        <v>4.0276505998579839E-6</v>
      </c>
      <c r="G36" s="544">
        <v>947132.5039068422</v>
      </c>
      <c r="H36" s="544">
        <v>2257446.3459824342</v>
      </c>
      <c r="I36" s="544">
        <v>947132.5039068422</v>
      </c>
      <c r="J36" s="544">
        <v>2257446.3459824342</v>
      </c>
      <c r="K36"/>
    </row>
    <row r="37" spans="2:11" x14ac:dyDescent="0.2">
      <c r="B37" s="544" t="s">
        <v>408</v>
      </c>
      <c r="C37" s="544">
        <v>349016.37110289093</v>
      </c>
      <c r="D37" s="544">
        <v>318903.24981230561</v>
      </c>
      <c r="E37" s="544">
        <v>1.0944271383509223</v>
      </c>
      <c r="F37" s="544">
        <v>0.276074686511116</v>
      </c>
      <c r="G37" s="544">
        <v>-282728.51057475794</v>
      </c>
      <c r="H37" s="544">
        <v>980761.2527805398</v>
      </c>
      <c r="I37" s="544">
        <v>-282728.51057475794</v>
      </c>
      <c r="J37" s="544">
        <v>980761.2527805398</v>
      </c>
      <c r="K37"/>
    </row>
    <row r="38" spans="2:11" ht="13.5" thickBot="1" x14ac:dyDescent="0.25">
      <c r="B38" s="545" t="s">
        <v>409</v>
      </c>
      <c r="C38" s="545">
        <v>147431.69784035117</v>
      </c>
      <c r="D38" s="545">
        <v>148056.87763293143</v>
      </c>
      <c r="E38" s="545">
        <v>0.99577743497920967</v>
      </c>
      <c r="F38" s="545">
        <v>0.3214672364638046</v>
      </c>
      <c r="G38" s="545">
        <v>-145867.83641284032</v>
      </c>
      <c r="H38" s="545">
        <v>440731.2320935427</v>
      </c>
      <c r="I38" s="545">
        <v>-145867.83641284032</v>
      </c>
      <c r="J38" s="545">
        <v>440731.2320935427</v>
      </c>
      <c r="K38"/>
    </row>
  </sheetData>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6"/>
  <sheetViews>
    <sheetView showGridLines="0" zoomScaleNormal="100" workbookViewId="0">
      <selection activeCell="L50" sqref="L50"/>
    </sheetView>
  </sheetViews>
  <sheetFormatPr defaultColWidth="11.1640625" defaultRowHeight="12.75" x14ac:dyDescent="0.2"/>
  <cols>
    <col min="1" max="1" width="13.6640625" style="1" customWidth="1"/>
    <col min="2" max="2" width="15" style="58" customWidth="1"/>
    <col min="3" max="3" width="16" style="58" customWidth="1"/>
    <col min="4" max="7" width="15" style="58" customWidth="1"/>
    <col min="8" max="8" width="15" style="1" customWidth="1"/>
    <col min="9" max="9" width="3.33203125" style="64" customWidth="1"/>
    <col min="10" max="16" width="15" style="1" customWidth="1"/>
    <col min="17" max="17" width="3.1640625" style="64" customWidth="1"/>
    <col min="18" max="24" width="15" style="1" customWidth="1"/>
    <col min="25" max="25" width="3" style="1" customWidth="1"/>
    <col min="26" max="32" width="15" style="1" customWidth="1"/>
    <col min="33" max="33" width="2.83203125" style="1" customWidth="1"/>
    <col min="34" max="40" width="15" style="1" customWidth="1"/>
    <col min="41" max="41" width="3.83203125" style="1" customWidth="1"/>
    <col min="42" max="16384" width="11.1640625" style="1"/>
  </cols>
  <sheetData>
    <row r="1" spans="1:17" s="534" customFormat="1" x14ac:dyDescent="0.2">
      <c r="A1" s="755" t="s">
        <v>269</v>
      </c>
      <c r="B1" s="58"/>
      <c r="C1" s="58"/>
      <c r="D1" s="58"/>
      <c r="E1" s="58"/>
      <c r="F1" s="58"/>
      <c r="G1" s="58"/>
      <c r="I1" s="64"/>
      <c r="Q1" s="64"/>
    </row>
    <row r="2" spans="1:17" s="534" customFormat="1" x14ac:dyDescent="0.2">
      <c r="B2" s="58"/>
      <c r="C2" s="58"/>
      <c r="D2" s="58"/>
      <c r="E2" s="58"/>
      <c r="F2" s="58"/>
      <c r="G2" s="58"/>
      <c r="I2" s="64"/>
      <c r="Q2" s="64"/>
    </row>
    <row r="3" spans="1:17" s="534" customFormat="1" x14ac:dyDescent="0.2">
      <c r="B3" s="58"/>
      <c r="C3" s="58"/>
      <c r="D3" s="58"/>
      <c r="E3" s="58"/>
      <c r="F3" s="58"/>
      <c r="G3" s="58"/>
      <c r="I3" s="64"/>
      <c r="Q3" s="64"/>
    </row>
    <row r="4" spans="1:17" s="534" customFormat="1" x14ac:dyDescent="0.2">
      <c r="B4" s="58"/>
      <c r="C4" s="58"/>
      <c r="D4" s="58"/>
      <c r="E4" s="58"/>
      <c r="F4" s="58"/>
      <c r="G4" s="58"/>
      <c r="I4" s="64"/>
      <c r="Q4" s="64"/>
    </row>
    <row r="5" spans="1:17" s="534" customFormat="1" x14ac:dyDescent="0.2">
      <c r="B5" s="58"/>
      <c r="C5" s="58"/>
      <c r="D5" s="58"/>
      <c r="E5" s="58"/>
      <c r="F5" s="58"/>
      <c r="G5" s="58"/>
      <c r="I5" s="64"/>
      <c r="Q5" s="64"/>
    </row>
    <row r="6" spans="1:17" s="534" customFormat="1" x14ac:dyDescent="0.2">
      <c r="B6" s="58"/>
      <c r="C6" s="58"/>
      <c r="D6" s="58"/>
      <c r="E6" s="58"/>
      <c r="F6" s="58"/>
      <c r="G6" s="58"/>
      <c r="I6" s="64"/>
      <c r="Q6" s="64"/>
    </row>
    <row r="7" spans="1:17" s="534" customFormat="1" x14ac:dyDescent="0.2">
      <c r="B7" s="58"/>
      <c r="C7" s="58"/>
      <c r="D7" s="58"/>
      <c r="E7" s="58"/>
      <c r="F7" s="58"/>
      <c r="G7" s="58"/>
      <c r="I7" s="64"/>
      <c r="Q7" s="64"/>
    </row>
    <row r="8" spans="1:17" s="534" customFormat="1" x14ac:dyDescent="0.2">
      <c r="B8" s="58"/>
      <c r="C8" s="58"/>
      <c r="D8" s="58"/>
      <c r="E8" s="58"/>
      <c r="F8" s="58"/>
      <c r="G8" s="58"/>
      <c r="I8" s="64"/>
      <c r="Q8" s="64"/>
    </row>
    <row r="9" spans="1:17" s="534" customFormat="1" x14ac:dyDescent="0.2">
      <c r="B9" s="58"/>
      <c r="C9" s="58"/>
      <c r="D9" s="58"/>
      <c r="E9" s="58"/>
      <c r="F9" s="58"/>
      <c r="G9" s="58"/>
      <c r="I9" s="64"/>
      <c r="Q9" s="64"/>
    </row>
    <row r="10" spans="1:17" s="534" customFormat="1" x14ac:dyDescent="0.2">
      <c r="B10" s="58"/>
      <c r="C10" s="58"/>
      <c r="D10" s="58"/>
      <c r="E10" s="58"/>
      <c r="F10" s="58"/>
      <c r="G10" s="58"/>
      <c r="I10" s="64"/>
      <c r="Q10" s="64"/>
    </row>
    <row r="11" spans="1:17" s="64" customFormat="1" ht="15.75" customHeight="1" x14ac:dyDescent="0.2">
      <c r="B11" s="133" t="s">
        <v>44</v>
      </c>
      <c r="D11" s="3"/>
      <c r="E11" s="3"/>
      <c r="F11" s="3"/>
      <c r="G11" s="3"/>
      <c r="H11" s="3"/>
      <c r="I11" s="3"/>
    </row>
    <row r="12" spans="1:17" s="64" customFormat="1" ht="15.75" customHeight="1" x14ac:dyDescent="0.2">
      <c r="B12" s="63" t="s">
        <v>64</v>
      </c>
      <c r="D12" s="3"/>
      <c r="E12" s="3"/>
      <c r="F12" s="3"/>
      <c r="G12" s="3"/>
      <c r="H12" s="3"/>
      <c r="I12" s="3"/>
    </row>
    <row r="13" spans="1:17" s="64" customFormat="1" ht="15.75" customHeight="1" x14ac:dyDescent="0.2">
      <c r="B13" s="100" t="s">
        <v>254</v>
      </c>
      <c r="D13" s="3"/>
      <c r="E13" s="3"/>
      <c r="F13" s="3"/>
      <c r="G13" s="3"/>
      <c r="H13" s="3"/>
      <c r="I13" s="3"/>
    </row>
    <row r="14" spans="1:17" s="64" customFormat="1" ht="15.75" customHeight="1" x14ac:dyDescent="0.2">
      <c r="B14" s="100" t="s">
        <v>255</v>
      </c>
      <c r="D14" s="3"/>
      <c r="E14" s="3"/>
      <c r="F14" s="3"/>
      <c r="G14" s="3"/>
      <c r="H14" s="3"/>
      <c r="I14" s="3"/>
    </row>
    <row r="15" spans="1:17" ht="12.75" customHeight="1" thickBot="1" x14ac:dyDescent="0.25"/>
    <row r="16" spans="1:17" ht="15.75" thickBot="1" x14ac:dyDescent="0.3">
      <c r="B16" s="316" t="s">
        <v>179</v>
      </c>
      <c r="G16" s="564" t="s">
        <v>178</v>
      </c>
    </row>
    <row r="17" spans="2:40" ht="12.75" customHeight="1" x14ac:dyDescent="0.2"/>
    <row r="18" spans="2:40" ht="12.75" customHeight="1" thickBot="1" x14ac:dyDescent="0.25"/>
    <row r="19" spans="2:40" ht="14.25" customHeight="1" thickBot="1" x14ac:dyDescent="0.25">
      <c r="B19" s="1059" t="s">
        <v>6</v>
      </c>
      <c r="C19" s="1060"/>
      <c r="D19" s="1060"/>
      <c r="E19" s="1060"/>
      <c r="F19" s="1060"/>
      <c r="G19" s="1060"/>
      <c r="H19" s="1061"/>
      <c r="I19" s="145"/>
      <c r="J19" s="1059" t="s">
        <v>97</v>
      </c>
      <c r="K19" s="1060"/>
      <c r="L19" s="1060"/>
      <c r="M19" s="1060"/>
      <c r="N19" s="1060"/>
      <c r="O19" s="1060"/>
      <c r="P19" s="1061"/>
      <c r="Q19" s="145"/>
      <c r="R19" s="1059" t="s">
        <v>265</v>
      </c>
      <c r="S19" s="1060"/>
      <c r="T19" s="1060"/>
      <c r="U19" s="1060"/>
      <c r="V19" s="1060"/>
      <c r="W19" s="1060"/>
      <c r="X19" s="1061"/>
      <c r="Z19" s="1059"/>
      <c r="AA19" s="1060"/>
      <c r="AB19" s="1060"/>
      <c r="AC19" s="1060"/>
      <c r="AD19" s="1060"/>
      <c r="AE19" s="1060"/>
      <c r="AF19" s="1061"/>
      <c r="AH19" s="1059"/>
      <c r="AI19" s="1060"/>
      <c r="AJ19" s="1060"/>
      <c r="AK19" s="1060"/>
      <c r="AL19" s="1060"/>
      <c r="AM19" s="1060"/>
      <c r="AN19" s="1061"/>
    </row>
    <row r="20" spans="2:40" ht="59.25" customHeight="1" thickBot="1" x14ac:dyDescent="0.25">
      <c r="B20" s="65" t="s">
        <v>33</v>
      </c>
      <c r="C20" s="219" t="s">
        <v>152</v>
      </c>
      <c r="D20" s="219" t="s">
        <v>150</v>
      </c>
      <c r="E20" s="219" t="s">
        <v>147</v>
      </c>
      <c r="F20" s="67" t="s">
        <v>151</v>
      </c>
      <c r="G20" s="66" t="s">
        <v>34</v>
      </c>
      <c r="H20" s="68" t="s">
        <v>38</v>
      </c>
      <c r="I20" s="146"/>
      <c r="J20" s="65" t="s">
        <v>33</v>
      </c>
      <c r="K20" s="219" t="s">
        <v>153</v>
      </c>
      <c r="L20" s="219" t="s">
        <v>150</v>
      </c>
      <c r="M20" s="219" t="s">
        <v>147</v>
      </c>
      <c r="N20" s="67" t="s">
        <v>151</v>
      </c>
      <c r="O20" s="66" t="s">
        <v>34</v>
      </c>
      <c r="P20" s="68" t="s">
        <v>38</v>
      </c>
      <c r="Q20" s="146"/>
      <c r="R20" s="65" t="s">
        <v>33</v>
      </c>
      <c r="S20" s="219" t="s">
        <v>154</v>
      </c>
      <c r="T20" s="219" t="s">
        <v>150</v>
      </c>
      <c r="U20" s="219" t="s">
        <v>147</v>
      </c>
      <c r="V20" s="67" t="s">
        <v>151</v>
      </c>
      <c r="W20" s="66" t="s">
        <v>34</v>
      </c>
      <c r="X20" s="68" t="s">
        <v>38</v>
      </c>
      <c r="Z20" s="65" t="s">
        <v>33</v>
      </c>
      <c r="AA20" s="219" t="s">
        <v>154</v>
      </c>
      <c r="AB20" s="219" t="s">
        <v>150</v>
      </c>
      <c r="AC20" s="219" t="s">
        <v>147</v>
      </c>
      <c r="AD20" s="67" t="s">
        <v>151</v>
      </c>
      <c r="AE20" s="66" t="s">
        <v>34</v>
      </c>
      <c r="AF20" s="68" t="s">
        <v>38</v>
      </c>
      <c r="AH20" s="65" t="s">
        <v>33</v>
      </c>
      <c r="AI20" s="219" t="s">
        <v>154</v>
      </c>
      <c r="AJ20" s="219" t="s">
        <v>150</v>
      </c>
      <c r="AK20" s="219" t="s">
        <v>147</v>
      </c>
      <c r="AL20" s="67" t="s">
        <v>151</v>
      </c>
      <c r="AM20" s="66" t="s">
        <v>34</v>
      </c>
      <c r="AN20" s="68" t="s">
        <v>38</v>
      </c>
    </row>
    <row r="21" spans="2:40" x14ac:dyDescent="0.2">
      <c r="B21" s="178">
        <f>'4. Customer Growth'!B17</f>
        <v>2006</v>
      </c>
      <c r="C21" s="70">
        <f>IF($B$19='2. Customer Classes'!$B$14,+SUM('3. Consumption by Rate Class'!$D$25:$D$36),+IF($B$19='2. Customer Classes'!$B$15,+SUM('3. Consumption by Rate Class'!$F$25:$F$36),+IF($B$19='2. Customer Classes'!$B$16,+SUM('3. Consumption by Rate Class'!$H$25:$H$36),+IF($B$19='2. Customer Classes'!$B$17,+SUM('3. Consumption by Rate Class'!$J$25:$J$36),+IF($B$19='2. Customer Classes'!$B$18,+SUM('3. Consumption by Rate Class'!$L$25:$L$36),+IF($B$19='2. Customer Classes'!$B$19,+SUM('3. Consumption by Rate Class'!$O$25:$O$36),IF($B$19='2. Customer Classes'!$B$20,+SUM('3. Consumption by Rate Class'!$R$25:$R$36),0)))))))</f>
        <v>30640106</v>
      </c>
      <c r="D21" s="70">
        <f>SUM('6. WS Regression Analysis'!J20:J31)</f>
        <v>91018552.480000004</v>
      </c>
      <c r="E21" s="70">
        <f>SUM('6. WS Regression Analysis'!R20:R31)</f>
        <v>93834660.825160488</v>
      </c>
      <c r="F21" s="71">
        <f>C21/D21</f>
        <v>0.33663583044492734</v>
      </c>
      <c r="G21" s="70">
        <f>E21*F21</f>
        <v>31588108.971395992</v>
      </c>
      <c r="H21" s="70">
        <f>IF($B$19='2. Customer Classes'!$B$14,+G21/'4. Customer Growth'!$C17,+IF($B$19='2. Customer Classes'!$B$15,+G21/'4. Customer Growth'!$E17,+IF($B$19='2. Customer Classes'!$B$16,+G21/'4. Customer Growth'!$G17,+IF($B$19='2. Customer Classes'!$B$17,+G21/'4. Customer Growth'!$I17,+IF($B$19='2. Customer Classes'!$B$18,+G21/'4. Customer Growth'!$K17,+IF($B$19='2. Customer Classes'!$B$19,+G21/'4. Customer Growth'!$M17,IF($B$19='2. Customer Classes'!$B$20,+G21/'4. Customer Growth'!$O17)))))))</f>
        <v>8930.7630679660706</v>
      </c>
      <c r="I21" s="82"/>
      <c r="J21" s="178">
        <f>B21</f>
        <v>2006</v>
      </c>
      <c r="K21" s="70">
        <f>IF($J$19='2. Customer Classes'!$B$14,+SUM('3. Consumption by Rate Class'!$D$25:$D$36),+IF($J$19='2. Customer Classes'!$B$15,+SUM('3. Consumption by Rate Class'!$F$25:$F$36),+IF($J$19='2. Customer Classes'!$B$16,+SUM('3. Consumption by Rate Class'!$H$25:$H$36),+IF($J$19='2. Customer Classes'!$B$17,+SUM('3. Consumption by Rate Class'!$J$25:$J$36),+IF($J$19='2. Customer Classes'!$B$18,+SUM('3. Consumption by Rate Class'!$L$25:$L$36),+IF($J$19='2. Customer Classes'!$B$19,+SUM('3. Consumption by Rate Class'!$O$25:$O$36),IF($J$19='2. Customer Classes'!$B$20,+SUM('3. Consumption by Rate Class'!$R$25:$R$36),0)))))))</f>
        <v>13424049</v>
      </c>
      <c r="L21" s="70">
        <f>D21</f>
        <v>91018552.480000004</v>
      </c>
      <c r="M21" s="70">
        <f t="shared" ref="M21:M30" si="0">E21</f>
        <v>93834660.825160488</v>
      </c>
      <c r="N21" s="71">
        <f t="shared" ref="N21:N29" si="1">K21/L21</f>
        <v>0.1474869533104225</v>
      </c>
      <c r="O21" s="70">
        <f>M21*N21</f>
        <v>13839388.240019776</v>
      </c>
      <c r="P21" s="70">
        <f>IF($J$19='2. Customer Classes'!$B$14,+O21/'4. Customer Growth'!$C17,+IF($J$19='2. Customer Classes'!$B$15,+O21/'4. Customer Growth'!$E17,+IF($J$19='2. Customer Classes'!$B$16,+O21/'4. Customer Growth'!$G17,+IF($J$19='2. Customer Classes'!$B$17,+O21/'4. Customer Growth'!$I17,+IF($J$19='2. Customer Classes'!$B$18,+O21/'4. Customer Growth'!$K17,+IF($J$19='2. Customer Classes'!$B$19,+O21/'4. Customer Growth'!$M17,IF($J$19='2. Customer Classes'!$B$20,+O21/'4. Customer Growth'!$O17)))))))</f>
        <v>27030.055156288625</v>
      </c>
      <c r="Q21" s="82"/>
      <c r="R21" s="178">
        <f>B21</f>
        <v>2006</v>
      </c>
      <c r="S21" s="70">
        <f>IF($R$19='2. Customer Classes'!$B$14,+SUM('3. Consumption by Rate Class'!$D$25:$D$36),+IF($R$19='2. Customer Classes'!$B$15,+SUM('3. Consumption by Rate Class'!$F$25:$F$36),+IF($R$19='2. Customer Classes'!$B$16,+SUM('3. Consumption by Rate Class'!$H$25:$H$36),+IF($R$19='2. Customer Classes'!$B$17,+SUM('3. Consumption by Rate Class'!$J$25:$J$36),+IF($R$19='2. Customer Classes'!$B$18,+SUM('3. Consumption by Rate Class'!$L$25:$L$36),+IF($R$19='2. Customer Classes'!$B$19,+SUM('3. Consumption by Rate Class'!$O$25:$O$36),IF($R$19='2. Customer Classes'!$B$20,+SUM('3. Consumption by Rate Class'!$R$25:$R$36),0)))))))</f>
        <v>51984380</v>
      </c>
      <c r="T21" s="70">
        <f t="shared" ref="T21:T30" si="2">L21</f>
        <v>91018552.480000004</v>
      </c>
      <c r="U21" s="70">
        <f t="shared" ref="U21:U30" si="3">M21</f>
        <v>93834660.825160488</v>
      </c>
      <c r="V21" s="71">
        <f>S21/T21</f>
        <v>0.57114048272106732</v>
      </c>
      <c r="W21" s="70">
        <f>U21*V21</f>
        <v>53592773.47964979</v>
      </c>
      <c r="X21" s="70">
        <f>IF($R$19='2. Customer Classes'!$B$14,+W21/'4. Customer Growth'!$C17,+IF($R$19='2. Customer Classes'!$B$15,+W21/'4. Customer Growth'!$E17,+IF($R$19='2. Customer Classes'!$B$16,+W21/'4. Customer Growth'!$G17,+IF($R$19='2. Customer Classes'!$B$17,+W21/'4. Customer Growth'!$I17,+IF($R$19='2. Customer Classes'!$B$18,+W21/'4. Customer Growth'!$K17,+IF($R$19='2. Customer Classes'!$B$19,+W21/'4. Customer Growth'!$M17,IF($R$19='2. Customer Classes'!$B$20,+W21/'4. Customer Growth'!$O17)))))))</f>
        <v>864399.57225241594</v>
      </c>
      <c r="Z21" s="178">
        <f>J21</f>
        <v>2006</v>
      </c>
      <c r="AA21" s="70">
        <f>IF($Z$19='2. Customer Classes'!$B$14,+SUM('3. Consumption by Rate Class'!$D$25:$D$36),+IF($Z$19='2. Customer Classes'!$B$15,+SUM('3. Consumption by Rate Class'!$F$25:$F$36),+IF($Z$19='2. Customer Classes'!$B$16,+SUM('3. Consumption by Rate Class'!$H$25:$H$36),+IF($Z$19='2. Customer Classes'!$B$17,+SUM('3. Consumption by Rate Class'!$J$25:$J$36),+IF($Z$19='2. Customer Classes'!$B$18,+SUM('3. Consumption by Rate Class'!$L$25:$L$36),+IF($Z$19='2. Customer Classes'!$B$19,+SUM('3. Consumption by Rate Class'!$O$25:$O$36),IF($Z$19='2. Customer Classes'!$B$20,+SUM('3. Consumption by Rate Class'!$R$25:$R$36),0)))))))</f>
        <v>0</v>
      </c>
      <c r="AB21" s="70">
        <f t="shared" ref="AB21:AB30" si="4">T21</f>
        <v>91018552.480000004</v>
      </c>
      <c r="AC21" s="70">
        <f t="shared" ref="AC21:AC30" si="5">U21</f>
        <v>93834660.825160488</v>
      </c>
      <c r="AD21" s="71">
        <f t="shared" ref="AD21:AD30" si="6">AA21/AB21</f>
        <v>0</v>
      </c>
      <c r="AE21" s="70">
        <f>AC21*AD21</f>
        <v>0</v>
      </c>
      <c r="AF21" s="70" t="e">
        <f>IF($Z$19='2. Customer Classes'!$B$14,+AE21/'4. Customer Growth'!$C17,+IF($Z$19='2. Customer Classes'!$B$15,+AE21/'4. Customer Growth'!$E17,+IF($Z$19='2. Customer Classes'!$B$16,+AE21/'4. Customer Growth'!$G17,+IF($Z$19='2. Customer Classes'!$B$17,+AE21/'4. Customer Growth'!$I17,+IF($Z$19='2. Customer Classes'!$B$18,+AE21/'4. Customer Growth'!$K17,+IF($Z$19='2. Customer Classes'!$B$19,+AE21/'4. Customer Growth'!$M17,IF($Z$19='2. Customer Classes'!$B$20,+AE21/'4. Customer Growth'!$O17)))))))</f>
        <v>#DIV/0!</v>
      </c>
      <c r="AH21" s="178">
        <f>R21</f>
        <v>2006</v>
      </c>
      <c r="AI21" s="70">
        <f>IF($AH$19='2. Customer Classes'!$B$14,+SUM('3. Consumption by Rate Class'!$D$25:$D$36),+IF($AH$19='2. Customer Classes'!$B$15,+SUM('3. Consumption by Rate Class'!$F$25:$F$36),+IF($AH$19='2. Customer Classes'!$B$16,+SUM('3. Consumption by Rate Class'!$H$25:$H$36),+IF($AH$19='2. Customer Classes'!$B$17,+SUM('3. Consumption by Rate Class'!$J$25:$J$36),+IF($AH$19='2. Customer Classes'!$B$18,+SUM('3. Consumption by Rate Class'!$L$25:$L$36),+IF($AH$19='2. Customer Classes'!$B$19,+SUM('3. Consumption by Rate Class'!$O$25:$O$36),IF($AH$19='2. Customer Classes'!$B$20,+SUM('3. Consumption by Rate Class'!$R$25:$R$36),0)))))))</f>
        <v>0</v>
      </c>
      <c r="AJ21" s="70">
        <f t="shared" ref="AJ21:AJ30" si="7">AB21</f>
        <v>91018552.480000004</v>
      </c>
      <c r="AK21" s="70">
        <f t="shared" ref="AK21:AK30" si="8">AC21</f>
        <v>93834660.825160488</v>
      </c>
      <c r="AL21" s="71">
        <f t="shared" ref="AL21:AL30" si="9">AI21/AJ21</f>
        <v>0</v>
      </c>
      <c r="AM21" s="70">
        <f>AK21*AL21</f>
        <v>0</v>
      </c>
      <c r="AN21" s="70" t="e">
        <f>IF($AH$19='2. Customer Classes'!$B$14,+AM21/'4. Customer Growth'!$C17,+IF($AH$19='2. Customer Classes'!$B$15,+AM21/'4. Customer Growth'!$E17,+IF($AH$19='2. Customer Classes'!$B$16,+AM21/'4. Customer Growth'!$G17,+IF($AH$19='2. Customer Classes'!$B$17,+AM21/'4. Customer Growth'!$I17,+IF($AH$19='2. Customer Classes'!$B$18,+AM21/'4. Customer Growth'!$K17,+IF($AH$19='2. Customer Classes'!$B$19,+AM21/'4. Customer Growth'!$M17,IF($AH$19='2. Customer Classes'!$B$20,+AM21/'4. Customer Growth'!$O17)))))))</f>
        <v>#DIV/0!</v>
      </c>
    </row>
    <row r="22" spans="2:40" x14ac:dyDescent="0.2">
      <c r="B22" s="178">
        <f>'4. Customer Growth'!B18</f>
        <v>2007</v>
      </c>
      <c r="C22" s="70">
        <f>IF($B$19='2. Customer Classes'!$B$14,+SUM('3. Consumption by Rate Class'!$D$37:$D$48),+IF($B$19='2. Customer Classes'!$B$15,+SUM('3. Consumption by Rate Class'!$F$37:$F$48),+IF($B$19='2. Customer Classes'!$B$16,+SUM('3. Consumption by Rate Class'!$H$37:$H$48),+IF($B$19='2. Customer Classes'!$B$17,+SUM('3. Consumption by Rate Class'!$J$37:$J$48),+IF($B$19='2. Customer Classes'!$B$18,+SUM('3. Consumption by Rate Class'!$L$37:$L$48),+IF($B$19='2. Customer Classes'!$B$19,+SUM('3. Consumption by Rate Class'!$O$37:$O$48),IF($B$19='2. Customer Classes'!$B$20,+SUM('3. Consumption by Rate Class'!$R$37:$R$48),0)))))))</f>
        <v>31007901</v>
      </c>
      <c r="D22" s="72">
        <f>SUM('6. WS Regression Analysis'!J32:J43)</f>
        <v>94614050.200000003</v>
      </c>
      <c r="E22" s="72">
        <f>SUM('6. WS Regression Analysis'!R32:R43)</f>
        <v>93363786.459310383</v>
      </c>
      <c r="F22" s="73">
        <f t="shared" ref="F22:F29" si="10">C22/D22</f>
        <v>0.32773040509791007</v>
      </c>
      <c r="G22" s="72">
        <f t="shared" ref="G22:G32" si="11">E22*F22</f>
        <v>30598151.557784561</v>
      </c>
      <c r="H22" s="70">
        <f>IF($B$19='2. Customer Classes'!$B$14,+G22/'4. Customer Growth'!$C18,+IF($B$19='2. Customer Classes'!$B$15,+G22/'4. Customer Growth'!$E18,+IF($B$19='2. Customer Classes'!$B$16,+G22/'4. Customer Growth'!$G18,+IF($B$19='2. Customer Classes'!$B$17,+G22/'4. Customer Growth'!$I18,+IF($B$19='2. Customer Classes'!$B$18,+G22/'4. Customer Growth'!$K18,+IF($B$19='2. Customer Classes'!$B$19,+G22/'4. Customer Growth'!$M18,IF($B$19='2. Customer Classes'!$B$20,+G22/'4. Customer Growth'!$O18)))))))</f>
        <v>8616.7703626540588</v>
      </c>
      <c r="I22" s="82"/>
      <c r="J22" s="178">
        <f t="shared" ref="J22:J32" si="12">B22</f>
        <v>2007</v>
      </c>
      <c r="K22" s="70">
        <f>IF($J$19='2. Customer Classes'!$B$14,+SUM('3. Consumption by Rate Class'!$D$37:$D$48),+IF($J$19='2. Customer Classes'!$B$15,+SUM('3. Consumption by Rate Class'!$F$37:$F$48),+IF($J$19='2. Customer Classes'!$B$16,+SUM('3. Consumption by Rate Class'!$H$37:$H$48),+IF($J$19='2. Customer Classes'!$B$17,+SUM('3. Consumption by Rate Class'!$J$37:$J$48),+IF($J$19='2. Customer Classes'!$B$18,+SUM('3. Consumption by Rate Class'!$L$37:$L$48),+IF($J$19='2. Customer Classes'!$B$19,+SUM('3. Consumption by Rate Class'!$O$37:$O$48),IF($J$19='2. Customer Classes'!$B$20,+SUM('3. Consumption by Rate Class'!$R$37:$R$48),0)))))))</f>
        <v>13776453</v>
      </c>
      <c r="L22" s="72">
        <f t="shared" ref="L22:L30" si="13">D22</f>
        <v>94614050.200000003</v>
      </c>
      <c r="M22" s="72">
        <f t="shared" si="0"/>
        <v>93363786.459310383</v>
      </c>
      <c r="N22" s="73">
        <f t="shared" si="1"/>
        <v>0.14560684138221153</v>
      </c>
      <c r="O22" s="72">
        <f t="shared" ref="O22:O30" si="14">M22*N22</f>
        <v>13594406.045823475</v>
      </c>
      <c r="P22" s="70">
        <f>IF($J$19='2. Customer Classes'!$B$14,+O22/'4. Customer Growth'!$C18,+IF($J$19='2. Customer Classes'!$B$15,+O22/'4. Customer Growth'!$E18,+IF($J$19='2. Customer Classes'!$B$16,+O22/'4. Customer Growth'!$G18,+IF($J$19='2. Customer Classes'!$B$17,+O22/'4. Customer Growth'!$I18,+IF($J$19='2. Customer Classes'!$B$18,+O22/'4. Customer Growth'!$K18,+IF($J$19='2. Customer Classes'!$B$19,+O22/'4. Customer Growth'!$M18,IF($J$19='2. Customer Classes'!$B$20,+O22/'4. Customer Growth'!$O18)))))))</f>
        <v>27352.92966966494</v>
      </c>
      <c r="Q22" s="82"/>
      <c r="R22" s="178">
        <f t="shared" ref="R22:R32" si="15">B22</f>
        <v>2007</v>
      </c>
      <c r="S22" s="70">
        <f>IF($R$19='2. Customer Classes'!$B$14,+SUM('3. Consumption by Rate Class'!$D$37:$D$48),+IF($R$19='2. Customer Classes'!$B$15,+SUM('3. Consumption by Rate Class'!$F$37:$F$48),+IF($R$19='2. Customer Classes'!$B$16,+SUM('3. Consumption by Rate Class'!$H$37:$H$48),+IF($R$19='2. Customer Classes'!$B$17,+SUM('3. Consumption by Rate Class'!$J$37:$J$48),+IF($R$19='2. Customer Classes'!$B$18,+SUM('3. Consumption by Rate Class'!$L$37:$L$48),+IF($R$19='2. Customer Classes'!$B$19,+SUM('3. Consumption by Rate Class'!$O$37:$O$48),IF($R$19='2. Customer Classes'!$B$20,+SUM('3. Consumption by Rate Class'!$R$37:$R$48),0)))))))</f>
        <v>53203197</v>
      </c>
      <c r="T22" s="72">
        <f t="shared" si="2"/>
        <v>94614050.200000003</v>
      </c>
      <c r="U22" s="72">
        <f t="shared" si="3"/>
        <v>93363786.459310383</v>
      </c>
      <c r="V22" s="73">
        <f t="shared" ref="V22:V29" si="16">S22/T22</f>
        <v>0.56231814289248128</v>
      </c>
      <c r="W22" s="72">
        <f t="shared" ref="W22:W30" si="17">U22*V22</f>
        <v>52500151.015209608</v>
      </c>
      <c r="X22" s="70">
        <f>IF($R$19='2. Customer Classes'!$B$14,+W22/'4. Customer Growth'!$C18,+IF($R$19='2. Customer Classes'!$B$15,+W22/'4. Customer Growth'!$E18,+IF($R$19='2. Customer Classes'!$B$16,+W22/'4. Customer Growth'!$G18,+IF($R$19='2. Customer Classes'!$B$17,+W22/'4. Customer Growth'!$I18,+IF($R$19='2. Customer Classes'!$B$18,+W22/'4. Customer Growth'!$K18,+IF($R$19='2. Customer Classes'!$B$19,+W22/'4. Customer Growth'!$M18,IF($R$19='2. Customer Classes'!$B$20,+W22/'4. Customer Growth'!$O18)))))))</f>
        <v>807694.63100322476</v>
      </c>
      <c r="Z22" s="178">
        <f t="shared" ref="Z22:Z32" si="18">J22</f>
        <v>2007</v>
      </c>
      <c r="AA22" s="70">
        <f>IF($Z$19='2. Customer Classes'!$B$14,+SUM('3. Consumption by Rate Class'!$D$37:$D$48),+IF($Z$19='2. Customer Classes'!$B$15,+SUM('3. Consumption by Rate Class'!$F$37:$F$48),+IF($Z$19='2. Customer Classes'!$B$16,+SUM('3. Consumption by Rate Class'!$H$37:$H$48),+IF($Z$19='2. Customer Classes'!$B$17,+SUM('3. Consumption by Rate Class'!$J$37:$J$48),+IF($Z$19='2. Customer Classes'!$B$18,+SUM('3. Consumption by Rate Class'!$L$37:$L$48),+IF($Z$19='2. Customer Classes'!$B$19,+SUM('3. Consumption by Rate Class'!$O$37:$O$48),IF($Z$19='2. Customer Classes'!$B$20,+SUM('3. Consumption by Rate Class'!$R$37:$R$48),0)))))))</f>
        <v>0</v>
      </c>
      <c r="AB22" s="225">
        <f t="shared" si="4"/>
        <v>94614050.200000003</v>
      </c>
      <c r="AC22" s="225">
        <f t="shared" si="5"/>
        <v>93363786.459310383</v>
      </c>
      <c r="AD22" s="73">
        <f t="shared" si="6"/>
        <v>0</v>
      </c>
      <c r="AE22" s="225">
        <f t="shared" ref="AE22:AE30" si="19">AC22*AD22</f>
        <v>0</v>
      </c>
      <c r="AF22" s="70" t="e">
        <f>IF($Z$19='2. Customer Classes'!$B$14,+AE22/'4. Customer Growth'!$C18,+IF($Z$19='2. Customer Classes'!$B$15,+AE22/'4. Customer Growth'!$E18,+IF($Z$19='2. Customer Classes'!$B$16,+AE22/'4. Customer Growth'!$G18,+IF($Z$19='2. Customer Classes'!$B$17,+AE22/'4. Customer Growth'!$I18,+IF($Z$19='2. Customer Classes'!$B$18,+AE22/'4. Customer Growth'!$K18,+IF($Z$19='2. Customer Classes'!$B$19,+AE22/'4. Customer Growth'!$M18,IF($Z$19='2. Customer Classes'!$B$20,+AE22/'4. Customer Growth'!$O18)))))))</f>
        <v>#DIV/0!</v>
      </c>
      <c r="AH22" s="178">
        <f t="shared" ref="AH22:AH32" si="20">R22</f>
        <v>2007</v>
      </c>
      <c r="AI22" s="70">
        <f>IF($AH$19='2. Customer Classes'!$B$14,+SUM('3. Consumption by Rate Class'!$D$37:$D$48),+IF($AH$19='2. Customer Classes'!$B$15,+SUM('3. Consumption by Rate Class'!$F$37:$F$48),+IF($AH$19='2. Customer Classes'!$B$16,+SUM('3. Consumption by Rate Class'!$H$37:$H$48),+IF($AH$19='2. Customer Classes'!$B$17,+SUM('3. Consumption by Rate Class'!$J$37:$J$48),+IF($AH$19='2. Customer Classes'!$B$18,+SUM('3. Consumption by Rate Class'!$L$37:$L$48),+IF($AH$19='2. Customer Classes'!$B$19,+SUM('3. Consumption by Rate Class'!$O$37:$O$48),IF($AH$19='2. Customer Classes'!$B$20,+SUM('3. Consumption by Rate Class'!$R$37:$R$48),0)))))))</f>
        <v>0</v>
      </c>
      <c r="AJ22" s="225">
        <f t="shared" si="7"/>
        <v>94614050.200000003</v>
      </c>
      <c r="AK22" s="225">
        <f t="shared" si="8"/>
        <v>93363786.459310383</v>
      </c>
      <c r="AL22" s="73">
        <f t="shared" si="9"/>
        <v>0</v>
      </c>
      <c r="AM22" s="225">
        <f t="shared" ref="AM22:AM30" si="21">AK22*AL22</f>
        <v>0</v>
      </c>
      <c r="AN22" s="70" t="e">
        <f>IF($AH$19='2. Customer Classes'!$B$14,+AM22/'4. Customer Growth'!$C18,+IF($AH$19='2. Customer Classes'!$B$15,+AM22/'4. Customer Growth'!$E18,+IF($AH$19='2. Customer Classes'!$B$16,+AM22/'4. Customer Growth'!$G18,+IF($AH$19='2. Customer Classes'!$B$17,+AM22/'4. Customer Growth'!$I18,+IF($AH$19='2. Customer Classes'!$B$18,+AM22/'4. Customer Growth'!$K18,+IF($AH$19='2. Customer Classes'!$B$19,+AM22/'4. Customer Growth'!$M18,IF($AH$19='2. Customer Classes'!$B$20,+AM22/'4. Customer Growth'!$O18)))))))</f>
        <v>#DIV/0!</v>
      </c>
    </row>
    <row r="23" spans="2:40" x14ac:dyDescent="0.2">
      <c r="B23" s="178">
        <f>'4. Customer Growth'!B19</f>
        <v>2008</v>
      </c>
      <c r="C23" s="70">
        <f>IF($B$19='2. Customer Classes'!$B$14,+SUM('3. Consumption by Rate Class'!$D$49:$D$60),+IF($B$19='2. Customer Classes'!$B$15,+SUM('3. Consumption by Rate Class'!$F$49:$F$60),+IF($B$19='2. Customer Classes'!$B$16,+SUM('3. Consumption by Rate Class'!$H$49:$H$60),+IF($B$19='2. Customer Classes'!$B$17,+SUM('3. Consumption by Rate Class'!$J$49:$J$60),+IF($B$19='2. Customer Classes'!$B$18,+SUM('3. Consumption by Rate Class'!$L$49:$L$60),+IF($B$19='2. Customer Classes'!$B$19,+SUM('3. Consumption by Rate Class'!$O$49:$O$60),IF($B$19='2. Customer Classes'!$B$20,+SUM('3. Consumption by Rate Class'!$R$49:$R$60),0)))))))</f>
        <v>31465398</v>
      </c>
      <c r="D23" s="72">
        <f>SUM('6. WS Regression Analysis'!J44:J55)</f>
        <v>96430220.5</v>
      </c>
      <c r="E23" s="72">
        <f>SUM('6. WS Regression Analysis'!R44:R55)</f>
        <v>92931642.3760335</v>
      </c>
      <c r="F23" s="73">
        <f t="shared" si="10"/>
        <v>0.32630225085921066</v>
      </c>
      <c r="G23" s="72">
        <f t="shared" si="11"/>
        <v>30323804.083342936</v>
      </c>
      <c r="H23" s="70">
        <f>IF($B$19='2. Customer Classes'!$B$14,+G23/'4. Customer Growth'!$C19,+IF($B$19='2. Customer Classes'!$B$15,+G23/'4. Customer Growth'!$E19,+IF($B$19='2. Customer Classes'!$B$16,+G23/'4. Customer Growth'!$G19,+IF($B$19='2. Customer Classes'!$B$17,+G23/'4. Customer Growth'!$I19,+IF($B$19='2. Customer Classes'!$B$18,+G23/'4. Customer Growth'!$K19,+IF($B$19='2. Customer Classes'!$B$19,+G23/'4. Customer Growth'!$M19,IF($B$19='2. Customer Classes'!$B$20,+G23/'4. Customer Growth'!$O19)))))))</f>
        <v>8467.9709811066568</v>
      </c>
      <c r="I23" s="82"/>
      <c r="J23" s="178">
        <f t="shared" si="12"/>
        <v>2008</v>
      </c>
      <c r="K23" s="70">
        <f>IF($J$19='2. Customer Classes'!$B$14,+SUM('3. Consumption by Rate Class'!$D$49:$D$60),+IF($J$19='2. Customer Classes'!$B$15,+SUM('3. Consumption by Rate Class'!$F$49:$F$60),+IF($J$19='2. Customer Classes'!$B$16,+SUM('3. Consumption by Rate Class'!$H$49:$H$60),+IF($J$19='2. Customer Classes'!$B$17,+SUM('3. Consumption by Rate Class'!$J$49:$J$60),+IF($J$19='2. Customer Classes'!$B$18,+SUM('3. Consumption by Rate Class'!$L$49:$L$60),+IF($J$19='2. Customer Classes'!$B$19,+SUM('3. Consumption by Rate Class'!$O$49:$O$60),IF($J$19='2. Customer Classes'!$B$20,+SUM('3. Consumption by Rate Class'!$R$49:$R$60),0)))))))</f>
        <v>13927235</v>
      </c>
      <c r="L23" s="72">
        <f t="shared" si="13"/>
        <v>96430220.5</v>
      </c>
      <c r="M23" s="72">
        <f t="shared" si="0"/>
        <v>92931642.3760335</v>
      </c>
      <c r="N23" s="73">
        <f t="shared" si="1"/>
        <v>0.14442811525044683</v>
      </c>
      <c r="O23" s="72">
        <f t="shared" si="14"/>
        <v>13421941.955499073</v>
      </c>
      <c r="P23" s="70">
        <f>IF($J$19='2. Customer Classes'!$B$14,+O23/'4. Customer Growth'!$C19,+IF($J$19='2. Customer Classes'!$B$15,+O23/'4. Customer Growth'!$E19,+IF($J$19='2. Customer Classes'!$B$16,+O23/'4. Customer Growth'!$G19,+IF($J$19='2. Customer Classes'!$B$17,+O23/'4. Customer Growth'!$I19,+IF($J$19='2. Customer Classes'!$B$18,+O23/'4. Customer Growth'!$K19,+IF($J$19='2. Customer Classes'!$B$19,+O23/'4. Customer Growth'!$M19,IF($J$19='2. Customer Classes'!$B$20,+O23/'4. Customer Growth'!$O19)))))))</f>
        <v>27169.922986840229</v>
      </c>
      <c r="Q23" s="82"/>
      <c r="R23" s="178">
        <f t="shared" si="15"/>
        <v>2008</v>
      </c>
      <c r="S23" s="70">
        <f>IF($R$19='2. Customer Classes'!$B$14,+SUM('3. Consumption by Rate Class'!$D$49:$D$60),+IF($R$19='2. Customer Classes'!$B$15,+SUM('3. Consumption by Rate Class'!$F$49:$F$60),+IF($R$19='2. Customer Classes'!$B$16,+SUM('3. Consumption by Rate Class'!$H$49:$H$60),+IF($R$19='2. Customer Classes'!$B$17,+SUM('3. Consumption by Rate Class'!$J$49:$J$60),+IF($R$19='2. Customer Classes'!$B$18,+SUM('3. Consumption by Rate Class'!$L$49:$L$60),+IF($R$19='2. Customer Classes'!$B$19,+SUM('3. Consumption by Rate Class'!$O$49:$O$60),IF($R$19='2. Customer Classes'!$B$20,+SUM('3. Consumption by Rate Class'!$R$49:$R$60),0)))))))</f>
        <v>55283988</v>
      </c>
      <c r="T23" s="72">
        <f t="shared" si="2"/>
        <v>96430220.5</v>
      </c>
      <c r="U23" s="72">
        <f t="shared" si="3"/>
        <v>92931642.3760335</v>
      </c>
      <c r="V23" s="73">
        <f t="shared" si="16"/>
        <v>0.5733056267355523</v>
      </c>
      <c r="W23" s="72">
        <f t="shared" si="17"/>
        <v>53278233.475956097</v>
      </c>
      <c r="X23" s="70">
        <f>IF($R$19='2. Customer Classes'!$B$14,+W23/'4. Customer Growth'!$C19,+IF($R$19='2. Customer Classes'!$B$15,+W23/'4. Customer Growth'!$E19,+IF($R$19='2. Customer Classes'!$B$16,+W23/'4. Customer Growth'!$G19,+IF($R$19='2. Customer Classes'!$B$17,+W23/'4. Customer Growth'!$I19,+IF($R$19='2. Customer Classes'!$B$18,+W23/'4. Customer Growth'!$K19,+IF($R$19='2. Customer Classes'!$B$19,+W23/'4. Customer Growth'!$M19,IF($R$19='2. Customer Classes'!$B$20,+W23/'4. Customer Growth'!$O19)))))))</f>
        <v>795197.51456650894</v>
      </c>
      <c r="Z23" s="178">
        <f t="shared" si="18"/>
        <v>2008</v>
      </c>
      <c r="AA23" s="70">
        <f>IF($Z$19='2. Customer Classes'!$B$14,+SUM('3. Consumption by Rate Class'!$D$49:$D$60),+IF($Z$19='2. Customer Classes'!$B$15,+SUM('3. Consumption by Rate Class'!$F$49:$F$60),+IF($Z$19='2. Customer Classes'!$B$16,+SUM('3. Consumption by Rate Class'!$H$49:$H$60),+IF($Z$19='2. Customer Classes'!$B$17,+SUM('3. Consumption by Rate Class'!$J$49:$J$60),+IF($Z$19='2. Customer Classes'!$B$18,+SUM('3. Consumption by Rate Class'!$L$49:$L$60),+IF($Z$19='2. Customer Classes'!$B$19,+SUM('3. Consumption by Rate Class'!$O$49:$O$60),IF($Z$19='2. Customer Classes'!$B$20,+SUM('3. Consumption by Rate Class'!$R$49:$R$60),0)))))))</f>
        <v>0</v>
      </c>
      <c r="AB23" s="225">
        <f t="shared" si="4"/>
        <v>96430220.5</v>
      </c>
      <c r="AC23" s="225">
        <f t="shared" si="5"/>
        <v>92931642.3760335</v>
      </c>
      <c r="AD23" s="73">
        <f t="shared" si="6"/>
        <v>0</v>
      </c>
      <c r="AE23" s="225">
        <f t="shared" si="19"/>
        <v>0</v>
      </c>
      <c r="AF23" s="70" t="e">
        <f>IF($Z$19='2. Customer Classes'!$B$14,+AE23/'4. Customer Growth'!$C19,+IF($Z$19='2. Customer Classes'!$B$15,+AE23/'4. Customer Growth'!$E19,+IF($Z$19='2. Customer Classes'!$B$16,+AE23/'4. Customer Growth'!$G19,+IF($Z$19='2. Customer Classes'!$B$17,+AE23/'4. Customer Growth'!$I19,+IF($Z$19='2. Customer Classes'!$B$18,+AE23/'4. Customer Growth'!$K19,+IF($Z$19='2. Customer Classes'!$B$19,+AE23/'4. Customer Growth'!$M19,IF($Z$19='2. Customer Classes'!$B$20,+AE23/'4. Customer Growth'!$O19)))))))</f>
        <v>#DIV/0!</v>
      </c>
      <c r="AH23" s="178">
        <f t="shared" si="20"/>
        <v>2008</v>
      </c>
      <c r="AI23" s="70">
        <f>IF($AH$19='2. Customer Classes'!$B$14,+SUM('3. Consumption by Rate Class'!$D$49:$D$60),+IF($AH$19='2. Customer Classes'!$B$15,+SUM('3. Consumption by Rate Class'!$F$49:$F$60),+IF($AH$19='2. Customer Classes'!$B$16,+SUM('3. Consumption by Rate Class'!$H$49:$H$60),+IF($AH$19='2. Customer Classes'!$B$17,+SUM('3. Consumption by Rate Class'!$J$49:$J$60),+IF($AH$19='2. Customer Classes'!$B$18,+SUM('3. Consumption by Rate Class'!$L$49:$L$60),+IF($AH$19='2. Customer Classes'!$B$19,+SUM('3. Consumption by Rate Class'!$O$49:$O$60),IF($AH$19='2. Customer Classes'!$B$20,+SUM('3. Consumption by Rate Class'!$R$49:$R$60),0)))))))</f>
        <v>0</v>
      </c>
      <c r="AJ23" s="225">
        <f t="shared" si="7"/>
        <v>96430220.5</v>
      </c>
      <c r="AK23" s="225">
        <f t="shared" si="8"/>
        <v>92931642.3760335</v>
      </c>
      <c r="AL23" s="73">
        <f t="shared" si="9"/>
        <v>0</v>
      </c>
      <c r="AM23" s="225">
        <f t="shared" si="21"/>
        <v>0</v>
      </c>
      <c r="AN23" s="70" t="e">
        <f>IF($AH$19='2. Customer Classes'!$B$14,+AM23/'4. Customer Growth'!$C19,+IF($AH$19='2. Customer Classes'!$B$15,+AM23/'4. Customer Growth'!$E19,+IF($AH$19='2. Customer Classes'!$B$16,+AM23/'4. Customer Growth'!$G19,+IF($AH$19='2. Customer Classes'!$B$17,+AM23/'4. Customer Growth'!$I19,+IF($AH$19='2. Customer Classes'!$B$18,+AM23/'4. Customer Growth'!$K19,+IF($AH$19='2. Customer Classes'!$B$19,+AM23/'4. Customer Growth'!$M19,IF($AH$19='2. Customer Classes'!$B$20,+AM23/'4. Customer Growth'!$O19)))))))</f>
        <v>#DIV/0!</v>
      </c>
    </row>
    <row r="24" spans="2:40" x14ac:dyDescent="0.2">
      <c r="B24" s="178">
        <f>'4. Customer Growth'!B20</f>
        <v>2009</v>
      </c>
      <c r="C24" s="70">
        <f>IF($B$19='2. Customer Classes'!$B$14,+SUM('3. Consumption by Rate Class'!$D$61:$D$72),+IF($B$19='2. Customer Classes'!$B$15,+SUM('3. Consumption by Rate Class'!$F$61:$F$72),+IF($B$19='2. Customer Classes'!$B$16,+SUM('3. Consumption by Rate Class'!$H$61:$H$72),+IF($B$19='2. Customer Classes'!$B$17,+SUM('3. Consumption by Rate Class'!$J$61:$J$72),+IF($B$19='2. Customer Classes'!$B$18,+SUM('3. Consumption by Rate Class'!$L$61:$L$72),+IF($B$19='2. Customer Classes'!$B$19,+SUM('3. Consumption by Rate Class'!$O$61:$O$72),IF($B$19='2. Customer Classes'!$B$20,+SUM('3. Consumption by Rate Class'!$R$61:$R$72),0)))))))</f>
        <v>30635928</v>
      </c>
      <c r="D24" s="72">
        <f>SUM('6. WS Regression Analysis'!J56:J67)</f>
        <v>92313324</v>
      </c>
      <c r="E24" s="72">
        <f>SUM('6. WS Regression Analysis'!R56:R67)</f>
        <v>92048566.784686312</v>
      </c>
      <c r="F24" s="73">
        <f t="shared" si="10"/>
        <v>0.33186897267397714</v>
      </c>
      <c r="G24" s="72">
        <f t="shared" si="11"/>
        <v>30548063.294945821</v>
      </c>
      <c r="H24" s="70">
        <f>IF($B$19='2. Customer Classes'!$B$14,+G24/'4. Customer Growth'!$C20,+IF($B$19='2. Customer Classes'!$B$15,+G24/'4. Customer Growth'!$E20,+IF($B$19='2. Customer Classes'!$B$16,+G24/'4. Customer Growth'!$G20,+IF($B$19='2. Customer Classes'!$B$17,+G24/'4. Customer Growth'!$I20,+IF($B$19='2. Customer Classes'!$B$18,+G24/'4. Customer Growth'!$K20,+IF($B$19='2. Customer Classes'!$B$19,+G24/'4. Customer Growth'!$M20,IF($B$19='2. Customer Classes'!$B$20,+G24/'4. Customer Growth'!$O20)))))))</f>
        <v>8466.7581194417471</v>
      </c>
      <c r="I24" s="82"/>
      <c r="J24" s="178">
        <f t="shared" si="12"/>
        <v>2009</v>
      </c>
      <c r="K24" s="70">
        <f>IF($J$19='2. Customer Classes'!$B$14,+SUM('3. Consumption by Rate Class'!$D$61:$D$72),+IF($J$19='2. Customer Classes'!$B$15,+SUM('3. Consumption by Rate Class'!$F$61:$F$72),+IF($J$19='2. Customer Classes'!$B$16,+SUM('3. Consumption by Rate Class'!$H$61:$H$72),+IF($J$19='2. Customer Classes'!$B$17,+SUM('3. Consumption by Rate Class'!$J$61:$J$72),+IF($J$19='2. Customer Classes'!$B$18,+SUM('3. Consumption by Rate Class'!$L$61:$L$72),+IF($J$19='2. Customer Classes'!$B$19,+SUM('3. Consumption by Rate Class'!$O$61:$O$72),IF($J$19='2. Customer Classes'!$B$20,+SUM('3. Consumption by Rate Class'!$R$61:$R$72),0)))))))</f>
        <v>12859915</v>
      </c>
      <c r="L24" s="72">
        <f t="shared" si="13"/>
        <v>92313324</v>
      </c>
      <c r="M24" s="72">
        <f t="shared" si="0"/>
        <v>92048566.784686312</v>
      </c>
      <c r="N24" s="73">
        <f t="shared" si="1"/>
        <v>0.13930724669821229</v>
      </c>
      <c r="O24" s="72">
        <f t="shared" si="14"/>
        <v>12823032.401291166</v>
      </c>
      <c r="P24" s="70">
        <f>IF($J$19='2. Customer Classes'!$B$14,+O24/'4. Customer Growth'!$C20,+IF($J$19='2. Customer Classes'!$B$15,+O24/'4. Customer Growth'!$E20,+IF($J$19='2. Customer Classes'!$B$16,+O24/'4. Customer Growth'!$G20,+IF($J$19='2. Customer Classes'!$B$17,+O24/'4. Customer Growth'!$I20,+IF($J$19='2. Customer Classes'!$B$18,+O24/'4. Customer Growth'!$K20,+IF($J$19='2. Customer Classes'!$B$19,+O24/'4. Customer Growth'!$M20,IF($J$19='2. Customer Classes'!$B$20,+O24/'4. Customer Growth'!$O20)))))))</f>
        <v>26548.721327724979</v>
      </c>
      <c r="Q24" s="82"/>
      <c r="R24" s="178">
        <f t="shared" si="15"/>
        <v>2009</v>
      </c>
      <c r="S24" s="70">
        <f>IF($R$19='2. Customer Classes'!$B$14,+SUM('3. Consumption by Rate Class'!$D$61:$D$72),+IF($R$19='2. Customer Classes'!$B$15,+SUM('3. Consumption by Rate Class'!$F$61:$F$72),+IF($R$19='2. Customer Classes'!$B$16,+SUM('3. Consumption by Rate Class'!$H$61:$H$72),+IF($R$19='2. Customer Classes'!$B$17,+SUM('3. Consumption by Rate Class'!$J$61:$J$72),+IF($R$19='2. Customer Classes'!$B$18,+SUM('3. Consumption by Rate Class'!$L$61:$L$72),+IF($R$19='2. Customer Classes'!$B$19,+SUM('3. Consumption by Rate Class'!$O$61:$O$72),IF($R$19='2. Customer Classes'!$B$20,+SUM('3. Consumption by Rate Class'!$R$61:$R$72),0)))))))</f>
        <v>52230300</v>
      </c>
      <c r="T24" s="72">
        <f t="shared" si="2"/>
        <v>92313324</v>
      </c>
      <c r="U24" s="72">
        <f t="shared" si="3"/>
        <v>92048566.784686312</v>
      </c>
      <c r="V24" s="73">
        <f t="shared" si="16"/>
        <v>0.56579373092447627</v>
      </c>
      <c r="W24" s="72">
        <f t="shared" si="17"/>
        <v>52080502.027358487</v>
      </c>
      <c r="X24" s="70">
        <f>IF($R$19='2. Customer Classes'!$B$14,+W24/'4. Customer Growth'!$C20,+IF($R$19='2. Customer Classes'!$B$15,+W24/'4. Customer Growth'!$E20,+IF($R$19='2. Customer Classes'!$B$16,+W24/'4. Customer Growth'!$G20,+IF($R$19='2. Customer Classes'!$B$17,+W24/'4. Customer Growth'!$I20,+IF($R$19='2. Customer Classes'!$B$18,+W24/'4. Customer Growth'!$K20,+IF($R$19='2. Customer Classes'!$B$19,+W24/'4. Customer Growth'!$M20,IF($R$19='2. Customer Classes'!$B$20,+W24/'4. Customer Growth'!$O20)))))))</f>
        <v>789098.51556603773</v>
      </c>
      <c r="Z24" s="178">
        <f t="shared" si="18"/>
        <v>2009</v>
      </c>
      <c r="AA24" s="70">
        <f>IF($Z$19='2. Customer Classes'!$B$14,+SUM('3. Consumption by Rate Class'!$D$61:$D$72),+IF($Z$19='2. Customer Classes'!$B$15,+SUM('3. Consumption by Rate Class'!$F$61:$F$72),+IF($Z$19='2. Customer Classes'!$B$16,+SUM('3. Consumption by Rate Class'!$H$61:$H$72),+IF($Z$19='2. Customer Classes'!$B$17,+SUM('3. Consumption by Rate Class'!$J$61:$J$72),+IF($Z$19='2. Customer Classes'!$B$18,+SUM('3. Consumption by Rate Class'!$L$61:$L$72),+IF($Z$19='2. Customer Classes'!$B$19,+SUM('3. Consumption by Rate Class'!$O$61:$O$72),IF($Z$19='2. Customer Classes'!$B$20,+SUM('3. Consumption by Rate Class'!$R$61:$R$72),0)))))))</f>
        <v>0</v>
      </c>
      <c r="AB24" s="225">
        <f t="shared" si="4"/>
        <v>92313324</v>
      </c>
      <c r="AC24" s="225">
        <f t="shared" si="5"/>
        <v>92048566.784686312</v>
      </c>
      <c r="AD24" s="73">
        <f t="shared" si="6"/>
        <v>0</v>
      </c>
      <c r="AE24" s="225">
        <f t="shared" si="19"/>
        <v>0</v>
      </c>
      <c r="AF24" s="70" t="e">
        <f>IF($Z$19='2. Customer Classes'!$B$14,+AE24/'4. Customer Growth'!$C20,+IF($Z$19='2. Customer Classes'!$B$15,+AE24/'4. Customer Growth'!$E20,+IF($Z$19='2. Customer Classes'!$B$16,+AE24/'4. Customer Growth'!$G20,+IF($Z$19='2. Customer Classes'!$B$17,+AE24/'4. Customer Growth'!$I20,+IF($Z$19='2. Customer Classes'!$B$18,+AE24/'4. Customer Growth'!$K20,+IF($Z$19='2. Customer Classes'!$B$19,+AE24/'4. Customer Growth'!$M20,IF($Z$19='2. Customer Classes'!$B$20,+AE24/'4. Customer Growth'!$O20)))))))</f>
        <v>#DIV/0!</v>
      </c>
      <c r="AH24" s="178">
        <f t="shared" si="20"/>
        <v>2009</v>
      </c>
      <c r="AI24" s="70">
        <f>IF($AH$19='2. Customer Classes'!$B$14,+SUM('3. Consumption by Rate Class'!$D$61:$D$72),+IF($AH$19='2. Customer Classes'!$B$15,+SUM('3. Consumption by Rate Class'!$F$61:$F$72),+IF($AH$19='2. Customer Classes'!$B$16,+SUM('3. Consumption by Rate Class'!$H$61:$H$72),+IF($AH$19='2. Customer Classes'!$B$17,+SUM('3. Consumption by Rate Class'!$J$61:$J$72),+IF($AH$19='2. Customer Classes'!$B$18,+SUM('3. Consumption by Rate Class'!$L$61:$L$72),+IF($AH$19='2. Customer Classes'!$B$19,+SUM('3. Consumption by Rate Class'!$O$61:$O$72),IF($AH$19='2. Customer Classes'!$B$20,+SUM('3. Consumption by Rate Class'!$R$61:$R$72),0)))))))</f>
        <v>0</v>
      </c>
      <c r="AJ24" s="225">
        <f t="shared" si="7"/>
        <v>92313324</v>
      </c>
      <c r="AK24" s="225">
        <f t="shared" si="8"/>
        <v>92048566.784686312</v>
      </c>
      <c r="AL24" s="73">
        <f t="shared" si="9"/>
        <v>0</v>
      </c>
      <c r="AM24" s="225">
        <f t="shared" si="21"/>
        <v>0</v>
      </c>
      <c r="AN24" s="70" t="e">
        <f>IF($AH$19='2. Customer Classes'!$B$14,+AM24/'4. Customer Growth'!$C20,+IF($AH$19='2. Customer Classes'!$B$15,+AM24/'4. Customer Growth'!$E20,+IF($AH$19='2. Customer Classes'!$B$16,+AM24/'4. Customer Growth'!$G20,+IF($AH$19='2. Customer Classes'!$B$17,+AM24/'4. Customer Growth'!$I20,+IF($AH$19='2. Customer Classes'!$B$18,+AM24/'4. Customer Growth'!$K20,+IF($AH$19='2. Customer Classes'!$B$19,+AM24/'4. Customer Growth'!$M20,IF($AH$19='2. Customer Classes'!$B$20,+AM24/'4. Customer Growth'!$O20)))))))</f>
        <v>#DIV/0!</v>
      </c>
    </row>
    <row r="25" spans="2:40" x14ac:dyDescent="0.2">
      <c r="B25" s="178">
        <f>'4. Customer Growth'!B21</f>
        <v>2010</v>
      </c>
      <c r="C25" s="70">
        <f>IF($B$19='2. Customer Classes'!$B$14,+SUM('3. Consumption by Rate Class'!$D$73:$D$84),+IF($B$19='2. Customer Classes'!$B$15,+SUM('3. Consumption by Rate Class'!$F$73:$F$84),+IF($B$19='2. Customer Classes'!$B$16,+SUM('3. Consumption by Rate Class'!$H$73:$H$84),+IF($B$19='2. Customer Classes'!$B$17,+SUM('3. Consumption by Rate Class'!$J$73:$J$84),+IF($B$19='2. Customer Classes'!$B$18,+SUM('3. Consumption by Rate Class'!$L$73:$L$84),+IF($B$19='2. Customer Classes'!$B$19,+SUM('3. Consumption by Rate Class'!$O$73:$O$84),IF($B$19='2. Customer Classes'!$B$20,+SUM('3. Consumption by Rate Class'!$R$73:$R$84),0)))))))</f>
        <v>30305144</v>
      </c>
      <c r="D25" s="72">
        <f>SUM('6. WS Regression Analysis'!J68:J79)</f>
        <v>91831741</v>
      </c>
      <c r="E25" s="72">
        <f>SUM('6. WS Regression Analysis'!R68:R79)</f>
        <v>91956572.796058238</v>
      </c>
      <c r="F25" s="73">
        <f>C25/D25</f>
        <v>0.33000729018085367</v>
      </c>
      <c r="G25" s="72">
        <f t="shared" si="11"/>
        <v>30346339.402745586</v>
      </c>
      <c r="H25" s="70">
        <f>IF($B$19='2. Customer Classes'!$B$14,+G25/'4. Customer Growth'!$C21,+IF($B$19='2. Customer Classes'!$B$15,+G25/'4. Customer Growth'!$E21,+IF($B$19='2. Customer Classes'!$B$16,+G25/'4. Customer Growth'!$G21,+IF($B$19='2. Customer Classes'!$B$17,+G25/'4. Customer Growth'!$I21,+IF($B$19='2. Customer Classes'!$B$18,+G25/'4. Customer Growth'!$K21,+IF($B$19='2. Customer Classes'!$B$19,+G25/'4. Customer Growth'!$M21,IF($B$19='2. Customer Classes'!$B$20,+G25/'4. Customer Growth'!$O21)))))))</f>
        <v>8304.9642590984095</v>
      </c>
      <c r="I25" s="82"/>
      <c r="J25" s="178">
        <f t="shared" si="12"/>
        <v>2010</v>
      </c>
      <c r="K25" s="70">
        <f>IF($J$19='2. Customer Classes'!$B$14,+SUM('3. Consumption by Rate Class'!$D$73:$D$84),+IF($J$19='2. Customer Classes'!$B$15,+SUM('3. Consumption by Rate Class'!$F$73:$F$84),+IF($J$19='2. Customer Classes'!$B$16,+SUM('3. Consumption by Rate Class'!$H$73:$H$84),+IF($J$19='2. Customer Classes'!$B$17,+SUM('3. Consumption by Rate Class'!$J$73:$J$84),+IF($J$19='2. Customer Classes'!$B$18,+SUM('3. Consumption by Rate Class'!$L$73:$L$84),+IF($J$19='2. Customer Classes'!$B$19,+SUM('3. Consumption by Rate Class'!$O$73:$O$84),IF($J$19='2. Customer Classes'!$B$20,+SUM('3. Consumption by Rate Class'!$R$73:$R$84),0)))))))</f>
        <v>12427065</v>
      </c>
      <c r="L25" s="72">
        <f t="shared" si="13"/>
        <v>91831741</v>
      </c>
      <c r="M25" s="72">
        <f t="shared" si="0"/>
        <v>91956572.796058238</v>
      </c>
      <c r="N25" s="73">
        <f t="shared" si="1"/>
        <v>0.13532428836343199</v>
      </c>
      <c r="O25" s="72">
        <f t="shared" si="14"/>
        <v>12443957.773966711</v>
      </c>
      <c r="P25" s="70">
        <f>IF($J$19='2. Customer Classes'!$B$14,+O25/'4. Customer Growth'!$C21,+IF($J$19='2. Customer Classes'!$B$15,+O25/'4. Customer Growth'!$E21,+IF($J$19='2. Customer Classes'!$B$16,+O25/'4. Customer Growth'!$G21,+IF($J$19='2. Customer Classes'!$B$17,+O25/'4. Customer Growth'!$I21,+IF($J$19='2. Customer Classes'!$B$18,+O25/'4. Customer Growth'!$K21,+IF($J$19='2. Customer Classes'!$B$19,+O25/'4. Customer Growth'!$M21,IF($J$19='2. Customer Classes'!$B$20,+O25/'4. Customer Growth'!$O21)))))))</f>
        <v>28153.750619834187</v>
      </c>
      <c r="Q25" s="82"/>
      <c r="R25" s="178">
        <f t="shared" si="15"/>
        <v>2010</v>
      </c>
      <c r="S25" s="70">
        <f>IF($R$19='2. Customer Classes'!$B$14,+SUM('3. Consumption by Rate Class'!$D$73:$D$84),+IF($R$19='2. Customer Classes'!$B$15,+SUM('3. Consumption by Rate Class'!$F$73:$F$84),+IF($R$19='2. Customer Classes'!$B$16,+SUM('3. Consumption by Rate Class'!$H$73:$H$84),+IF($R$19='2. Customer Classes'!$B$17,+SUM('3. Consumption by Rate Class'!$J$73:$J$84),+IF($R$19='2. Customer Classes'!$B$18,+SUM('3. Consumption by Rate Class'!$L$73:$L$84),+IF($R$19='2. Customer Classes'!$B$19,+SUM('3. Consumption by Rate Class'!$O$73:$O$84),IF($R$19='2. Customer Classes'!$B$20,+SUM('3. Consumption by Rate Class'!$R$73:$R$84),0)))))))</f>
        <v>51703213</v>
      </c>
      <c r="T25" s="72">
        <f t="shared" si="2"/>
        <v>91831741</v>
      </c>
      <c r="U25" s="72">
        <f t="shared" si="3"/>
        <v>91956572.796058238</v>
      </c>
      <c r="V25" s="73">
        <f t="shared" si="16"/>
        <v>0.56302115626883298</v>
      </c>
      <c r="W25" s="72">
        <f t="shared" si="17"/>
        <v>51773495.942155823</v>
      </c>
      <c r="X25" s="70">
        <f>IF($R$19='2. Customer Classes'!$B$14,+W25/'4. Customer Growth'!$C21,+IF($R$19='2. Customer Classes'!$B$15,+W25/'4. Customer Growth'!$E21,+IF($R$19='2. Customer Classes'!$B$16,+W25/'4. Customer Growth'!$G21,+IF($R$19='2. Customer Classes'!$B$17,+W25/'4. Customer Growth'!$I21,+IF($R$19='2. Customer Classes'!$B$18,+W25/'4. Customer Growth'!$K21,+IF($R$19='2. Customer Classes'!$B$19,+W25/'4. Customer Growth'!$M21,IF($R$19='2. Customer Classes'!$B$20,+W25/'4. Customer Growth'!$O21)))))))</f>
        <v>877516.88037552242</v>
      </c>
      <c r="Z25" s="178">
        <f t="shared" si="18"/>
        <v>2010</v>
      </c>
      <c r="AA25" s="70">
        <f>IF($Z$19='2. Customer Classes'!$B$14,+SUM('3. Consumption by Rate Class'!$D$73:$D$84),+IF($Z$19='2. Customer Classes'!$B$15,+SUM('3. Consumption by Rate Class'!$F$73:$F$84),+IF($Z$19='2. Customer Classes'!$B$16,+SUM('3. Consumption by Rate Class'!$H$73:$H$84),+IF($Z$19='2. Customer Classes'!$B$17,+SUM('3. Consumption by Rate Class'!$J$73:$J$84),+IF($Z$19='2. Customer Classes'!$B$18,+SUM('3. Consumption by Rate Class'!$L$73:$L$84),+IF($Z$19='2. Customer Classes'!$B$19,+SUM('3. Consumption by Rate Class'!$O$73:$O$84),IF($Z$19='2. Customer Classes'!$B$20,+SUM('3. Consumption by Rate Class'!$R$73:$R$84),0)))))))</f>
        <v>0</v>
      </c>
      <c r="AB25" s="225">
        <f t="shared" si="4"/>
        <v>91831741</v>
      </c>
      <c r="AC25" s="225">
        <f t="shared" si="5"/>
        <v>91956572.796058238</v>
      </c>
      <c r="AD25" s="73">
        <f t="shared" si="6"/>
        <v>0</v>
      </c>
      <c r="AE25" s="225">
        <f t="shared" si="19"/>
        <v>0</v>
      </c>
      <c r="AF25" s="70" t="e">
        <f>IF($Z$19='2. Customer Classes'!$B$14,+AE25/'4. Customer Growth'!$C21,+IF($Z$19='2. Customer Classes'!$B$15,+AE25/'4. Customer Growth'!$E21,+IF($Z$19='2. Customer Classes'!$B$16,+AE25/'4. Customer Growth'!$G21,+IF($Z$19='2. Customer Classes'!$B$17,+AE25/'4. Customer Growth'!$I21,+IF($Z$19='2. Customer Classes'!$B$18,+AE25/'4. Customer Growth'!$K21,+IF($Z$19='2. Customer Classes'!$B$19,+AE25/'4. Customer Growth'!$M21,IF($Z$19='2. Customer Classes'!$B$20,+AE25/'4. Customer Growth'!$O21)))))))</f>
        <v>#DIV/0!</v>
      </c>
      <c r="AH25" s="178">
        <f t="shared" si="20"/>
        <v>2010</v>
      </c>
      <c r="AI25" s="70">
        <f>IF($AH$19='2. Customer Classes'!$B$14,+SUM('3. Consumption by Rate Class'!$D$73:$D$84),+IF($AH$19='2. Customer Classes'!$B$15,+SUM('3. Consumption by Rate Class'!$F$73:$F$84),+IF($AH$19='2. Customer Classes'!$B$16,+SUM('3. Consumption by Rate Class'!$H$73:$H$84),+IF($AH$19='2. Customer Classes'!$B$17,+SUM('3. Consumption by Rate Class'!$J$73:$J$84),+IF($AH$19='2. Customer Classes'!$B$18,+SUM('3. Consumption by Rate Class'!$L$73:$L$84),+IF($AH$19='2. Customer Classes'!$B$19,+SUM('3. Consumption by Rate Class'!$O$73:$O$84),IF($AH$19='2. Customer Classes'!$B$20,+SUM('3. Consumption by Rate Class'!$R$73:$R$84),0)))))))</f>
        <v>0</v>
      </c>
      <c r="AJ25" s="225">
        <f t="shared" si="7"/>
        <v>91831741</v>
      </c>
      <c r="AK25" s="225">
        <f t="shared" si="8"/>
        <v>91956572.796058238</v>
      </c>
      <c r="AL25" s="73">
        <f t="shared" si="9"/>
        <v>0</v>
      </c>
      <c r="AM25" s="225">
        <f t="shared" si="21"/>
        <v>0</v>
      </c>
      <c r="AN25" s="70" t="e">
        <f>IF($AH$19='2. Customer Classes'!$B$14,+AM25/'4. Customer Growth'!$C21,+IF($AH$19='2. Customer Classes'!$B$15,+AM25/'4. Customer Growth'!$E21,+IF($AH$19='2. Customer Classes'!$B$16,+AM25/'4. Customer Growth'!$G21,+IF($AH$19='2. Customer Classes'!$B$17,+AM25/'4. Customer Growth'!$I21,+IF($AH$19='2. Customer Classes'!$B$18,+AM25/'4. Customer Growth'!$K21,+IF($AH$19='2. Customer Classes'!$B$19,+AM25/'4. Customer Growth'!$M21,IF($AH$19='2. Customer Classes'!$B$20,+AM25/'4. Customer Growth'!$O21)))))))</f>
        <v>#DIV/0!</v>
      </c>
    </row>
    <row r="26" spans="2:40" x14ac:dyDescent="0.2">
      <c r="B26" s="178">
        <f>'4. Customer Growth'!B22</f>
        <v>2011</v>
      </c>
      <c r="C26" s="70">
        <f>IF($B$19='2. Customer Classes'!$B$14,+SUM('3. Consumption by Rate Class'!$D$85:$D$96),+IF($B$19='2. Customer Classes'!$B$15,+SUM('3. Consumption by Rate Class'!$F$85:$F$96),+IF($B$19='2. Customer Classes'!$B$16,+SUM('3. Consumption by Rate Class'!$H$85:$H$96),+IF($B$19='2. Customer Classes'!$B$17,+SUM('3. Consumption by Rate Class'!$J$85:$J$96),+IF($B$19='2. Customer Classes'!$B$18,+SUM('3. Consumption by Rate Class'!$L$85:$L$96),+IF($B$19='2. Customer Classes'!$B$19,+SUM('3. Consumption by Rate Class'!$O$85:$O$96),IF($B$19='2. Customer Classes'!$B$20,+SUM('3. Consumption by Rate Class'!$R$85:$R$96),0)))))))</f>
        <v>30085520</v>
      </c>
      <c r="D26" s="72">
        <f>SUM('6. WS Regression Analysis'!J80:J91)</f>
        <v>90656017</v>
      </c>
      <c r="E26" s="72">
        <f>SUM('6. WS Regression Analysis'!R80:R91)</f>
        <v>91628943.54129757</v>
      </c>
      <c r="F26" s="73">
        <f t="shared" si="10"/>
        <v>0.33186456890114641</v>
      </c>
      <c r="G26" s="72">
        <f t="shared" si="11"/>
        <v>30408399.8472002</v>
      </c>
      <c r="H26" s="70">
        <f>IF($B$19='2. Customer Classes'!$B$14,+G26/'4. Customer Growth'!$C22,+IF($B$19='2. Customer Classes'!$B$15,+G26/'4. Customer Growth'!$E22,+IF($B$19='2. Customer Classes'!$B$16,+G26/'4. Customer Growth'!$G22,+IF($B$19='2. Customer Classes'!$B$17,+G26/'4. Customer Growth'!$I22,+IF($B$19='2. Customer Classes'!$B$18,+G26/'4. Customer Growth'!$K22,+IF($B$19='2. Customer Classes'!$B$19,+G26/'4. Customer Growth'!$M22,IF($B$19='2. Customer Classes'!$B$20,+G26/'4. Customer Growth'!$O22)))))))</f>
        <v>8247.4640214809333</v>
      </c>
      <c r="I26" s="82"/>
      <c r="J26" s="178">
        <f t="shared" si="12"/>
        <v>2011</v>
      </c>
      <c r="K26" s="70">
        <f>IF($J$19='2. Customer Classes'!$B$14,+SUM('3. Consumption by Rate Class'!$D$85:$D$96),+IF($J$19='2. Customer Classes'!$B$15,+SUM('3. Consumption by Rate Class'!$F$85:$F$96),+IF($J$19='2. Customer Classes'!$B$16,+SUM('3. Consumption by Rate Class'!$H$85:$H$96),+IF($J$19='2. Customer Classes'!$B$17,+SUM('3. Consumption by Rate Class'!$J$85:$J$96),+IF($J$19='2. Customer Classes'!$B$18,+SUM('3. Consumption by Rate Class'!$L$85:$L$96),+IF($J$19='2. Customer Classes'!$B$19,+SUM('3. Consumption by Rate Class'!$O$85:$O$96),IF($J$19='2. Customer Classes'!$B$20,+SUM('3. Consumption by Rate Class'!$R$85:$R$96),0)))))))</f>
        <v>11962164</v>
      </c>
      <c r="L26" s="72">
        <f t="shared" si="13"/>
        <v>90656017</v>
      </c>
      <c r="M26" s="72">
        <f t="shared" si="0"/>
        <v>91628943.54129757</v>
      </c>
      <c r="N26" s="73">
        <f t="shared" si="1"/>
        <v>0.13195113127460695</v>
      </c>
      <c r="O26" s="72">
        <f t="shared" si="14"/>
        <v>12090542.757771304</v>
      </c>
      <c r="P26" s="70">
        <f>IF($J$19='2. Customer Classes'!$B$14,+O26/'4. Customer Growth'!$C22,+IF($J$19='2. Customer Classes'!$B$15,+O26/'4. Customer Growth'!$E22,+IF($J$19='2. Customer Classes'!$B$16,+O26/'4. Customer Growth'!$G22,+IF($J$19='2. Customer Classes'!$B$17,+O26/'4. Customer Growth'!$I22,+IF($J$19='2. Customer Classes'!$B$18,+O26/'4. Customer Growth'!$K22,+IF($J$19='2. Customer Classes'!$B$19,+O26/'4. Customer Growth'!$M22,IF($J$19='2. Customer Classes'!$B$20,+O26/'4. Customer Growth'!$O22)))))))</f>
        <v>27667.145898790168</v>
      </c>
      <c r="Q26" s="82"/>
      <c r="R26" s="178">
        <f t="shared" si="15"/>
        <v>2011</v>
      </c>
      <c r="S26" s="70">
        <f>IF($R$19='2. Customer Classes'!$B$14,+SUM('3. Consumption by Rate Class'!$D$85:$D$96),+IF($R$19='2. Customer Classes'!$B$15,+SUM('3. Consumption by Rate Class'!$F$85:$F$96),+IF($R$19='2. Customer Classes'!$B$16,+SUM('3. Consumption by Rate Class'!$H$85:$H$96),+IF($R$19='2. Customer Classes'!$B$17,+SUM('3. Consumption by Rate Class'!$J$85:$J$96),+IF($R$19='2. Customer Classes'!$B$18,+SUM('3. Consumption by Rate Class'!$L$85:$L$96),+IF($R$19='2. Customer Classes'!$B$19,+SUM('3. Consumption by Rate Class'!$O$85:$O$96),IF($R$19='2. Customer Classes'!$B$20,+SUM('3. Consumption by Rate Class'!$R$85:$R$96),0)))))))</f>
        <v>46521147</v>
      </c>
      <c r="T26" s="72">
        <f t="shared" si="2"/>
        <v>90656017</v>
      </c>
      <c r="U26" s="72">
        <f t="shared" si="3"/>
        <v>91628943.54129757</v>
      </c>
      <c r="V26" s="73">
        <f t="shared" si="16"/>
        <v>0.51316116171307191</v>
      </c>
      <c r="W26" s="72">
        <f t="shared" si="17"/>
        <v>47020415.114193738</v>
      </c>
      <c r="X26" s="70">
        <f>IF($R$19='2. Customer Classes'!$B$14,+W26/'4. Customer Growth'!$C22,+IF($R$19='2. Customer Classes'!$B$15,+W26/'4. Customer Growth'!$E22,+IF($R$19='2. Customer Classes'!$B$16,+W26/'4. Customer Growth'!$G22,+IF($R$19='2. Customer Classes'!$B$17,+W26/'4. Customer Growth'!$I22,+IF($R$19='2. Customer Classes'!$B$18,+W26/'4. Customer Growth'!$K22,+IF($R$19='2. Customer Classes'!$B$19,+W26/'4. Customer Growth'!$M22,IF($R$19='2. Customer Classes'!$B$20,+W26/'4. Customer Growth'!$O22)))))))</f>
        <v>796956.188376165</v>
      </c>
      <c r="Z26" s="178">
        <f t="shared" si="18"/>
        <v>2011</v>
      </c>
      <c r="AA26" s="70">
        <f>IF($Z$19='2. Customer Classes'!$B$14,+SUM('3. Consumption by Rate Class'!$D$85:$D$96),+IF($Z$19='2. Customer Classes'!$B$15,+SUM('3. Consumption by Rate Class'!$F$85:$F$96),+IF($Z$19='2. Customer Classes'!$B$16,+SUM('3. Consumption by Rate Class'!$H$85:$H$96),+IF($Z$19='2. Customer Classes'!$B$17,+SUM('3. Consumption by Rate Class'!$J$85:$J$96),+IF($Z$19='2. Customer Classes'!$B$18,+SUM('3. Consumption by Rate Class'!$L$85:$L$96),+IF($Z$19='2. Customer Classes'!$B$19,+SUM('3. Consumption by Rate Class'!$O$85:$O$96),IF($Z$19='2. Customer Classes'!$B$20,+SUM('3. Consumption by Rate Class'!$R$85:$R$96),0)))))))</f>
        <v>0</v>
      </c>
      <c r="AB26" s="225">
        <f t="shared" si="4"/>
        <v>90656017</v>
      </c>
      <c r="AC26" s="225">
        <f t="shared" si="5"/>
        <v>91628943.54129757</v>
      </c>
      <c r="AD26" s="73">
        <f t="shared" si="6"/>
        <v>0</v>
      </c>
      <c r="AE26" s="225">
        <f t="shared" si="19"/>
        <v>0</v>
      </c>
      <c r="AF26" s="70" t="e">
        <f>IF($Z$19='2. Customer Classes'!$B$14,+AE26/'4. Customer Growth'!$C22,+IF($Z$19='2. Customer Classes'!$B$15,+AE26/'4. Customer Growth'!$E22,+IF($Z$19='2. Customer Classes'!$B$16,+AE26/'4. Customer Growth'!$G22,+IF($Z$19='2. Customer Classes'!$B$17,+AE26/'4. Customer Growth'!$I22,+IF($Z$19='2. Customer Classes'!$B$18,+AE26/'4. Customer Growth'!$K22,+IF($Z$19='2. Customer Classes'!$B$19,+AE26/'4. Customer Growth'!$M22,IF($Z$19='2. Customer Classes'!$B$20,+AE26/'4. Customer Growth'!$O22)))))))</f>
        <v>#DIV/0!</v>
      </c>
      <c r="AH26" s="178">
        <f t="shared" si="20"/>
        <v>2011</v>
      </c>
      <c r="AI26" s="70">
        <f>IF($AH$19='2. Customer Classes'!$B$14,+SUM('3. Consumption by Rate Class'!$D$85:$D$96),+IF($AH$19='2. Customer Classes'!$B$15,+SUM('3. Consumption by Rate Class'!$F$85:$F$96),+IF($AH$19='2. Customer Classes'!$B$16,+SUM('3. Consumption by Rate Class'!$H$85:$H$96),+IF($AH$19='2. Customer Classes'!$B$17,+SUM('3. Consumption by Rate Class'!$J$85:$J$96),+IF($AH$19='2. Customer Classes'!$B$18,+SUM('3. Consumption by Rate Class'!$L$85:$L$96),+IF($AH$19='2. Customer Classes'!$B$19,+SUM('3. Consumption by Rate Class'!$O$85:$O$96),IF($AH$19='2. Customer Classes'!$B$20,+SUM('3. Consumption by Rate Class'!$R$85:$R$96),0)))))))</f>
        <v>0</v>
      </c>
      <c r="AJ26" s="225">
        <f t="shared" si="7"/>
        <v>90656017</v>
      </c>
      <c r="AK26" s="225">
        <f t="shared" si="8"/>
        <v>91628943.54129757</v>
      </c>
      <c r="AL26" s="73">
        <f t="shared" si="9"/>
        <v>0</v>
      </c>
      <c r="AM26" s="225">
        <f t="shared" si="21"/>
        <v>0</v>
      </c>
      <c r="AN26" s="70" t="e">
        <f>IF($AH$19='2. Customer Classes'!$B$14,+AM26/'4. Customer Growth'!$C22,+IF($AH$19='2. Customer Classes'!$B$15,+AM26/'4. Customer Growth'!$E22,+IF($AH$19='2. Customer Classes'!$B$16,+AM26/'4. Customer Growth'!$G22,+IF($AH$19='2. Customer Classes'!$B$17,+AM26/'4. Customer Growth'!$I22,+IF($AH$19='2. Customer Classes'!$B$18,+AM26/'4. Customer Growth'!$K22,+IF($AH$19='2. Customer Classes'!$B$19,+AM26/'4. Customer Growth'!$M22,IF($AH$19='2. Customer Classes'!$B$20,+AM26/'4. Customer Growth'!$O22)))))))</f>
        <v>#DIV/0!</v>
      </c>
    </row>
    <row r="27" spans="2:40" x14ac:dyDescent="0.2">
      <c r="B27" s="178">
        <f>'4. Customer Growth'!B23</f>
        <v>2012</v>
      </c>
      <c r="C27" s="70">
        <f>IF($B$19='2. Customer Classes'!$B$14,+SUM('3. Consumption by Rate Class'!$D$97:$D$108),+IF($B$19='2. Customer Classes'!$B$15,+SUM('3. Consumption by Rate Class'!$F$97:$F$108),+IF($B$19='2. Customer Classes'!$B$16,+SUM('3. Consumption by Rate Class'!$H$97:$H$108),+IF($B$19='2. Customer Classes'!$B$17,+SUM('3. Consumption by Rate Class'!$J$97:$J$108),+IF($B$19='2. Customer Classes'!$B$18,+SUM('3. Consumption by Rate Class'!$L$97:$L$108),+IF($B$19='2. Customer Classes'!$B$19,+SUM('3. Consumption by Rate Class'!$O$97:$O$108),IF($B$19='2. Customer Classes'!$B$20,+SUM('3. Consumption by Rate Class'!$R$97:$R$108),0)))))))</f>
        <v>29994156</v>
      </c>
      <c r="D27" s="72">
        <f>SUM('6. WS Regression Analysis'!J92:J103)</f>
        <v>89014822</v>
      </c>
      <c r="E27" s="72">
        <f>SUM('6. WS Regression Analysis'!R92:R103)</f>
        <v>91730059.579689622</v>
      </c>
      <c r="F27" s="73">
        <f t="shared" si="10"/>
        <v>0.33695687219371173</v>
      </c>
      <c r="G27" s="72">
        <f t="shared" si="11"/>
        <v>30909073.962115038</v>
      </c>
      <c r="H27" s="70">
        <f>IF($B$19='2. Customer Classes'!$B$14,+G27/'4. Customer Growth'!$C23,+IF($B$19='2. Customer Classes'!$B$15,+G27/'4. Customer Growth'!$E23,+IF($B$19='2. Customer Classes'!$B$16,+G27/'4. Customer Growth'!$G23,+IF($B$19='2. Customer Classes'!$B$17,+G27/'4. Customer Growth'!$I23,+IF($B$19='2. Customer Classes'!$B$18,+G27/'4. Customer Growth'!$K23,+IF($B$19='2. Customer Classes'!$B$19,+G27/'4. Customer Growth'!$M23,IF($B$19='2. Customer Classes'!$B$20,+G27/'4. Customer Growth'!$O23)))))))</f>
        <v>8338.0291238508325</v>
      </c>
      <c r="I27" s="82"/>
      <c r="J27" s="178">
        <f t="shared" si="12"/>
        <v>2012</v>
      </c>
      <c r="K27" s="70">
        <f>IF($J$19='2. Customer Classes'!$B$14,+SUM('3. Consumption by Rate Class'!$D$97:$D$108),+IF($J$19='2. Customer Classes'!$B$15,+SUM('3. Consumption by Rate Class'!$F$97:$F$108),+IF($J$19='2. Customer Classes'!$B$16,+SUM('3. Consumption by Rate Class'!$H$97:$H$108),+IF($J$19='2. Customer Classes'!$B$17,+SUM('3. Consumption by Rate Class'!$J$97:$J$108),+IF($J$19='2. Customer Classes'!$B$18,+SUM('3. Consumption by Rate Class'!$L$97:$L$108),+IF($J$19='2. Customer Classes'!$B$19,+SUM('3. Consumption by Rate Class'!$O$97:$O$108),IF($J$19='2. Customer Classes'!$B$20,+SUM('3. Consumption by Rate Class'!$R$97:$R$108),0)))))))</f>
        <v>11672310</v>
      </c>
      <c r="L27" s="72">
        <f t="shared" si="13"/>
        <v>89014822</v>
      </c>
      <c r="M27" s="72">
        <f t="shared" si="0"/>
        <v>91730059.579689622</v>
      </c>
      <c r="N27" s="73">
        <f t="shared" si="1"/>
        <v>0.13112771264093523</v>
      </c>
      <c r="O27" s="72">
        <f t="shared" si="14"/>
        <v>12028352.893101409</v>
      </c>
      <c r="P27" s="70">
        <f>IF($J$19='2. Customer Classes'!$B$14,+O27/'4. Customer Growth'!$C23,+IF($J$19='2. Customer Classes'!$B$15,+O27/'4. Customer Growth'!$E23,+IF($J$19='2. Customer Classes'!$B$16,+O27/'4. Customer Growth'!$G23,+IF($J$19='2. Customer Classes'!$B$17,+O27/'4. Customer Growth'!$I23,+IF($J$19='2. Customer Classes'!$B$18,+O27/'4. Customer Growth'!$K23,+IF($J$19='2. Customer Classes'!$B$19,+O27/'4. Customer Growth'!$M23,IF($J$19='2. Customer Classes'!$B$20,+O27/'4. Customer Growth'!$O23)))))))</f>
        <v>27651.385961152664</v>
      </c>
      <c r="Q27" s="82"/>
      <c r="R27" s="178">
        <f t="shared" si="15"/>
        <v>2012</v>
      </c>
      <c r="S27" s="70">
        <f>IF($R$19='2. Customer Classes'!$B$14,+SUM('3. Consumption by Rate Class'!$D$97:$D$108),+IF($R$19='2. Customer Classes'!$B$15,+SUM('3. Consumption by Rate Class'!$F$97:$F$108),+IF($R$19='2. Customer Classes'!$B$16,+SUM('3. Consumption by Rate Class'!$H$97:$H$108),+IF($R$19='2. Customer Classes'!$B$17,+SUM('3. Consumption by Rate Class'!$J$97:$J$108),+IF($R$19='2. Customer Classes'!$B$18,+SUM('3. Consumption by Rate Class'!$L$97:$L$108),+IF($R$19='2. Customer Classes'!$B$19,+SUM('3. Consumption by Rate Class'!$O$97:$O$108),IF($R$19='2. Customer Classes'!$B$20,+SUM('3. Consumption by Rate Class'!$R$97:$R$108),0)))))))</f>
        <v>44095781</v>
      </c>
      <c r="T27" s="72">
        <f t="shared" si="2"/>
        <v>89014822</v>
      </c>
      <c r="U27" s="72">
        <f t="shared" si="3"/>
        <v>91730059.579689622</v>
      </c>
      <c r="V27" s="73">
        <f t="shared" si="16"/>
        <v>0.49537571394570673</v>
      </c>
      <c r="W27" s="72">
        <f t="shared" si="17"/>
        <v>45440843.754570961</v>
      </c>
      <c r="X27" s="70">
        <f>IF($R$19='2. Customer Classes'!$B$14,+W27/'4. Customer Growth'!$C23,+IF($R$19='2. Customer Classes'!$B$15,+W27/'4. Customer Growth'!$E23,+IF($R$19='2. Customer Classes'!$B$16,+W27/'4. Customer Growth'!$G23,+IF($R$19='2. Customer Classes'!$B$17,+W27/'4. Customer Growth'!$I23,+IF($R$19='2. Customer Classes'!$B$18,+W27/'4. Customer Growth'!$K23,+IF($R$19='2. Customer Classes'!$B$19,+W27/'4. Customer Growth'!$M23,IF($R$19='2. Customer Classes'!$B$20,+W27/'4. Customer Growth'!$O23)))))))</f>
        <v>770183.79245035525</v>
      </c>
      <c r="Z27" s="178">
        <f t="shared" si="18"/>
        <v>2012</v>
      </c>
      <c r="AA27" s="70">
        <f>IF($Z$19='2. Customer Classes'!$B$14,+SUM('3. Consumption by Rate Class'!$D$97:$D$108),+IF($Z$19='2. Customer Classes'!$B$15,+SUM('3. Consumption by Rate Class'!$F$97:$F$108),+IF($Z$19='2. Customer Classes'!$B$16,+SUM('3. Consumption by Rate Class'!$H$97:$H$108),+IF($Z$19='2. Customer Classes'!$B$17,+SUM('3. Consumption by Rate Class'!$J$97:$J$108),+IF($Z$19='2. Customer Classes'!$B$18,+SUM('3. Consumption by Rate Class'!$L$97:$L$108),+IF($Z$19='2. Customer Classes'!$B$19,+SUM('3. Consumption by Rate Class'!$O$97:$O$108),IF($Z$19='2. Customer Classes'!$B$20,+SUM('3. Consumption by Rate Class'!$R$97:$R$108),0)))))))</f>
        <v>0</v>
      </c>
      <c r="AB27" s="225">
        <f t="shared" si="4"/>
        <v>89014822</v>
      </c>
      <c r="AC27" s="225">
        <f t="shared" si="5"/>
        <v>91730059.579689622</v>
      </c>
      <c r="AD27" s="73">
        <f t="shared" si="6"/>
        <v>0</v>
      </c>
      <c r="AE27" s="225">
        <f t="shared" si="19"/>
        <v>0</v>
      </c>
      <c r="AF27" s="70" t="e">
        <f>IF($Z$19='2. Customer Classes'!$B$14,+AE27/'4. Customer Growth'!$C23,+IF($Z$19='2. Customer Classes'!$B$15,+AE27/'4. Customer Growth'!$E23,+IF($Z$19='2. Customer Classes'!$B$16,+AE27/'4. Customer Growth'!$G23,+IF($Z$19='2. Customer Classes'!$B$17,+AE27/'4. Customer Growth'!$I23,+IF($Z$19='2. Customer Classes'!$B$18,+AE27/'4. Customer Growth'!$K23,+IF($Z$19='2. Customer Classes'!$B$19,+AE27/'4. Customer Growth'!$M23,IF($Z$19='2. Customer Classes'!$B$20,+AE27/'4. Customer Growth'!$O23)))))))</f>
        <v>#DIV/0!</v>
      </c>
      <c r="AH27" s="178">
        <f t="shared" si="20"/>
        <v>2012</v>
      </c>
      <c r="AI27" s="70">
        <f>IF($AH$19='2. Customer Classes'!$B$14,+SUM('3. Consumption by Rate Class'!$D$97:$D$108),+IF($AH$19='2. Customer Classes'!$B$15,+SUM('3. Consumption by Rate Class'!$F$97:$F$108),+IF($AH$19='2. Customer Classes'!$B$16,+SUM('3. Consumption by Rate Class'!$H$97:$H$108),+IF($AH$19='2. Customer Classes'!$B$17,+SUM('3. Consumption by Rate Class'!$J$97:$J$108),+IF($AH$19='2. Customer Classes'!$B$18,+SUM('3. Consumption by Rate Class'!$L$97:$L$108),+IF($AH$19='2. Customer Classes'!$B$19,+SUM('3. Consumption by Rate Class'!$O$97:$O$108),IF($AH$19='2. Customer Classes'!$B$20,+SUM('3. Consumption by Rate Class'!$R$97:$R$108),0)))))))</f>
        <v>0</v>
      </c>
      <c r="AJ27" s="225">
        <f t="shared" si="7"/>
        <v>89014822</v>
      </c>
      <c r="AK27" s="225">
        <f t="shared" si="8"/>
        <v>91730059.579689622</v>
      </c>
      <c r="AL27" s="73">
        <f t="shared" si="9"/>
        <v>0</v>
      </c>
      <c r="AM27" s="225">
        <f t="shared" si="21"/>
        <v>0</v>
      </c>
      <c r="AN27" s="70" t="e">
        <f>IF($AH$19='2. Customer Classes'!$B$14,+AM27/'4. Customer Growth'!$C23,+IF($AH$19='2. Customer Classes'!$B$15,+AM27/'4. Customer Growth'!$E23,+IF($AH$19='2. Customer Classes'!$B$16,+AM27/'4. Customer Growth'!$G23,+IF($AH$19='2. Customer Classes'!$B$17,+AM27/'4. Customer Growth'!$I23,+IF($AH$19='2. Customer Classes'!$B$18,+AM27/'4. Customer Growth'!$K23,+IF($AH$19='2. Customer Classes'!$B$19,+AM27/'4. Customer Growth'!$M23,IF($AH$19='2. Customer Classes'!$B$20,+AM27/'4. Customer Growth'!$O23)))))))</f>
        <v>#DIV/0!</v>
      </c>
    </row>
    <row r="28" spans="2:40" x14ac:dyDescent="0.2">
      <c r="B28" s="178">
        <f>'4. Customer Growth'!B24</f>
        <v>2013</v>
      </c>
      <c r="C28" s="70">
        <f>IF($B$19='2. Customer Classes'!$B$14,+SUM('3. Consumption by Rate Class'!$D$109:$D$120),+IF($B$19='2. Customer Classes'!$B$15,+SUM('3. Consumption by Rate Class'!$F$109:$F$120),+IF($B$19='2. Customer Classes'!$B$16,+SUM('3. Consumption by Rate Class'!$H$109:$H$120),+IF($B$19='2. Customer Classes'!$B$17,+SUM('3. Consumption by Rate Class'!$J$109:$J$120),+IF($B$19='2. Customer Classes'!$B$18,+SUM('3. Consumption by Rate Class'!$L$109:$L$120),+IF($B$19='2. Customer Classes'!$B$19,+SUM('3. Consumption by Rate Class'!$O$109:$O$120),IF($B$19='2. Customer Classes'!$B$20,+SUM('3. Consumption by Rate Class'!$R$109:$R$120),0)))))))</f>
        <v>30486731</v>
      </c>
      <c r="D28" s="72">
        <f>SUM('6. WS Regression Analysis'!J104:J115)</f>
        <v>90972832</v>
      </c>
      <c r="E28" s="72">
        <f>SUM('6. WS Regression Analysis'!R104:R115)</f>
        <v>90628305.25001581</v>
      </c>
      <c r="F28" s="73">
        <f t="shared" si="10"/>
        <v>0.33511907159271465</v>
      </c>
      <c r="G28" s="72">
        <f t="shared" si="11"/>
        <v>30371273.515406445</v>
      </c>
      <c r="H28" s="70">
        <f>IF($B$19='2. Customer Classes'!$B$14,+G28/'4. Customer Growth'!$C24,+IF($B$19='2. Customer Classes'!$B$15,+G28/'4. Customer Growth'!$E24,+IF($B$19='2. Customer Classes'!$B$16,+G28/'4. Customer Growth'!$G24,+IF($B$19='2. Customer Classes'!$B$17,+G28/'4. Customer Growth'!$I24,+IF($B$19='2. Customer Classes'!$B$18,+G28/'4. Customer Growth'!$K24,+IF($B$19='2. Customer Classes'!$B$19,+G28/'4. Customer Growth'!$M24,IF($B$19='2. Customer Classes'!$B$20,+G28/'4. Customer Growth'!$O24)))))))</f>
        <v>8142.4325778569555</v>
      </c>
      <c r="I28" s="82"/>
      <c r="J28" s="178">
        <f t="shared" si="12"/>
        <v>2013</v>
      </c>
      <c r="K28" s="70">
        <f>IF($J$19='2. Customer Classes'!$B$14,+SUM('3. Consumption by Rate Class'!$D$109:$D$120),+IF($J$19='2. Customer Classes'!$B$15,+SUM('3. Consumption by Rate Class'!$F$109:$F$120),+IF($J$19='2. Customer Classes'!$B$16,+SUM('3. Consumption by Rate Class'!$H$109:$H$120),+IF($J$19='2. Customer Classes'!$B$17,+SUM('3. Consumption by Rate Class'!$J$109:$J$120),+IF($J$19='2. Customer Classes'!$B$18,+SUM('3. Consumption by Rate Class'!$L$109:$L$120),+IF($J$19='2. Customer Classes'!$B$19,+SUM('3. Consumption by Rate Class'!$O$109:$O$120),IF($J$19='2. Customer Classes'!$B$20,+SUM('3. Consumption by Rate Class'!$R$109:$R$120),0)))))))</f>
        <v>11531242</v>
      </c>
      <c r="L28" s="72">
        <f t="shared" si="13"/>
        <v>90972832</v>
      </c>
      <c r="M28" s="72">
        <f t="shared" si="0"/>
        <v>90628305.25001581</v>
      </c>
      <c r="N28" s="73">
        <f t="shared" si="1"/>
        <v>0.12675478762714565</v>
      </c>
      <c r="O28" s="72">
        <f t="shared" si="14"/>
        <v>11487571.584973883</v>
      </c>
      <c r="P28" s="70">
        <f>IF($J$19='2. Customer Classes'!$B$14,+O28/'4. Customer Growth'!$C24,+IF($J$19='2. Customer Classes'!$B$15,+O28/'4. Customer Growth'!$E24,+IF($J$19='2. Customer Classes'!$B$16,+O28/'4. Customer Growth'!$G24,+IF($J$19='2. Customer Classes'!$B$17,+O28/'4. Customer Growth'!$I24,+IF($J$19='2. Customer Classes'!$B$18,+O28/'4. Customer Growth'!$K24,+IF($J$19='2. Customer Classes'!$B$19,+O28/'4. Customer Growth'!$M24,IF($J$19='2. Customer Classes'!$B$20,+O28/'4. Customer Growth'!$O24)))))))</f>
        <v>26840.120525639912</v>
      </c>
      <c r="Q28" s="82"/>
      <c r="R28" s="178">
        <f t="shared" si="15"/>
        <v>2013</v>
      </c>
      <c r="S28" s="70">
        <f>IF($R$19='2. Customer Classes'!$B$14,+SUM('3. Consumption by Rate Class'!$D$109:$D$120),+IF($R$19='2. Customer Classes'!$B$15,+SUM('3. Consumption by Rate Class'!$F$109:$F$120),+IF($R$19='2. Customer Classes'!$B$16,+SUM('3. Consumption by Rate Class'!$H$109:$H$120),+IF($R$19='2. Customer Classes'!$B$17,+SUM('3. Consumption by Rate Class'!$J$109:$J$120),+IF($R$19='2. Customer Classes'!$B$18,+SUM('3. Consumption by Rate Class'!$L$109:$L$120),+IF($R$19='2. Customer Classes'!$B$19,+SUM('3. Consumption by Rate Class'!$O$109:$O$120),IF($R$19='2. Customer Classes'!$B$20,+SUM('3. Consumption by Rate Class'!$R$109:$R$120),0)))))))</f>
        <v>44119354</v>
      </c>
      <c r="T28" s="72">
        <f t="shared" si="2"/>
        <v>90972832</v>
      </c>
      <c r="U28" s="72">
        <f t="shared" si="3"/>
        <v>90628305.25001581</v>
      </c>
      <c r="V28" s="73">
        <f t="shared" si="16"/>
        <v>0.48497285431325254</v>
      </c>
      <c r="W28" s="72">
        <f t="shared" si="17"/>
        <v>43952267.878672898</v>
      </c>
      <c r="X28" s="70">
        <f>IF($R$19='2. Customer Classes'!$B$14,+W28/'4. Customer Growth'!$C24,+IF($R$19='2. Customer Classes'!$B$15,+W28/'4. Customer Growth'!$E24,+IF($R$19='2. Customer Classes'!$B$16,+W28/'4. Customer Growth'!$G24,+IF($R$19='2. Customer Classes'!$B$17,+W28/'4. Customer Growth'!$I24,+IF($R$19='2. Customer Classes'!$B$18,+W28/'4. Customer Growth'!$K24,+IF($R$19='2. Customer Classes'!$B$19,+W28/'4. Customer Growth'!$M24,IF($R$19='2. Customer Classes'!$B$20,+W28/'4. Customer Growth'!$O24)))))))</f>
        <v>708907.54643020802</v>
      </c>
      <c r="Z28" s="178">
        <f t="shared" si="18"/>
        <v>2013</v>
      </c>
      <c r="AA28" s="70">
        <f>IF($Z$19='2. Customer Classes'!$B$14,+SUM('3. Consumption by Rate Class'!$D$109:$D$120),+IF($Z$19='2. Customer Classes'!$B$15,+SUM('3. Consumption by Rate Class'!$F$109:$F$120),+IF($Z$19='2. Customer Classes'!$B$16,+SUM('3. Consumption by Rate Class'!$H$109:$H$120),+IF($Z$19='2. Customer Classes'!$B$17,+SUM('3. Consumption by Rate Class'!$J$109:$J$120),+IF($Z$19='2. Customer Classes'!$B$18,+SUM('3. Consumption by Rate Class'!$L$109:$L$120),+IF($Z$19='2. Customer Classes'!$B$19,+SUM('3. Consumption by Rate Class'!$O$109:$O$120),IF($Z$19='2. Customer Classes'!$B$20,+SUM('3. Consumption by Rate Class'!$R$109:$R$120),0)))))))</f>
        <v>0</v>
      </c>
      <c r="AB28" s="225">
        <f t="shared" si="4"/>
        <v>90972832</v>
      </c>
      <c r="AC28" s="225">
        <f t="shared" si="5"/>
        <v>90628305.25001581</v>
      </c>
      <c r="AD28" s="73">
        <f t="shared" si="6"/>
        <v>0</v>
      </c>
      <c r="AE28" s="225">
        <f t="shared" si="19"/>
        <v>0</v>
      </c>
      <c r="AF28" s="70" t="e">
        <f>IF($Z$19='2. Customer Classes'!$B$14,+AE28/'4. Customer Growth'!$C24,+IF($Z$19='2. Customer Classes'!$B$15,+AE28/'4. Customer Growth'!$E24,+IF($Z$19='2. Customer Classes'!$B$16,+AE28/'4. Customer Growth'!$G24,+IF($Z$19='2. Customer Classes'!$B$17,+AE28/'4. Customer Growth'!$I24,+IF($Z$19='2. Customer Classes'!$B$18,+AE28/'4. Customer Growth'!$K24,+IF($Z$19='2. Customer Classes'!$B$19,+AE28/'4. Customer Growth'!$M24,IF($Z$19='2. Customer Classes'!$B$20,+AE28/'4. Customer Growth'!$O24)))))))</f>
        <v>#DIV/0!</v>
      </c>
      <c r="AH28" s="178">
        <f t="shared" si="20"/>
        <v>2013</v>
      </c>
      <c r="AI28" s="70">
        <f>IF($AH$19='2. Customer Classes'!$B$14,+SUM('3. Consumption by Rate Class'!$D$109:$D$120),+IF($AH$19='2. Customer Classes'!$B$15,+SUM('3. Consumption by Rate Class'!$F$109:$F$120),+IF($AH$19='2. Customer Classes'!$B$16,+SUM('3. Consumption by Rate Class'!$H$109:$H$120),+IF($AH$19='2. Customer Classes'!$B$17,+SUM('3. Consumption by Rate Class'!$J$109:$J$120),+IF($AH$19='2. Customer Classes'!$B$18,+SUM('3. Consumption by Rate Class'!$L$109:$L$120),+IF($AH$19='2. Customer Classes'!$B$19,+SUM('3. Consumption by Rate Class'!$O$109:$O$120),IF($AH$19='2. Customer Classes'!$B$20,+SUM('3. Consumption by Rate Class'!$R$109:$R$120),0)))))))</f>
        <v>0</v>
      </c>
      <c r="AJ28" s="225">
        <f t="shared" si="7"/>
        <v>90972832</v>
      </c>
      <c r="AK28" s="225">
        <f t="shared" si="8"/>
        <v>90628305.25001581</v>
      </c>
      <c r="AL28" s="73">
        <f t="shared" si="9"/>
        <v>0</v>
      </c>
      <c r="AM28" s="225">
        <f t="shared" si="21"/>
        <v>0</v>
      </c>
      <c r="AN28" s="70" t="e">
        <f>IF($AH$19='2. Customer Classes'!$B$14,+AM28/'4. Customer Growth'!$C24,+IF($AH$19='2. Customer Classes'!$B$15,+AM28/'4. Customer Growth'!$E24,+IF($AH$19='2. Customer Classes'!$B$16,+AM28/'4. Customer Growth'!$G24,+IF($AH$19='2. Customer Classes'!$B$17,+AM28/'4. Customer Growth'!$I24,+IF($AH$19='2. Customer Classes'!$B$18,+AM28/'4. Customer Growth'!$K24,+IF($AH$19='2. Customer Classes'!$B$19,+AM28/'4. Customer Growth'!$M24,IF($AH$19='2. Customer Classes'!$B$20,+AM28/'4. Customer Growth'!$O24)))))))</f>
        <v>#DIV/0!</v>
      </c>
    </row>
    <row r="29" spans="2:40" x14ac:dyDescent="0.2">
      <c r="B29" s="178">
        <f>'4. Customer Growth'!B25</f>
        <v>2014</v>
      </c>
      <c r="C29" s="70">
        <f>IF($B$19='2. Customer Classes'!$B$14,+SUM('3. Consumption by Rate Class'!$D$121:$D$132),+IF($B$19='2. Customer Classes'!$B$15,+SUM('3. Consumption by Rate Class'!$F$121:$F$132),+IF($B$19='2. Customer Classes'!$B$16,+SUM('3. Consumption by Rate Class'!$H$121:$H$132),+IF($B$19='2. Customer Classes'!$B$17,+SUM('3. Consumption by Rate Class'!$J$121:$J$132),+IF($B$19='2. Customer Classes'!$B$18,+SUM('3. Consumption by Rate Class'!$L$121:$L$132),+IF($B$19='2. Customer Classes'!$B$19,+SUM('3. Consumption by Rate Class'!$O$121:$O$132),IF($B$19='2. Customer Classes'!$B$20,+SUM('3. Consumption by Rate Class'!$R$121:$R$132),0)))))))</f>
        <v>30037011</v>
      </c>
      <c r="D29" s="72">
        <f>SUM('6. WS Regression Analysis'!J116:J127)</f>
        <v>89574310</v>
      </c>
      <c r="E29" s="72">
        <f>SUM('6. WS Regression Analysis'!R116:R127)</f>
        <v>88892412.867180794</v>
      </c>
      <c r="F29" s="73">
        <f t="shared" si="10"/>
        <v>0.33533064335075535</v>
      </c>
      <c r="G29" s="72">
        <f t="shared" si="11"/>
        <v>29808349.9957527</v>
      </c>
      <c r="H29" s="70">
        <f>IF($B$19='2. Customer Classes'!$B$14,+G29/'4. Customer Growth'!$C25,+IF($B$19='2. Customer Classes'!$B$15,+G29/'4. Customer Growth'!$E25,+IF($B$19='2. Customer Classes'!$B$16,+G29/'4. Customer Growth'!$G25,+IF($B$19='2. Customer Classes'!$B$17,+G29/'4. Customer Growth'!$I25,+IF($B$19='2. Customer Classes'!$B$18,+G29/'4. Customer Growth'!$K25,+IF($B$19='2. Customer Classes'!$B$19,+G29/'4. Customer Growth'!$M25,IF($B$19='2. Customer Classes'!$B$20,+G29/'4. Customer Growth'!$O25)))))))</f>
        <v>7927.7526584448669</v>
      </c>
      <c r="I29" s="82"/>
      <c r="J29" s="178">
        <f t="shared" si="12"/>
        <v>2014</v>
      </c>
      <c r="K29" s="70">
        <f>IF($J$19='2. Customer Classes'!$B$14,+SUM('3. Consumption by Rate Class'!$D$121:$D$132),+IF($J$19='2. Customer Classes'!$B$15,+SUM('3. Consumption by Rate Class'!$F$121:$F$132),+IF($J$19='2. Customer Classes'!$B$16,+SUM('3. Consumption by Rate Class'!$H$121:$H$132),+IF($J$19='2. Customer Classes'!$B$17,+SUM('3. Consumption by Rate Class'!$J$121:$J$132),+IF($J$19='2. Customer Classes'!$B$18,+SUM('3. Consumption by Rate Class'!$L$121:$L$132),+IF($J$19='2. Customer Classes'!$B$19,+SUM('3. Consumption by Rate Class'!$O$121:$O$132),IF($J$19='2. Customer Classes'!$B$20,+SUM('3. Consumption by Rate Class'!$R$121:$R$132),0)))))))</f>
        <v>11294125</v>
      </c>
      <c r="L29" s="72">
        <f t="shared" si="13"/>
        <v>89574310</v>
      </c>
      <c r="M29" s="72">
        <f t="shared" si="0"/>
        <v>88892412.867180794</v>
      </c>
      <c r="N29" s="73">
        <f t="shared" si="1"/>
        <v>0.12608665363986615</v>
      </c>
      <c r="O29" s="72">
        <f t="shared" si="14"/>
        <v>11208146.872396206</v>
      </c>
      <c r="P29" s="70">
        <f>IF($J$19='2. Customer Classes'!$B$14,+O29/'4. Customer Growth'!$C25,+IF($J$19='2. Customer Classes'!$B$15,+O29/'4. Customer Growth'!$E25,+IF($J$19='2. Customer Classes'!$B$16,+O29/'4. Customer Growth'!$G25,+IF($J$19='2. Customer Classes'!$B$17,+O29/'4. Customer Growth'!$I25,+IF($J$19='2. Customer Classes'!$B$18,+O29/'4. Customer Growth'!$K25,+IF($J$19='2. Customer Classes'!$B$19,+O29/'4. Customer Growth'!$M25,IF($J$19='2. Customer Classes'!$B$20,+O29/'4. Customer Growth'!$O25)))))))</f>
        <v>26187.259047654687</v>
      </c>
      <c r="Q29" s="82"/>
      <c r="R29" s="178">
        <f t="shared" si="15"/>
        <v>2014</v>
      </c>
      <c r="S29" s="70">
        <f>IF($R$19='2. Customer Classes'!$B$14,+SUM('3. Consumption by Rate Class'!$D$121:$D$132),+IF($R$19='2. Customer Classes'!$B$15,+SUM('3. Consumption by Rate Class'!$F$121:$F$132),+IF($R$19='2. Customer Classes'!$B$16,+SUM('3. Consumption by Rate Class'!$H$121:$H$132),+IF($R$19='2. Customer Classes'!$B$17,+SUM('3. Consumption by Rate Class'!$J$121:$J$132),+IF($R$19='2. Customer Classes'!$B$18,+SUM('3. Consumption by Rate Class'!$L$121:$L$132),+IF($R$19='2. Customer Classes'!$B$19,+SUM('3. Consumption by Rate Class'!$O$121:$O$132),IF($R$19='2. Customer Classes'!$B$20,+SUM('3. Consumption by Rate Class'!$R$121:$R$132),0)))))))</f>
        <v>43640624</v>
      </c>
      <c r="T29" s="72">
        <f t="shared" si="2"/>
        <v>89574310</v>
      </c>
      <c r="U29" s="72">
        <f t="shared" si="3"/>
        <v>88892412.867180794</v>
      </c>
      <c r="V29" s="73">
        <f t="shared" si="16"/>
        <v>0.48720022515384154</v>
      </c>
      <c r="W29" s="72">
        <f t="shared" si="17"/>
        <v>43308403.563358724</v>
      </c>
      <c r="X29" s="70">
        <f>IF($R$19='2. Customer Classes'!$B$14,+W29/'4. Customer Growth'!$C25,+IF($R$19='2. Customer Classes'!$B$15,+W29/'4. Customer Growth'!$E25,+IF($R$19='2. Customer Classes'!$B$16,+W29/'4. Customer Growth'!$G25,+IF($R$19='2. Customer Classes'!$B$17,+W29/'4. Customer Growth'!$I25,+IF($R$19='2. Customer Classes'!$B$18,+W29/'4. Customer Growth'!$K25,+IF($R$19='2. Customer Classes'!$B$19,+W29/'4. Customer Growth'!$M25,IF($R$19='2. Customer Classes'!$B$20,+W29/'4. Customer Growth'!$O25)))))))</f>
        <v>698522.63811868906</v>
      </c>
      <c r="Z29" s="178">
        <f t="shared" si="18"/>
        <v>2014</v>
      </c>
      <c r="AA29" s="70">
        <f>IF($Z$19='2. Customer Classes'!$B$14,+SUM('3. Consumption by Rate Class'!$D$121:$D$132),+IF($Z$19='2. Customer Classes'!$B$15,+SUM('3. Consumption by Rate Class'!$F$121:$F$132),+IF($Z$19='2. Customer Classes'!$B$16,+SUM('3. Consumption by Rate Class'!$H$121:$H$132),+IF($Z$19='2. Customer Classes'!$B$17,+SUM('3. Consumption by Rate Class'!$J$121:$J$132),+IF($Z$19='2. Customer Classes'!$B$18,+SUM('3. Consumption by Rate Class'!$L$121:$L$132),+IF($Z$19='2. Customer Classes'!$B$19,+SUM('3. Consumption by Rate Class'!$O$121:$O$132),IF($Z$19='2. Customer Classes'!$B$20,+SUM('3. Consumption by Rate Class'!$R$121:$R$132),0)))))))</f>
        <v>0</v>
      </c>
      <c r="AB29" s="225">
        <f t="shared" si="4"/>
        <v>89574310</v>
      </c>
      <c r="AC29" s="225">
        <f t="shared" si="5"/>
        <v>88892412.867180794</v>
      </c>
      <c r="AD29" s="73">
        <f t="shared" si="6"/>
        <v>0</v>
      </c>
      <c r="AE29" s="225">
        <f t="shared" si="19"/>
        <v>0</v>
      </c>
      <c r="AF29" s="70" t="e">
        <f>IF($Z$19='2. Customer Classes'!$B$14,+AE29/'4. Customer Growth'!$C25,+IF($Z$19='2. Customer Classes'!$B$15,+AE29/'4. Customer Growth'!$E25,+IF($Z$19='2. Customer Classes'!$B$16,+AE29/'4. Customer Growth'!$G25,+IF($Z$19='2. Customer Classes'!$B$17,+AE29/'4. Customer Growth'!$I25,+IF($Z$19='2. Customer Classes'!$B$18,+AE29/'4. Customer Growth'!$K25,+IF($Z$19='2. Customer Classes'!$B$19,+AE29/'4. Customer Growth'!$M25,IF($Z$19='2. Customer Classes'!$B$20,+AE29/'4. Customer Growth'!$O25)))))))</f>
        <v>#DIV/0!</v>
      </c>
      <c r="AH29" s="178">
        <f t="shared" si="20"/>
        <v>2014</v>
      </c>
      <c r="AI29" s="70">
        <f>IF($AH$19='2. Customer Classes'!$B$14,+SUM('3. Consumption by Rate Class'!$D$121:$D$132),+IF($AH$19='2. Customer Classes'!$B$15,+SUM('3. Consumption by Rate Class'!$F$121:$F$132),+IF($AH$19='2. Customer Classes'!$B$16,+SUM('3. Consumption by Rate Class'!$H$121:$H$132),+IF($AH$19='2. Customer Classes'!$B$17,+SUM('3. Consumption by Rate Class'!$J$121:$J$132),+IF($AH$19='2. Customer Classes'!$B$18,+SUM('3. Consumption by Rate Class'!$L$121:$L$132),+IF($AH$19='2. Customer Classes'!$B$19,+SUM('3. Consumption by Rate Class'!$O$121:$O$132),IF($AH$19='2. Customer Classes'!$B$20,+SUM('3. Consumption by Rate Class'!$R$121:$R$132),0)))))))</f>
        <v>0</v>
      </c>
      <c r="AJ29" s="225">
        <f t="shared" si="7"/>
        <v>89574310</v>
      </c>
      <c r="AK29" s="225">
        <f t="shared" si="8"/>
        <v>88892412.867180794</v>
      </c>
      <c r="AL29" s="73">
        <f t="shared" si="9"/>
        <v>0</v>
      </c>
      <c r="AM29" s="225">
        <f t="shared" si="21"/>
        <v>0</v>
      </c>
      <c r="AN29" s="70" t="e">
        <f>IF($AH$19='2. Customer Classes'!$B$14,+AM29/'4. Customer Growth'!$C25,+IF($AH$19='2. Customer Classes'!$B$15,+AM29/'4. Customer Growth'!$E25,+IF($AH$19='2. Customer Classes'!$B$16,+AM29/'4. Customer Growth'!$G25,+IF($AH$19='2. Customer Classes'!$B$17,+AM29/'4. Customer Growth'!$I25,+IF($AH$19='2. Customer Classes'!$B$18,+AM29/'4. Customer Growth'!$K25,+IF($AH$19='2. Customer Classes'!$B$19,+AM29/'4. Customer Growth'!$M25,IF($AH$19='2. Customer Classes'!$B$20,+AM29/'4. Customer Growth'!$O25)))))))</f>
        <v>#DIV/0!</v>
      </c>
    </row>
    <row r="30" spans="2:40" x14ac:dyDescent="0.2">
      <c r="B30" s="178">
        <f>'4. Customer Growth'!B26</f>
        <v>2015</v>
      </c>
      <c r="C30" s="70">
        <f>IF($B$19='2. Customer Classes'!$B$14,+SUM('3. Consumption by Rate Class'!$D$133:$D$144),+IF($B$19='2. Customer Classes'!$B$15,+SUM('3. Consumption by Rate Class'!$F$133:$F$144),+IF($B$19='2. Customer Classes'!$B$16,+SUM('3. Consumption by Rate Class'!$H$133:$H$144),+IF($B$19='2. Customer Classes'!$B$17,+SUM('3. Consumption by Rate Class'!$J$133:$J$144),+IF($B$19='2. Customer Classes'!$B$18,+SUM('3. Consumption by Rate Class'!$L$133:$L$144),+IF($B$19='2. Customer Classes'!$B$19,+SUM('3. Consumption by Rate Class'!$O$133:$O$144),IF($B$19='2. Customer Classes'!$B$20,+SUM('3. Consumption by Rate Class'!$R$133:$R$144),0)))))))</f>
        <v>29589162</v>
      </c>
      <c r="D30" s="72">
        <f>SUM('6. WS Regression Analysis'!J128:J139)</f>
        <v>90503010</v>
      </c>
      <c r="E30" s="72">
        <f>SUM('6. WS Regression Analysis'!R128:R139)</f>
        <v>90106871.447792977</v>
      </c>
      <c r="F30" s="73">
        <f>C30/D30</f>
        <v>0.3269411923426635</v>
      </c>
      <c r="G30" s="72">
        <f>E30*F30</f>
        <v>29459647.989408538</v>
      </c>
      <c r="H30" s="70">
        <f>IF($B$19='2. Customer Classes'!$B$14,+G30/'4. Customer Growth'!$C26,+IF($B$19='2. Customer Classes'!$B$15,+G30/'4. Customer Growth'!$E26,+IF($B$19='2. Customer Classes'!$B$16,+G30/'4. Customer Growth'!$G26,+IF($B$19='2. Customer Classes'!$B$17,+G30/'4. Customer Growth'!$I26,+IF($B$19='2. Customer Classes'!$B$18,+G30/'4. Customer Growth'!$K26,+IF($B$19='2. Customer Classes'!$B$19,+G30/'4. Customer Growth'!$M26,IF($B$19='2. Customer Classes'!$B$20,+G30/'4. Customer Growth'!$O26)))))))</f>
        <v>7795.6200024896898</v>
      </c>
      <c r="I30" s="82"/>
      <c r="J30" s="178">
        <f t="shared" si="12"/>
        <v>2015</v>
      </c>
      <c r="K30" s="70">
        <f>IF($J$19='2. Customer Classes'!$B$14,+SUM('3. Consumption by Rate Class'!$D$133:$D$144),+IF($J$19='2. Customer Classes'!$B$15,+SUM('3. Consumption by Rate Class'!$F$133:$F$144),+IF($J$19='2. Customer Classes'!$B$16,+SUM('3. Consumption by Rate Class'!$H$133:$H$144),+IF($J$19='2. Customer Classes'!$B$17,+SUM('3. Consumption by Rate Class'!$J$133:$J$144),+IF($J$19='2. Customer Classes'!$B$18,+SUM('3. Consumption by Rate Class'!$L$133:$L$144),+IF($J$19='2. Customer Classes'!$B$19,+SUM('3. Consumption by Rate Class'!$O$133:$O$144),IF($J$19='2. Customer Classes'!$B$20,+SUM('3. Consumption by Rate Class'!$R$133:$R$144),0)))))))</f>
        <v>10843312</v>
      </c>
      <c r="L30" s="72">
        <f t="shared" si="13"/>
        <v>90503010</v>
      </c>
      <c r="M30" s="72">
        <f t="shared" si="0"/>
        <v>90106871.447792977</v>
      </c>
      <c r="N30" s="73">
        <f>K30/L30</f>
        <v>0.1198116173152694</v>
      </c>
      <c r="O30" s="72">
        <f t="shared" si="14"/>
        <v>10795849.999379147</v>
      </c>
      <c r="P30" s="70">
        <f>IF($J$19='2. Customer Classes'!$B$14,+O30/'4. Customer Growth'!$C26,+IF($J$19='2. Customer Classes'!$B$15,+O30/'4. Customer Growth'!$E26,+IF($J$19='2. Customer Classes'!$B$16,+O30/'4. Customer Growth'!$G26,+IF($J$19='2. Customer Classes'!$B$17,+O30/'4. Customer Growth'!$I26,+IF($J$19='2. Customer Classes'!$B$18,+O30/'4. Customer Growth'!$K26,+IF($J$19='2. Customer Classes'!$B$19,+O30/'4. Customer Growth'!$M26,IF($J$19='2. Customer Classes'!$B$20,+O30/'4. Customer Growth'!$O26)))))))</f>
        <v>25106.6279055329</v>
      </c>
      <c r="Q30" s="82"/>
      <c r="R30" s="178">
        <f t="shared" si="15"/>
        <v>2015</v>
      </c>
      <c r="S30" s="70">
        <f>IF($R$19='2. Customer Classes'!$B$14,+SUM('3. Consumption by Rate Class'!$D$133:$D$144),+IF($R$19='2. Customer Classes'!$B$15,+SUM('3. Consumption by Rate Class'!$F$133:$F$144),+IF($R$19='2. Customer Classes'!$B$16,+SUM('3. Consumption by Rate Class'!$H$133:$H$144),+IF($R$19='2. Customer Classes'!$B$17,+SUM('3. Consumption by Rate Class'!$J$133:$J$144),+IF($R$19='2. Customer Classes'!$B$18,+SUM('3. Consumption by Rate Class'!$L$133:$L$144),+IF($R$19='2. Customer Classes'!$B$19,+SUM('3. Consumption by Rate Class'!$O$133:$O$144),IF($R$19='2. Customer Classes'!$B$20,+SUM('3. Consumption by Rate Class'!$R$133:$R$144),0)))))))</f>
        <v>45095566</v>
      </c>
      <c r="T30" s="72">
        <f t="shared" si="2"/>
        <v>90503010</v>
      </c>
      <c r="U30" s="72">
        <f t="shared" si="3"/>
        <v>90106871.447792977</v>
      </c>
      <c r="V30" s="73">
        <f>S30/T30</f>
        <v>0.49827697443433094</v>
      </c>
      <c r="W30" s="72">
        <f t="shared" si="17"/>
        <v>44898179.280749485</v>
      </c>
      <c r="X30" s="70">
        <f>IF($R$19='2. Customer Classes'!$B$14,+W30/'4. Customer Growth'!$C26,+IF($R$19='2. Customer Classes'!$B$15,+W30/'4. Customer Growth'!$E26,+IF($R$19='2. Customer Classes'!$B$16,+W30/'4. Customer Growth'!$G26,+IF($R$19='2. Customer Classes'!$B$17,+W30/'4. Customer Growth'!$I26,+IF($R$19='2. Customer Classes'!$B$18,+W30/'4. Customer Growth'!$K26,+IF($R$19='2. Customer Classes'!$B$19,+W30/'4. Customer Growth'!$M26,IF($R$19='2. Customer Classes'!$B$20,+W30/'4. Customer Growth'!$O26)))))))</f>
        <v>736035.72591392603</v>
      </c>
      <c r="Z30" s="178">
        <f t="shared" si="18"/>
        <v>2015</v>
      </c>
      <c r="AA30" s="70">
        <f>IF($Z$19='2. Customer Classes'!$B$14,+SUM('3. Consumption by Rate Class'!$D$133:$D$144),+IF($Z$19='2. Customer Classes'!$B$15,+SUM('3. Consumption by Rate Class'!$F$133:$F$144),+IF($Z$19='2. Customer Classes'!$B$16,+SUM('3. Consumption by Rate Class'!$H$133:$H$144),+IF($Z$19='2. Customer Classes'!$B$17,+SUM('3. Consumption by Rate Class'!$J$133:$J$144),+IF($Z$19='2. Customer Classes'!$B$18,+SUM('3. Consumption by Rate Class'!$L$133:$L$144),+IF($Z$19='2. Customer Classes'!$B$19,+SUM('3. Consumption by Rate Class'!$O$133:$O$144),IF($Z$19='2. Customer Classes'!$B$20,+SUM('3. Consumption by Rate Class'!$R$133:$R$144),0)))))))</f>
        <v>0</v>
      </c>
      <c r="AB30" s="225">
        <f t="shared" si="4"/>
        <v>90503010</v>
      </c>
      <c r="AC30" s="225">
        <f t="shared" si="5"/>
        <v>90106871.447792977</v>
      </c>
      <c r="AD30" s="73">
        <f t="shared" si="6"/>
        <v>0</v>
      </c>
      <c r="AE30" s="225">
        <f t="shared" si="19"/>
        <v>0</v>
      </c>
      <c r="AF30" s="70" t="e">
        <f>IF($Z$19='2. Customer Classes'!$B$14,+AE30/'4. Customer Growth'!$C26,+IF($Z$19='2. Customer Classes'!$B$15,+AE30/'4. Customer Growth'!$E26,+IF($Z$19='2. Customer Classes'!$B$16,+AE30/'4. Customer Growth'!$G26,+IF($Z$19='2. Customer Classes'!$B$17,+AE30/'4. Customer Growth'!$I26,+IF($Z$19='2. Customer Classes'!$B$18,+AE30/'4. Customer Growth'!$K26,+IF($Z$19='2. Customer Classes'!$B$19,+AE30/'4. Customer Growth'!$M26,IF($Z$19='2. Customer Classes'!$B$20,+AE30/'4. Customer Growth'!$O26)))))))</f>
        <v>#DIV/0!</v>
      </c>
      <c r="AH30" s="178">
        <f t="shared" si="20"/>
        <v>2015</v>
      </c>
      <c r="AI30" s="70">
        <f>IF($AH$19='2. Customer Classes'!$B$14,+SUM('3. Consumption by Rate Class'!$D$133:$D$144),+IF($AH$19='2. Customer Classes'!$B$15,+SUM('3. Consumption by Rate Class'!$F$133:$F$144),+IF($AH$19='2. Customer Classes'!$B$16,+SUM('3. Consumption by Rate Class'!$H$133:$H$144),+IF($AH$19='2. Customer Classes'!$B$17,+SUM('3. Consumption by Rate Class'!$J$133:$J$144),+IF($AH$19='2. Customer Classes'!$B$18,+SUM('3. Consumption by Rate Class'!$L$133:$L$144),+IF($AH$19='2. Customer Classes'!$B$19,+SUM('3. Consumption by Rate Class'!$O$133:$O$144),IF($AH$19='2. Customer Classes'!$B$20,+SUM('3. Consumption by Rate Class'!$R$133:$R$144),0)))))))</f>
        <v>0</v>
      </c>
      <c r="AJ30" s="225">
        <f t="shared" si="7"/>
        <v>90503010</v>
      </c>
      <c r="AK30" s="225">
        <f t="shared" si="8"/>
        <v>90106871.447792977</v>
      </c>
      <c r="AL30" s="73">
        <f t="shared" si="9"/>
        <v>0</v>
      </c>
      <c r="AM30" s="225">
        <f t="shared" si="21"/>
        <v>0</v>
      </c>
      <c r="AN30" s="70" t="e">
        <f>IF($AH$19='2. Customer Classes'!$B$14,+AM30/'4. Customer Growth'!$C26,+IF($AH$19='2. Customer Classes'!$B$15,+AM30/'4. Customer Growth'!$E26,+IF($AH$19='2. Customer Classes'!$B$16,+AM30/'4. Customer Growth'!$G26,+IF($AH$19='2. Customer Classes'!$B$17,+AM30/'4. Customer Growth'!$I26,+IF($AH$19='2. Customer Classes'!$B$18,+AM30/'4. Customer Growth'!$K26,+IF($AH$19='2. Customer Classes'!$B$19,+AM30/'4. Customer Growth'!$M26,IF($AH$19='2. Customer Classes'!$B$20,+AM30/'4. Customer Growth'!$O26)))))))</f>
        <v>#DIV/0!</v>
      </c>
    </row>
    <row r="31" spans="2:40" ht="14.25" customHeight="1" x14ac:dyDescent="0.2">
      <c r="B31" s="179" t="str">
        <f>'4. Customer Growth'!B30</f>
        <v>2016</v>
      </c>
      <c r="C31" s="75"/>
      <c r="D31" s="75"/>
      <c r="E31" s="163">
        <f>SUM('6. WS Regression Analysis'!R140:R151)</f>
        <v>89171155.158611655</v>
      </c>
      <c r="F31" s="76">
        <f>AVERAGE(F21:F30)</f>
        <v>0.33187570976378711</v>
      </c>
      <c r="G31" s="163">
        <f>E31*F31</f>
        <v>29593740.40872103</v>
      </c>
      <c r="H31" s="70">
        <f>IF($B$19='2. Customer Classes'!$B$14,+G31/'4. Customer Growth'!$C26,+IF($B$19='2. Customer Classes'!$B$15,+G31/'4. Customer Growth'!$E26,+IF($B$19='2. Customer Classes'!$B$16,+G31/'4. Customer Growth'!$G26,+IF($B$19='2. Customer Classes'!$B$17,+G31/'4. Customer Growth'!$I26,+IF($B$19='2. Customer Classes'!$B$18,+G31/'4. Customer Growth'!$K26,+IF($B$19='2. Customer Classes'!$B$19,+G31/'4. Customer Growth'!$M26,IF($B$19='2. Customer Classes'!$B$20,+G31/'4. Customer Growth'!$O26)))))))</f>
        <v>7831.103574681405</v>
      </c>
      <c r="I31" s="82"/>
      <c r="J31" s="179" t="str">
        <f t="shared" si="12"/>
        <v>2016</v>
      </c>
      <c r="K31" s="75"/>
      <c r="L31" s="75"/>
      <c r="M31" s="163">
        <f>E31</f>
        <v>89171155.158611655</v>
      </c>
      <c r="N31" s="76">
        <f>AVERAGE(N21:N30)</f>
        <v>0.13478853475025485</v>
      </c>
      <c r="O31" s="163">
        <f>M31*N31</f>
        <v>12019249.345816894</v>
      </c>
      <c r="P31" s="70">
        <f>IF($J$19='2. Customer Classes'!$B$14,+O31/'4. Customer Growth'!$C26,+IF($J$19='2. Customer Classes'!$B$15,+O31/'4. Customer Growth'!$E26,+IF($J$19='2. Customer Classes'!$B$16,+O31/'4. Customer Growth'!$G26,+IF($J$19='2. Customer Classes'!$B$17,+O31/'4. Customer Growth'!$I26,+IF($J$19='2. Customer Classes'!$B$18,+O31/'4. Customer Growth'!$K26,+IF($J$19='2. Customer Classes'!$B$19,+O31/'4. Customer Growth'!$M26,IF($J$19='2. Customer Classes'!$B$20,+O31/'4. Customer Growth'!$O26)))))))</f>
        <v>27951.74266469045</v>
      </c>
      <c r="Q31" s="82"/>
      <c r="R31" s="179" t="str">
        <f t="shared" si="15"/>
        <v>2016</v>
      </c>
      <c r="S31" s="75"/>
      <c r="T31" s="75"/>
      <c r="U31" s="131">
        <f>M31</f>
        <v>89171155.158611655</v>
      </c>
      <c r="V31" s="76">
        <f>AVERAGE(V21:V30)</f>
        <v>0.53145660691026142</v>
      </c>
      <c r="W31" s="976">
        <f>U31*V31</f>
        <v>47390599.554864205</v>
      </c>
      <c r="X31" s="70">
        <f>IF($R$19='2. Customer Classes'!$B$14,+W31/'4. Customer Growth'!$C26,+IF($R$19='2. Customer Classes'!$B$15,+W31/'4. Customer Growth'!$E26,+IF($R$19='2. Customer Classes'!$B$16,+W31/'4. Customer Growth'!$G26,+IF($R$19='2. Customer Classes'!$B$17,+W31/'4. Customer Growth'!$I26,+IF($R$19='2. Customer Classes'!$B$18,+W31/'4. Customer Growth'!$K26,+IF($R$19='2. Customer Classes'!$B$19,+W31/'4. Customer Growth'!$M26,IF($R$19='2. Customer Classes'!$B$20,+W31/'4. Customer Growth'!$O26)))))))</f>
        <v>776895.07466990501</v>
      </c>
      <c r="Z31" s="179" t="str">
        <f t="shared" si="18"/>
        <v>2016</v>
      </c>
      <c r="AA31" s="75"/>
      <c r="AB31" s="75"/>
      <c r="AC31" s="280">
        <f>U31</f>
        <v>89171155.158611655</v>
      </c>
      <c r="AD31" s="76">
        <f>AD30</f>
        <v>0</v>
      </c>
      <c r="AE31" s="280">
        <f>AC31*AD31</f>
        <v>0</v>
      </c>
      <c r="AF31" s="70" t="e">
        <f>IF($Z$19='2. Customer Classes'!$B$14,+AE31/'4. Customer Growth'!$C26,+IF($Z$19='2. Customer Classes'!$B$15,+AE31/'4. Customer Growth'!$E26,+IF($Z$19='2. Customer Classes'!$B$16,+AE31/'4. Customer Growth'!$G26,+IF($Z$19='2. Customer Classes'!$B$17,+AE31/'4. Customer Growth'!$I26,+IF($Z$19='2. Customer Classes'!$B$18,+AE31/'4. Customer Growth'!$K26,+IF($Z$19='2. Customer Classes'!$B$19,+AE31/'4. Customer Growth'!$M26,IF($Z$19='2. Customer Classes'!$B$20,+AE31/'4. Customer Growth'!$O26)))))))</f>
        <v>#DIV/0!</v>
      </c>
      <c r="AH31" s="179" t="str">
        <f t="shared" si="20"/>
        <v>2016</v>
      </c>
      <c r="AI31" s="75"/>
      <c r="AJ31" s="75"/>
      <c r="AK31" s="280">
        <f>AC31</f>
        <v>89171155.158611655</v>
      </c>
      <c r="AL31" s="76">
        <f>AL30</f>
        <v>0</v>
      </c>
      <c r="AM31" s="280">
        <f>AK31*AL31</f>
        <v>0</v>
      </c>
      <c r="AN31" s="70" t="e">
        <f>IF($AH$19='2. Customer Classes'!$B$14,+AM31/'4. Customer Growth'!$C26,+IF($AH$19='2. Customer Classes'!$B$15,+AM31/'4. Customer Growth'!$E26,+IF($AH$19='2. Customer Classes'!$B$16,+AM31/'4. Customer Growth'!$G26,+IF($AH$19='2. Customer Classes'!$B$17,+AM31/'4. Customer Growth'!$I26,+IF($AH$19='2. Customer Classes'!$B$18,+AM31/'4. Customer Growth'!$K26,+IF($AH$19='2. Customer Classes'!$B$19,+AM31/'4. Customer Growth'!$M26,IF($AH$19='2. Customer Classes'!$B$20,+AM31/'4. Customer Growth'!$O26)))))))</f>
        <v>#DIV/0!</v>
      </c>
    </row>
    <row r="32" spans="2:40" ht="14.25" customHeight="1" thickBot="1" x14ac:dyDescent="0.25">
      <c r="B32" s="180" t="str">
        <f>'4. Customer Growth'!B31</f>
        <v>2017</v>
      </c>
      <c r="C32" s="77"/>
      <c r="D32" s="77"/>
      <c r="E32" s="164">
        <f>SUM('6. WS Regression Analysis'!R152:R163)</f>
        <v>88459446.445960715</v>
      </c>
      <c r="F32" s="78">
        <f>F31</f>
        <v>0.33187570976378711</v>
      </c>
      <c r="G32" s="164">
        <f t="shared" si="11"/>
        <v>29357541.574564926</v>
      </c>
      <c r="H32" s="70">
        <f>IF($B$19='2. Customer Classes'!$B$14,+G32/'4. Customer Growth'!$C26,+IF($B$19='2. Customer Classes'!$B$15,+G32/'4. Customer Growth'!$E26,+IF($B$19='2. Customer Classes'!$B$16,+G32/'4. Customer Growth'!$G26,+IF($B$19='2. Customer Classes'!$B$17,+G32/'4. Customer Growth'!$I26,+IF($B$19='2. Customer Classes'!$B$18,+G32/'4. Customer Growth'!$K26,+IF($B$19='2. Customer Classes'!$B$19,+G32/'4. Customer Growth'!$M26,IF($B$19='2. Customer Classes'!$B$20,+G32/'4. Customer Growth'!$O26)))))))</f>
        <v>7768.6005754339576</v>
      </c>
      <c r="I32" s="82"/>
      <c r="J32" s="180" t="str">
        <f t="shared" si="12"/>
        <v>2017</v>
      </c>
      <c r="K32" s="77"/>
      <c r="L32" s="77"/>
      <c r="M32" s="164">
        <f>E32</f>
        <v>88459446.445960715</v>
      </c>
      <c r="N32" s="78">
        <f>N31</f>
        <v>0.13478853475025485</v>
      </c>
      <c r="O32" s="164">
        <f>M32*N32</f>
        <v>11923319.171269683</v>
      </c>
      <c r="P32" s="70">
        <f>IF($J$19='2. Customer Classes'!$B$14,+O32/'4. Customer Growth'!$C26,+IF($J$19='2. Customer Classes'!$B$15,+O32/'4. Customer Growth'!$E26,+IF($J$19='2. Customer Classes'!$B$16,+O32/'4. Customer Growth'!$G26,+IF($J$19='2. Customer Classes'!$B$17,+O32/'4. Customer Growth'!$I26,+IF($J$19='2. Customer Classes'!$B$18,+O32/'4. Customer Growth'!$K26,+IF($J$19='2. Customer Classes'!$B$19,+O32/'4. Customer Growth'!$M26,IF($J$19='2. Customer Classes'!$B$20,+O32/'4. Customer Growth'!$O26)))))))</f>
        <v>27728.649235510889</v>
      </c>
      <c r="Q32" s="82"/>
      <c r="R32" s="179" t="str">
        <f t="shared" si="15"/>
        <v>2017</v>
      </c>
      <c r="S32" s="77"/>
      <c r="T32" s="77"/>
      <c r="U32" s="132">
        <f>M32</f>
        <v>88459446.445960715</v>
      </c>
      <c r="V32" s="78">
        <f>V31</f>
        <v>0.53145660691026142</v>
      </c>
      <c r="W32" s="977">
        <f>U32*V32</f>
        <v>47012357.257330269</v>
      </c>
      <c r="X32" s="70">
        <f>IF($R$19='2. Customer Classes'!$B$14,+W32/'4. Customer Growth'!$C26,+IF($R$19='2. Customer Classes'!$B$15,+W32/'4. Customer Growth'!$E26,+IF($R$19='2. Customer Classes'!$B$16,+W32/'4. Customer Growth'!$G26,+IF($R$19='2. Customer Classes'!$B$17,+W32/'4. Customer Growth'!$I26,+IF($R$19='2. Customer Classes'!$B$18,+W32/'4. Customer Growth'!$K26,+IF($R$19='2. Customer Classes'!$B$19,+W32/'4. Customer Growth'!$M26,IF($R$19='2. Customer Classes'!$B$20,+W32/'4. Customer Growth'!$O26)))))))</f>
        <v>770694.38126770931</v>
      </c>
      <c r="Z32" s="179" t="str">
        <f t="shared" si="18"/>
        <v>2017</v>
      </c>
      <c r="AA32" s="77"/>
      <c r="AB32" s="77"/>
      <c r="AC32" s="279">
        <f>U32</f>
        <v>88459446.445960715</v>
      </c>
      <c r="AD32" s="78">
        <f>AD31</f>
        <v>0</v>
      </c>
      <c r="AE32" s="279">
        <f>AC32*AD32</f>
        <v>0</v>
      </c>
      <c r="AF32" s="70" t="e">
        <f>IF($Z$19='2. Customer Classes'!$B$14,+AE32/'4. Customer Growth'!$C26,+IF($Z$19='2. Customer Classes'!$B$15,+AE32/'4. Customer Growth'!$E26,+IF($Z$19='2. Customer Classes'!$B$16,+AE32/'4. Customer Growth'!$G26,+IF($Z$19='2. Customer Classes'!$B$17,+AE32/'4. Customer Growth'!$I26,+IF($Z$19='2. Customer Classes'!$B$18,+AE32/'4. Customer Growth'!$K26,+IF($Z$19='2. Customer Classes'!$B$19,+AE32/'4. Customer Growth'!$M26,IF($Z$19='2. Customer Classes'!$B$20,+AE32/'4. Customer Growth'!$O26)))))))</f>
        <v>#DIV/0!</v>
      </c>
      <c r="AH32" s="179" t="str">
        <f t="shared" si="20"/>
        <v>2017</v>
      </c>
      <c r="AI32" s="77"/>
      <c r="AJ32" s="77"/>
      <c r="AK32" s="279">
        <f>AC32</f>
        <v>88459446.445960715</v>
      </c>
      <c r="AL32" s="78">
        <f>AL31</f>
        <v>0</v>
      </c>
      <c r="AM32" s="279">
        <f>AK32*AL32</f>
        <v>0</v>
      </c>
      <c r="AN32" s="70" t="e">
        <f>IF($AH$19='2. Customer Classes'!$B$14,+AM32/'4. Customer Growth'!$C26,+IF($AH$19='2. Customer Classes'!$B$15,+AM32/'4. Customer Growth'!$E26,+IF($AH$19='2. Customer Classes'!$B$16,+AM32/'4. Customer Growth'!$G26,+IF($AH$19='2. Customer Classes'!$B$17,+AM32/'4. Customer Growth'!$I26,+IF($AH$19='2. Customer Classes'!$B$18,+AM32/'4. Customer Growth'!$K26,+IF($AH$19='2. Customer Classes'!$B$19,+AM32/'4. Customer Growth'!$M26,IF($AH$19='2. Customer Classes'!$B$20,+AM32/'4. Customer Growth'!$O26)))))))</f>
        <v>#DIV/0!</v>
      </c>
    </row>
    <row r="33" spans="2:40" ht="13.5" customHeight="1" x14ac:dyDescent="0.2">
      <c r="B33" s="1066" t="s">
        <v>155</v>
      </c>
      <c r="C33" s="1066"/>
      <c r="D33" s="1066"/>
      <c r="E33" s="1066"/>
      <c r="F33" s="1066"/>
      <c r="G33" s="1066"/>
      <c r="H33" s="1066"/>
      <c r="I33" s="30"/>
      <c r="J33" s="1066" t="s">
        <v>155</v>
      </c>
      <c r="K33" s="1066"/>
      <c r="L33" s="1066"/>
      <c r="M33" s="1066"/>
      <c r="N33" s="1066"/>
      <c r="O33" s="1066"/>
      <c r="P33" s="1066"/>
      <c r="R33" s="1066" t="s">
        <v>155</v>
      </c>
      <c r="S33" s="1066"/>
      <c r="T33" s="1066"/>
      <c r="U33" s="1066"/>
      <c r="V33" s="1066"/>
      <c r="W33" s="1066"/>
      <c r="X33" s="1066"/>
      <c r="Z33" s="1066" t="s">
        <v>155</v>
      </c>
      <c r="AA33" s="1066"/>
      <c r="AB33" s="1066"/>
      <c r="AC33" s="1066"/>
      <c r="AD33" s="1066"/>
      <c r="AE33" s="1066"/>
      <c r="AF33" s="1066"/>
      <c r="AH33" s="1066" t="s">
        <v>155</v>
      </c>
      <c r="AI33" s="1066"/>
      <c r="AJ33" s="1066"/>
      <c r="AK33" s="1066"/>
      <c r="AL33" s="1066"/>
      <c r="AM33" s="1066"/>
      <c r="AN33" s="1066"/>
    </row>
    <row r="34" spans="2:40" x14ac:dyDescent="0.2">
      <c r="B34" s="148"/>
      <c r="C34" s="148"/>
      <c r="D34" s="148"/>
      <c r="E34" s="149"/>
      <c r="F34" s="150"/>
      <c r="G34" s="151"/>
      <c r="H34" s="153"/>
      <c r="I34" s="30"/>
      <c r="J34" s="152"/>
      <c r="K34" s="152"/>
      <c r="L34" s="152"/>
      <c r="M34" s="152"/>
      <c r="N34" s="152"/>
      <c r="O34" s="151"/>
      <c r="P34" s="152"/>
      <c r="R34" s="152"/>
      <c r="S34" s="152"/>
      <c r="T34" s="152"/>
      <c r="U34" s="152"/>
      <c r="V34" s="152"/>
      <c r="W34" s="151"/>
      <c r="X34" s="152"/>
      <c r="Z34" s="152"/>
      <c r="AA34" s="152"/>
      <c r="AB34" s="152"/>
      <c r="AC34" s="152"/>
      <c r="AD34" s="152"/>
      <c r="AE34" s="151"/>
      <c r="AF34" s="152"/>
      <c r="AH34" s="152"/>
      <c r="AI34" s="152"/>
      <c r="AJ34" s="152"/>
      <c r="AK34" s="152"/>
      <c r="AL34" s="152"/>
      <c r="AM34" s="151"/>
      <c r="AN34" s="152"/>
    </row>
    <row r="35" spans="2:40" x14ac:dyDescent="0.2">
      <c r="B35" s="148"/>
      <c r="C35" s="148"/>
      <c r="D35" s="148"/>
      <c r="E35" s="149"/>
      <c r="F35" s="150"/>
      <c r="G35" s="151"/>
      <c r="H35" s="153"/>
      <c r="I35" s="30"/>
      <c r="J35" s="152"/>
      <c r="K35" s="152"/>
      <c r="L35" s="152"/>
      <c r="M35" s="152"/>
      <c r="N35" s="152"/>
      <c r="O35" s="151"/>
      <c r="P35" s="152"/>
      <c r="R35" s="152"/>
      <c r="S35" s="152"/>
      <c r="T35" s="152"/>
      <c r="U35" s="152"/>
      <c r="V35" s="152"/>
      <c r="W35" s="151"/>
      <c r="X35" s="152"/>
      <c r="Z35" s="152"/>
      <c r="AA35" s="152"/>
      <c r="AB35" s="152"/>
      <c r="AC35" s="152"/>
      <c r="AD35" s="152"/>
      <c r="AE35" s="151"/>
      <c r="AF35" s="152"/>
      <c r="AH35" s="152"/>
      <c r="AI35" s="152"/>
      <c r="AJ35" s="152"/>
      <c r="AK35" s="152"/>
      <c r="AL35" s="152"/>
      <c r="AM35" s="151"/>
      <c r="AN35" s="152"/>
    </row>
    <row r="36" spans="2:40" x14ac:dyDescent="0.2">
      <c r="B36" s="148"/>
      <c r="C36" s="148"/>
      <c r="D36" s="148"/>
      <c r="E36" s="149"/>
      <c r="F36" s="150"/>
      <c r="G36" s="151"/>
      <c r="H36" s="153"/>
      <c r="I36" s="30"/>
      <c r="J36" s="152"/>
      <c r="K36" s="152"/>
      <c r="L36" s="152"/>
      <c r="M36" s="152"/>
      <c r="N36" s="152"/>
      <c r="O36" s="151"/>
      <c r="P36" s="152"/>
      <c r="R36" s="152"/>
      <c r="S36" s="152"/>
      <c r="T36" s="152"/>
      <c r="U36" s="152"/>
      <c r="V36" s="152"/>
      <c r="W36" s="151"/>
      <c r="X36" s="152"/>
      <c r="Z36" s="152"/>
      <c r="AA36" s="152"/>
      <c r="AB36" s="152"/>
      <c r="AC36" s="152"/>
      <c r="AD36" s="152"/>
      <c r="AE36" s="151"/>
      <c r="AF36" s="152"/>
      <c r="AH36" s="152"/>
      <c r="AI36" s="152"/>
      <c r="AJ36" s="152"/>
      <c r="AK36" s="152"/>
      <c r="AL36" s="152"/>
      <c r="AM36" s="151"/>
      <c r="AN36" s="152"/>
    </row>
    <row r="37" spans="2:40" x14ac:dyDescent="0.2">
      <c r="B37" s="148"/>
      <c r="C37" s="148"/>
      <c r="D37" s="148"/>
      <c r="E37" s="149"/>
      <c r="F37" s="150"/>
      <c r="G37" s="151"/>
      <c r="H37" s="153"/>
      <c r="I37" s="30"/>
      <c r="J37" s="152"/>
      <c r="K37" s="152"/>
      <c r="L37" s="152"/>
      <c r="M37" s="152"/>
      <c r="N37" s="152"/>
      <c r="O37" s="151"/>
      <c r="P37" s="152"/>
      <c r="R37" s="152"/>
      <c r="S37" s="152"/>
      <c r="T37" s="152"/>
      <c r="U37" s="152"/>
      <c r="V37" s="152"/>
      <c r="W37" s="151"/>
      <c r="X37" s="152"/>
      <c r="Z37" s="152"/>
      <c r="AA37" s="152"/>
      <c r="AB37" s="152"/>
      <c r="AC37" s="152"/>
      <c r="AD37" s="152"/>
      <c r="AE37" s="151"/>
      <c r="AF37" s="152"/>
      <c r="AH37" s="152"/>
      <c r="AI37" s="152"/>
      <c r="AJ37" s="152"/>
      <c r="AK37" s="152"/>
      <c r="AL37" s="152"/>
      <c r="AM37" s="151"/>
      <c r="AN37" s="152"/>
    </row>
    <row r="38" spans="2:40" ht="15" x14ac:dyDescent="0.2">
      <c r="B38" s="1065" t="s">
        <v>175</v>
      </c>
      <c r="C38" s="1065"/>
      <c r="D38" s="1065"/>
      <c r="E38" s="1065"/>
      <c r="F38" s="1065"/>
      <c r="G38" s="1065"/>
      <c r="H38" s="1065"/>
      <c r="I38" s="82"/>
      <c r="J38" s="1065" t="s">
        <v>175</v>
      </c>
      <c r="K38" s="1065"/>
      <c r="L38" s="1065"/>
      <c r="M38" s="1065"/>
      <c r="N38" s="1065"/>
      <c r="O38" s="1065"/>
      <c r="P38" s="1065"/>
      <c r="Q38" s="82"/>
      <c r="R38" s="1065" t="s">
        <v>175</v>
      </c>
      <c r="S38" s="1065"/>
      <c r="T38" s="1065"/>
      <c r="U38" s="1065"/>
      <c r="V38" s="1065"/>
      <c r="W38" s="1065"/>
      <c r="X38" s="1065"/>
      <c r="Z38" s="1065" t="s">
        <v>175</v>
      </c>
      <c r="AA38" s="1065"/>
      <c r="AB38" s="1065"/>
      <c r="AC38" s="1065"/>
      <c r="AD38" s="1065"/>
      <c r="AE38" s="1065"/>
      <c r="AF38" s="1065"/>
      <c r="AH38" s="1065" t="s">
        <v>175</v>
      </c>
      <c r="AI38" s="1065"/>
      <c r="AJ38" s="1065"/>
      <c r="AK38" s="1065"/>
      <c r="AL38" s="1065"/>
      <c r="AM38" s="1065"/>
      <c r="AN38" s="1065"/>
    </row>
    <row r="39" spans="2:40" ht="13.5" thickBot="1" x14ac:dyDescent="0.25">
      <c r="B39" s="79"/>
      <c r="C39" s="80"/>
      <c r="D39" s="80"/>
      <c r="E39" s="80"/>
      <c r="F39" s="80"/>
      <c r="G39" s="80"/>
      <c r="H39" s="82"/>
      <c r="I39" s="82"/>
      <c r="J39" s="79"/>
      <c r="K39" s="80"/>
      <c r="L39" s="80"/>
      <c r="M39" s="80"/>
      <c r="N39" s="80"/>
      <c r="O39" s="80"/>
      <c r="P39" s="82"/>
      <c r="Q39" s="82"/>
      <c r="R39" s="79"/>
      <c r="S39" s="80"/>
      <c r="T39" s="80"/>
      <c r="U39" s="80"/>
      <c r="V39" s="80"/>
      <c r="W39" s="80"/>
      <c r="X39" s="82"/>
      <c r="Z39" s="79"/>
      <c r="AA39" s="80"/>
      <c r="AB39" s="80"/>
      <c r="AC39" s="80"/>
      <c r="AD39" s="80"/>
      <c r="AE39" s="80"/>
      <c r="AF39" s="82"/>
      <c r="AH39" s="79"/>
      <c r="AI39" s="80"/>
      <c r="AJ39" s="80"/>
      <c r="AK39" s="80"/>
      <c r="AL39" s="80"/>
      <c r="AM39" s="80"/>
      <c r="AN39" s="82"/>
    </row>
    <row r="40" spans="2:40" ht="14.25" customHeight="1" thickBot="1" x14ac:dyDescent="0.25">
      <c r="B40" s="1062" t="str">
        <f>B19</f>
        <v>Residential</v>
      </c>
      <c r="C40" s="1063"/>
      <c r="D40" s="1063"/>
      <c r="E40" s="1063"/>
      <c r="F40" s="1063"/>
      <c r="G40" s="1063"/>
      <c r="H40" s="1064"/>
      <c r="I40" s="145"/>
      <c r="J40" s="1062" t="str">
        <f>J19</f>
        <v>General Service &lt; 50 kW</v>
      </c>
      <c r="K40" s="1063"/>
      <c r="L40" s="1063"/>
      <c r="M40" s="1063"/>
      <c r="N40" s="1063"/>
      <c r="O40" s="1063"/>
      <c r="P40" s="1064"/>
      <c r="Q40" s="145"/>
      <c r="R40" s="1062" t="str">
        <f>R19</f>
        <v>General Service &gt; 50 kW - 4999 kW</v>
      </c>
      <c r="S40" s="1063"/>
      <c r="T40" s="1063"/>
      <c r="U40" s="1063"/>
      <c r="V40" s="1063"/>
      <c r="W40" s="1063"/>
      <c r="X40" s="1064"/>
      <c r="Z40" s="1062">
        <f>Z19</f>
        <v>0</v>
      </c>
      <c r="AA40" s="1063"/>
      <c r="AB40" s="1063"/>
      <c r="AC40" s="1063"/>
      <c r="AD40" s="1063"/>
      <c r="AE40" s="1063"/>
      <c r="AF40" s="1064"/>
      <c r="AH40" s="1062">
        <f>AH19</f>
        <v>0</v>
      </c>
      <c r="AI40" s="1063"/>
      <c r="AJ40" s="1063"/>
      <c r="AK40" s="1063"/>
      <c r="AL40" s="1063"/>
      <c r="AM40" s="1063"/>
      <c r="AN40" s="1064"/>
    </row>
    <row r="41" spans="2:40" ht="42" customHeight="1" x14ac:dyDescent="0.2">
      <c r="B41" s="69" t="s">
        <v>33</v>
      </c>
      <c r="C41" s="282" t="s">
        <v>40</v>
      </c>
      <c r="D41" s="1055" t="s">
        <v>159</v>
      </c>
      <c r="E41" s="1055"/>
      <c r="F41" s="1057" t="s">
        <v>39</v>
      </c>
      <c r="G41" s="1058"/>
      <c r="H41" s="81" t="s">
        <v>16</v>
      </c>
      <c r="I41" s="146"/>
      <c r="J41" s="69" t="s">
        <v>33</v>
      </c>
      <c r="K41" s="282" t="s">
        <v>40</v>
      </c>
      <c r="L41" s="1055" t="s">
        <v>159</v>
      </c>
      <c r="M41" s="1055"/>
      <c r="N41" s="1051" t="s">
        <v>39</v>
      </c>
      <c r="O41" s="1052"/>
      <c r="P41" s="81" t="s">
        <v>16</v>
      </c>
      <c r="Q41" s="146"/>
      <c r="R41" s="69" t="s">
        <v>33</v>
      </c>
      <c r="S41" s="282" t="s">
        <v>40</v>
      </c>
      <c r="T41" s="1055" t="s">
        <v>159</v>
      </c>
      <c r="U41" s="1055"/>
      <c r="V41" s="1051" t="s">
        <v>39</v>
      </c>
      <c r="W41" s="1052"/>
      <c r="X41" s="81" t="s">
        <v>16</v>
      </c>
      <c r="Z41" s="69" t="s">
        <v>33</v>
      </c>
      <c r="AA41" s="282" t="s">
        <v>40</v>
      </c>
      <c r="AB41" s="1055" t="s">
        <v>159</v>
      </c>
      <c r="AC41" s="1055"/>
      <c r="AD41" s="1051" t="s">
        <v>39</v>
      </c>
      <c r="AE41" s="1052"/>
      <c r="AF41" s="81" t="s">
        <v>16</v>
      </c>
      <c r="AH41" s="356" t="s">
        <v>33</v>
      </c>
      <c r="AI41" s="357" t="s">
        <v>40</v>
      </c>
      <c r="AJ41" s="1067" t="s">
        <v>159</v>
      </c>
      <c r="AK41" s="1067"/>
      <c r="AL41" s="1068" t="s">
        <v>39</v>
      </c>
      <c r="AM41" s="1069"/>
      <c r="AN41" s="336" t="s">
        <v>16</v>
      </c>
    </row>
    <row r="42" spans="2:40" x14ac:dyDescent="0.2">
      <c r="B42" s="181" t="str">
        <f>B31</f>
        <v>2016</v>
      </c>
      <c r="C42" s="70">
        <v>0</v>
      </c>
      <c r="D42" s="1056">
        <f>IF(F30&gt;0,+H31,0)</f>
        <v>7831.103574681405</v>
      </c>
      <c r="E42" s="1056"/>
      <c r="F42" s="1053">
        <f>IF(+$G$16="yes",+C42*D42,0)</f>
        <v>0</v>
      </c>
      <c r="G42" s="1054"/>
      <c r="H42" s="83">
        <f>G31+F42</f>
        <v>29593740.40872103</v>
      </c>
      <c r="I42" s="147"/>
      <c r="J42" s="181" t="str">
        <f>B42</f>
        <v>2016</v>
      </c>
      <c r="K42" s="70">
        <v>0</v>
      </c>
      <c r="L42" s="1056">
        <f>IF(N30&gt;0,+P31,0)</f>
        <v>27951.74266469045</v>
      </c>
      <c r="M42" s="1056"/>
      <c r="N42" s="1053">
        <f>IF(+$G$16="yes",+K42*L42,0)</f>
        <v>0</v>
      </c>
      <c r="O42" s="1054"/>
      <c r="P42" s="83">
        <f>O31+N42</f>
        <v>12019249.345816894</v>
      </c>
      <c r="Q42" s="147"/>
      <c r="R42" s="181" t="str">
        <f>B42</f>
        <v>2016</v>
      </c>
      <c r="S42" s="70">
        <v>0</v>
      </c>
      <c r="T42" s="1056">
        <f>IF(V30&gt;0,+X31,0)</f>
        <v>776895.07466990501</v>
      </c>
      <c r="U42" s="1056"/>
      <c r="V42" s="1053">
        <f>IF(+$G$16="yes",+S42*T42,0)</f>
        <v>0</v>
      </c>
      <c r="W42" s="1054"/>
      <c r="X42" s="83">
        <f>W31+V42</f>
        <v>47390599.554864205</v>
      </c>
      <c r="Z42" s="181" t="str">
        <f>J42</f>
        <v>2016</v>
      </c>
      <c r="AA42" s="70">
        <f>IF($Z$19='2. Customer Classes'!$B$14,+('4. Customer Growth'!$C$42-'4. Customer Growth'!$C$26),+IF($Z$19='2. Customer Classes'!$B$15,+('4. Customer Growth'!$E$42-'4. Customer Growth'!$E$26),+IF($Z$19='2. Customer Classes'!$B$16,+('4. Customer Growth'!$G$42-'4. Customer Growth'!$G$26),+IF($Z$19='2. Customer Classes'!$B$17,+('4. Customer Growth'!$I$42-'4. Customer Growth'!$I$26),+IF($Z$19='2. Customer Classes'!$B$18,+('4. Customer Growth'!$K$42-'4. Customer Growth'!$K$26),+IF($Z$19='2. Customer Classes'!$B$19,+('4. Customer Growth'!$M$42-'4. Customer Growth'!$M$26),IF($Z$19='2. Customer Classes'!$B$20,+('4. Customer Growth'!$O$42-'4. Customer Growth'!$O$26),0)))))))</f>
        <v>0</v>
      </c>
      <c r="AB42" s="1056">
        <f>IF(AD30&gt;0,+AF31,0)</f>
        <v>0</v>
      </c>
      <c r="AC42" s="1056"/>
      <c r="AD42" s="1053">
        <f>IF(+$G$16="yes",+AA42*AB42,0)</f>
        <v>0</v>
      </c>
      <c r="AE42" s="1054"/>
      <c r="AF42" s="83">
        <f>AE31+AD42</f>
        <v>0</v>
      </c>
      <c r="AH42" s="181" t="str">
        <f>R42</f>
        <v>2016</v>
      </c>
      <c r="AI42" s="70">
        <f>IF($AH$19='2. Customer Classes'!$B$14,+('4. Customer Growth'!$C$42-'4. Customer Growth'!$C$26),+IF($AH$19='2. Customer Classes'!$B$15,+('4. Customer Growth'!$E$42-'4. Customer Growth'!$E$26),+IF($AH$19='2. Customer Classes'!$B$16,+('4. Customer Growth'!$G$42-'4. Customer Growth'!$G$26),+IF($AH$19='2. Customer Classes'!$B$17,+('4. Customer Growth'!$I$42-'4. Customer Growth'!$I$26),+IF($AH$19='2. Customer Classes'!$B$18,+('4. Customer Growth'!$K$42-'4. Customer Growth'!$K$26),+IF($AH$19='2. Customer Classes'!$B$19,+('4. Customer Growth'!$M$42-'4. Customer Growth'!$M$26),IF($AH$19='2. Customer Classes'!$B$20,+('4. Customer Growth'!$O$42-'4. Customer Growth'!$O$26),0)))))))</f>
        <v>0</v>
      </c>
      <c r="AJ42" s="1056">
        <f>IF(AL30&gt;0,+AN31,0)</f>
        <v>0</v>
      </c>
      <c r="AK42" s="1056"/>
      <c r="AL42" s="1053">
        <f>IF(+$G$16="yes",+AI42*AJ42,0)</f>
        <v>0</v>
      </c>
      <c r="AM42" s="1054"/>
      <c r="AN42" s="83">
        <f>AM31+AL42</f>
        <v>0</v>
      </c>
    </row>
    <row r="43" spans="2:40" ht="13.5" thickBot="1" x14ac:dyDescent="0.25">
      <c r="B43" s="306" t="str">
        <f>B32</f>
        <v>2017</v>
      </c>
      <c r="C43" s="307">
        <v>0</v>
      </c>
      <c r="D43" s="1048">
        <f>IF(F30&gt;0,+H32,0)</f>
        <v>7768.6005754339576</v>
      </c>
      <c r="E43" s="1048"/>
      <c r="F43" s="1049">
        <f>IF(+$G$16="yes",+C43*D43,0)</f>
        <v>0</v>
      </c>
      <c r="G43" s="1050"/>
      <c r="H43" s="84">
        <f>G32+F43</f>
        <v>29357541.574564926</v>
      </c>
      <c r="I43" s="147"/>
      <c r="J43" s="306" t="str">
        <f>B43</f>
        <v>2017</v>
      </c>
      <c r="K43" s="307">
        <v>0</v>
      </c>
      <c r="L43" s="1048">
        <f>IF(N30&gt;0,+P32,0)</f>
        <v>27728.649235510889</v>
      </c>
      <c r="M43" s="1048"/>
      <c r="N43" s="1049">
        <f>IF(+$G$16="yes",+K43*L43,0)</f>
        <v>0</v>
      </c>
      <c r="O43" s="1050"/>
      <c r="P43" s="84">
        <f>O32+N43</f>
        <v>11923319.171269683</v>
      </c>
      <c r="Q43" s="147"/>
      <c r="R43" s="306" t="str">
        <f>B43</f>
        <v>2017</v>
      </c>
      <c r="S43" s="307">
        <v>0</v>
      </c>
      <c r="T43" s="1048">
        <f>IF(V30&gt;0,+X32,0)</f>
        <v>770694.38126770931</v>
      </c>
      <c r="U43" s="1048"/>
      <c r="V43" s="1049">
        <f>IF(+$G$16="yes",+S43*T43,0)</f>
        <v>0</v>
      </c>
      <c r="W43" s="1050"/>
      <c r="X43" s="84">
        <f>W32+V43</f>
        <v>47012357.257330269</v>
      </c>
      <c r="Z43" s="306" t="str">
        <f>J43</f>
        <v>2017</v>
      </c>
      <c r="AA43" s="307">
        <f>IF($Z$19='2. Customer Classes'!$B$14,+('4. Customer Growth'!$C$43-'4. Customer Growth'!$C$26),+IF($Z$19='2. Customer Classes'!$B$15,+('4. Customer Growth'!$E$43-'4. Customer Growth'!$E$26),+IF($Z$19='2. Customer Classes'!$B$16,+('4. Customer Growth'!$G$43-'4. Customer Growth'!$G$26),+IF($Z$19='2. Customer Classes'!$B$17,+('4. Customer Growth'!$I$43-'4. Customer Growth'!$I$26),+IF($Z$19='2. Customer Classes'!$B$18,+('4. Customer Growth'!$K$43-'4. Customer Growth'!$K$26),+IF($Z$19='2. Customer Classes'!$B$19,+('4. Customer Growth'!$M$43-'4. Customer Growth'!$M$26),IF($Z$19='2. Customer Classes'!$B$20,+('4. Customer Growth'!$O$43-'4. Customer Growth'!$O$26),0)))))))</f>
        <v>0</v>
      </c>
      <c r="AB43" s="1048">
        <f>IF(AD30&gt;0,+AF32,0)</f>
        <v>0</v>
      </c>
      <c r="AC43" s="1048"/>
      <c r="AD43" s="1049">
        <f>IF(+$G$16="yes",+AA43*AB43,0)</f>
        <v>0</v>
      </c>
      <c r="AE43" s="1050"/>
      <c r="AF43" s="84">
        <f>AE32+AD43</f>
        <v>0</v>
      </c>
      <c r="AG43" s="308"/>
      <c r="AH43" s="306" t="str">
        <f>R43</f>
        <v>2017</v>
      </c>
      <c r="AI43" s="307">
        <f>IF($AH$19='2. Customer Classes'!$B$14,+('4. Customer Growth'!$C$43-'4. Customer Growth'!$C$26),+IF($AH$19='2. Customer Classes'!$B$15,+('4. Customer Growth'!$E$43-'4. Customer Growth'!$E$26),+IF($AH$19='2. Customer Classes'!$B$16,+('4. Customer Growth'!$G$43-'4. Customer Growth'!$G$26),+IF($AH$19='2. Customer Classes'!$B$17,+('4. Customer Growth'!$I$43-'4. Customer Growth'!$I$26),+IF($AH$19='2. Customer Classes'!$B$18,+('4. Customer Growth'!$K$43-'4. Customer Growth'!$K$26),+IF($AH$19='2. Customer Classes'!$B$19,+('4. Customer Growth'!$M$43-'4. Customer Growth'!$M$26),IF($AH$19='2. Customer Classes'!$B$20,+('4. Customer Growth'!$O$43-'4. Customer Growth'!$O$26),0)))))))</f>
        <v>0</v>
      </c>
      <c r="AJ43" s="1048">
        <f>IF(AL30&gt;0,+AN32,0)</f>
        <v>0</v>
      </c>
      <c r="AK43" s="1048"/>
      <c r="AL43" s="1049">
        <f>IF(+$G$16="yes",+AI43*AJ43,0)</f>
        <v>0</v>
      </c>
      <c r="AM43" s="1050"/>
      <c r="AN43" s="84">
        <f>AM32+AL43</f>
        <v>0</v>
      </c>
    </row>
    <row r="44" spans="2:40" x14ac:dyDescent="0.2">
      <c r="B44" s="1"/>
      <c r="C44" s="1"/>
      <c r="D44" s="1"/>
      <c r="E44" s="1"/>
      <c r="F44" s="1"/>
      <c r="G44" s="1"/>
    </row>
    <row r="46" spans="2:40" x14ac:dyDescent="0.2">
      <c r="X46" s="277"/>
    </row>
    <row r="47" spans="2:40" x14ac:dyDescent="0.2">
      <c r="G47" s="238"/>
    </row>
    <row r="54" spans="2:3" x14ac:dyDescent="0.2">
      <c r="B54" s="1047" t="s">
        <v>176</v>
      </c>
      <c r="C54" s="1047"/>
    </row>
    <row r="55" spans="2:3" x14ac:dyDescent="0.2">
      <c r="B55" s="565" t="s">
        <v>177</v>
      </c>
      <c r="C55" s="566"/>
    </row>
    <row r="56" spans="2:3" x14ac:dyDescent="0.2">
      <c r="B56" s="565" t="s">
        <v>178</v>
      </c>
      <c r="C56" s="566"/>
    </row>
  </sheetData>
  <mergeCells count="51">
    <mergeCell ref="AH19:AN19"/>
    <mergeCell ref="AH33:AN33"/>
    <mergeCell ref="AH38:AN38"/>
    <mergeCell ref="AH40:AN40"/>
    <mergeCell ref="AJ41:AK41"/>
    <mergeCell ref="AL41:AM41"/>
    <mergeCell ref="AB42:AC42"/>
    <mergeCell ref="AD42:AE42"/>
    <mergeCell ref="AJ42:AK42"/>
    <mergeCell ref="AL42:AM42"/>
    <mergeCell ref="AB43:AC43"/>
    <mergeCell ref="AD43:AE43"/>
    <mergeCell ref="AJ43:AK43"/>
    <mergeCell ref="AL43:AM43"/>
    <mergeCell ref="Z19:AF19"/>
    <mergeCell ref="Z33:AF33"/>
    <mergeCell ref="Z38:AF38"/>
    <mergeCell ref="Z40:AF40"/>
    <mergeCell ref="AB41:AC41"/>
    <mergeCell ref="AD41:AE41"/>
    <mergeCell ref="F42:G42"/>
    <mergeCell ref="D41:E41"/>
    <mergeCell ref="D42:E42"/>
    <mergeCell ref="J19:P19"/>
    <mergeCell ref="R19:X19"/>
    <mergeCell ref="B19:H19"/>
    <mergeCell ref="B40:H40"/>
    <mergeCell ref="J40:P40"/>
    <mergeCell ref="R40:X40"/>
    <mergeCell ref="B38:H38"/>
    <mergeCell ref="J38:P38"/>
    <mergeCell ref="R38:X38"/>
    <mergeCell ref="B33:H33"/>
    <mergeCell ref="J33:P33"/>
    <mergeCell ref="R33:X33"/>
    <mergeCell ref="B54:C54"/>
    <mergeCell ref="T43:U43"/>
    <mergeCell ref="V43:W43"/>
    <mergeCell ref="F43:G43"/>
    <mergeCell ref="N41:O41"/>
    <mergeCell ref="N42:O42"/>
    <mergeCell ref="N43:O43"/>
    <mergeCell ref="T41:U41"/>
    <mergeCell ref="V41:W41"/>
    <mergeCell ref="T42:U42"/>
    <mergeCell ref="V42:W42"/>
    <mergeCell ref="D43:E43"/>
    <mergeCell ref="L41:M41"/>
    <mergeCell ref="L42:M42"/>
    <mergeCell ref="L43:M43"/>
    <mergeCell ref="F41:G41"/>
  </mergeCells>
  <pageMargins left="0.7" right="0.7" top="0.75" bottom="0.75" header="0.3" footer="0.3"/>
  <pageSetup scale="44"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B19:H19 J19:P19 R19:X19 Z19:AF19 AH19:AN19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8"/>
  <sheetViews>
    <sheetView showGridLines="0" workbookViewId="0">
      <selection activeCell="AM21" sqref="AM21:AM34"/>
    </sheetView>
  </sheetViews>
  <sheetFormatPr defaultColWidth="11.1640625" defaultRowHeight="12.75" x14ac:dyDescent="0.2"/>
  <cols>
    <col min="1" max="1" width="13.6640625" style="1" customWidth="1"/>
    <col min="2" max="6" width="15.1640625" style="58" customWidth="1"/>
    <col min="7" max="7" width="17" style="58" customWidth="1"/>
    <col min="8" max="8" width="16.6640625" style="58" customWidth="1"/>
    <col min="9" max="9" width="17.83203125" style="58" customWidth="1"/>
    <col min="10" max="10" width="16.1640625" style="58" customWidth="1"/>
    <col min="11" max="12" width="4.33203125" style="58" customWidth="1"/>
    <col min="13" max="15" width="15.1640625" style="145" customWidth="1"/>
    <col min="16" max="16" width="15.1640625" style="58" customWidth="1"/>
    <col min="17" max="21" width="15.1640625" style="1" customWidth="1"/>
    <col min="22" max="22" width="4.33203125" style="1" customWidth="1"/>
    <col min="23" max="29" width="15.1640625" style="1" customWidth="1"/>
    <col min="30" max="30" width="13.83203125" style="64" customWidth="1"/>
    <col min="31" max="31" width="13.83203125" style="1" customWidth="1"/>
    <col min="32" max="32" width="2.33203125" style="1" customWidth="1"/>
    <col min="33" max="40" width="15.1640625" style="1" customWidth="1"/>
    <col min="41" max="41" width="20.33203125" style="1" customWidth="1"/>
    <col min="42" max="42" width="3.33203125" style="1" customWidth="1"/>
    <col min="43" max="51" width="15.1640625" style="1" customWidth="1"/>
    <col min="52" max="16384" width="11.1640625" style="1"/>
  </cols>
  <sheetData>
    <row r="1" spans="1:30" s="534" customFormat="1" x14ac:dyDescent="0.2">
      <c r="A1" s="755" t="s">
        <v>269</v>
      </c>
      <c r="B1" s="58"/>
      <c r="C1" s="58"/>
      <c r="D1" s="58"/>
      <c r="E1" s="58"/>
      <c r="F1" s="58"/>
      <c r="G1" s="58"/>
      <c r="H1" s="58"/>
      <c r="I1" s="58"/>
      <c r="J1" s="58"/>
      <c r="K1" s="58"/>
      <c r="L1" s="58"/>
      <c r="M1" s="145"/>
      <c r="N1" s="145"/>
      <c r="O1" s="145"/>
      <c r="P1" s="58"/>
      <c r="AD1" s="64"/>
    </row>
    <row r="2" spans="1:30" s="534" customFormat="1" x14ac:dyDescent="0.2">
      <c r="B2" s="58"/>
      <c r="C2" s="58"/>
      <c r="D2" s="58"/>
      <c r="E2" s="58"/>
      <c r="F2" s="58"/>
      <c r="G2" s="58"/>
      <c r="H2" s="58"/>
      <c r="I2" s="58"/>
      <c r="J2" s="58"/>
      <c r="K2" s="58"/>
      <c r="L2" s="58"/>
      <c r="M2" s="145"/>
      <c r="N2" s="145"/>
      <c r="O2" s="145"/>
      <c r="P2" s="58"/>
      <c r="AD2" s="64"/>
    </row>
    <row r="3" spans="1:30" s="534" customFormat="1" x14ac:dyDescent="0.2">
      <c r="B3" s="58"/>
      <c r="C3" s="58"/>
      <c r="D3" s="58"/>
      <c r="E3" s="58"/>
      <c r="F3" s="58"/>
      <c r="G3" s="58"/>
      <c r="H3" s="58"/>
      <c r="I3" s="58"/>
      <c r="J3" s="58"/>
      <c r="K3" s="58"/>
      <c r="L3" s="58"/>
      <c r="M3" s="145"/>
      <c r="N3" s="145"/>
      <c r="O3" s="145"/>
      <c r="P3" s="58"/>
      <c r="AD3" s="64"/>
    </row>
    <row r="4" spans="1:30" s="534" customFormat="1" x14ac:dyDescent="0.2">
      <c r="B4" s="58"/>
      <c r="C4" s="58"/>
      <c r="D4" s="58"/>
      <c r="E4" s="58"/>
      <c r="F4" s="58"/>
      <c r="G4" s="58"/>
      <c r="H4" s="58"/>
      <c r="I4" s="58"/>
      <c r="J4" s="58"/>
      <c r="K4" s="58"/>
      <c r="L4" s="58"/>
      <c r="M4" s="145"/>
      <c r="N4" s="145"/>
      <c r="O4" s="145"/>
      <c r="P4" s="58"/>
      <c r="AD4" s="64"/>
    </row>
    <row r="5" spans="1:30" s="534" customFormat="1" x14ac:dyDescent="0.2">
      <c r="B5" s="58"/>
      <c r="C5" s="58"/>
      <c r="D5" s="58"/>
      <c r="E5" s="58"/>
      <c r="F5" s="58"/>
      <c r="G5" s="58"/>
      <c r="H5" s="58"/>
      <c r="I5" s="58"/>
      <c r="J5" s="58"/>
      <c r="K5" s="58"/>
      <c r="L5" s="58"/>
      <c r="M5" s="145"/>
      <c r="N5" s="145"/>
      <c r="O5" s="145"/>
      <c r="P5" s="58"/>
      <c r="AD5" s="64"/>
    </row>
    <row r="6" spans="1:30" s="534" customFormat="1" x14ac:dyDescent="0.2">
      <c r="B6" s="58"/>
      <c r="C6" s="58"/>
      <c r="D6" s="58"/>
      <c r="E6" s="58"/>
      <c r="F6" s="58"/>
      <c r="G6" s="58"/>
      <c r="H6" s="58"/>
      <c r="I6" s="58"/>
      <c r="J6" s="58"/>
      <c r="K6" s="58"/>
      <c r="L6" s="58"/>
      <c r="M6" s="145"/>
      <c r="N6" s="145"/>
      <c r="O6" s="145"/>
      <c r="P6" s="58"/>
      <c r="AD6" s="64"/>
    </row>
    <row r="7" spans="1:30" s="534" customFormat="1" x14ac:dyDescent="0.2">
      <c r="B7" s="58"/>
      <c r="C7" s="58"/>
      <c r="D7" s="58"/>
      <c r="E7" s="58"/>
      <c r="F7" s="58"/>
      <c r="G7" s="58"/>
      <c r="H7" s="58"/>
      <c r="I7" s="58"/>
      <c r="J7" s="58"/>
      <c r="K7" s="58"/>
      <c r="L7" s="58"/>
      <c r="M7" s="145"/>
      <c r="N7" s="145"/>
      <c r="O7" s="145"/>
      <c r="P7" s="58"/>
      <c r="AD7" s="64"/>
    </row>
    <row r="8" spans="1:30" s="534" customFormat="1" x14ac:dyDescent="0.2">
      <c r="B8" s="58"/>
      <c r="C8" s="58"/>
      <c r="D8" s="58"/>
      <c r="E8" s="58"/>
      <c r="F8" s="58"/>
      <c r="G8" s="58"/>
      <c r="H8" s="58"/>
      <c r="I8" s="58"/>
      <c r="J8" s="58"/>
      <c r="K8" s="58"/>
      <c r="L8" s="58"/>
      <c r="M8" s="145"/>
      <c r="N8" s="145"/>
      <c r="O8" s="145"/>
      <c r="P8" s="58"/>
      <c r="AD8" s="64"/>
    </row>
    <row r="9" spans="1:30" s="534" customFormat="1" x14ac:dyDescent="0.2">
      <c r="B9" s="58"/>
      <c r="C9" s="58"/>
      <c r="D9" s="58"/>
      <c r="E9" s="58"/>
      <c r="F9" s="58"/>
      <c r="G9" s="58"/>
      <c r="H9" s="58"/>
      <c r="I9" s="58"/>
      <c r="J9" s="58"/>
      <c r="K9" s="58"/>
      <c r="L9" s="58"/>
      <c r="M9" s="145"/>
      <c r="N9" s="145"/>
      <c r="O9" s="145"/>
      <c r="P9" s="58"/>
      <c r="AD9" s="64"/>
    </row>
    <row r="11" spans="1:30" ht="23.25" x14ac:dyDescent="0.2">
      <c r="B11" s="133" t="s">
        <v>99</v>
      </c>
      <c r="C11" s="133"/>
      <c r="D11" s="133"/>
      <c r="Z11" s="64"/>
      <c r="AD11" s="1"/>
    </row>
    <row r="12" spans="1:30" ht="15" customHeight="1" x14ac:dyDescent="0.2">
      <c r="B12" s="63" t="s">
        <v>64</v>
      </c>
      <c r="C12" s="133"/>
      <c r="D12" s="133"/>
    </row>
    <row r="13" spans="1:30" ht="15" customHeight="1" x14ac:dyDescent="0.2">
      <c r="B13" s="100" t="s">
        <v>256</v>
      </c>
      <c r="C13" s="133"/>
      <c r="D13" s="133"/>
    </row>
    <row r="14" spans="1:30" ht="15" customHeight="1" x14ac:dyDescent="0.2">
      <c r="B14" s="100" t="s">
        <v>257</v>
      </c>
      <c r="C14" s="133"/>
      <c r="D14" s="133"/>
    </row>
    <row r="15" spans="1:30" ht="15" customHeight="1" x14ac:dyDescent="0.2">
      <c r="B15" s="100" t="s">
        <v>258</v>
      </c>
      <c r="C15" s="133"/>
      <c r="D15" s="133"/>
    </row>
    <row r="16" spans="1:30" ht="14.25" x14ac:dyDescent="0.2">
      <c r="B16" s="100" t="s">
        <v>259</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0"/>
      <c r="AD16" s="30"/>
    </row>
    <row r="17" spans="2:51" s="534" customFormat="1" ht="15" thickBot="1" x14ac:dyDescent="0.25">
      <c r="B17" s="100"/>
      <c r="C17" s="535"/>
      <c r="D17" s="535"/>
      <c r="E17" s="535"/>
      <c r="F17" s="535"/>
      <c r="G17" s="535"/>
      <c r="H17" s="535"/>
      <c r="I17" s="535"/>
      <c r="J17" s="535"/>
      <c r="K17" s="535"/>
      <c r="L17" s="535"/>
      <c r="M17" s="535"/>
      <c r="N17" s="535"/>
      <c r="O17" s="535"/>
      <c r="P17" s="535"/>
      <c r="Q17" s="535"/>
      <c r="R17" s="535"/>
      <c r="S17" s="535"/>
      <c r="T17" s="535"/>
      <c r="U17" s="535"/>
      <c r="V17" s="535"/>
      <c r="W17" s="535"/>
      <c r="X17" s="535"/>
      <c r="Y17" s="535"/>
      <c r="Z17" s="535"/>
      <c r="AA17" s="535"/>
      <c r="AB17" s="535"/>
      <c r="AC17" s="30"/>
      <c r="AD17" s="30"/>
    </row>
    <row r="18" spans="2:51" ht="12.75" customHeight="1" thickBot="1" x14ac:dyDescent="0.25">
      <c r="B18" s="1059" t="s">
        <v>265</v>
      </c>
      <c r="C18" s="1060"/>
      <c r="D18" s="1060"/>
      <c r="E18" s="1060"/>
      <c r="F18" s="1060"/>
      <c r="G18" s="1060"/>
      <c r="H18" s="1060"/>
      <c r="I18" s="1060"/>
      <c r="J18" s="1061"/>
      <c r="K18" s="185"/>
      <c r="L18" s="185"/>
      <c r="M18" s="1059" t="s">
        <v>103</v>
      </c>
      <c r="N18" s="1060"/>
      <c r="O18" s="1060"/>
      <c r="P18" s="1060"/>
      <c r="Q18" s="1060"/>
      <c r="R18" s="1060"/>
      <c r="S18" s="1060"/>
      <c r="T18" s="1060"/>
      <c r="U18" s="1061"/>
      <c r="V18" s="185"/>
      <c r="W18" s="1059" t="s">
        <v>86</v>
      </c>
      <c r="X18" s="1060"/>
      <c r="Y18" s="1060"/>
      <c r="Z18" s="1060"/>
      <c r="AA18" s="1060"/>
      <c r="AB18" s="1060"/>
      <c r="AC18" s="1060"/>
      <c r="AD18" s="1060"/>
      <c r="AE18" s="1061"/>
      <c r="AG18" s="1059" t="s">
        <v>104</v>
      </c>
      <c r="AH18" s="1060"/>
      <c r="AI18" s="1060"/>
      <c r="AJ18" s="1060"/>
      <c r="AK18" s="1060"/>
      <c r="AL18" s="1060"/>
      <c r="AM18" s="1060"/>
      <c r="AN18" s="1060"/>
      <c r="AO18" s="1061"/>
      <c r="AQ18" s="1059"/>
      <c r="AR18" s="1060"/>
      <c r="AS18" s="1060"/>
      <c r="AT18" s="1060"/>
      <c r="AU18" s="1060"/>
      <c r="AV18" s="1060"/>
      <c r="AW18" s="1060"/>
      <c r="AX18" s="1060"/>
      <c r="AY18" s="1061"/>
    </row>
    <row r="19" spans="2:51" ht="46.5" customHeight="1" x14ac:dyDescent="0.2">
      <c r="B19" s="402" t="s">
        <v>33</v>
      </c>
      <c r="C19" s="488" t="s">
        <v>36</v>
      </c>
      <c r="D19" s="488" t="s">
        <v>234</v>
      </c>
      <c r="E19" s="400" t="s">
        <v>36</v>
      </c>
      <c r="F19" s="400" t="s">
        <v>37</v>
      </c>
      <c r="G19" s="400" t="s">
        <v>182</v>
      </c>
      <c r="H19" s="400" t="s">
        <v>180</v>
      </c>
      <c r="I19" s="400" t="s">
        <v>181</v>
      </c>
      <c r="J19" s="401" t="s">
        <v>41</v>
      </c>
      <c r="K19" s="186"/>
      <c r="L19" s="186"/>
      <c r="M19" s="402" t="s">
        <v>33</v>
      </c>
      <c r="N19" s="488" t="s">
        <v>36</v>
      </c>
      <c r="O19" s="488" t="s">
        <v>234</v>
      </c>
      <c r="P19" s="400" t="s">
        <v>36</v>
      </c>
      <c r="Q19" s="400" t="s">
        <v>37</v>
      </c>
      <c r="R19" s="400" t="s">
        <v>182</v>
      </c>
      <c r="S19" s="400" t="s">
        <v>180</v>
      </c>
      <c r="T19" s="400" t="s">
        <v>181</v>
      </c>
      <c r="U19" s="401" t="s">
        <v>41</v>
      </c>
      <c r="V19" s="64"/>
      <c r="W19" s="378" t="s">
        <v>33</v>
      </c>
      <c r="X19" s="488" t="s">
        <v>36</v>
      </c>
      <c r="Y19" s="488" t="s">
        <v>234</v>
      </c>
      <c r="Z19" s="373" t="s">
        <v>36</v>
      </c>
      <c r="AA19" s="373" t="s">
        <v>37</v>
      </c>
      <c r="AB19" s="373" t="s">
        <v>182</v>
      </c>
      <c r="AC19" s="373" t="s">
        <v>180</v>
      </c>
      <c r="AD19" s="373" t="s">
        <v>181</v>
      </c>
      <c r="AE19" s="334" t="s">
        <v>41</v>
      </c>
      <c r="AG19" s="402" t="s">
        <v>33</v>
      </c>
      <c r="AH19" s="488" t="s">
        <v>36</v>
      </c>
      <c r="AI19" s="488" t="s">
        <v>234</v>
      </c>
      <c r="AJ19" s="373" t="s">
        <v>36</v>
      </c>
      <c r="AK19" s="400" t="s">
        <v>37</v>
      </c>
      <c r="AL19" s="400" t="s">
        <v>182</v>
      </c>
      <c r="AM19" s="400" t="s">
        <v>180</v>
      </c>
      <c r="AN19" s="400" t="s">
        <v>181</v>
      </c>
      <c r="AO19" s="401" t="s">
        <v>41</v>
      </c>
      <c r="AQ19" s="402" t="s">
        <v>33</v>
      </c>
      <c r="AR19" s="488" t="s">
        <v>36</v>
      </c>
      <c r="AS19" s="488" t="s">
        <v>234</v>
      </c>
      <c r="AT19" s="373" t="s">
        <v>36</v>
      </c>
      <c r="AU19" s="400" t="s">
        <v>37</v>
      </c>
      <c r="AV19" s="400" t="s">
        <v>182</v>
      </c>
      <c r="AW19" s="400" t="s">
        <v>180</v>
      </c>
      <c r="AX19" s="400" t="s">
        <v>181</v>
      </c>
      <c r="AY19" s="401" t="s">
        <v>41</v>
      </c>
    </row>
    <row r="20" spans="2:51" x14ac:dyDescent="0.2">
      <c r="B20" s="92" t="s">
        <v>30</v>
      </c>
      <c r="C20" s="489"/>
      <c r="D20" s="489"/>
      <c r="E20" s="93"/>
      <c r="F20" s="93"/>
      <c r="G20" s="328"/>
      <c r="H20" s="328"/>
      <c r="I20" s="225"/>
      <c r="J20" s="375"/>
      <c r="K20" s="146"/>
      <c r="L20" s="146"/>
      <c r="M20" s="92" t="s">
        <v>30</v>
      </c>
      <c r="N20" s="489"/>
      <c r="O20" s="489"/>
      <c r="P20" s="93"/>
      <c r="Q20" s="93"/>
      <c r="R20" s="93"/>
      <c r="S20" s="93"/>
      <c r="T20" s="93"/>
      <c r="U20" s="94"/>
      <c r="V20" s="64"/>
      <c r="W20" s="92" t="s">
        <v>30</v>
      </c>
      <c r="X20" s="489"/>
      <c r="Y20" s="489"/>
      <c r="Z20" s="93"/>
      <c r="AA20" s="93"/>
      <c r="AB20" s="93"/>
      <c r="AC20" s="93"/>
      <c r="AD20" s="93"/>
      <c r="AE20" s="242"/>
      <c r="AG20" s="92" t="s">
        <v>30</v>
      </c>
      <c r="AH20" s="489"/>
      <c r="AI20" s="489"/>
      <c r="AJ20" s="93"/>
      <c r="AK20" s="93"/>
      <c r="AL20" s="93"/>
      <c r="AM20" s="93"/>
      <c r="AN20" s="93"/>
      <c r="AO20" s="242"/>
      <c r="AQ20" s="92" t="s">
        <v>30</v>
      </c>
      <c r="AR20" s="489"/>
      <c r="AS20" s="489"/>
      <c r="AT20" s="93"/>
      <c r="AU20" s="93"/>
      <c r="AV20" s="93"/>
      <c r="AW20" s="93"/>
      <c r="AX20" s="93"/>
      <c r="AY20" s="242"/>
    </row>
    <row r="21" spans="2:51" ht="12.75" customHeight="1" x14ac:dyDescent="0.2">
      <c r="B21" s="190">
        <f>'4. Customer Growth'!B17</f>
        <v>2006</v>
      </c>
      <c r="C21" s="70">
        <f>IF($B$18='2. Customer Classes'!$B$14,+SUM('3. Consumption by Rate Class'!$D$25:$D$36),+IF($B$18='2. Customer Classes'!$B$15,+SUM('3. Consumption by Rate Class'!$F$25:$F$36),+IF($B$18='2. Customer Classes'!$B$16,+SUM('3. Consumption by Rate Class'!$H$25:$H$36),+IF($B$18='2. Customer Classes'!$B$17,+SUM('3. Consumption by Rate Class'!$J$25:$J$36),+IF($B$18='2. Customer Classes'!$B$18,+SUM('3. Consumption by Rate Class'!$L$25:$L$36),+IF($B$18='2. Customer Classes'!$B$19,+SUM('3. Consumption by Rate Class'!$O$25:$O$36),IF($B$18='2. Customer Classes'!$B$20,+SUM('3. Consumption by Rate Class'!$R$25:$R$36),0)))))))</f>
        <v>51984380</v>
      </c>
      <c r="D21" s="456"/>
      <c r="E21" s="70">
        <f>+D21+C21</f>
        <v>51984380</v>
      </c>
      <c r="F21" s="70">
        <f>+IF($B$18='2. Customer Classes'!$B$18,+SUM('3. Consumption by Rate Class'!$M$25:$M$36),+IF($B$18='2. Customer Classes'!$B$19,+SUM('3. Consumption by Rate Class'!$P$25:$P$36),IF($B$18='2. Customer Classes'!$B$20,+SUM('3. Consumption by Rate Class'!$S$25:$S$36),0)))</f>
        <v>153660</v>
      </c>
      <c r="G21" s="70">
        <f>IF($B$18='2. Customer Classes'!$B$14,+'4. Customer Growth'!$C17,+IF($B$18='2. Customer Classes'!$B$15,+'4. Customer Growth'!$E17,+IF($B$18='2. Customer Classes'!$B$16,+'4. Customer Growth'!$G17,+IF($B$18='2. Customer Classes'!$B$17,+'4. Customer Growth'!$I17,+IF($B$18='2. Customer Classes'!$B$18,+'4. Customer Growth'!$K17,+IF($B$18='2. Customer Classes'!$B$19,+'4. Customer Growth'!$M17,IF($B$18='2. Customer Classes'!$B$20,+'4. Customer Growth'!$O17,0)))))))</f>
        <v>62</v>
      </c>
      <c r="H21" s="374">
        <f>IF(F21&gt;0,+E21/G21,0)</f>
        <v>838457.74193548388</v>
      </c>
      <c r="I21" s="377">
        <f>IF(F21&gt;0,+F21/G21,0)</f>
        <v>2478.3870967741937</v>
      </c>
      <c r="J21" s="340">
        <f>IF(F21&gt;0,+F21/E21,0)</f>
        <v>2.9558879032509379E-3</v>
      </c>
      <c r="K21" s="183"/>
      <c r="L21" s="183"/>
      <c r="M21" s="190">
        <f t="shared" ref="M21:M32" si="0">B21</f>
        <v>2006</v>
      </c>
      <c r="N21" s="70">
        <f>IF($M$18='2. Customer Classes'!$B$14,+SUM('3. Consumption by Rate Class'!$D$25:$D$36),+IF($M$18='2. Customer Classes'!$B$15,+SUM('3. Consumption by Rate Class'!$F$25:$F$36),+IF($M$18='2. Customer Classes'!$B$16,+SUM('3. Consumption by Rate Class'!$H$25:$H$36),+IF($M$18='2. Customer Classes'!$B$17,+SUM('3. Consumption by Rate Class'!$J$25:$J$36),+IF($M$18='2. Customer Classes'!$B$18,+SUM('3. Consumption by Rate Class'!$L$25:$L$36),+IF($M$18='2. Customer Classes'!$B$19,+SUM('3. Consumption by Rate Class'!$O$25:$O$36),IF($M$18='2. Customer Classes'!$B$20,+SUM('3. Consumption by Rate Class'!$R$25:$R$36),0)))))))</f>
        <v>1095963</v>
      </c>
      <c r="O21" s="456"/>
      <c r="P21" s="70">
        <f>+N21+O21</f>
        <v>1095963</v>
      </c>
      <c r="Q21" s="225">
        <f>+IF($M$18='2. Customer Classes'!$B$18,+SUM('3. Consumption by Rate Class'!$M$25:$M$36),+IF($M$18='2. Customer Classes'!$B$19,+SUM('3. Consumption by Rate Class'!$P$25:$P$36),IF($M$18='2. Customer Classes'!$B$20,+SUM('3. Consumption by Rate Class'!$S$25:$S$36),0)))</f>
        <v>3053</v>
      </c>
      <c r="R21" s="225">
        <f>IF($M$18='2. Customer Classes'!$B$14,+'4. Customer Growth'!$C17,+IF($M$18='2. Customer Classes'!$B$15,+'4. Customer Growth'!$E17,+IF($M$18='2. Customer Classes'!$B$16,+'4. Customer Growth'!$G17,+IF($M$18='2. Customer Classes'!$B$17,+'4. Customer Growth'!$I17,+IF($M$18='2. Customer Classes'!$B$18,+'4. Customer Growth'!$K17,+IF($M$18='2. Customer Classes'!$B$19,+'4. Customer Growth'!$M17,IF($M$18='2. Customer Classes'!$B$20,+'4. Customer Growth'!$O17,0)))))))</f>
        <v>1149</v>
      </c>
      <c r="S21" s="374">
        <f>IF(Q21&gt;0,+P21/R21,0)</f>
        <v>953.84073107049608</v>
      </c>
      <c r="T21" s="377">
        <f>IF(Q21&gt;0,+Q21/R21,0)</f>
        <v>2.6570931244560487</v>
      </c>
      <c r="U21" s="340">
        <f>IF(Q21&gt;0,+Q21/P21,0)</f>
        <v>2.7856779836545578E-3</v>
      </c>
      <c r="V21" s="64"/>
      <c r="W21" s="190">
        <f t="shared" ref="W21:W32" si="1">B21</f>
        <v>2006</v>
      </c>
      <c r="X21" s="70">
        <f>IF($W$18='2. Customer Classes'!$B$14,+SUM('3. Consumption by Rate Class'!$D$25:$D$36),+IF($W$18='2. Customer Classes'!$B$15,+SUM('3. Consumption by Rate Class'!$F$25:$F$36),+IF($W$18='2. Customer Classes'!$B$16,+SUM('3. Consumption by Rate Class'!$H$25:$H$36),+IF($W$18='2. Customer Classes'!$B$17,+SUM('3. Consumption by Rate Class'!$J$25:$J$36),+IF($W$18='2. Customer Classes'!$B$18,+SUM('3. Consumption by Rate Class'!$L$25:$L$36),+IF($W$18='2. Customer Classes'!$B$19,+SUM('3. Consumption by Rate Class'!$O$25:$O$36),IF($W$18='2. Customer Classes'!$B$20,+SUM('3. Consumption by Rate Class'!$R$25:$R$36),0)))))))</f>
        <v>0</v>
      </c>
      <c r="Y21" s="456"/>
      <c r="Z21" s="70">
        <f>+X21+Y21</f>
        <v>0</v>
      </c>
      <c r="AA21" s="225">
        <f>+IF($W$18='2. Customer Classes'!$B$18,+SUM('3. Consumption by Rate Class'!$M$25:$M$36),+IF($W$18='2. Customer Classes'!$B$19,+SUM('3. Consumption by Rate Class'!$P$25:$P$36),IF($W$18='2. Customer Classes'!$B$20,+SUM('3. Consumption by Rate Class'!$S$25:$S$36),0)))</f>
        <v>0</v>
      </c>
      <c r="AB21" s="225">
        <f>IF($W$18='2. Customer Classes'!$B$14,+'4. Customer Growth'!$C17,+IF($W$18='2. Customer Classes'!$B$15,+'4. Customer Growth'!$E17,+IF($W$18='2. Customer Classes'!$B$16,+'4. Customer Growth'!$G17,+IF($W$18='2. Customer Classes'!$B$17,+'4. Customer Growth'!$I17,+IF($W$18='2. Customer Classes'!$B$18,+'4. Customer Growth'!$K17,+IF($W$18='2. Customer Classes'!$B$19,+'4. Customer Growth'!$M17,IF($W$18='2. Customer Classes'!$B$20,+'4. Customer Growth'!$O17,0)))))))</f>
        <v>0</v>
      </c>
      <c r="AC21" s="374">
        <f>IF(AA21&gt;0,+Z21/AB21,0)</f>
        <v>0</v>
      </c>
      <c r="AD21" s="377">
        <f>IF(AA21&gt;0,+AA21/AB21,0)</f>
        <v>0</v>
      </c>
      <c r="AE21" s="340">
        <f>IF(AA21&gt;0,+AA21/Z21,0)</f>
        <v>0</v>
      </c>
      <c r="AG21" s="355">
        <f>+B21</f>
        <v>2006</v>
      </c>
      <c r="AH21" s="70">
        <f>IF($AG$18='2. Customer Classes'!$B$14,+SUM('3. Consumption by Rate Class'!$D$25:$D$36),+IF($AG$18='2. Customer Classes'!$B$15,+SUM('3. Consumption by Rate Class'!$F$25:$F$36),+IF($AG$18='2. Customer Classes'!$B$16,+SUM('3. Consumption by Rate Class'!$H$25:$H$36),+IF($AG$18='2. Customer Classes'!$B$17,+SUM('3. Consumption by Rate Class'!$J$25:$J$36),+IF($AG$18='2. Customer Classes'!$B$18,+SUM('3. Consumption by Rate Class'!$L$25:$L$36),+IF($AG$18='2. Customer Classes'!$B$19,+SUM('3. Consumption by Rate Class'!$O$25:$O$36),IF($AG$18='2. Customer Classes'!$B$20,+SUM('3. Consumption by Rate Class'!$R$25:$R$36),IF($AG$18='2. Customer Classes'!$B$21,+SUM('3. Consumption by Rate Class'!$U$25:$U$36),0))))))))</f>
        <v>160045</v>
      </c>
      <c r="AI21" s="456"/>
      <c r="AJ21" s="70">
        <f>+AH21+AI21</f>
        <v>160045</v>
      </c>
      <c r="AK21" s="225">
        <f>+IF($AG$18='2. Customer Classes'!$B$18,+SUM('3. Consumption by Rate Class'!$M$25:$M$36),+IF($AG$18='2. Customer Classes'!$B$19,+SUM('3. Consumption by Rate Class'!$P$25:$P$36),IF($AG$18='2. Customer Classes'!$B$20,+SUM('3. Consumption by Rate Class'!$S$25:$S$36),IF($AG$18='2. Customer Classes'!$B$21,+SUM('3. Consumption by Rate Class'!$V$25:$V$36),0))))</f>
        <v>0</v>
      </c>
      <c r="AL21" s="225">
        <f>IF($AG$18='2. Customer Classes'!$B$14,+'4. Customer Growth'!$C17,+IF($AG$18='2. Customer Classes'!$B$15,+'4. Customer Growth'!$E17,+IF($AG$18='2. Customer Classes'!$B$16,+'4. Customer Growth'!$G17,+IF($AG$18='2. Customer Classes'!$B$17,+'4. Customer Growth'!$I17,+IF($AG$18='2. Customer Classes'!$B$18,+'4. Customer Growth'!$K17,+IF($AG$18='2. Customer Classes'!$B$19,+'4. Customer Growth'!$M17,IF($AG$18='2. Customer Classes'!$B$20,+'4. Customer Growth'!$O17,IF($AG$18='2. Customer Classes'!$B$21,+'4. Customer Growth'!$Q17,0))))))))</f>
        <v>28</v>
      </c>
      <c r="AM21" s="374">
        <f>IF(AK21=0,+AJ21/AL21,0)</f>
        <v>5715.8928571428569</v>
      </c>
      <c r="AN21" s="377">
        <f>IF(AK21&gt;0,+AK21/AL21,0)</f>
        <v>0</v>
      </c>
      <c r="AO21" s="340">
        <f>IF(AK21=0,+AK21/AJ21,0)</f>
        <v>0</v>
      </c>
      <c r="AQ21" s="355">
        <f>+B21</f>
        <v>2006</v>
      </c>
      <c r="AR21" s="70">
        <f>IF($AQ$18='2. Customer Classes'!$B$14,+SUM('3. Consumption by Rate Class'!$D$25:$D$36),+IF($AQ$18='2. Customer Classes'!$B$15,+SUM('3. Consumption by Rate Class'!$F$25:$F$36),+IF($AQ$18='2. Customer Classes'!$B$16,+SUM('3. Consumption by Rate Class'!$H$25:$H$36),+IF($AQ$18='2. Customer Classes'!$B$17,+SUM('3. Consumption by Rate Class'!$J$25:$J$36),+IF($AQ$18='2. Customer Classes'!$B$18,+SUM('3. Consumption by Rate Class'!$L$25:$L$36),+IF($AQ$18='2. Customer Classes'!$B$19,+SUM('3. Consumption by Rate Class'!$O$25:$O$36),IF($AQ$18='2. Customer Classes'!$B$20,+SUM('3. Consumption by Rate Class'!$R$25:$R$36),0)))))))</f>
        <v>0</v>
      </c>
      <c r="AS21" s="456"/>
      <c r="AT21" s="70">
        <f>+AR21+AS21</f>
        <v>0</v>
      </c>
      <c r="AU21" s="225">
        <f>+IF($AQ$18='2. Customer Classes'!$B$18,+SUM('3. Consumption by Rate Class'!$M$25:$M$36),+IF($AQ$18='2. Customer Classes'!$B$19,+SUM('3. Consumption by Rate Class'!$P$25:$P$36),IF($AQ$18='2. Customer Classes'!$B$20,+SUM('3. Consumption by Rate Class'!$S$25:$S$36),0)))</f>
        <v>0</v>
      </c>
      <c r="AV21" s="225">
        <f>IF($AQ$18='2. Customer Classes'!$B$14,+'4. Customer Growth'!$C17,+IF($AQ$18='2. Customer Classes'!$B$15,+'4. Customer Growth'!$E17,+IF($AQ$18='2. Customer Classes'!$B$16,+'4. Customer Growth'!$G17,+IF($AQ$18='2. Customer Classes'!$B$17,+'4. Customer Growth'!$I17,+IF($AQ$18='2. Customer Classes'!$B$18,+'4. Customer Growth'!$K17,+IF($AQ$18='2. Customer Classes'!$B$19,+'4. Customer Growth'!$M17,IF($AQ$18='2. Customer Classes'!$B$20,+'4. Customer Growth'!$O17,0)))))))</f>
        <v>0</v>
      </c>
      <c r="AW21" s="374">
        <f>IF(AV21&gt;0,+AT21/AV21,0)</f>
        <v>0</v>
      </c>
      <c r="AX21" s="377">
        <f>IF(AU21&gt;0,+AU21/AV21,0)</f>
        <v>0</v>
      </c>
      <c r="AY21" s="340">
        <f>IF(AU21&gt;0,+AU21/AT21,0)</f>
        <v>0</v>
      </c>
    </row>
    <row r="22" spans="2:51" ht="12.75" customHeight="1" x14ac:dyDescent="0.2">
      <c r="B22" s="190">
        <f>'4. Customer Growth'!B18</f>
        <v>2007</v>
      </c>
      <c r="C22" s="70">
        <f>IF($B$18='2. Customer Classes'!$B$14,+SUM('3. Consumption by Rate Class'!$D$37:$D$48),+IF($B$18='2. Customer Classes'!$B$15,+SUM('3. Consumption by Rate Class'!$F$37:$F$48),+IF($B$18='2. Customer Classes'!$B$16,+SUM('3. Consumption by Rate Class'!$H$37:$H$48),+IF($B$18='2. Customer Classes'!$B$17,+SUM('3. Consumption by Rate Class'!$J$37:$J$48),+IF($B$18='2. Customer Classes'!$B$18,+SUM('3. Consumption by Rate Class'!$L$37:$L$48),+IF($B$18='2. Customer Classes'!$B$19,+SUM('3. Consumption by Rate Class'!$O$37:$O$48),IF($B$18='2. Customer Classes'!$B$20,+SUM('3. Consumption by Rate Class'!$R$37:$R$48),0)))))))</f>
        <v>53203197</v>
      </c>
      <c r="D22" s="456"/>
      <c r="E22" s="70">
        <f t="shared" ref="E22:E32" si="2">+D22+C22</f>
        <v>53203197</v>
      </c>
      <c r="F22" s="70">
        <f>+IF($B$18='2. Customer Classes'!$B$18,+SUM('3. Consumption by Rate Class'!$M$37:$M$48),+IF($B$18='2. Customer Classes'!$B$19,+SUM('3. Consumption by Rate Class'!$P$37:$P$48),IF($B$18='2. Customer Classes'!$B$20,+SUM('3. Consumption by Rate Class'!$S$37:$S$48),0)))</f>
        <v>146521</v>
      </c>
      <c r="G22" s="70">
        <f>IF($B$18='2. Customer Classes'!$B$14,+'4. Customer Growth'!$C18,+IF($B$18='2. Customer Classes'!$B$15,+'4. Customer Growth'!$E18,+IF($B$18='2. Customer Classes'!$B$16,+'4. Customer Growth'!$G18,+IF($B$18='2. Customer Classes'!$B$17,+'4. Customer Growth'!$I18,+IF($B$18='2. Customer Classes'!$B$18,+'4. Customer Growth'!$K18,+IF($B$18='2. Customer Classes'!$B$19,+'4. Customer Growth'!$M18,IF($B$18='2. Customer Classes'!$B$20,+'4. Customer Growth'!$O18,0)))))))</f>
        <v>65</v>
      </c>
      <c r="H22" s="374">
        <f t="shared" ref="H22:H32" si="3">IF(F22&gt;0,+E22/G22,0)</f>
        <v>818510.72307692305</v>
      </c>
      <c r="I22" s="377">
        <f t="shared" ref="I22:I32" si="4">IF(F22&gt;0,+F22/G22,0)</f>
        <v>2254.1692307692306</v>
      </c>
      <c r="J22" s="340">
        <f t="shared" ref="J22:J30" si="5">IF(F22&gt;0,+F22/E22,0)</f>
        <v>2.7539886371865962E-3</v>
      </c>
      <c r="K22" s="183"/>
      <c r="L22" s="183"/>
      <c r="M22" s="190">
        <f t="shared" si="0"/>
        <v>2007</v>
      </c>
      <c r="N22" s="70">
        <f>IF($M$18='2. Customer Classes'!$B$14,+SUM('3. Consumption by Rate Class'!$D$37:$D$48),+IF($M$18='2. Customer Classes'!$B$15,+SUM('3. Consumption by Rate Class'!$F$37:$F$48),+IF($M$18='2. Customer Classes'!$B$16,+SUM('3. Consumption by Rate Class'!$H$37:$H$48),+IF($M$18='2. Customer Classes'!$B$17,+SUM('3. Consumption by Rate Class'!$J$37:$J$48),+IF($M$18='2. Customer Classes'!$B$18,+SUM('3. Consumption by Rate Class'!$L$37:$L$48),+IF($M$18='2. Customer Classes'!$B$19,+SUM('3. Consumption by Rate Class'!$O$37:$O$48),IF($M$18='2. Customer Classes'!$B$20,+SUM('3. Consumption by Rate Class'!$R$37:$R$48),0)))))))</f>
        <v>1105833</v>
      </c>
      <c r="O22" s="456"/>
      <c r="P22" s="70">
        <f t="shared" ref="P22:P32" si="6">+N22+O22</f>
        <v>1105833</v>
      </c>
      <c r="Q22" s="225">
        <f>+IF($M$18='2. Customer Classes'!$B$18,+SUM('3. Consumption by Rate Class'!$M$37:$M$48),+IF($M$18='2. Customer Classes'!$B$19,+SUM('3. Consumption by Rate Class'!$P$37:$P$48),IF($M$18='2. Customer Classes'!$B$20,+SUM('3. Consumption by Rate Class'!$S$37:$S$48),0)))</f>
        <v>3095</v>
      </c>
      <c r="R22" s="225">
        <f>IF($M$18='2. Customer Classes'!$B$14,+'4. Customer Growth'!$C18,+IF($M$18='2. Customer Classes'!$B$15,+'4. Customer Growth'!$E18,+IF($M$18='2. Customer Classes'!$B$16,+'4. Customer Growth'!$G18,+IF($M$18='2. Customer Classes'!$B$17,+'4. Customer Growth'!$I18,+IF($M$18='2. Customer Classes'!$B$18,+'4. Customer Growth'!$K18,+IF($M$18='2. Customer Classes'!$B$19,+'4. Customer Growth'!$M18,IF($M$18='2. Customer Classes'!$B$20,+'4. Customer Growth'!$O18,0)))))))</f>
        <v>1151</v>
      </c>
      <c r="S22" s="374">
        <f t="shared" ref="S22:S32" si="7">IF(Q22&gt;0,+P22/R22,0)</f>
        <v>960.75847089487399</v>
      </c>
      <c r="T22" s="377">
        <f t="shared" ref="T22:T32" si="8">IF(Q22&gt;0,+Q22/R22,0)</f>
        <v>2.6889661164205041</v>
      </c>
      <c r="U22" s="340">
        <f t="shared" ref="U22:U30" si="9">IF(Q22&gt;0,+Q22/P22,0)</f>
        <v>2.7987951164416326E-3</v>
      </c>
      <c r="V22" s="64"/>
      <c r="W22" s="190">
        <f t="shared" si="1"/>
        <v>2007</v>
      </c>
      <c r="X22" s="70">
        <f>IF($W$18='2. Customer Classes'!$B$14,+SUM('3. Consumption by Rate Class'!$D$37:$D$48),+IF($W$18='2. Customer Classes'!$B$15,+SUM('3. Consumption by Rate Class'!$F$37:$F$48),+IF($W$18='2. Customer Classes'!$B$16,+SUM('3. Consumption by Rate Class'!$H$37:$H$48),+IF($W$18='2. Customer Classes'!$B$17,+SUM('3. Consumption by Rate Class'!$J$37:$J$48),+IF($W$18='2. Customer Classes'!$B$18,+SUM('3. Consumption by Rate Class'!$L$37:$L$48),+IF($W$18='2. Customer Classes'!$B$19,+SUM('3. Consumption by Rate Class'!$O$37:$O$48),IF($W$18='2. Customer Classes'!$B$20,+SUM('3. Consumption by Rate Class'!$R$37:$R$48),0)))))))</f>
        <v>0</v>
      </c>
      <c r="Y22" s="456"/>
      <c r="Z22" s="70">
        <f t="shared" ref="Z22:Z32" si="10">+X22+Y22</f>
        <v>0</v>
      </c>
      <c r="AA22" s="225">
        <f>+IF($W$18='2. Customer Classes'!$B$18,+SUM('3. Consumption by Rate Class'!$M$37:$M$48),+IF($W$18='2. Customer Classes'!$B$19,+SUM('3. Consumption by Rate Class'!$P$37:$P$48),IF($W$18='2. Customer Classes'!$B$20,+SUM('3. Consumption by Rate Class'!$S$37:$S$48),0)))</f>
        <v>0</v>
      </c>
      <c r="AB22" s="225">
        <f>IF($W$18='2. Customer Classes'!$B$14,+'4. Customer Growth'!$C18,+IF($W$18='2. Customer Classes'!$B$15,+'4. Customer Growth'!$E18,+IF($W$18='2. Customer Classes'!$B$16,+'4. Customer Growth'!$G18,+IF($W$18='2. Customer Classes'!$B$17,+'4. Customer Growth'!$I18,+IF($W$18='2. Customer Classes'!$B$18,+'4. Customer Growth'!$K18,+IF($W$18='2. Customer Classes'!$B$19,+'4. Customer Growth'!$M18,IF($W$18='2. Customer Classes'!$B$20,+'4. Customer Growth'!$O18,0)))))))</f>
        <v>0</v>
      </c>
      <c r="AC22" s="374">
        <f t="shared" ref="AC22:AC32" si="11">IF(AA22&gt;0,+Z22/AB22,0)</f>
        <v>0</v>
      </c>
      <c r="AD22" s="377">
        <f t="shared" ref="AD22:AD32" si="12">IF(AA22&gt;0,+AA22/AB22,0)</f>
        <v>0</v>
      </c>
      <c r="AE22" s="340">
        <f t="shared" ref="AE22:AE30" si="13">IF(AA22&gt;0,+AA22/Z22,0)</f>
        <v>0</v>
      </c>
      <c r="AG22" s="355">
        <f t="shared" ref="AG22:AG32" si="14">+B22</f>
        <v>2007</v>
      </c>
      <c r="AH22" s="70">
        <f>IF($AG$18='2. Customer Classes'!$B$14,+SUM('3. Consumption by Rate Class'!$D$37:$D$48),+IF($AG$18='2. Customer Classes'!$B$15,+SUM('3. Consumption by Rate Class'!$F$37:$F$48),+IF($AG$18='2. Customer Classes'!$B$16,+SUM('3. Consumption by Rate Class'!$H$37:$H$48),+IF($AG$18='2. Customer Classes'!$B$17,+SUM('3. Consumption by Rate Class'!$J$37:$J$48),+IF($AG$18='2. Customer Classes'!$B$18,+SUM('3. Consumption by Rate Class'!$L$37:$L$48),+IF($AG$18='2. Customer Classes'!$B$19,+SUM('3. Consumption by Rate Class'!$O$37:$O$48),IF($AG$18='2. Customer Classes'!$B$20,+SUM('3. Consumption by Rate Class'!$R$37:$R$48),IF($AG$18='2. Customer Classes'!$B$21,+SUM('3. Consumption by Rate Class'!$U$37:$U$48),0))))))))</f>
        <v>142221</v>
      </c>
      <c r="AI22" s="456"/>
      <c r="AJ22" s="70">
        <f t="shared" ref="AJ22:AJ32" si="15">+AH22+AI22</f>
        <v>142221</v>
      </c>
      <c r="AK22" s="225">
        <f>+IF($AG$18='2. Customer Classes'!$B$18,+SUM('3. Consumption by Rate Class'!$M$37:$M$48),+IF($AG$18='2. Customer Classes'!$B$19,+SUM('3. Consumption by Rate Class'!$P$37:$P$48),IF($AG$18='2. Customer Classes'!$B$20,+SUM('3. Consumption by Rate Class'!$S$37:$S$48),IF($AG$18='2. Customer Classes'!$B$21,+SUM('3. Consumption by Rate Class'!$V$37:$V$48),0))))</f>
        <v>0</v>
      </c>
      <c r="AL22" s="225">
        <f>IF($AG$18='2. Customer Classes'!$B$14,+'4. Customer Growth'!$C18,+IF($AG$18='2. Customer Classes'!$B$15,+'4. Customer Growth'!$E18,+IF($AG$18='2. Customer Classes'!$B$16,+'4. Customer Growth'!$G18,+IF($AG$18='2. Customer Classes'!$B$17,+'4. Customer Growth'!$I18,+IF($AG$18='2. Customer Classes'!$B$18,+'4. Customer Growth'!$K18,+IF($AG$18='2. Customer Classes'!$B$19,+'4. Customer Growth'!$M18,IF($AG$18='2. Customer Classes'!$B$20,+'4. Customer Growth'!$O18,IF($AG$18='2. Customer Classes'!$B$21,+'4. Customer Growth'!$Q18,0))))))))</f>
        <v>29</v>
      </c>
      <c r="AM22" s="374">
        <f t="shared" ref="AM22:AM32" si="16">IF(AK22=0,+AJ22/AL22,0)</f>
        <v>4904.1724137931033</v>
      </c>
      <c r="AN22" s="377">
        <f t="shared" ref="AN22:AN32" si="17">IF(AK22&gt;0,+AK22/AL22,0)</f>
        <v>0</v>
      </c>
      <c r="AO22" s="340">
        <f t="shared" ref="AO22:AO30" si="18">IF(AK22&gt;0,+AK22/AJ22,0)</f>
        <v>0</v>
      </c>
      <c r="AQ22" s="355">
        <f t="shared" ref="AQ22:AQ32" si="19">+B22</f>
        <v>2007</v>
      </c>
      <c r="AR22" s="70">
        <f>IF($AQ$18='2. Customer Classes'!$B$14,+SUM('3. Consumption by Rate Class'!$D$37:$D$48),+IF($AQ$18='2. Customer Classes'!$B$15,+SUM('3. Consumption by Rate Class'!$F$37:$F$48),+IF($AQ$18='2. Customer Classes'!$B$16,+SUM('3. Consumption by Rate Class'!$H$37:$H$48),+IF($AQ$18='2. Customer Classes'!$B$17,+SUM('3. Consumption by Rate Class'!$J$37:$J$48),+IF($AQ$18='2. Customer Classes'!$B$18,+SUM('3. Consumption by Rate Class'!$L$37:$L$48),+IF($AQ$18='2. Customer Classes'!$B$19,+SUM('3. Consumption by Rate Class'!$O$37:$O$48),IF($AQ$18='2. Customer Classes'!$B$20,+SUM('3. Consumption by Rate Class'!$R$37:$R$48),0)))))))</f>
        <v>0</v>
      </c>
      <c r="AS22" s="456"/>
      <c r="AT22" s="70">
        <f t="shared" ref="AT22:AT32" si="20">+AR22+AS22</f>
        <v>0</v>
      </c>
      <c r="AU22" s="225">
        <f>+IF($AQ$18='2. Customer Classes'!$B$18,+SUM('3. Consumption by Rate Class'!$M$37:$M$48),+IF($AQ$18='2. Customer Classes'!$B$19,+SUM('3. Consumption by Rate Class'!$P$37:$P$48),IF($AQ$18='2. Customer Classes'!$B$20,+SUM('3. Consumption by Rate Class'!$S$37:$S$48),0)))</f>
        <v>0</v>
      </c>
      <c r="AV22" s="225">
        <f>IF($AQ$18='2. Customer Classes'!$B$14,+'4. Customer Growth'!$C18,+IF($AQ$18='2. Customer Classes'!$B$15,+'4. Customer Growth'!$E18,+IF($AQ$18='2. Customer Classes'!$B$16,+'4. Customer Growth'!$G18,+IF($AQ$18='2. Customer Classes'!$B$17,+'4. Customer Growth'!$I18,+IF($AQ$18='2. Customer Classes'!$B$18,+'4. Customer Growth'!$K18,+IF($AQ$18='2. Customer Classes'!$B$19,+'4. Customer Growth'!$M18,IF($AQ$18='2. Customer Classes'!$B$20,+'4. Customer Growth'!$O18,0)))))))</f>
        <v>0</v>
      </c>
      <c r="AW22" s="374">
        <f t="shared" ref="AW22:AW32" si="21">IF(AV22&gt;0,+AT22/AV22,0)</f>
        <v>0</v>
      </c>
      <c r="AX22" s="377">
        <f t="shared" ref="AX22:AX32" si="22">IF(AU22&gt;0,+AU22/AV22,0)</f>
        <v>0</v>
      </c>
      <c r="AY22" s="340">
        <f t="shared" ref="AY22:AY30" si="23">IF(AU22&gt;0,+AU22/AT22,0)</f>
        <v>0</v>
      </c>
    </row>
    <row r="23" spans="2:51" ht="12.75" customHeight="1" x14ac:dyDescent="0.2">
      <c r="B23" s="190">
        <f>'4. Customer Growth'!B19</f>
        <v>2008</v>
      </c>
      <c r="C23" s="70">
        <f>IF($B$18='2. Customer Classes'!$B$14,+SUM('3. Consumption by Rate Class'!$D$49:$D$60),+IF($B$18='2. Customer Classes'!$B$15,+SUM('3. Consumption by Rate Class'!$F$49:$F$60),+IF($B$18='2. Customer Classes'!$B$16,+SUM('3. Consumption by Rate Class'!$H$49:$H$60),+IF($B$18='2. Customer Classes'!$B$17,+SUM('3. Consumption by Rate Class'!$J$49:$J$60),+IF($B$18='2. Customer Classes'!$B$18,+SUM('3. Consumption by Rate Class'!$L$49:$L$60),+IF($B$18='2. Customer Classes'!$B$19,+SUM('3. Consumption by Rate Class'!$O$49:$O$60),IF($B$18='2. Customer Classes'!$B$20,+SUM('3. Consumption by Rate Class'!$R$49:$R$60),0)))))))</f>
        <v>55283988</v>
      </c>
      <c r="D23" s="456"/>
      <c r="E23" s="70">
        <f t="shared" si="2"/>
        <v>55283988</v>
      </c>
      <c r="F23" s="70">
        <f>+IF($B$18='2. Customer Classes'!$B$18,+SUM('3. Consumption by Rate Class'!$M$49:$M$60),+IF($B$18='2. Customer Classes'!$B$19,+SUM('3. Consumption by Rate Class'!$P$49:$P$60),IF($B$18='2. Customer Classes'!$B$20,+SUM('3. Consumption by Rate Class'!$S$49:$S$60),0)))</f>
        <v>148947</v>
      </c>
      <c r="G23" s="70">
        <f>IF($B$18='2. Customer Classes'!$B$14,+'4. Customer Growth'!$C19,+IF($B$18='2. Customer Classes'!$B$15,+'4. Customer Growth'!$E19,+IF($B$18='2. Customer Classes'!$B$16,+'4. Customer Growth'!$G19,+IF($B$18='2. Customer Classes'!$B$17,+'4. Customer Growth'!$I19,+IF($B$18='2. Customer Classes'!$B$18,+'4. Customer Growth'!$K19,+IF($B$18='2. Customer Classes'!$B$19,+'4. Customer Growth'!$M19,IF($B$18='2. Customer Classes'!$B$20,+'4. Customer Growth'!$O19,0)))))))</f>
        <v>67</v>
      </c>
      <c r="H23" s="374">
        <f t="shared" si="3"/>
        <v>825134.14925373136</v>
      </c>
      <c r="I23" s="377">
        <f t="shared" si="4"/>
        <v>2223.0895522388059</v>
      </c>
      <c r="J23" s="340">
        <f t="shared" si="5"/>
        <v>2.6942159093153698E-3</v>
      </c>
      <c r="K23" s="183"/>
      <c r="L23" s="183"/>
      <c r="M23" s="190">
        <f t="shared" si="0"/>
        <v>2008</v>
      </c>
      <c r="N23" s="70">
        <f>IF($M$18='2. Customer Classes'!$B$14,+SUM('3. Consumption by Rate Class'!$D$49:$D$60),+IF($M$18='2. Customer Classes'!$B$15,+SUM('3. Consumption by Rate Class'!$F$49:$F$60),+IF($M$18='2. Customer Classes'!$B$16,+SUM('3. Consumption by Rate Class'!$H$49:$H$60),+IF($M$18='2. Customer Classes'!$B$17,+SUM('3. Consumption by Rate Class'!$J$49:$J$60),+IF($M$18='2. Customer Classes'!$B$18,+SUM('3. Consumption by Rate Class'!$L$49:$L$60),+IF($M$18='2. Customer Classes'!$B$19,+SUM('3. Consumption by Rate Class'!$O$49:$O$60),IF($M$18='2. Customer Classes'!$B$20,+SUM('3. Consumption by Rate Class'!$R$49:$R$60),0)))))))</f>
        <v>1107983</v>
      </c>
      <c r="O23" s="456"/>
      <c r="P23" s="70">
        <f t="shared" si="6"/>
        <v>1107983</v>
      </c>
      <c r="Q23" s="225">
        <f>+IF($M$18='2. Customer Classes'!$B$18,+SUM('3. Consumption by Rate Class'!$M$49:$M$60),+IF($M$18='2. Customer Classes'!$B$19,+SUM('3. Consumption by Rate Class'!$P$49:$P$60),IF($M$18='2. Customer Classes'!$B$20,+SUM('3. Consumption by Rate Class'!$S$49:$S$60),0)))</f>
        <v>3100</v>
      </c>
      <c r="R23" s="225">
        <f>IF($M$18='2. Customer Classes'!$B$14,+'4. Customer Growth'!$C19,+IF($M$18='2. Customer Classes'!$B$15,+'4. Customer Growth'!$E19,+IF($M$18='2. Customer Classes'!$B$16,+'4. Customer Growth'!$G19,+IF($M$18='2. Customer Classes'!$B$17,+'4. Customer Growth'!$I19,+IF($M$18='2. Customer Classes'!$B$18,+'4. Customer Growth'!$K19,+IF($M$18='2. Customer Classes'!$B$19,+'4. Customer Growth'!$M19,IF($M$18='2. Customer Classes'!$B$20,+'4. Customer Growth'!$O19,0)))))))</f>
        <v>1158</v>
      </c>
      <c r="S23" s="374">
        <f t="shared" si="7"/>
        <v>956.80742659758209</v>
      </c>
      <c r="T23" s="377">
        <f t="shared" si="8"/>
        <v>2.6770293609671847</v>
      </c>
      <c r="U23" s="340">
        <f t="shared" si="9"/>
        <v>2.7978768627316482E-3</v>
      </c>
      <c r="V23" s="64"/>
      <c r="W23" s="190">
        <f t="shared" si="1"/>
        <v>2008</v>
      </c>
      <c r="X23" s="70">
        <f>IF($W$18='2. Customer Classes'!$B$14,+SUM('3. Consumption by Rate Class'!$D$49:$D$60),+IF($W$18='2. Customer Classes'!$B$15,+SUM('3. Consumption by Rate Class'!$F$49:$F$60),+IF($W$18='2. Customer Classes'!$B$16,+SUM('3. Consumption by Rate Class'!$H$49:$H$60),+IF($W$18='2. Customer Classes'!$B$17,+SUM('3. Consumption by Rate Class'!$J$49:$J$60),+IF($W$18='2. Customer Classes'!$B$18,+SUM('3. Consumption by Rate Class'!$L$49:$L$60),+IF($W$18='2. Customer Classes'!$B$19,+SUM('3. Consumption by Rate Class'!$O$49:$O$60),IF($W$18='2. Customer Classes'!$B$20,+SUM('3. Consumption by Rate Class'!$R$49:$R$60),0)))))))</f>
        <v>0</v>
      </c>
      <c r="Y23" s="456"/>
      <c r="Z23" s="70">
        <f t="shared" si="10"/>
        <v>0</v>
      </c>
      <c r="AA23" s="225">
        <f>+IF($W$18='2. Customer Classes'!$B$18,+SUM('3. Consumption by Rate Class'!$M$49:$M$60),+IF($W$18='2. Customer Classes'!$B$19,+SUM('3. Consumption by Rate Class'!$P$49:$P$60),IF($W$18='2. Customer Classes'!$B$20,+SUM('3. Consumption by Rate Class'!$S$49:$S$60),0)))</f>
        <v>0</v>
      </c>
      <c r="AB23" s="225">
        <f>IF($W$18='2. Customer Classes'!$B$14,+'4. Customer Growth'!$C19,+IF($W$18='2. Customer Classes'!$B$15,+'4. Customer Growth'!$E19,+IF($W$18='2. Customer Classes'!$B$16,+'4. Customer Growth'!$G19,+IF($W$18='2. Customer Classes'!$B$17,+'4. Customer Growth'!$I19,+IF($W$18='2. Customer Classes'!$B$18,+'4. Customer Growth'!$K19,+IF($W$18='2. Customer Classes'!$B$19,+'4. Customer Growth'!$M19,IF($W$18='2. Customer Classes'!$B$20,+'4. Customer Growth'!$O19,0)))))))</f>
        <v>0</v>
      </c>
      <c r="AC23" s="374">
        <f t="shared" si="11"/>
        <v>0</v>
      </c>
      <c r="AD23" s="377">
        <f t="shared" si="12"/>
        <v>0</v>
      </c>
      <c r="AE23" s="340">
        <f t="shared" si="13"/>
        <v>0</v>
      </c>
      <c r="AG23" s="355">
        <f t="shared" si="14"/>
        <v>2008</v>
      </c>
      <c r="AH23" s="70">
        <f>IF($AG$18='2. Customer Classes'!$B$14,+SUM('3. Consumption by Rate Class'!$D$49:$D$60),+IF($AG$18='2. Customer Classes'!$B$15,+SUM('3. Consumption by Rate Class'!$F$49:$F$60),+IF($AG$18='2. Customer Classes'!$B$16,+SUM('3. Consumption by Rate Class'!$H$49:$H$60),+IF($AG$18='2. Customer Classes'!$B$17,+SUM('3. Consumption by Rate Class'!$J$49:$J$60),+IF($AG$18='2. Customer Classes'!$B$18,+SUM('3. Consumption by Rate Class'!$L$49:$L$60),+IF($AG$18='2. Customer Classes'!$B$19,+SUM('3. Consumption by Rate Class'!$O$49:$O$60),IF($AG$18='2. Customer Classes'!$B$20,+SUM('3. Consumption by Rate Class'!$R$49:$R$60),IF($AG$18='2. Customer Classes'!$B$21,+SUM('3. Consumption by Rate Class'!$U$49:$U$60),0))))))))</f>
        <v>140870</v>
      </c>
      <c r="AI23" s="456"/>
      <c r="AJ23" s="70">
        <f t="shared" si="15"/>
        <v>140870</v>
      </c>
      <c r="AK23" s="225">
        <f>+IF($AG$18='2. Customer Classes'!$B$18,+SUM('3. Consumption by Rate Class'!$M$49:$M$60),+IF($AG$18='2. Customer Classes'!$B$19,+SUM('3. Consumption by Rate Class'!$P$49:$P$60),IF($AG$18='2. Customer Classes'!$B$20,+SUM('3. Consumption by Rate Class'!$S$49:$S$60),IF($AG$18='2. Customer Classes'!$B$21,+SUM('3. Consumption by Rate Class'!$V$49:$V$60),0))))</f>
        <v>0</v>
      </c>
      <c r="AL23" s="225">
        <f>IF($AG$18='2. Customer Classes'!$B$14,+'4. Customer Growth'!$C19,+IF($AG$18='2. Customer Classes'!$B$15,+'4. Customer Growth'!$E19,+IF($AG$18='2. Customer Classes'!$B$16,+'4. Customer Growth'!$G19,+IF($AG$18='2. Customer Classes'!$B$17,+'4. Customer Growth'!$I19,+IF($AG$18='2. Customer Classes'!$B$18,+'4. Customer Growth'!$K19,+IF($AG$18='2. Customer Classes'!$B$19,+'4. Customer Growth'!$M19,IF($AG$18='2. Customer Classes'!$B$20,+'4. Customer Growth'!$O19,IF($AG$18='2. Customer Classes'!$B$21,+'4. Customer Growth'!$Q19,0))))))))</f>
        <v>30</v>
      </c>
      <c r="AM23" s="374">
        <f t="shared" si="16"/>
        <v>4695.666666666667</v>
      </c>
      <c r="AN23" s="377">
        <f t="shared" si="17"/>
        <v>0</v>
      </c>
      <c r="AO23" s="340">
        <f t="shared" si="18"/>
        <v>0</v>
      </c>
      <c r="AQ23" s="355">
        <f t="shared" si="19"/>
        <v>2008</v>
      </c>
      <c r="AR23" s="70">
        <f>IF($AQ$18='2. Customer Classes'!$B$14,+SUM('3. Consumption by Rate Class'!$D$49:$D$60),+IF($AQ$18='2. Customer Classes'!$B$15,+SUM('3. Consumption by Rate Class'!$F$49:$F$60),+IF($AQ$18='2. Customer Classes'!$B$16,+SUM('3. Consumption by Rate Class'!$H$49:$H$60),+IF($AQ$18='2. Customer Classes'!$B$17,+SUM('3. Consumption by Rate Class'!$J$49:$J$60),+IF($AQ$18='2. Customer Classes'!$B$18,+SUM('3. Consumption by Rate Class'!$L$49:$L$60),+IF($AQ$18='2. Customer Classes'!$B$19,+SUM('3. Consumption by Rate Class'!$O$49:$O$60),IF($AQ$18='2. Customer Classes'!$B$20,+SUM('3. Consumption by Rate Class'!$R$49:$R$60),0)))))))</f>
        <v>0</v>
      </c>
      <c r="AS23" s="456"/>
      <c r="AT23" s="70">
        <f t="shared" si="20"/>
        <v>0</v>
      </c>
      <c r="AU23" s="225">
        <f>+IF($AQ$18='2. Customer Classes'!$B$18,+SUM('3. Consumption by Rate Class'!$M$49:$M$60),+IF($AQ$18='2. Customer Classes'!$B$19,+SUM('3. Consumption by Rate Class'!$P$49:$P$60),IF($AQ$18='2. Customer Classes'!$B$20,+SUM('3. Consumption by Rate Class'!$S$49:$S$60),0)))</f>
        <v>0</v>
      </c>
      <c r="AV23" s="225">
        <f>IF($AQ$18='2. Customer Classes'!$B$14,+'4. Customer Growth'!$C19,+IF($AQ$18='2. Customer Classes'!$B$15,+'4. Customer Growth'!$E19,+IF($AQ$18='2. Customer Classes'!$B$16,+'4. Customer Growth'!$G19,+IF($AQ$18='2. Customer Classes'!$B$17,+'4. Customer Growth'!$I19,+IF($AQ$18='2. Customer Classes'!$B$18,+'4. Customer Growth'!$K19,+IF($AQ$18='2. Customer Classes'!$B$19,+'4. Customer Growth'!$M19,IF($AQ$18='2. Customer Classes'!$B$20,+'4. Customer Growth'!$O19,0)))))))</f>
        <v>0</v>
      </c>
      <c r="AW23" s="374">
        <f t="shared" si="21"/>
        <v>0</v>
      </c>
      <c r="AX23" s="377">
        <f t="shared" si="22"/>
        <v>0</v>
      </c>
      <c r="AY23" s="340">
        <f t="shared" si="23"/>
        <v>0</v>
      </c>
    </row>
    <row r="24" spans="2:51" ht="12.75" customHeight="1" x14ac:dyDescent="0.2">
      <c r="B24" s="190">
        <f>'4. Customer Growth'!B20</f>
        <v>2009</v>
      </c>
      <c r="C24" s="70">
        <f>IF($B$18='2. Customer Classes'!$B$14,+SUM('3. Consumption by Rate Class'!$D$61:$D$72),+IF($B$18='2. Customer Classes'!$B$15,+SUM('3. Consumption by Rate Class'!$F$61:$F$72),+IF($B$18='2. Customer Classes'!$B$16,+SUM('3. Consumption by Rate Class'!$H$61:$H$72),+IF($B$18='2. Customer Classes'!$B$17,+SUM('3. Consumption by Rate Class'!$J$61:$J$72),+IF($B$18='2. Customer Classes'!$B$18,+SUM('3. Consumption by Rate Class'!$L$61:$L$72),+IF($B$18='2. Customer Classes'!$B$19,+SUM('3. Consumption by Rate Class'!$O$61:$O$72),IF($B$18='2. Customer Classes'!$B$20,+SUM('3. Consumption by Rate Class'!$R$61:$R$72),0)))))))</f>
        <v>52230300</v>
      </c>
      <c r="D24" s="456"/>
      <c r="E24" s="70">
        <f t="shared" si="2"/>
        <v>52230300</v>
      </c>
      <c r="F24" s="70">
        <f>+IF($B$18='2. Customer Classes'!$B$18,+SUM('3. Consumption by Rate Class'!$M$61:$M$72),+IF($B$18='2. Customer Classes'!$B$19,+SUM('3. Consumption by Rate Class'!$P$61:$P$72),IF($B$18='2. Customer Classes'!$B$20,+SUM('3. Consumption by Rate Class'!$S$61:$S$72),0)))</f>
        <v>141729</v>
      </c>
      <c r="G24" s="70">
        <f>IF($B$18='2. Customer Classes'!$B$14,+'4. Customer Growth'!$C20,+IF($B$18='2. Customer Classes'!$B$15,+'4. Customer Growth'!$E20,+IF($B$18='2. Customer Classes'!$B$16,+'4. Customer Growth'!$G20,+IF($B$18='2. Customer Classes'!$B$17,+'4. Customer Growth'!$I20,+IF($B$18='2. Customer Classes'!$B$18,+'4. Customer Growth'!$K20,+IF($B$18='2. Customer Classes'!$B$19,+'4. Customer Growth'!$M20,IF($B$18='2. Customer Classes'!$B$20,+'4. Customer Growth'!$O20,0)))))))</f>
        <v>66</v>
      </c>
      <c r="H24" s="374">
        <f t="shared" si="3"/>
        <v>791368.18181818177</v>
      </c>
      <c r="I24" s="377">
        <f t="shared" si="4"/>
        <v>2147.409090909091</v>
      </c>
      <c r="J24" s="340">
        <f t="shared" si="5"/>
        <v>2.7135398418159573E-3</v>
      </c>
      <c r="K24" s="183"/>
      <c r="L24" s="183"/>
      <c r="M24" s="190">
        <f t="shared" si="0"/>
        <v>2009</v>
      </c>
      <c r="N24" s="70">
        <f>IF($M$18='2. Customer Classes'!$B$14,+SUM('3. Consumption by Rate Class'!$D$61:$D$72),+IF($M$18='2. Customer Classes'!$B$15,+SUM('3. Consumption by Rate Class'!$F$61:$F$72),+IF($M$18='2. Customer Classes'!$B$16,+SUM('3. Consumption by Rate Class'!$H$61:$H$72),+IF($M$18='2. Customer Classes'!$B$17,+SUM('3. Consumption by Rate Class'!$J$61:$J$72),+IF($M$18='2. Customer Classes'!$B$18,+SUM('3. Consumption by Rate Class'!$L$61:$L$72),+IF($M$18='2. Customer Classes'!$B$19,+SUM('3. Consumption by Rate Class'!$O$61:$O$72),IF($M$18='2. Customer Classes'!$B$20,+SUM('3. Consumption by Rate Class'!$R$61:$R$72),0)))))))</f>
        <v>1114732</v>
      </c>
      <c r="O24" s="456"/>
      <c r="P24" s="70">
        <f t="shared" si="6"/>
        <v>1114732</v>
      </c>
      <c r="Q24" s="225">
        <f>+IF($M$18='2. Customer Classes'!$B$18,+SUM('3. Consumption by Rate Class'!$M$61:$M$72),+IF($M$18='2. Customer Classes'!$B$19,+SUM('3. Consumption by Rate Class'!$P$61:$P$72),IF($M$18='2. Customer Classes'!$B$20,+SUM('3. Consumption by Rate Class'!$S$61:$S$72),0)))</f>
        <v>3092</v>
      </c>
      <c r="R24" s="225">
        <f>IF($M$18='2. Customer Classes'!$B$14,+'4. Customer Growth'!$C20,+IF($M$18='2. Customer Classes'!$B$15,+'4. Customer Growth'!$E20,+IF($M$18='2. Customer Classes'!$B$16,+'4. Customer Growth'!$G20,+IF($M$18='2. Customer Classes'!$B$17,+'4. Customer Growth'!$I20,+IF($M$18='2. Customer Classes'!$B$18,+'4. Customer Growth'!$K20,+IF($M$18='2. Customer Classes'!$B$19,+'4. Customer Growth'!$M20,IF($M$18='2. Customer Classes'!$B$20,+'4. Customer Growth'!$O20,0)))))))</f>
        <v>1167</v>
      </c>
      <c r="S24" s="374">
        <f t="shared" si="7"/>
        <v>955.21165381319622</v>
      </c>
      <c r="T24" s="377">
        <f t="shared" si="8"/>
        <v>2.6495287060839758</v>
      </c>
      <c r="U24" s="340">
        <f t="shared" si="9"/>
        <v>2.7737608680830908E-3</v>
      </c>
      <c r="V24" s="64"/>
      <c r="W24" s="190">
        <f t="shared" si="1"/>
        <v>2009</v>
      </c>
      <c r="X24" s="70">
        <f>IF($W$18='2. Customer Classes'!$B$14,+SUM('3. Consumption by Rate Class'!$D$61:$D$72),+IF($W$18='2. Customer Classes'!$B$15,+SUM('3. Consumption by Rate Class'!$F$61:$F$72),+IF($W$18='2. Customer Classes'!$B$16,+SUM('3. Consumption by Rate Class'!$H$61:$H$72),+IF($W$18='2. Customer Classes'!$B$17,+SUM('3. Consumption by Rate Class'!$J$61:$J$72),+IF($W$18='2. Customer Classes'!$B$18,+SUM('3. Consumption by Rate Class'!$L$61:$L$72),+IF($W$18='2. Customer Classes'!$B$19,+SUM('3. Consumption by Rate Class'!$O$61:$O$72),IF($W$18='2. Customer Classes'!$B$20,+SUM('3. Consumption by Rate Class'!$R$61:$R$72),0)))))))</f>
        <v>0</v>
      </c>
      <c r="Y24" s="456"/>
      <c r="Z24" s="70">
        <f t="shared" si="10"/>
        <v>0</v>
      </c>
      <c r="AA24" s="538">
        <f>+IF($W$18='2. Customer Classes'!$B$18,+SUM('3. Consumption by Rate Class'!$M$61:$M$72),+IF($W$18='2. Customer Classes'!$B$19,+SUM('3. Consumption by Rate Class'!$P$61:$P$72),IF($W$18='2. Customer Classes'!$B$20,+SUM('3. Consumption by Rate Class'!$S$61:$S$72),0)))</f>
        <v>0</v>
      </c>
      <c r="AB24" s="225">
        <f>IF($W$18='2. Customer Classes'!$B$14,+'4. Customer Growth'!$C20,+IF($W$18='2. Customer Classes'!$B$15,+'4. Customer Growth'!$E20,+IF($W$18='2. Customer Classes'!$B$16,+'4. Customer Growth'!$G20,+IF($W$18='2. Customer Classes'!$B$17,+'4. Customer Growth'!$I20,+IF($W$18='2. Customer Classes'!$B$18,+'4. Customer Growth'!$K20,+IF($W$18='2. Customer Classes'!$B$19,+'4. Customer Growth'!$M20,IF($W$18='2. Customer Classes'!$B$20,+'4. Customer Growth'!$O20,0)))))))</f>
        <v>0</v>
      </c>
      <c r="AC24" s="374">
        <f t="shared" si="11"/>
        <v>0</v>
      </c>
      <c r="AD24" s="377">
        <f t="shared" si="12"/>
        <v>0</v>
      </c>
      <c r="AE24" s="340">
        <f t="shared" si="13"/>
        <v>0</v>
      </c>
      <c r="AG24" s="355">
        <f t="shared" si="14"/>
        <v>2009</v>
      </c>
      <c r="AH24" s="70">
        <f>IF($AG$18='2. Customer Classes'!$B$14,+SUM('3. Consumption by Rate Class'!$D$61:$D$72),+IF($AG$18='2. Customer Classes'!$B$15,+SUM('3. Consumption by Rate Class'!$F$61:$F$72),+IF($AG$18='2. Customer Classes'!$B$16,+SUM('3. Consumption by Rate Class'!$H$61:$H$72),+IF($AG$18='2. Customer Classes'!$B$17,+SUM('3. Consumption by Rate Class'!$J$61:$J$72),+IF($AG$18='2. Customer Classes'!$B$18,+SUM('3. Consumption by Rate Class'!$L$61:$L$72),+IF($AG$18='2. Customer Classes'!$B$19,+SUM('3. Consumption by Rate Class'!$O$61:$O$72),IF($AG$18='2. Customer Classes'!$B$20,+SUM('3. Consumption by Rate Class'!$R$61:$R$72),IF($AG$18='2. Customer Classes'!$B$21,+SUM('3. Consumption by Rate Class'!$U$61:$U$72),0))))))))</f>
        <v>140485</v>
      </c>
      <c r="AI24" s="456"/>
      <c r="AJ24" s="70">
        <f t="shared" si="15"/>
        <v>140485</v>
      </c>
      <c r="AK24" s="225">
        <f>+IF($AG$18='2. Customer Classes'!$B$18,+SUM('3. Consumption by Rate Class'!$M$61:$M$72),+IF($AG$18='2. Customer Classes'!$B$19,+SUM('3. Consumption by Rate Class'!$P$61:$P$72),IF($AG$18='2. Customer Classes'!$B$20,+SUM('3. Consumption by Rate Class'!$S$61:$S$72),IF($AG$18='2. Customer Classes'!$B$21,+SUM('3. Consumption by Rate Class'!$V$61:$V$72),0))))</f>
        <v>0</v>
      </c>
      <c r="AL24" s="225">
        <f>IF($AG$18='2. Customer Classes'!$B$14,+'4. Customer Growth'!$C20,+IF($AG$18='2. Customer Classes'!$B$15,+'4. Customer Growth'!$E20,+IF($AG$18='2. Customer Classes'!$B$16,+'4. Customer Growth'!$G20,+IF($AG$18='2. Customer Classes'!$B$17,+'4. Customer Growth'!$I20,+IF($AG$18='2. Customer Classes'!$B$18,+'4. Customer Growth'!$K20,+IF($AG$18='2. Customer Classes'!$B$19,+'4. Customer Growth'!$M20,IF($AG$18='2. Customer Classes'!$B$20,+'4. Customer Growth'!$O20,IF($AG$18='2. Customer Classes'!$B$21,+'4. Customer Growth'!$Q20,0))))))))</f>
        <v>30</v>
      </c>
      <c r="AM24" s="374">
        <f t="shared" si="16"/>
        <v>4682.833333333333</v>
      </c>
      <c r="AN24" s="377">
        <f t="shared" si="17"/>
        <v>0</v>
      </c>
      <c r="AO24" s="340">
        <f t="shared" si="18"/>
        <v>0</v>
      </c>
      <c r="AQ24" s="355">
        <f t="shared" si="19"/>
        <v>2009</v>
      </c>
      <c r="AR24" s="70">
        <f>IF($AQ$18='2. Customer Classes'!$B$14,+SUM('3. Consumption by Rate Class'!$D$61:$D$72),+IF($AQ$18='2. Customer Classes'!$B$15,+SUM('3. Consumption by Rate Class'!$F$61:$F$72),+IF($AQ$18='2. Customer Classes'!$B$16,+SUM('3. Consumption by Rate Class'!$H$61:$H$72),+IF($AQ$18='2. Customer Classes'!$B$17,+SUM('3. Consumption by Rate Class'!$J$61:$J$72),+IF($AQ$18='2. Customer Classes'!$B$18,+SUM('3. Consumption by Rate Class'!$L$61:$L$72),+IF($AQ$18='2. Customer Classes'!$B$19,+SUM('3. Consumption by Rate Class'!$O$61:$O$72),IF($AQ$18='2. Customer Classes'!$B$20,+SUM('3. Consumption by Rate Class'!$R$61:$R$72),0)))))))</f>
        <v>0</v>
      </c>
      <c r="AS24" s="456"/>
      <c r="AT24" s="70">
        <f t="shared" si="20"/>
        <v>0</v>
      </c>
      <c r="AU24" s="225">
        <f>+IF($AQ$18='2. Customer Classes'!$B$18,+SUM('3. Consumption by Rate Class'!$M$61:$M$72),+IF($AQ$18='2. Customer Classes'!$B$19,+SUM('3. Consumption by Rate Class'!$P$61:$P$72),IF($AQ$18='2. Customer Classes'!$B$20,+SUM('3. Consumption by Rate Class'!$S$61:$S$72),0)))</f>
        <v>0</v>
      </c>
      <c r="AV24" s="225">
        <f>IF($AQ$18='2. Customer Classes'!$B$14,+'4. Customer Growth'!$C20,+IF($AQ$18='2. Customer Classes'!$B$15,+'4. Customer Growth'!$E20,+IF($AQ$18='2. Customer Classes'!$B$16,+'4. Customer Growth'!$G20,+IF($AQ$18='2. Customer Classes'!$B$17,+'4. Customer Growth'!$I20,+IF($AQ$18='2. Customer Classes'!$B$18,+'4. Customer Growth'!$K20,+IF($AQ$18='2. Customer Classes'!$B$19,+'4. Customer Growth'!$M20,IF($AQ$18='2. Customer Classes'!$B$20,+'4. Customer Growth'!$O20,0)))))))</f>
        <v>0</v>
      </c>
      <c r="AW24" s="374">
        <f t="shared" si="21"/>
        <v>0</v>
      </c>
      <c r="AX24" s="377">
        <f t="shared" si="22"/>
        <v>0</v>
      </c>
      <c r="AY24" s="340">
        <f t="shared" si="23"/>
        <v>0</v>
      </c>
    </row>
    <row r="25" spans="2:51" ht="12.75" customHeight="1" x14ac:dyDescent="0.2">
      <c r="B25" s="190">
        <f>'4. Customer Growth'!B21</f>
        <v>2010</v>
      </c>
      <c r="C25" s="70">
        <f>IF($B$18='2. Customer Classes'!$B$14,+SUM('3. Consumption by Rate Class'!$D$73:$D$84),+IF($B$18='2. Customer Classes'!$B$15,+SUM('3. Consumption by Rate Class'!$F$73:$F$84),+IF($B$18='2. Customer Classes'!$B$16,+SUM('3. Consumption by Rate Class'!$H$73:$H$84),+IF($B$18='2. Customer Classes'!$B$17,+SUM('3. Consumption by Rate Class'!$J$73:$J$84),+IF($B$18='2. Customer Classes'!$B$18,+SUM('3. Consumption by Rate Class'!$L$73:$L$84),+IF($B$18='2. Customer Classes'!$B$19,+SUM('3. Consumption by Rate Class'!$O$73:$O$84),IF($B$18='2. Customer Classes'!$B$20,+SUM('3. Consumption by Rate Class'!$R$73:$R$84),0)))))))</f>
        <v>51703213</v>
      </c>
      <c r="D25" s="456"/>
      <c r="E25" s="70">
        <f t="shared" si="2"/>
        <v>51703213</v>
      </c>
      <c r="F25" s="70">
        <f>+IF($B$18='2. Customer Classes'!$B$18,+SUM('3. Consumption by Rate Class'!$M$73:$M$84),+IF($B$18='2. Customer Classes'!$B$19,+SUM('3. Consumption by Rate Class'!$P$73:$P$84),IF($B$18='2. Customer Classes'!$B$20,+SUM('3. Consumption by Rate Class'!$S$73:$S$84),0)))</f>
        <v>141797</v>
      </c>
      <c r="G25" s="70">
        <f>IF($B$18='2. Customer Classes'!$B$14,+'4. Customer Growth'!$C21,+IF($B$18='2. Customer Classes'!$B$15,+'4. Customer Growth'!$E21,+IF($B$18='2. Customer Classes'!$B$16,+'4. Customer Growth'!$G21,+IF($B$18='2. Customer Classes'!$B$17,+'4. Customer Growth'!$I21,+IF($B$18='2. Customer Classes'!$B$18,+'4. Customer Growth'!$K21,+IF($B$18='2. Customer Classes'!$B$19,+'4. Customer Growth'!$M21,IF($B$18='2. Customer Classes'!$B$20,+'4. Customer Growth'!$O21,0)))))))</f>
        <v>59</v>
      </c>
      <c r="H25" s="374">
        <f t="shared" si="3"/>
        <v>876325.64406779665</v>
      </c>
      <c r="I25" s="377">
        <f t="shared" si="4"/>
        <v>2403.3389830508477</v>
      </c>
      <c r="J25" s="340">
        <f t="shared" si="5"/>
        <v>2.7425181487270435E-3</v>
      </c>
      <c r="K25" s="183"/>
      <c r="L25" s="183"/>
      <c r="M25" s="190">
        <f t="shared" si="0"/>
        <v>2010</v>
      </c>
      <c r="N25" s="70">
        <f>IF($M$18='2. Customer Classes'!$B$14,+SUM('3. Consumption by Rate Class'!$D$73:$D$84),+IF($M$18='2. Customer Classes'!$B$15,+SUM('3. Consumption by Rate Class'!$F$73:$F$84),+IF($M$18='2. Customer Classes'!$B$16,+SUM('3. Consumption by Rate Class'!$H$73:$H$84),+IF($M$18='2. Customer Classes'!$B$17,+SUM('3. Consumption by Rate Class'!$J$73:$J$84),+IF($M$18='2. Customer Classes'!$B$18,+SUM('3. Consumption by Rate Class'!$L$73:$L$84),+IF($M$18='2. Customer Classes'!$B$19,+SUM('3. Consumption by Rate Class'!$O$73:$O$84),IF($M$18='2. Customer Classes'!$B$20,+SUM('3. Consumption by Rate Class'!$R$73:$R$84),0)))))))</f>
        <v>1116726</v>
      </c>
      <c r="O25" s="456"/>
      <c r="P25" s="70">
        <f t="shared" si="6"/>
        <v>1116726</v>
      </c>
      <c r="Q25" s="225">
        <f>+IF($M$18='2. Customer Classes'!$B$18,+SUM('3. Consumption by Rate Class'!$M$73:$M$84),+IF($M$18='2. Customer Classes'!$B$19,+SUM('3. Consumption by Rate Class'!$P$73:$P$84),IF($M$18='2. Customer Classes'!$B$20,+SUM('3. Consumption by Rate Class'!$S$73:$S$84),0)))</f>
        <v>3098</v>
      </c>
      <c r="R25" s="225">
        <f>IF($M$18='2. Customer Classes'!$B$14,+'4. Customer Growth'!$C21,+IF($M$18='2. Customer Classes'!$B$15,+'4. Customer Growth'!$E21,+IF($M$18='2. Customer Classes'!$B$16,+'4. Customer Growth'!$G21,+IF($M$18='2. Customer Classes'!$B$17,+'4. Customer Growth'!$I21,+IF($M$18='2. Customer Classes'!$B$18,+'4. Customer Growth'!$K21,+IF($M$18='2. Customer Classes'!$B$19,+'4. Customer Growth'!$M21,IF($M$18='2. Customer Classes'!$B$20,+'4. Customer Growth'!$O21,0)))))))</f>
        <v>1174</v>
      </c>
      <c r="S25" s="374">
        <f t="shared" si="7"/>
        <v>951.21465076660991</v>
      </c>
      <c r="T25" s="377">
        <f t="shared" si="8"/>
        <v>2.6388415672913119</v>
      </c>
      <c r="U25" s="340">
        <f t="shared" si="9"/>
        <v>2.7741809539672218E-3</v>
      </c>
      <c r="V25" s="64"/>
      <c r="W25" s="190">
        <f t="shared" si="1"/>
        <v>2010</v>
      </c>
      <c r="X25" s="70">
        <f>IF($W$18='2. Customer Classes'!$B$14,+SUM('3. Consumption by Rate Class'!$D$73:$D$84),+IF($W$18='2. Customer Classes'!$B$15,+SUM('3. Consumption by Rate Class'!$F$73:$F$84),+IF($W$18='2. Customer Classes'!$B$16,+SUM('3. Consumption by Rate Class'!$H$73:$H$84),+IF($W$18='2. Customer Classes'!$B$17,+SUM('3. Consumption by Rate Class'!$J$73:$J$84),+IF($W$18='2. Customer Classes'!$B$18,+SUM('3. Consumption by Rate Class'!$L$73:$L$84),+IF($W$18='2. Customer Classes'!$B$19,+SUM('3. Consumption by Rate Class'!$O$73:$O$84),IF($W$18='2. Customer Classes'!$B$20,+SUM('3. Consumption by Rate Class'!$R$73:$R$84),0)))))))</f>
        <v>0</v>
      </c>
      <c r="Y25" s="456"/>
      <c r="Z25" s="70">
        <f t="shared" si="10"/>
        <v>0</v>
      </c>
      <c r="AA25" s="225">
        <f>+IF($W$18='2. Customer Classes'!$B$18,+SUM('3. Consumption by Rate Class'!$M$73:$M$84),+IF($W$18='2. Customer Classes'!$B$19,+SUM('3. Consumption by Rate Class'!$P$73:$P$84),IF($W$18='2. Customer Classes'!$B$20,+SUM('3. Consumption by Rate Class'!$S$73:$S$84),0)))</f>
        <v>0</v>
      </c>
      <c r="AB25" s="225">
        <f>IF($W$18='2. Customer Classes'!$B$14,+'4. Customer Growth'!$C21,+IF($W$18='2. Customer Classes'!$B$15,+'4. Customer Growth'!$E21,+IF($W$18='2. Customer Classes'!$B$16,+'4. Customer Growth'!$G21,+IF($W$18='2. Customer Classes'!$B$17,+'4. Customer Growth'!$I21,+IF($W$18='2. Customer Classes'!$B$18,+'4. Customer Growth'!$K21,+IF($W$18='2. Customer Classes'!$B$19,+'4. Customer Growth'!$M21,IF($W$18='2. Customer Classes'!$B$20,+'4. Customer Growth'!$O21,0)))))))</f>
        <v>0</v>
      </c>
      <c r="AC25" s="374">
        <f t="shared" si="11"/>
        <v>0</v>
      </c>
      <c r="AD25" s="377">
        <f t="shared" si="12"/>
        <v>0</v>
      </c>
      <c r="AE25" s="340">
        <f t="shared" si="13"/>
        <v>0</v>
      </c>
      <c r="AG25" s="355">
        <f t="shared" si="14"/>
        <v>2010</v>
      </c>
      <c r="AH25" s="70">
        <f>IF($AG$18='2. Customer Classes'!$B$14,+SUM('3. Consumption by Rate Class'!$D$73:$D$84),+IF($AG$18='2. Customer Classes'!$B$15,+SUM('3. Consumption by Rate Class'!$F$73:$F$84),+IF($AG$18='2. Customer Classes'!$B$16,+SUM('3. Consumption by Rate Class'!$H$73:$H$84),+IF($AG$18='2. Customer Classes'!$B$17,+SUM('3. Consumption by Rate Class'!$J$73:$J$84),+IF($AG$18='2. Customer Classes'!$B$18,+SUM('3. Consumption by Rate Class'!$L$73:$L$84),+IF($AG$18='2. Customer Classes'!$B$19,+SUM('3. Consumption by Rate Class'!$O$73:$O$84),IF($AG$18='2. Customer Classes'!$B$20,+SUM('3. Consumption by Rate Class'!$R$73:$R$84),IF($AG$18='2. Customer Classes'!$B$21,+SUM('3. Consumption by Rate Class'!$U$73:$U$84),0))))))))</f>
        <v>150176</v>
      </c>
      <c r="AI25" s="456"/>
      <c r="AJ25" s="70">
        <f t="shared" si="15"/>
        <v>150176</v>
      </c>
      <c r="AK25" s="225">
        <f>+IF($AG$18='2. Customer Classes'!$B$18,+SUM('3. Consumption by Rate Class'!$M$73:$M$84),+IF($AG$18='2. Customer Classes'!$B$19,+SUM('3. Consumption by Rate Class'!$P$73:$P$84),IF($AG$18='2. Customer Classes'!$B$20,+SUM('3. Consumption by Rate Class'!$S$73:$S$84),IF($AG$18='2. Customer Classes'!$B$21,+SUM('3. Consumption by Rate Class'!$V$73:$V$84),0))))</f>
        <v>0</v>
      </c>
      <c r="AL25" s="225">
        <f>IF($AG$18='2. Customer Classes'!$B$14,+'4. Customer Growth'!$C21,+IF($AG$18='2. Customer Classes'!$B$15,+'4. Customer Growth'!$E21,+IF($AG$18='2. Customer Classes'!$B$16,+'4. Customer Growth'!$G21,+IF($AG$18='2. Customer Classes'!$B$17,+'4. Customer Growth'!$I21,+IF($AG$18='2. Customer Classes'!$B$18,+'4. Customer Growth'!$K21,+IF($AG$18='2. Customer Classes'!$B$19,+'4. Customer Growth'!$M21,IF($AG$18='2. Customer Classes'!$B$20,+'4. Customer Growth'!$O21,IF($AG$18='2. Customer Classes'!$B$21,+'4. Customer Growth'!$Q21,0))))))))</f>
        <v>34</v>
      </c>
      <c r="AM25" s="374">
        <f t="shared" si="16"/>
        <v>4416.9411764705883</v>
      </c>
      <c r="AN25" s="377">
        <f t="shared" si="17"/>
        <v>0</v>
      </c>
      <c r="AO25" s="340">
        <f t="shared" si="18"/>
        <v>0</v>
      </c>
      <c r="AQ25" s="355">
        <f t="shared" si="19"/>
        <v>2010</v>
      </c>
      <c r="AR25" s="70">
        <f>IF($AQ$18='2. Customer Classes'!$B$14,+SUM('3. Consumption by Rate Class'!$D$73:$D$84),+IF($AQ$18='2. Customer Classes'!$B$15,+SUM('3. Consumption by Rate Class'!$F$73:$F$84),+IF($AQ$18='2. Customer Classes'!$B$16,+SUM('3. Consumption by Rate Class'!$H$73:$H$84),+IF($AQ$18='2. Customer Classes'!$B$17,+SUM('3. Consumption by Rate Class'!$J$73:$J$84),+IF($AQ$18='2. Customer Classes'!$B$18,+SUM('3. Consumption by Rate Class'!$L$73:$L$84),+IF($AQ$18='2. Customer Classes'!$B$19,+SUM('3. Consumption by Rate Class'!$O$73:$O$84),IF($AQ$18='2. Customer Classes'!$B$20,+SUM('3. Consumption by Rate Class'!$R$73:$R$84),0)))))))</f>
        <v>0</v>
      </c>
      <c r="AS25" s="456"/>
      <c r="AT25" s="70">
        <f t="shared" si="20"/>
        <v>0</v>
      </c>
      <c r="AU25" s="225">
        <f>+IF($AQ$18='2. Customer Classes'!$B$18,+SUM('3. Consumption by Rate Class'!$M$73:$M$84),+IF($AQ$18='2. Customer Classes'!$B$19,+SUM('3. Consumption by Rate Class'!$P$73:$P$84),IF($AQ$18='2. Customer Classes'!$B$20,+SUM('3. Consumption by Rate Class'!$S$73:$S$84),0)))</f>
        <v>0</v>
      </c>
      <c r="AV25" s="225">
        <f>IF($AQ$18='2. Customer Classes'!$B$14,+'4. Customer Growth'!$C21,+IF($AQ$18='2. Customer Classes'!$B$15,+'4. Customer Growth'!$E21,+IF($AQ$18='2. Customer Classes'!$B$16,+'4. Customer Growth'!$G21,+IF($AQ$18='2. Customer Classes'!$B$17,+'4. Customer Growth'!$I21,+IF($AQ$18='2. Customer Classes'!$B$18,+'4. Customer Growth'!$K21,+IF($AQ$18='2. Customer Classes'!$B$19,+'4. Customer Growth'!$M21,IF($AQ$18='2. Customer Classes'!$B$20,+'4. Customer Growth'!$O21,0)))))))</f>
        <v>0</v>
      </c>
      <c r="AW25" s="374">
        <f t="shared" si="21"/>
        <v>0</v>
      </c>
      <c r="AX25" s="377">
        <f t="shared" si="22"/>
        <v>0</v>
      </c>
      <c r="AY25" s="340">
        <f t="shared" si="23"/>
        <v>0</v>
      </c>
    </row>
    <row r="26" spans="2:51" ht="12.75" customHeight="1" x14ac:dyDescent="0.2">
      <c r="B26" s="190">
        <f>'4. Customer Growth'!B22</f>
        <v>2011</v>
      </c>
      <c r="C26" s="70">
        <f>IF($B$18='2. Customer Classes'!$B$14,+SUM('3. Consumption by Rate Class'!$D$85:$D$96),+IF($B$18='2. Customer Classes'!$B$15,+SUM('3. Consumption by Rate Class'!$F$85:$F$96),+IF($B$18='2. Customer Classes'!$B$16,+SUM('3. Consumption by Rate Class'!$H$85:$H$96),+IF($B$18='2. Customer Classes'!$B$17,+SUM('3. Consumption by Rate Class'!$J$85:$J$96),+IF($B$18='2. Customer Classes'!$B$18,+SUM('3. Consumption by Rate Class'!$L$85:$L$96),+IF($B$18='2. Customer Classes'!$B$19,+SUM('3. Consumption by Rate Class'!$O$85:$O$96),IF($B$18='2. Customer Classes'!$B$20,+SUM('3. Consumption by Rate Class'!$R$85:$R$96),0)))))))</f>
        <v>46521147</v>
      </c>
      <c r="D26" s="456"/>
      <c r="E26" s="70">
        <f t="shared" si="2"/>
        <v>46521147</v>
      </c>
      <c r="F26" s="70">
        <f>+IF($B$18='2. Customer Classes'!$B$18,+SUM('3. Consumption by Rate Class'!$M$85:$M$96),+IF($B$18='2. Customer Classes'!$B$19,+SUM('3. Consumption by Rate Class'!$P$85:$P$96),IF($B$18='2. Customer Classes'!$B$20,+SUM('3. Consumption by Rate Class'!$S$85:$S$96),0)))</f>
        <v>130980</v>
      </c>
      <c r="G26" s="70">
        <f>IF($B$18='2. Customer Classes'!$B$14,+'4. Customer Growth'!$C22,+IF($B$18='2. Customer Classes'!$B$15,+'4. Customer Growth'!$E22,+IF($B$18='2. Customer Classes'!$B$16,+'4. Customer Growth'!$G22,+IF($B$18='2. Customer Classes'!$B$17,+'4. Customer Growth'!$I22,+IF($B$18='2. Customer Classes'!$B$18,+'4. Customer Growth'!$K22,+IF($B$18='2. Customer Classes'!$B$19,+'4. Customer Growth'!$M22,IF($B$18='2. Customer Classes'!$B$20,+'4. Customer Growth'!$O22,0)))))))</f>
        <v>59</v>
      </c>
      <c r="H26" s="374">
        <f t="shared" si="3"/>
        <v>788494.01694915257</v>
      </c>
      <c r="I26" s="377">
        <f t="shared" si="4"/>
        <v>2220</v>
      </c>
      <c r="J26" s="340">
        <f t="shared" si="5"/>
        <v>2.815493779635313E-3</v>
      </c>
      <c r="K26" s="183"/>
      <c r="L26" s="183"/>
      <c r="M26" s="190">
        <f t="shared" si="0"/>
        <v>2011</v>
      </c>
      <c r="N26" s="70">
        <f>IF($M$18='2. Customer Classes'!$B$14,+SUM('3. Consumption by Rate Class'!$D$85:$D$96),+IF($M$18='2. Customer Classes'!$B$15,+SUM('3. Consumption by Rate Class'!$F$85:$F$96),+IF($M$18='2. Customer Classes'!$B$16,+SUM('3. Consumption by Rate Class'!$H$85:$H$96),+IF($M$18='2. Customer Classes'!$B$17,+SUM('3. Consumption by Rate Class'!$J$85:$J$96),+IF($M$18='2. Customer Classes'!$B$18,+SUM('3. Consumption by Rate Class'!$L$85:$L$96),+IF($M$18='2. Customer Classes'!$B$19,+SUM('3. Consumption by Rate Class'!$O$85:$O$96),IF($M$18='2. Customer Classes'!$B$20,+SUM('3. Consumption by Rate Class'!$R$85:$R$96),0)))))))</f>
        <v>1118574</v>
      </c>
      <c r="O26" s="456"/>
      <c r="P26" s="70">
        <f t="shared" si="6"/>
        <v>1118574</v>
      </c>
      <c r="Q26" s="225">
        <f>+IF($M$18='2. Customer Classes'!$B$18,+SUM('3. Consumption by Rate Class'!$M$85:$M$96),+IF($M$18='2. Customer Classes'!$B$19,+SUM('3. Consumption by Rate Class'!$P$85:$P$96),IF($M$18='2. Customer Classes'!$B$20,+SUM('3. Consumption by Rate Class'!$S$85:$S$96),0)))</f>
        <v>3099</v>
      </c>
      <c r="R26" s="225">
        <f>IF($M$18='2. Customer Classes'!$B$14,+'4. Customer Growth'!$C22,+IF($M$18='2. Customer Classes'!$B$15,+'4. Customer Growth'!$E22,+IF($M$18='2. Customer Classes'!$B$16,+'4. Customer Growth'!$G22,+IF($M$18='2. Customer Classes'!$B$17,+'4. Customer Growth'!$I22,+IF($M$18='2. Customer Classes'!$B$18,+'4. Customer Growth'!$K22,+IF($M$18='2. Customer Classes'!$B$19,+'4. Customer Growth'!$M22,IF($M$18='2. Customer Classes'!$B$20,+'4. Customer Growth'!$O22,0)))))))</f>
        <v>1176</v>
      </c>
      <c r="S26" s="374">
        <f t="shared" si="7"/>
        <v>951.16836734693879</v>
      </c>
      <c r="T26" s="377">
        <f t="shared" si="8"/>
        <v>2.635204081632653</v>
      </c>
      <c r="U26" s="340">
        <f t="shared" si="9"/>
        <v>2.7704917153447157E-3</v>
      </c>
      <c r="V26" s="64"/>
      <c r="W26" s="190">
        <f t="shared" si="1"/>
        <v>2011</v>
      </c>
      <c r="X26" s="70">
        <f>IF($W$18='2. Customer Classes'!$B$14,+SUM('3. Consumption by Rate Class'!$D$85:$D$96),+IF($W$18='2. Customer Classes'!$B$15,+SUM('3. Consumption by Rate Class'!$F$85:$F$96),+IF($W$18='2. Customer Classes'!$B$16,+SUM('3. Consumption by Rate Class'!$H$85:$H$96),+IF($W$18='2. Customer Classes'!$B$17,+SUM('3. Consumption by Rate Class'!$J$85:$J$96),+IF($W$18='2. Customer Classes'!$B$18,+SUM('3. Consumption by Rate Class'!$L$85:$L$96),+IF($W$18='2. Customer Classes'!$B$19,+SUM('3. Consumption by Rate Class'!$O$85:$O$96),IF($W$18='2. Customer Classes'!$B$20,+SUM('3. Consumption by Rate Class'!$R$85:$R$96),0)))))))</f>
        <v>0</v>
      </c>
      <c r="Y26" s="456"/>
      <c r="Z26" s="70">
        <f t="shared" si="10"/>
        <v>0</v>
      </c>
      <c r="AA26" s="225">
        <f>+IF($W$18='2. Customer Classes'!$B$18,+SUM('3. Consumption by Rate Class'!$M$85:$M$96),+IF($W$18='2. Customer Classes'!$B$19,+SUM('3. Consumption by Rate Class'!$P$85:$P$96),IF($W$18='2. Customer Classes'!$B$20,+SUM('3. Consumption by Rate Class'!$S$85:$S$96),0)))</f>
        <v>0</v>
      </c>
      <c r="AB26" s="225">
        <f>IF($W$18='2. Customer Classes'!$B$14,+'4. Customer Growth'!$C22,+IF($W$18='2. Customer Classes'!$B$15,+'4. Customer Growth'!$E22,+IF($W$18='2. Customer Classes'!$B$16,+'4. Customer Growth'!$G22,+IF($W$18='2. Customer Classes'!$B$17,+'4. Customer Growth'!$I22,+IF($W$18='2. Customer Classes'!$B$18,+'4. Customer Growth'!$K22,+IF($W$18='2. Customer Classes'!$B$19,+'4. Customer Growth'!$M22,IF($W$18='2. Customer Classes'!$B$20,+'4. Customer Growth'!$O22,0)))))))</f>
        <v>0</v>
      </c>
      <c r="AC26" s="374">
        <f t="shared" si="11"/>
        <v>0</v>
      </c>
      <c r="AD26" s="377">
        <f t="shared" si="12"/>
        <v>0</v>
      </c>
      <c r="AE26" s="340">
        <f t="shared" si="13"/>
        <v>0</v>
      </c>
      <c r="AG26" s="355">
        <f t="shared" si="14"/>
        <v>2011</v>
      </c>
      <c r="AH26" s="70">
        <f>IF($AG$18='2. Customer Classes'!$B$14,+SUM('3. Consumption by Rate Class'!$D$85:$D$96),+IF($AG$18='2. Customer Classes'!$B$15,+SUM('3. Consumption by Rate Class'!$F$85:$F$96),+IF($AG$18='2. Customer Classes'!$B$16,+SUM('3. Consumption by Rate Class'!$H$85:$H$96),+IF($AG$18='2. Customer Classes'!$B$17,+SUM('3. Consumption by Rate Class'!$J$85:$J$96),+IF($AG$18='2. Customer Classes'!$B$18,+SUM('3. Consumption by Rate Class'!$L$85:$L$96),+IF($AG$18='2. Customer Classes'!$B$19,+SUM('3. Consumption by Rate Class'!$O$85:$O$96),IF($AG$18='2. Customer Classes'!$B$20,+SUM('3. Consumption by Rate Class'!$R$85:$R$96),IF($AG$18='2. Customer Classes'!$B$21,+SUM('3. Consumption by Rate Class'!$U$85:$U$96),0))))))))</f>
        <v>158921</v>
      </c>
      <c r="AI26" s="456"/>
      <c r="AJ26" s="70">
        <f t="shared" si="15"/>
        <v>158921</v>
      </c>
      <c r="AK26" s="225">
        <f>+IF($AG$18='2. Customer Classes'!$B$18,+SUM('3. Consumption by Rate Class'!$M$85:$M$96),+IF($AG$18='2. Customer Classes'!$B$19,+SUM('3. Consumption by Rate Class'!$P$85:$P$96),IF($AG$18='2. Customer Classes'!$B$20,+SUM('3. Consumption by Rate Class'!$S$85:$S$96),IF($AG$18='2. Customer Classes'!$B$21,+SUM('3. Consumption by Rate Class'!$V$85:$V$96),0))))</f>
        <v>0</v>
      </c>
      <c r="AL26" s="225">
        <f>IF($AG$18='2. Customer Classes'!$B$14,+'4. Customer Growth'!$C22,+IF($AG$18='2. Customer Classes'!$B$15,+'4. Customer Growth'!$E22,+IF($AG$18='2. Customer Classes'!$B$16,+'4. Customer Growth'!$G22,+IF($AG$18='2. Customer Classes'!$B$17,+'4. Customer Growth'!$I22,+IF($AG$18='2. Customer Classes'!$B$18,+'4. Customer Growth'!$K22,+IF($AG$18='2. Customer Classes'!$B$19,+'4. Customer Growth'!$M22,IF($AG$18='2. Customer Classes'!$B$20,+'4. Customer Growth'!$O22,IF($AG$18='2. Customer Classes'!$B$21,+'4. Customer Growth'!$Q22,0))))))))</f>
        <v>34</v>
      </c>
      <c r="AM26" s="374">
        <f t="shared" si="16"/>
        <v>4674.1470588235297</v>
      </c>
      <c r="AN26" s="377">
        <f t="shared" si="17"/>
        <v>0</v>
      </c>
      <c r="AO26" s="340">
        <f t="shared" si="18"/>
        <v>0</v>
      </c>
      <c r="AQ26" s="355">
        <f t="shared" si="19"/>
        <v>2011</v>
      </c>
      <c r="AR26" s="70">
        <f>IF($AQ$18='2. Customer Classes'!$B$14,+SUM('3. Consumption by Rate Class'!$D$85:$D$96),+IF($AQ$18='2. Customer Classes'!$B$15,+SUM('3. Consumption by Rate Class'!$F$85:$F$96),+IF($AQ$18='2. Customer Classes'!$B$16,+SUM('3. Consumption by Rate Class'!$H$85:$H$96),+IF($AQ$18='2. Customer Classes'!$B$17,+SUM('3. Consumption by Rate Class'!$J$85:$J$96),+IF($AQ$18='2. Customer Classes'!$B$18,+SUM('3. Consumption by Rate Class'!$L$85:$L$96),+IF($AQ$18='2. Customer Classes'!$B$19,+SUM('3. Consumption by Rate Class'!$O$85:$O$96),IF($AQ$18='2. Customer Classes'!$B$20,+SUM('3. Consumption by Rate Class'!$R$85:$R$96),0)))))))</f>
        <v>0</v>
      </c>
      <c r="AS26" s="456"/>
      <c r="AT26" s="70">
        <f t="shared" si="20"/>
        <v>0</v>
      </c>
      <c r="AU26" s="225">
        <f>+IF($AQ$18='2. Customer Classes'!$B$18,+SUM('3. Consumption by Rate Class'!$M$85:$M$96),+IF($AQ$18='2. Customer Classes'!$B$19,+SUM('3. Consumption by Rate Class'!$P$85:$P$96),IF($AQ$18='2. Customer Classes'!$B$20,+SUM('3. Consumption by Rate Class'!$S$85:$S$96),0)))</f>
        <v>0</v>
      </c>
      <c r="AV26" s="225">
        <f>IF($AQ$18='2. Customer Classes'!$B$14,+'4. Customer Growth'!$C22,+IF($AQ$18='2. Customer Classes'!$B$15,+'4. Customer Growth'!$E22,+IF($AQ$18='2. Customer Classes'!$B$16,+'4. Customer Growth'!$G22,+IF($AQ$18='2. Customer Classes'!$B$17,+'4. Customer Growth'!$I22,+IF($AQ$18='2. Customer Classes'!$B$18,+'4. Customer Growth'!$K22,+IF($AQ$18='2. Customer Classes'!$B$19,+'4. Customer Growth'!$M22,IF($AQ$18='2. Customer Classes'!$B$20,+'4. Customer Growth'!$O22,0)))))))</f>
        <v>0</v>
      </c>
      <c r="AW26" s="374">
        <f t="shared" si="21"/>
        <v>0</v>
      </c>
      <c r="AX26" s="377">
        <f t="shared" si="22"/>
        <v>0</v>
      </c>
      <c r="AY26" s="340">
        <f t="shared" si="23"/>
        <v>0</v>
      </c>
    </row>
    <row r="27" spans="2:51" ht="12.75" customHeight="1" x14ac:dyDescent="0.2">
      <c r="B27" s="190">
        <f>'4. Customer Growth'!B23</f>
        <v>2012</v>
      </c>
      <c r="C27" s="70">
        <f>IF($B$18='2. Customer Classes'!$B$14,+SUM('3. Consumption by Rate Class'!$D$97:$D$108),+IF($B$18='2. Customer Classes'!$B$15,+SUM('3. Consumption by Rate Class'!$F$97:$F$108),+IF($B$18='2. Customer Classes'!$B$16,+SUM('3. Consumption by Rate Class'!$H$97:$H$108),+IF($B$18='2. Customer Classes'!$B$17,+SUM('3. Consumption by Rate Class'!$J$97:$J$108),+IF($B$18='2. Customer Classes'!$B$18,+SUM('3. Consumption by Rate Class'!$L$97:$L$108),+IF($B$18='2. Customer Classes'!$B$19,+SUM('3. Consumption by Rate Class'!$O$97:$O$108),IF($B$18='2. Customer Classes'!$B$20,+SUM('3. Consumption by Rate Class'!$R$97:$R$108),0)))))))</f>
        <v>44095781</v>
      </c>
      <c r="D27" s="456"/>
      <c r="E27" s="70">
        <f t="shared" si="2"/>
        <v>44095781</v>
      </c>
      <c r="F27" s="70">
        <f>+IF($B$18='2. Customer Classes'!$B$18,+SUM('3. Consumption by Rate Class'!$M$97:$M$108),+IF($B$18='2. Customer Classes'!$B$19,+SUM('3. Consumption by Rate Class'!$P$97:$P$108),IF($B$18='2. Customer Classes'!$B$20,+SUM('3. Consumption by Rate Class'!$S$97:$S$108),0)))</f>
        <v>120379</v>
      </c>
      <c r="G27" s="70">
        <f>IF($B$18='2. Customer Classes'!$B$14,+'4. Customer Growth'!$C23,+IF($B$18='2. Customer Classes'!$B$15,+'4. Customer Growth'!$E23,+IF($B$18='2. Customer Classes'!$B$16,+'4. Customer Growth'!$G23,+IF($B$18='2. Customer Classes'!$B$17,+'4. Customer Growth'!$I23,+IF($B$18='2. Customer Classes'!$B$18,+'4. Customer Growth'!$K23,+IF($B$18='2. Customer Classes'!$B$19,+'4. Customer Growth'!$M23,IF($B$18='2. Customer Classes'!$B$20,+'4. Customer Growth'!$O23,0)))))))</f>
        <v>59</v>
      </c>
      <c r="H27" s="374">
        <f t="shared" si="3"/>
        <v>747386.11864406778</v>
      </c>
      <c r="I27" s="377">
        <f t="shared" si="4"/>
        <v>2040.3220338983051</v>
      </c>
      <c r="J27" s="340">
        <f t="shared" si="5"/>
        <v>2.7299437104878581E-3</v>
      </c>
      <c r="K27" s="183"/>
      <c r="L27" s="183"/>
      <c r="M27" s="190">
        <f t="shared" si="0"/>
        <v>2012</v>
      </c>
      <c r="N27" s="70">
        <f>IF($M$18='2. Customer Classes'!$B$14,+SUM('3. Consumption by Rate Class'!$D$97:$D$108),+IF($M$18='2. Customer Classes'!$B$15,+SUM('3. Consumption by Rate Class'!$F$97:$F$108),+IF($M$18='2. Customer Classes'!$B$16,+SUM('3. Consumption by Rate Class'!$H$97:$H$108),+IF($M$18='2. Customer Classes'!$B$17,+SUM('3. Consumption by Rate Class'!$J$97:$J$108),+IF($M$18='2. Customer Classes'!$B$18,+SUM('3. Consumption by Rate Class'!$L$97:$L$108),+IF($M$18='2. Customer Classes'!$B$19,+SUM('3. Consumption by Rate Class'!$O$97:$O$108),IF($M$18='2. Customer Classes'!$B$20,+SUM('3. Consumption by Rate Class'!$R$97:$R$108),0)))))))</f>
        <v>1121260</v>
      </c>
      <c r="O27" s="456"/>
      <c r="P27" s="70">
        <f t="shared" si="6"/>
        <v>1121260</v>
      </c>
      <c r="Q27" s="225">
        <f>+IF($M$18='2. Customer Classes'!$B$18,+SUM('3. Consumption by Rate Class'!$M$97:$M$108),+IF($M$18='2. Customer Classes'!$B$19,+SUM('3. Consumption by Rate Class'!$P$97:$P$108),IF($M$18='2. Customer Classes'!$B$20,+SUM('3. Consumption by Rate Class'!$S$97:$S$108),0)))</f>
        <v>3100</v>
      </c>
      <c r="R27" s="225">
        <f>IF($M$18='2. Customer Classes'!$B$14,+'4. Customer Growth'!$C23,+IF($M$18='2. Customer Classes'!$B$15,+'4. Customer Growth'!$E23,+IF($M$18='2. Customer Classes'!$B$16,+'4. Customer Growth'!$G23,+IF($M$18='2. Customer Classes'!$B$17,+'4. Customer Growth'!$I23,+IF($M$18='2. Customer Classes'!$B$18,+'4. Customer Growth'!$K23,+IF($M$18='2. Customer Classes'!$B$19,+'4. Customer Growth'!$M23,IF($M$18='2. Customer Classes'!$B$20,+'4. Customer Growth'!$O23,0)))))))</f>
        <v>1176</v>
      </c>
      <c r="S27" s="374">
        <f t="shared" si="7"/>
        <v>953.45238095238096</v>
      </c>
      <c r="T27" s="377">
        <f t="shared" si="8"/>
        <v>2.6360544217687076</v>
      </c>
      <c r="U27" s="340">
        <f t="shared" si="9"/>
        <v>2.7647468027041009E-3</v>
      </c>
      <c r="V27" s="64"/>
      <c r="W27" s="190">
        <f t="shared" si="1"/>
        <v>2012</v>
      </c>
      <c r="X27" s="70">
        <f>IF($W$18='2. Customer Classes'!$B$14,+SUM('3. Consumption by Rate Class'!$D$97:$D$108),+IF($W$18='2. Customer Classes'!$B$15,+SUM('3. Consumption by Rate Class'!$F$97:$F$108),+IF($W$18='2. Customer Classes'!$B$16,+SUM('3. Consumption by Rate Class'!$H$97:$H$108),+IF($W$18='2. Customer Classes'!$B$17,+SUM('3. Consumption by Rate Class'!$J$97:$J$108),+IF($W$18='2. Customer Classes'!$B$18,+SUM('3. Consumption by Rate Class'!$L$97:$L$108),+IF($W$18='2. Customer Classes'!$B$19,+SUM('3. Consumption by Rate Class'!$O$97:$O$108),IF($W$18='2. Customer Classes'!$B$20,+SUM('3. Consumption by Rate Class'!$R$97:$R$108),0)))))))</f>
        <v>0</v>
      </c>
      <c r="Y27" s="456"/>
      <c r="Z27" s="70">
        <f t="shared" si="10"/>
        <v>0</v>
      </c>
      <c r="AA27" s="225">
        <f>+IF($W$18='2. Customer Classes'!$B$18,+SUM('3. Consumption by Rate Class'!$M$97:$M$108),+IF($W$18='2. Customer Classes'!$B$19,+SUM('3. Consumption by Rate Class'!$P$97:$P$108),IF($W$18='2. Customer Classes'!$B$20,+SUM('3. Consumption by Rate Class'!$S$97:$S$108),0)))</f>
        <v>0</v>
      </c>
      <c r="AB27" s="225">
        <f>IF($W$18='2. Customer Classes'!$B$14,+'4. Customer Growth'!$C23,+IF($W$18='2. Customer Classes'!$B$15,+'4. Customer Growth'!$E23,+IF($W$18='2. Customer Classes'!$B$16,+'4. Customer Growth'!$G23,+IF($W$18='2. Customer Classes'!$B$17,+'4. Customer Growth'!$I23,+IF($W$18='2. Customer Classes'!$B$18,+'4. Customer Growth'!$K23,+IF($W$18='2. Customer Classes'!$B$19,+'4. Customer Growth'!$M23,IF($W$18='2. Customer Classes'!$B$20,+'4. Customer Growth'!$O23,0)))))))</f>
        <v>0</v>
      </c>
      <c r="AC27" s="374">
        <f t="shared" si="11"/>
        <v>0</v>
      </c>
      <c r="AD27" s="377">
        <f t="shared" si="12"/>
        <v>0</v>
      </c>
      <c r="AE27" s="340">
        <f t="shared" si="13"/>
        <v>0</v>
      </c>
      <c r="AG27" s="355">
        <f t="shared" si="14"/>
        <v>2012</v>
      </c>
      <c r="AH27" s="70">
        <f>IF($AG$18='2. Customer Classes'!$B$14,+SUM('3. Consumption by Rate Class'!$D$97:$D$108),+IF($AG$18='2. Customer Classes'!$B$15,+SUM('3. Consumption by Rate Class'!$F$97:$F$108),+IF($AG$18='2. Customer Classes'!$B$16,+SUM('3. Consumption by Rate Class'!$H$97:$H$108),+IF($AG$18='2. Customer Classes'!$B$17,+SUM('3. Consumption by Rate Class'!$J$97:$J$108),+IF($AG$18='2. Customer Classes'!$B$18,+SUM('3. Consumption by Rate Class'!$L$97:$L$108),+IF($AG$18='2. Customer Classes'!$B$19,+SUM('3. Consumption by Rate Class'!$O$97:$O$108),IF($AG$18='2. Customer Classes'!$B$20,+SUM('3. Consumption by Rate Class'!$R$97:$R$108),IF($AG$18='2. Customer Classes'!$B$21,+SUM('3. Consumption by Rate Class'!$U$97:$U$108),0))))))))</f>
        <v>158811</v>
      </c>
      <c r="AI27" s="456"/>
      <c r="AJ27" s="70">
        <f t="shared" si="15"/>
        <v>158811</v>
      </c>
      <c r="AK27" s="225">
        <f>+IF($AG$18='2. Customer Classes'!$B$18,+SUM('3. Consumption by Rate Class'!$M$97:$M$108),+IF($AG$18='2. Customer Classes'!$B$19,+SUM('3. Consumption by Rate Class'!$P$97:$P$108),IF($AG$18='2. Customer Classes'!$B$20,+SUM('3. Consumption by Rate Class'!$S$97:$S$108),IF($AG$18='2. Customer Classes'!$B$21,+SUM('3. Consumption by Rate Class'!$V$97:$V$108),0))))</f>
        <v>0</v>
      </c>
      <c r="AL27" s="225">
        <f>IF($AG$18='2. Customer Classes'!$B$14,+'4. Customer Growth'!$C23,+IF($AG$18='2. Customer Classes'!$B$15,+'4. Customer Growth'!$E23,+IF($AG$18='2. Customer Classes'!$B$16,+'4. Customer Growth'!$G23,+IF($AG$18='2. Customer Classes'!$B$17,+'4. Customer Growth'!$I23,+IF($AG$18='2. Customer Classes'!$B$18,+'4. Customer Growth'!$K23,+IF($AG$18='2. Customer Classes'!$B$19,+'4. Customer Growth'!$M23,IF($AG$18='2. Customer Classes'!$B$20,+'4. Customer Growth'!$O23,IF($AG$18='2. Customer Classes'!$B$21,+'4. Customer Growth'!$Q23,0))))))))</f>
        <v>34</v>
      </c>
      <c r="AM27" s="374">
        <f t="shared" si="16"/>
        <v>4670.911764705882</v>
      </c>
      <c r="AN27" s="377">
        <f t="shared" si="17"/>
        <v>0</v>
      </c>
      <c r="AO27" s="340">
        <f t="shared" si="18"/>
        <v>0</v>
      </c>
      <c r="AQ27" s="355">
        <f t="shared" si="19"/>
        <v>2012</v>
      </c>
      <c r="AR27" s="70">
        <f>IF($AQ$18='2. Customer Classes'!$B$14,+SUM('3. Consumption by Rate Class'!$D$97:$D$108),+IF($AQ$18='2. Customer Classes'!$B$15,+SUM('3. Consumption by Rate Class'!$F$97:$F$108),+IF($AQ$18='2. Customer Classes'!$B$16,+SUM('3. Consumption by Rate Class'!$H$97:$H$108),+IF($AQ$18='2. Customer Classes'!$B$17,+SUM('3. Consumption by Rate Class'!$J$97:$J$108),+IF($AQ$18='2. Customer Classes'!$B$18,+SUM('3. Consumption by Rate Class'!$L$97:$L$108),+IF($AQ$18='2. Customer Classes'!$B$19,+SUM('3. Consumption by Rate Class'!$O$97:$O$108),IF($AQ$18='2. Customer Classes'!$B$20,+SUM('3. Consumption by Rate Class'!$R$97:$R$108),0)))))))</f>
        <v>0</v>
      </c>
      <c r="AS27" s="456"/>
      <c r="AT27" s="70">
        <f t="shared" si="20"/>
        <v>0</v>
      </c>
      <c r="AU27" s="225">
        <f>+IF($AQ$18='2. Customer Classes'!$B$18,+SUM('3. Consumption by Rate Class'!$M$97:$M$108),+IF($AQ$18='2. Customer Classes'!$B$19,+SUM('3. Consumption by Rate Class'!$P$97:$P$108),IF($AQ$18='2. Customer Classes'!$B$20,+SUM('3. Consumption by Rate Class'!$S$97:$S$108),0)))</f>
        <v>0</v>
      </c>
      <c r="AV27" s="225">
        <f>IF($AQ$18='2. Customer Classes'!$B$14,+'4. Customer Growth'!$C23,+IF($AQ$18='2. Customer Classes'!$B$15,+'4. Customer Growth'!$E23,+IF($AQ$18='2. Customer Classes'!$B$16,+'4. Customer Growth'!$G23,+IF($AQ$18='2. Customer Classes'!$B$17,+'4. Customer Growth'!$I23,+IF($AQ$18='2. Customer Classes'!$B$18,+'4. Customer Growth'!$K23,+IF($AQ$18='2. Customer Classes'!$B$19,+'4. Customer Growth'!$M23,IF($AQ$18='2. Customer Classes'!$B$20,+'4. Customer Growth'!$O23,0)))))))</f>
        <v>0</v>
      </c>
      <c r="AW27" s="374">
        <f t="shared" si="21"/>
        <v>0</v>
      </c>
      <c r="AX27" s="377">
        <f t="shared" si="22"/>
        <v>0</v>
      </c>
      <c r="AY27" s="340">
        <f t="shared" si="23"/>
        <v>0</v>
      </c>
    </row>
    <row r="28" spans="2:51" ht="12.75" customHeight="1" x14ac:dyDescent="0.2">
      <c r="B28" s="190">
        <f>'4. Customer Growth'!B24</f>
        <v>2013</v>
      </c>
      <c r="C28" s="70">
        <f>IF($B$18='2. Customer Classes'!$B$14,+SUM('3. Consumption by Rate Class'!$D$109:$D$120),+IF($B$18='2. Customer Classes'!$B$15,+SUM('3. Consumption by Rate Class'!$F$109:$F$120),+IF($B$18='2. Customer Classes'!$B$16,+SUM('3. Consumption by Rate Class'!$H$109:$H$120),+IF($B$18='2. Customer Classes'!$B$17,+SUM('3. Consumption by Rate Class'!$J$109:$J$120),+IF($B$18='2. Customer Classes'!$B$18,+SUM('3. Consumption by Rate Class'!$L$109:$L$120),+IF($B$18='2. Customer Classes'!$B$19,+SUM('3. Consumption by Rate Class'!$O$109:$O$120),IF($B$18='2. Customer Classes'!$B$20,+SUM('3. Consumption by Rate Class'!$R$109:$R$120),0)))))))</f>
        <v>44119354</v>
      </c>
      <c r="D28" s="456"/>
      <c r="E28" s="70">
        <f t="shared" si="2"/>
        <v>44119354</v>
      </c>
      <c r="F28" s="70">
        <f>+IF($B$18='2. Customer Classes'!$B$18,+SUM('3. Consumption by Rate Class'!$M$109:$M$120),+IF($B$18='2. Customer Classes'!$B$19,+SUM('3. Consumption by Rate Class'!$P$109:$P$120),IF($B$18='2. Customer Classes'!$B$20,+SUM('3. Consumption by Rate Class'!$S$109:$S$120),0)))</f>
        <v>115813</v>
      </c>
      <c r="G28" s="70">
        <f>IF($B$18='2. Customer Classes'!$B$14,+'4. Customer Growth'!$C24,+IF($B$18='2. Customer Classes'!$B$15,+'4. Customer Growth'!$E24,+IF($B$18='2. Customer Classes'!$B$16,+'4. Customer Growth'!$G24,+IF($B$18='2. Customer Classes'!$B$17,+'4. Customer Growth'!$I24,+IF($B$18='2. Customer Classes'!$B$18,+'4. Customer Growth'!$K24,+IF($B$18='2. Customer Classes'!$B$19,+'4. Customer Growth'!$M24,IF($B$18='2. Customer Classes'!$B$20,+'4. Customer Growth'!$O24,0)))))))</f>
        <v>62</v>
      </c>
      <c r="H28" s="374">
        <f t="shared" si="3"/>
        <v>711602.48387096776</v>
      </c>
      <c r="I28" s="377">
        <f t="shared" si="4"/>
        <v>1867.9516129032259</v>
      </c>
      <c r="J28" s="340">
        <f t="shared" si="5"/>
        <v>2.6249931039334803E-3</v>
      </c>
      <c r="K28" s="183"/>
      <c r="L28" s="183"/>
      <c r="M28" s="190">
        <f t="shared" si="0"/>
        <v>2013</v>
      </c>
      <c r="N28" s="70">
        <f>IF($M$18='2. Customer Classes'!$B$14,+SUM('3. Consumption by Rate Class'!$D$109:$D$120),+IF($M$18='2. Customer Classes'!$B$15,+SUM('3. Consumption by Rate Class'!$F$109:$F$120),+IF($M$18='2. Customer Classes'!$B$16,+SUM('3. Consumption by Rate Class'!$H$109:$H$120),+IF($M$18='2. Customer Classes'!$B$17,+SUM('3. Consumption by Rate Class'!$J$109:$J$120),+IF($M$18='2. Customer Classes'!$B$18,+SUM('3. Consumption by Rate Class'!$L$109:$L$120),+IF($M$18='2. Customer Classes'!$B$19,+SUM('3. Consumption by Rate Class'!$O$109:$O$120),IF($M$18='2. Customer Classes'!$B$20,+SUM('3. Consumption by Rate Class'!$R$109:$R$120),0)))))))</f>
        <v>1118710</v>
      </c>
      <c r="O28" s="456"/>
      <c r="P28" s="70">
        <f t="shared" si="6"/>
        <v>1118710</v>
      </c>
      <c r="Q28" s="225">
        <f>+IF($M$18='2. Customer Classes'!$B$18,+SUM('3. Consumption by Rate Class'!$M$109:$M$120),+IF($M$18='2. Customer Classes'!$B$19,+SUM('3. Consumption by Rate Class'!$P$109:$P$120),IF($M$18='2. Customer Classes'!$B$20,+SUM('3. Consumption by Rate Class'!$S$109:$S$120),0)))</f>
        <v>3104</v>
      </c>
      <c r="R28" s="225">
        <f>IF($M$18='2. Customer Classes'!$B$14,+'4. Customer Growth'!$C24,+IF($M$18='2. Customer Classes'!$B$15,+'4. Customer Growth'!$E24,+IF($M$18='2. Customer Classes'!$B$16,+'4. Customer Growth'!$G24,+IF($M$18='2. Customer Classes'!$B$17,+'4. Customer Growth'!$I24,+IF($M$18='2. Customer Classes'!$B$18,+'4. Customer Growth'!$K24,+IF($M$18='2. Customer Classes'!$B$19,+'4. Customer Growth'!$M24,IF($M$18='2. Customer Classes'!$B$20,+'4. Customer Growth'!$O24,0)))))))</f>
        <v>1190</v>
      </c>
      <c r="S28" s="374">
        <f t="shared" si="7"/>
        <v>940.09243697478996</v>
      </c>
      <c r="T28" s="377">
        <f t="shared" si="8"/>
        <v>2.6084033613445379</v>
      </c>
      <c r="U28" s="340">
        <f t="shared" si="9"/>
        <v>2.7746243441106274E-3</v>
      </c>
      <c r="V28" s="64"/>
      <c r="W28" s="190">
        <f t="shared" si="1"/>
        <v>2013</v>
      </c>
      <c r="X28" s="70">
        <f>IF($W$18='2. Customer Classes'!$B$14,+SUM('3. Consumption by Rate Class'!$D$109:$D$120),+IF($W$18='2. Customer Classes'!$B$15,+SUM('3. Consumption by Rate Class'!$F$109:$F$120),+IF($W$18='2. Customer Classes'!$B$16,+SUM('3. Consumption by Rate Class'!$H$109:$H$120),+IF($W$18='2. Customer Classes'!$B$17,+SUM('3. Consumption by Rate Class'!$J$109:$J$120),+IF($W$18='2. Customer Classes'!$B$18,+SUM('3. Consumption by Rate Class'!$L$109:$L$120),+IF($W$18='2. Customer Classes'!$B$19,+SUM('3. Consumption by Rate Class'!$O$109:$O$120),IF($W$18='2. Customer Classes'!$B$20,+SUM('3. Consumption by Rate Class'!$R$109:$R$120),0)))))))</f>
        <v>0</v>
      </c>
      <c r="Y28" s="456"/>
      <c r="Z28" s="70">
        <f t="shared" si="10"/>
        <v>0</v>
      </c>
      <c r="AA28" s="225">
        <f>+IF($W$18='2. Customer Classes'!$B$18,+SUM('3. Consumption by Rate Class'!$M$109:$M$120),+IF($W$18='2. Customer Classes'!$B$19,+SUM('3. Consumption by Rate Class'!$P$109:$P$120),IF($W$18='2. Customer Classes'!$B$20,+SUM('3. Consumption by Rate Class'!$S$109:$S$120),0)))</f>
        <v>0</v>
      </c>
      <c r="AB28" s="225">
        <f>IF($W$18='2. Customer Classes'!$B$14,+'4. Customer Growth'!$C24,+IF($W$18='2. Customer Classes'!$B$15,+'4. Customer Growth'!$E24,+IF($W$18='2. Customer Classes'!$B$16,+'4. Customer Growth'!$G24,+IF($W$18='2. Customer Classes'!$B$17,+'4. Customer Growth'!$I24,+IF($W$18='2. Customer Classes'!$B$18,+'4. Customer Growth'!$K24,+IF($W$18='2. Customer Classes'!$B$19,+'4. Customer Growth'!$M24,IF($W$18='2. Customer Classes'!$B$20,+'4. Customer Growth'!$O24,0)))))))</f>
        <v>0</v>
      </c>
      <c r="AC28" s="374">
        <f t="shared" si="11"/>
        <v>0</v>
      </c>
      <c r="AD28" s="377">
        <f t="shared" si="12"/>
        <v>0</v>
      </c>
      <c r="AE28" s="340">
        <f t="shared" si="13"/>
        <v>0</v>
      </c>
      <c r="AG28" s="355">
        <f t="shared" si="14"/>
        <v>2013</v>
      </c>
      <c r="AH28" s="70">
        <f>IF($AG$18='2. Customer Classes'!$B$14,+SUM('3. Consumption by Rate Class'!$D$109:$D$120),+IF($AG$18='2. Customer Classes'!$B$15,+SUM('3. Consumption by Rate Class'!$F$109:$F$120),+IF($AG$18='2. Customer Classes'!$B$16,+SUM('3. Consumption by Rate Class'!$H$109:$H$120),+IF($AG$18='2. Customer Classes'!$B$17,+SUM('3. Consumption by Rate Class'!$J$109:$J$120),+IF($AG$18='2. Customer Classes'!$B$18,+SUM('3. Consumption by Rate Class'!$L$109:$L$120),+IF($AG$18='2. Customer Classes'!$B$19,+SUM('3. Consumption by Rate Class'!$O$109:$O$120),IF($AG$18='2. Customer Classes'!$B$20,+SUM('3. Consumption by Rate Class'!$R$109:$R$120),IF($AG$18='2. Customer Classes'!$B$21,+SUM('3. Consumption by Rate Class'!$U$109:$U$120),0))))))))</f>
        <v>155619</v>
      </c>
      <c r="AI28" s="456"/>
      <c r="AJ28" s="70">
        <f t="shared" si="15"/>
        <v>155619</v>
      </c>
      <c r="AK28" s="538">
        <f>+IF($AG$18='2. Customer Classes'!$B$18,+SUM('3. Consumption by Rate Class'!$M$109:$M$120),+IF($AG$18='2. Customer Classes'!$B$19,+SUM('3. Consumption by Rate Class'!$P$109:$P$120),IF($AG$18='2. Customer Classes'!$B$20,+SUM('3. Consumption by Rate Class'!$S$109:$S$120),IF($AG$18='2. Customer Classes'!$B$21,+SUM('3. Consumption by Rate Class'!$V$109:$V$120),0))))</f>
        <v>0</v>
      </c>
      <c r="AL28" s="225">
        <f>IF($AG$18='2. Customer Classes'!$B$14,+'4. Customer Growth'!$C24,+IF($AG$18='2. Customer Classes'!$B$15,+'4. Customer Growth'!$E24,+IF($AG$18='2. Customer Classes'!$B$16,+'4. Customer Growth'!$G24,+IF($AG$18='2. Customer Classes'!$B$17,+'4. Customer Growth'!$I24,+IF($AG$18='2. Customer Classes'!$B$18,+'4. Customer Growth'!$K24,+IF($AG$18='2. Customer Classes'!$B$19,+'4. Customer Growth'!$M24,IF($AG$18='2. Customer Classes'!$B$20,+'4. Customer Growth'!$O24,IF($AG$18='2. Customer Classes'!$B$21,+'4. Customer Growth'!$Q24,0))))))))</f>
        <v>33</v>
      </c>
      <c r="AM28" s="374">
        <f t="shared" si="16"/>
        <v>4715.727272727273</v>
      </c>
      <c r="AN28" s="377">
        <f t="shared" si="17"/>
        <v>0</v>
      </c>
      <c r="AO28" s="340">
        <f t="shared" si="18"/>
        <v>0</v>
      </c>
      <c r="AQ28" s="355">
        <f t="shared" si="19"/>
        <v>2013</v>
      </c>
      <c r="AR28" s="70">
        <f>IF($AQ$18='2. Customer Classes'!$B$14,+SUM('3. Consumption by Rate Class'!$D$109:$D$120),+IF($AQ$18='2. Customer Classes'!$B$15,+SUM('3. Consumption by Rate Class'!$F$109:$F$120),+IF($AQ$18='2. Customer Classes'!$B$16,+SUM('3. Consumption by Rate Class'!$H$109:$H$120),+IF($AQ$18='2. Customer Classes'!$B$17,+SUM('3. Consumption by Rate Class'!$J$109:$J$120),+IF($AQ$18='2. Customer Classes'!$B$18,+SUM('3. Consumption by Rate Class'!$L$109:$L$120),+IF($AQ$18='2. Customer Classes'!$B$19,+SUM('3. Consumption by Rate Class'!$O$109:$O$120),IF($AQ$18='2. Customer Classes'!$B$20,+SUM('3. Consumption by Rate Class'!$R$109:$R$120),0)))))))</f>
        <v>0</v>
      </c>
      <c r="AS28" s="456"/>
      <c r="AT28" s="70">
        <f t="shared" si="20"/>
        <v>0</v>
      </c>
      <c r="AU28" s="225">
        <f>+IF($AQ$18='2. Customer Classes'!$B$18,+SUM('3. Consumption by Rate Class'!$M$109:$M$120),+IF($AQ$18='2. Customer Classes'!$B$19,+SUM('3. Consumption by Rate Class'!$P$109:$P$120),IF($AQ$18='2. Customer Classes'!$B$20,+SUM('3. Consumption by Rate Class'!$S$109:$S$120),0)))</f>
        <v>0</v>
      </c>
      <c r="AV28" s="225">
        <f>IF($AQ$18='2. Customer Classes'!$B$14,+'4. Customer Growth'!$C24,+IF($AQ$18='2. Customer Classes'!$B$15,+'4. Customer Growth'!$E24,+IF($AQ$18='2. Customer Classes'!$B$16,+'4. Customer Growth'!$G24,+IF($AQ$18='2. Customer Classes'!$B$17,+'4. Customer Growth'!$I24,+IF($AQ$18='2. Customer Classes'!$B$18,+'4. Customer Growth'!$K24,+IF($AQ$18='2. Customer Classes'!$B$19,+'4. Customer Growth'!$M24,IF($AQ$18='2. Customer Classes'!$B$20,+'4. Customer Growth'!$O24,0)))))))</f>
        <v>0</v>
      </c>
      <c r="AW28" s="374">
        <f t="shared" si="21"/>
        <v>0</v>
      </c>
      <c r="AX28" s="377">
        <f t="shared" si="22"/>
        <v>0</v>
      </c>
      <c r="AY28" s="340">
        <f t="shared" si="23"/>
        <v>0</v>
      </c>
    </row>
    <row r="29" spans="2:51" ht="12.75" customHeight="1" x14ac:dyDescent="0.2">
      <c r="B29" s="190">
        <f>'4. Customer Growth'!B25</f>
        <v>2014</v>
      </c>
      <c r="C29" s="70">
        <f>IF($B$18='2. Customer Classes'!$B$14,+SUM('3. Consumption by Rate Class'!$D$121:$D$132),+IF($B$18='2. Customer Classes'!$B$15,+SUM('3. Consumption by Rate Class'!$F$121:$F$132),+IF($B$18='2. Customer Classes'!$B$16,+SUM('3. Consumption by Rate Class'!$H$121:$H$132),+IF($B$18='2. Customer Classes'!$B$17,+SUM('3. Consumption by Rate Class'!$J$121:$J$132),+IF($B$18='2. Customer Classes'!$B$18,+SUM('3. Consumption by Rate Class'!$L$121:$L$132),+IF($B$18='2. Customer Classes'!$B$19,+SUM('3. Consumption by Rate Class'!$O$121:$O$132),IF($B$18='2. Customer Classes'!$B$20,+SUM('3. Consumption by Rate Class'!$R$121:$R$132),0)))))))</f>
        <v>43640624</v>
      </c>
      <c r="D29" s="456"/>
      <c r="E29" s="70">
        <f t="shared" si="2"/>
        <v>43640624</v>
      </c>
      <c r="F29" s="70">
        <f>+IF($B$18='2. Customer Classes'!$B$18,+SUM('3. Consumption by Rate Class'!$M$121:$M$132),+IF($B$18='2. Customer Classes'!$B$19,+SUM('3. Consumption by Rate Class'!$P$121:$P$132),IF($B$18='2. Customer Classes'!$B$20,+SUM('3. Consumption by Rate Class'!$S$121:$S$132),0)))</f>
        <v>114180</v>
      </c>
      <c r="G29" s="70">
        <f>IF($B$18='2. Customer Classes'!$B$14,+'4. Customer Growth'!$C25,+IF($B$18='2. Customer Classes'!$B$15,+'4. Customer Growth'!$E25,+IF($B$18='2. Customer Classes'!$B$16,+'4. Customer Growth'!$G25,+IF($B$18='2. Customer Classes'!$B$17,+'4. Customer Growth'!$I25,+IF($B$18='2. Customer Classes'!$B$18,+'4. Customer Growth'!$K25,+IF($B$18='2. Customer Classes'!$B$19,+'4. Customer Growth'!$M25,IF($B$18='2. Customer Classes'!$B$20,+'4. Customer Growth'!$O25,0)))))))</f>
        <v>62</v>
      </c>
      <c r="H29" s="374">
        <f t="shared" si="3"/>
        <v>703881.03225806449</v>
      </c>
      <c r="I29" s="377">
        <f t="shared" si="4"/>
        <v>1841.6129032258063</v>
      </c>
      <c r="J29" s="340">
        <f t="shared" si="5"/>
        <v>2.6163695551191021E-3</v>
      </c>
      <c r="K29" s="183"/>
      <c r="L29" s="183"/>
      <c r="M29" s="190">
        <f t="shared" si="0"/>
        <v>2014</v>
      </c>
      <c r="N29" s="70">
        <f>IF($M$18='2. Customer Classes'!$B$14,+SUM('3. Consumption by Rate Class'!$D$121:$D$132),+IF($M$18='2. Customer Classes'!$B$15,+SUM('3. Consumption by Rate Class'!$F$121:$F$132),+IF($M$18='2. Customer Classes'!$B$16,+SUM('3. Consumption by Rate Class'!$H$121:$H$132),+IF($M$18='2. Customer Classes'!$B$17,+SUM('3. Consumption by Rate Class'!$J$121:$J$132),+IF($M$18='2. Customer Classes'!$B$18,+SUM('3. Consumption by Rate Class'!$L$121:$L$132),+IF($M$18='2. Customer Classes'!$B$19,+SUM('3. Consumption by Rate Class'!$O$121:$O$132),IF($M$18='2. Customer Classes'!$B$20,+SUM('3. Consumption by Rate Class'!$R$121:$R$132),0)))))))</f>
        <v>1121519</v>
      </c>
      <c r="O29" s="456"/>
      <c r="P29" s="70">
        <f t="shared" si="6"/>
        <v>1121519</v>
      </c>
      <c r="Q29" s="225">
        <f>+IF($M$18='2. Customer Classes'!$B$18,+SUM('3. Consumption by Rate Class'!$M$121:$M$132),+IF($M$18='2. Customer Classes'!$B$19,+SUM('3. Consumption by Rate Class'!$P$121:$P$132),IF($M$18='2. Customer Classes'!$B$20,+SUM('3. Consumption by Rate Class'!$S$121:$S$132),0)))</f>
        <v>3110</v>
      </c>
      <c r="R29" s="225">
        <f>IF($M$18='2. Customer Classes'!$B$14,+'4. Customer Growth'!$C25,+IF($M$18='2. Customer Classes'!$B$15,+'4. Customer Growth'!$E25,+IF($M$18='2. Customer Classes'!$B$16,+'4. Customer Growth'!$G25,+IF($M$18='2. Customer Classes'!$B$17,+'4. Customer Growth'!$I25,+IF($M$18='2. Customer Classes'!$B$18,+'4. Customer Growth'!$K25,+IF($M$18='2. Customer Classes'!$B$19,+'4. Customer Growth'!$M25,IF($M$18='2. Customer Classes'!$B$20,+'4. Customer Growth'!$O25,0)))))))</f>
        <v>1190</v>
      </c>
      <c r="S29" s="374">
        <f t="shared" si="7"/>
        <v>942.45294117647063</v>
      </c>
      <c r="T29" s="377">
        <f t="shared" si="8"/>
        <v>2.6134453781512605</v>
      </c>
      <c r="U29" s="340">
        <f t="shared" si="9"/>
        <v>2.7730247994015261E-3</v>
      </c>
      <c r="V29" s="64"/>
      <c r="W29" s="190">
        <f t="shared" si="1"/>
        <v>2014</v>
      </c>
      <c r="X29" s="70">
        <f>IF($W$18='2. Customer Classes'!$B$14,+SUM('3. Consumption by Rate Class'!$D$121:$D$132),+IF($W$18='2. Customer Classes'!$B$15,+SUM('3. Consumption by Rate Class'!$F$121:$F$132),+IF($W$18='2. Customer Classes'!$B$16,+SUM('3. Consumption by Rate Class'!$H$121:$H$132),+IF($W$18='2. Customer Classes'!$B$17,+SUM('3. Consumption by Rate Class'!$J$121:$J$132),+IF($W$18='2. Customer Classes'!$B$18,+SUM('3. Consumption by Rate Class'!$L$121:$L$132),+IF($W$18='2. Customer Classes'!$B$19,+SUM('3. Consumption by Rate Class'!$O$121:$O$132),IF($W$18='2. Customer Classes'!$B$20,+SUM('3. Consumption by Rate Class'!$R$121:$R$132),0)))))))</f>
        <v>0</v>
      </c>
      <c r="Y29" s="456"/>
      <c r="Z29" s="70">
        <f t="shared" si="10"/>
        <v>0</v>
      </c>
      <c r="AA29" s="225">
        <f>+IF($W$18='2. Customer Classes'!$B$18,+SUM('3. Consumption by Rate Class'!$M$121:$M$132),+IF($W$18='2. Customer Classes'!$B$19,+SUM('3. Consumption by Rate Class'!$P$121:$P$132),IF($W$18='2. Customer Classes'!$B$20,+SUM('3. Consumption by Rate Class'!$S$121:$S$132),0)))</f>
        <v>0</v>
      </c>
      <c r="AB29" s="225">
        <f>IF($W$18='2. Customer Classes'!$B$14,+'4. Customer Growth'!$C25,+IF($W$18='2. Customer Classes'!$B$15,+'4. Customer Growth'!$E25,+IF($W$18='2. Customer Classes'!$B$16,+'4. Customer Growth'!$G25,+IF($W$18='2. Customer Classes'!$B$17,+'4. Customer Growth'!$I25,+IF($W$18='2. Customer Classes'!$B$18,+'4. Customer Growth'!$K25,+IF($W$18='2. Customer Classes'!$B$19,+'4. Customer Growth'!$M25,IF($W$18='2. Customer Classes'!$B$20,+'4. Customer Growth'!$O25,0)))))))</f>
        <v>0</v>
      </c>
      <c r="AC29" s="374">
        <f t="shared" si="11"/>
        <v>0</v>
      </c>
      <c r="AD29" s="377">
        <f t="shared" si="12"/>
        <v>0</v>
      </c>
      <c r="AE29" s="340">
        <f t="shared" si="13"/>
        <v>0</v>
      </c>
      <c r="AG29" s="355">
        <f t="shared" si="14"/>
        <v>2014</v>
      </c>
      <c r="AH29" s="70">
        <f>IF($AG$18='2. Customer Classes'!$B$14,+SUM('3. Consumption by Rate Class'!$D$121:$D$132),+IF($AG$18='2. Customer Classes'!$B$15,+SUM('3. Consumption by Rate Class'!$F$121:$F$132),+IF($AG$18='2. Customer Classes'!$B$16,+SUM('3. Consumption by Rate Class'!$H$121:$H$132),+IF($AG$18='2. Customer Classes'!$B$17,+SUM('3. Consumption by Rate Class'!$J$121:$J$132),+IF($AG$18='2. Customer Classes'!$B$18,+SUM('3. Consumption by Rate Class'!$L$121:$L$132),+IF($AG$18='2. Customer Classes'!$B$19,+SUM('3. Consumption by Rate Class'!$O$121:$O$132),IF($AG$18='2. Customer Classes'!$B$20,+SUM('3. Consumption by Rate Class'!$R$121:$R$132),IF($AG$18='2. Customer Classes'!$B$21,+SUM('3. Consumption by Rate Class'!$U$121:$U$132),0))))))))</f>
        <v>155019</v>
      </c>
      <c r="AI29" s="456"/>
      <c r="AJ29" s="70">
        <f t="shared" si="15"/>
        <v>155019</v>
      </c>
      <c r="AK29" s="225">
        <f>+IF($AG$18='2. Customer Classes'!$B$18,+SUM('3. Consumption by Rate Class'!$M$121:$M$132),+IF($AG$18='2. Customer Classes'!$B$19,+SUM('3. Consumption by Rate Class'!$P$121:$P$132),IF($AG$18='2. Customer Classes'!$B$20,+SUM('3. Consumption by Rate Class'!$S$121:$S$132),IF($AG$18='2. Customer Classes'!$B$21,+SUM('3. Consumption by Rate Class'!$V$121:$V$132),0))))</f>
        <v>0</v>
      </c>
      <c r="AL29" s="225">
        <f>IF($AG$18='2. Customer Classes'!$B$14,+'4. Customer Growth'!$C25,+IF($AG$18='2. Customer Classes'!$B$15,+'4. Customer Growth'!$E25,+IF($AG$18='2. Customer Classes'!$B$16,+'4. Customer Growth'!$G25,+IF($AG$18='2. Customer Classes'!$B$17,+'4. Customer Growth'!$I25,+IF($AG$18='2. Customer Classes'!$B$18,+'4. Customer Growth'!$K25,+IF($AG$18='2. Customer Classes'!$B$19,+'4. Customer Growth'!$M25,IF($AG$18='2. Customer Classes'!$B$20,+'4. Customer Growth'!$O25,IF($AG$18='2. Customer Classes'!$B$21,+'4. Customer Growth'!$Q25,0))))))))</f>
        <v>33</v>
      </c>
      <c r="AM29" s="374">
        <f t="shared" si="16"/>
        <v>4697.545454545455</v>
      </c>
      <c r="AN29" s="377">
        <f t="shared" si="17"/>
        <v>0</v>
      </c>
      <c r="AO29" s="340">
        <f t="shared" si="18"/>
        <v>0</v>
      </c>
      <c r="AQ29" s="355">
        <f t="shared" si="19"/>
        <v>2014</v>
      </c>
      <c r="AR29" s="70">
        <f>IF($AQ$18='2. Customer Classes'!$B$14,+SUM('3. Consumption by Rate Class'!$D$121:$D$132),+IF($AQ$18='2. Customer Classes'!$B$15,+SUM('3. Consumption by Rate Class'!$F$121:$F$132),+IF($AQ$18='2. Customer Classes'!$B$16,+SUM('3. Consumption by Rate Class'!$H$121:$H$132),+IF($AQ$18='2. Customer Classes'!$B$17,+SUM('3. Consumption by Rate Class'!$J$121:$J$132),+IF($AQ$18='2. Customer Classes'!$B$18,+SUM('3. Consumption by Rate Class'!$L$121:$L$132),+IF($AQ$18='2. Customer Classes'!$B$19,+SUM('3. Consumption by Rate Class'!$O$121:$O$132),IF($AQ$18='2. Customer Classes'!$B$20,+SUM('3. Consumption by Rate Class'!$R$121:$R$132),0)))))))</f>
        <v>0</v>
      </c>
      <c r="AS29" s="456"/>
      <c r="AT29" s="70">
        <f t="shared" si="20"/>
        <v>0</v>
      </c>
      <c r="AU29" s="225">
        <f>+IF($AQ$18='2. Customer Classes'!$B$18,+SUM('3. Consumption by Rate Class'!$M$121:$M$132),+IF($AQ$18='2. Customer Classes'!$B$19,+SUM('3. Consumption by Rate Class'!$P$121:$P$132),IF($AQ$18='2. Customer Classes'!$B$20,+SUM('3. Consumption by Rate Class'!$S$121:$S$132),0)))</f>
        <v>0</v>
      </c>
      <c r="AV29" s="225">
        <f>IF($AQ$18='2. Customer Classes'!$B$14,+'4. Customer Growth'!$C25,+IF($AQ$18='2. Customer Classes'!$B$15,+'4. Customer Growth'!$E25,+IF($AQ$18='2. Customer Classes'!$B$16,+'4. Customer Growth'!$G25,+IF($AQ$18='2. Customer Classes'!$B$17,+'4. Customer Growth'!$I25,+IF($AQ$18='2. Customer Classes'!$B$18,+'4. Customer Growth'!$K25,+IF($AQ$18='2. Customer Classes'!$B$19,+'4. Customer Growth'!$M25,IF($AQ$18='2. Customer Classes'!$B$20,+'4. Customer Growth'!$O25,0)))))))</f>
        <v>0</v>
      </c>
      <c r="AW29" s="374">
        <f t="shared" si="21"/>
        <v>0</v>
      </c>
      <c r="AX29" s="377">
        <f t="shared" si="22"/>
        <v>0</v>
      </c>
      <c r="AY29" s="340">
        <f t="shared" si="23"/>
        <v>0</v>
      </c>
    </row>
    <row r="30" spans="2:51" ht="12.75" customHeight="1" x14ac:dyDescent="0.2">
      <c r="B30" s="190">
        <f>'4. Customer Growth'!B26</f>
        <v>2015</v>
      </c>
      <c r="C30" s="70">
        <f>IF($B$18='2. Customer Classes'!$B$14,+SUM('3. Consumption by Rate Class'!$D$133:$D$144),+IF($B$18='2. Customer Classes'!$B$15,+SUM('3. Consumption by Rate Class'!$F$133:$F$144),+IF($B$18='2. Customer Classes'!$B$16,+SUM('3. Consumption by Rate Class'!$H$133:$H$144),+IF($B$18='2. Customer Classes'!$B$17,+SUM('3. Consumption by Rate Class'!$J$133:$J$144),+IF($B$18='2. Customer Classes'!$B$18,+SUM('3. Consumption by Rate Class'!$L$133:$L$144),+IF($B$18='2. Customer Classes'!$B$19,+SUM('3. Consumption by Rate Class'!$O$133:$O$144),IF($B$18='2. Customer Classes'!$B$20,+SUM('3. Consumption by Rate Class'!$R$133:$R$144),0)))))))</f>
        <v>45095566</v>
      </c>
      <c r="D30" s="456"/>
      <c r="E30" s="70">
        <f t="shared" si="2"/>
        <v>45095566</v>
      </c>
      <c r="F30" s="70">
        <f>+IF($B$18='2. Customer Classes'!$B$18,+SUM('3. Consumption by Rate Class'!$M$133:$M$144),+IF($B$18='2. Customer Classes'!$B$19,+SUM('3. Consumption by Rate Class'!$P$133:$P$144),IF($B$18='2. Customer Classes'!$B$20,+SUM('3. Consumption by Rate Class'!$S$133:$S$144),0)))</f>
        <v>113922</v>
      </c>
      <c r="G30" s="70">
        <f>IF($B$18='2. Customer Classes'!$B$14,+'4. Customer Growth'!$C26,+IF($B$18='2. Customer Classes'!$B$15,+'4. Customer Growth'!$E26,+IF($B$18='2. Customer Classes'!$B$16,+'4. Customer Growth'!$G26,+IF($B$18='2. Customer Classes'!$B$17,+'4. Customer Growth'!$I26,+IF($B$18='2. Customer Classes'!$B$18,+'4. Customer Growth'!$K26,+IF($B$18='2. Customer Classes'!$B$19,+'4. Customer Growth'!$M26,IF($B$18='2. Customer Classes'!$B$20,+'4. Customer Growth'!$O26,0)))))))</f>
        <v>61</v>
      </c>
      <c r="H30" s="374">
        <f t="shared" si="3"/>
        <v>739271.57377049176</v>
      </c>
      <c r="I30" s="377">
        <f t="shared" si="4"/>
        <v>1867.5737704918033</v>
      </c>
      <c r="J30" s="340">
        <f t="shared" si="5"/>
        <v>2.5262350626666934E-3</v>
      </c>
      <c r="K30" s="183"/>
      <c r="L30" s="183"/>
      <c r="M30" s="190">
        <f t="shared" si="0"/>
        <v>2015</v>
      </c>
      <c r="N30" s="70">
        <f>IF($M$18='2. Customer Classes'!$B$14,+SUM('3. Consumption by Rate Class'!$D$133:$D$144),+IF($M$18='2. Customer Classes'!$B$15,+SUM('3. Consumption by Rate Class'!$F$133:$F$144),+IF($M$18='2. Customer Classes'!$B$16,+SUM('3. Consumption by Rate Class'!$H$133:$H$144),+IF($M$18='2. Customer Classes'!$B$17,+SUM('3. Consumption by Rate Class'!$J$133:$J$144),+IF($M$18='2. Customer Classes'!$B$18,+SUM('3. Consumption by Rate Class'!$L$133:$L$144),+IF($M$18='2. Customer Classes'!$B$19,+SUM('3. Consumption by Rate Class'!$O$133:$O$144),IF($M$18='2. Customer Classes'!$B$20,+SUM('3. Consumption by Rate Class'!$R$133:$R$144),0)))))))</f>
        <v>1123682</v>
      </c>
      <c r="O30" s="456"/>
      <c r="P30" s="70">
        <f t="shared" si="6"/>
        <v>1123682</v>
      </c>
      <c r="Q30" s="225">
        <f>+IF($M$18='2. Customer Classes'!$B$18,+SUM('3. Consumption by Rate Class'!$M$133:$M$144),+IF($M$18='2. Customer Classes'!$B$19,+SUM('3. Consumption by Rate Class'!$P$133:$P$144),IF($M$18='2. Customer Classes'!$B$20,+SUM('3. Consumption by Rate Class'!$S$133:$S$144),0)))</f>
        <v>3117</v>
      </c>
      <c r="R30" s="225">
        <f>IF($M$18='2. Customer Classes'!$B$14,+'4. Customer Growth'!$C26,+IF($M$18='2. Customer Classes'!$B$15,+'4. Customer Growth'!$E26,+IF($M$18='2. Customer Classes'!$B$16,+'4. Customer Growth'!$G26,+IF($M$18='2. Customer Classes'!$B$17,+'4. Customer Growth'!$I26,+IF($M$18='2. Customer Classes'!$B$18,+'4. Customer Growth'!$K26,+IF($M$18='2. Customer Classes'!$B$19,+'4. Customer Growth'!$M26,IF($M$18='2. Customer Classes'!$B$20,+'4. Customer Growth'!$O26,0)))))))</f>
        <v>1190</v>
      </c>
      <c r="S30" s="374">
        <f t="shared" si="7"/>
        <v>944.2705882352941</v>
      </c>
      <c r="T30" s="377">
        <f t="shared" si="8"/>
        <v>2.619327731092437</v>
      </c>
      <c r="U30" s="340">
        <f t="shared" si="9"/>
        <v>2.7739164639106082E-3</v>
      </c>
      <c r="V30" s="64"/>
      <c r="W30" s="190">
        <f t="shared" si="1"/>
        <v>2015</v>
      </c>
      <c r="X30" s="70">
        <f>IF($W$18='2. Customer Classes'!$B$14,+SUM('3. Consumption by Rate Class'!$D$133:$D$144),+IF($W$18='2. Customer Classes'!$B$15,+SUM('3. Consumption by Rate Class'!$F$133:$F$144),+IF($W$18='2. Customer Classes'!$B$16,+SUM('3. Consumption by Rate Class'!$H$133:$H$144),+IF($W$18='2. Customer Classes'!$B$17,+SUM('3. Consumption by Rate Class'!$J$133:$J$144),+IF($W$18='2. Customer Classes'!$B$18,+SUM('3. Consumption by Rate Class'!$L$133:$L$144),+IF($W$18='2. Customer Classes'!$B$19,+SUM('3. Consumption by Rate Class'!$O$133:$O$144),IF($W$18='2. Customer Classes'!$B$20,+SUM('3. Consumption by Rate Class'!$R$133:$R$144),0)))))))</f>
        <v>0</v>
      </c>
      <c r="Y30" s="456"/>
      <c r="Z30" s="70">
        <f t="shared" si="10"/>
        <v>0</v>
      </c>
      <c r="AA30" s="225">
        <f>+IF($W$18='2. Customer Classes'!$B$18,+SUM('3. Consumption by Rate Class'!$M$133:$M$144),+IF($W$18='2. Customer Classes'!$B$19,+SUM('3. Consumption by Rate Class'!$P$133:$P$144),IF($W$18='2. Customer Classes'!$B$20,+SUM('3. Consumption by Rate Class'!$S$133:$S$144),0)))</f>
        <v>0</v>
      </c>
      <c r="AB30" s="225">
        <f>IF($W$18='2. Customer Classes'!$B$14,+'4. Customer Growth'!$C26,+IF($W$18='2. Customer Classes'!$B$15,+'4. Customer Growth'!$E26,+IF($W$18='2. Customer Classes'!$B$16,+'4. Customer Growth'!$G26,+IF($W$18='2. Customer Classes'!$B$17,+'4. Customer Growth'!$I26,+IF($W$18='2. Customer Classes'!$B$18,+'4. Customer Growth'!$K26,+IF($W$18='2. Customer Classes'!$B$19,+'4. Customer Growth'!$M26,IF($W$18='2. Customer Classes'!$B$20,+'4. Customer Growth'!$O26,0)))))))</f>
        <v>0</v>
      </c>
      <c r="AC30" s="374">
        <f t="shared" si="11"/>
        <v>0</v>
      </c>
      <c r="AD30" s="377">
        <f t="shared" si="12"/>
        <v>0</v>
      </c>
      <c r="AE30" s="340">
        <f t="shared" si="13"/>
        <v>0</v>
      </c>
      <c r="AG30" s="355">
        <f t="shared" si="14"/>
        <v>2015</v>
      </c>
      <c r="AH30" s="70">
        <f>IF($AG$18='2. Customer Classes'!$B$14,+SUM('3. Consumption by Rate Class'!$D$133:$D$144),+IF($AG$18='2. Customer Classes'!$B$15,+SUM('3. Consumption by Rate Class'!$F$133:$F$144),+IF($AG$18='2. Customer Classes'!$B$16,+SUM('3. Consumption by Rate Class'!$H$133:$H$144),+IF($AG$18='2. Customer Classes'!$B$17,+SUM('3. Consumption by Rate Class'!$J$133:$J$144),+IF($AG$18='2. Customer Classes'!$B$18,+SUM('3. Consumption by Rate Class'!$L$133:$L$144),+IF($AG$18='2. Customer Classes'!$B$19,+SUM('3. Consumption by Rate Class'!$O$133:$O$144),IF($AG$18='2. Customer Classes'!$B$20,+SUM('3. Consumption by Rate Class'!$R$133:$R$144),IF($AG$18='2. Customer Classes'!$B$21,+SUM('3. Consumption by Rate Class'!$U$133:$U$144),0))))))))</f>
        <v>155364</v>
      </c>
      <c r="AI30" s="456"/>
      <c r="AJ30" s="70">
        <f t="shared" si="15"/>
        <v>155364</v>
      </c>
      <c r="AK30" s="225">
        <f>+IF($AG$18='2. Customer Classes'!$B$18,+SUM('3. Consumption by Rate Class'!$M$133:$M$144),+IF($AG$18='2. Customer Classes'!$B$19,+SUM('3. Consumption by Rate Class'!$P$133:$P$144),IF($AG$18='2. Customer Classes'!$B$20,+SUM('3. Consumption by Rate Class'!$S$133:$S$144),IF($AG$18='2. Customer Classes'!$B$21,+SUM('3. Consumption by Rate Class'!$V$133:$V$144),0))))</f>
        <v>0</v>
      </c>
      <c r="AL30" s="225">
        <f>IF($AG$18='2. Customer Classes'!$B$14,+'4. Customer Growth'!$C26,+IF($AG$18='2. Customer Classes'!$B$15,+'4. Customer Growth'!$E26,+IF($AG$18='2. Customer Classes'!$B$16,+'4. Customer Growth'!$G26,+IF($AG$18='2. Customer Classes'!$B$17,+'4. Customer Growth'!$I26,+IF($AG$18='2. Customer Classes'!$B$18,+'4. Customer Growth'!$K26,+IF($AG$18='2. Customer Classes'!$B$19,+'4. Customer Growth'!$M26,IF($AG$18='2. Customer Classes'!$B$20,+'4. Customer Growth'!$O26,IF($AG$18='2. Customer Classes'!$B$21,+'4. Customer Growth'!$Q26,0))))))))</f>
        <v>33</v>
      </c>
      <c r="AM30" s="374">
        <f t="shared" si="16"/>
        <v>4708</v>
      </c>
      <c r="AN30" s="377">
        <f t="shared" si="17"/>
        <v>0</v>
      </c>
      <c r="AO30" s="340">
        <f t="shared" si="18"/>
        <v>0</v>
      </c>
      <c r="AQ30" s="355">
        <f t="shared" si="19"/>
        <v>2015</v>
      </c>
      <c r="AR30" s="70">
        <f>IF($AQ$18='2. Customer Classes'!$B$14,+SUM('3. Consumption by Rate Class'!$D$133:$D$144),+IF($AQ$18='2. Customer Classes'!$B$15,+SUM('3. Consumption by Rate Class'!$F$133:$F$144),+IF($AQ$18='2. Customer Classes'!$B$16,+SUM('3. Consumption by Rate Class'!$H$133:$H$144),+IF($AQ$18='2. Customer Classes'!$B$17,+SUM('3. Consumption by Rate Class'!$J$133:$J$144),+IF($AQ$18='2. Customer Classes'!$B$18,+SUM('3. Consumption by Rate Class'!$L$133:$L$144),+IF($AQ$18='2. Customer Classes'!$B$19,+SUM('3. Consumption by Rate Class'!$O$133:$O$144),IF($AQ$18='2. Customer Classes'!$B$20,+SUM('3. Consumption by Rate Class'!$R$133:$R$144),0)))))))</f>
        <v>0</v>
      </c>
      <c r="AS30" s="456"/>
      <c r="AT30" s="70">
        <f t="shared" si="20"/>
        <v>0</v>
      </c>
      <c r="AU30" s="225">
        <f>+IF($AQ$18='2. Customer Classes'!$B$18,+SUM('3. Consumption by Rate Class'!$M$133:$M$144),+IF($AQ$18='2. Customer Classes'!$B$19,+SUM('3. Consumption by Rate Class'!$P$133:$P$144),IF($AQ$18='2. Customer Classes'!$B$20,+SUM('3. Consumption by Rate Class'!$S$133:$S$144),0)))</f>
        <v>0</v>
      </c>
      <c r="AV30" s="225">
        <f>IF($AQ$18='2. Customer Classes'!$B$14,+'4. Customer Growth'!$C26,+IF($AQ$18='2. Customer Classes'!$B$15,+'4. Customer Growth'!$E26,+IF($AQ$18='2. Customer Classes'!$B$16,+'4. Customer Growth'!$G26,+IF($AQ$18='2. Customer Classes'!$B$17,+'4. Customer Growth'!$I26,+IF($AQ$18='2. Customer Classes'!$B$18,+'4. Customer Growth'!$K26,+IF($AQ$18='2. Customer Classes'!$B$19,+'4. Customer Growth'!$M26,IF($AQ$18='2. Customer Classes'!$B$20,+'4. Customer Growth'!$O26,0)))))))</f>
        <v>0</v>
      </c>
      <c r="AW30" s="374">
        <f t="shared" si="21"/>
        <v>0</v>
      </c>
      <c r="AX30" s="377">
        <f t="shared" si="22"/>
        <v>0</v>
      </c>
      <c r="AY30" s="340">
        <f t="shared" si="23"/>
        <v>0</v>
      </c>
    </row>
    <row r="31" spans="2:51" ht="12.75" customHeight="1" x14ac:dyDescent="0.2">
      <c r="B31" s="190" t="str">
        <f>'4. Customer Growth'!B30</f>
        <v>2016</v>
      </c>
      <c r="C31" s="70">
        <f>+C30/'6. WS Regression Analysis'!$V$68*'6. WS Regression Analysis'!$S$151</f>
        <v>44431933.399247296</v>
      </c>
      <c r="D31" s="456"/>
      <c r="E31" s="70">
        <f t="shared" si="2"/>
        <v>44431933.399247296</v>
      </c>
      <c r="F31" s="283">
        <f>+E31*J34</f>
        <v>120735.71751411934</v>
      </c>
      <c r="G31" s="225">
        <f>IF($B$18='2. Customer Classes'!$B$14,+'4. Customer Growth'!$C42,+IF($B$18='2. Customer Classes'!$B$15,+'4. Customer Growth'!$E42,+IF($B$18='2. Customer Classes'!$B$16,+'4. Customer Growth'!$G42,+IF($B$18='2. Customer Classes'!$B$17,+'4. Customer Growth'!$I42,+IF($B$18='2. Customer Classes'!$B$18,+'4. Customer Growth'!$K42,+IF($B$18='2. Customer Classes'!$B$19,+'4. Customer Growth'!$M42,IF($B$18='2. Customer Classes'!$B$20,+'4. Customer Growth'!$O42,0)))))))</f>
        <v>60.889889302782052</v>
      </c>
      <c r="H31" s="374">
        <f t="shared" si="3"/>
        <v>729709.54468818859</v>
      </c>
      <c r="I31" s="377">
        <f t="shared" si="4"/>
        <v>1982.8532929949495</v>
      </c>
      <c r="J31" s="375"/>
      <c r="K31" s="80"/>
      <c r="L31" s="80"/>
      <c r="M31" s="190" t="str">
        <f t="shared" si="0"/>
        <v>2016</v>
      </c>
      <c r="N31" s="304">
        <f>+N30/'6. WS Regression Analysis'!$V$68*'6. WS Regression Analysis'!$S$151</f>
        <v>1107145.7399144964</v>
      </c>
      <c r="O31" s="456"/>
      <c r="P31" s="497">
        <f t="shared" si="6"/>
        <v>1107145.7399144964</v>
      </c>
      <c r="Q31" s="283">
        <f>P31*$U$34</f>
        <v>3076.4364861739227</v>
      </c>
      <c r="R31" s="225">
        <f>IF($M$18='2. Customer Classes'!$B$14,+'4. Customer Growth'!$C42,+IF($M$18='2. Customer Classes'!$B$15,+'4. Customer Growth'!$E42,+IF($M$18='2. Customer Classes'!$B$16,+'4. Customer Growth'!$G42,+IF($M$18='2. Customer Classes'!$B$17,+'4. Customer Growth'!$I42,+IF($M$18='2. Customer Classes'!$B$18,+'4. Customer Growth'!$K42,+IF($M$18='2. Customer Classes'!$B$19,+'4. Customer Growth'!$M42,IF($M$18='2. Customer Classes'!$B$20,+'4. Customer Growth'!$O42,0)))))))</f>
        <v>1194.6449258381904</v>
      </c>
      <c r="S31" s="374">
        <f t="shared" si="7"/>
        <v>926.75716103485513</v>
      </c>
      <c r="T31" s="377">
        <f t="shared" si="8"/>
        <v>2.5751890119278951</v>
      </c>
      <c r="U31" s="85"/>
      <c r="V31" s="64"/>
      <c r="W31" s="190" t="str">
        <f t="shared" si="1"/>
        <v>2016</v>
      </c>
      <c r="X31" s="304">
        <f>+X30/'6. WS Regression Analysis'!$V$68*'6. WS Regression Analysis'!$S$151</f>
        <v>0</v>
      </c>
      <c r="Y31" s="456"/>
      <c r="Z31" s="70">
        <f t="shared" si="10"/>
        <v>0</v>
      </c>
      <c r="AA31" s="283">
        <f>Z31*$AE$34</f>
        <v>0</v>
      </c>
      <c r="AB31" s="225">
        <f>IF($W$18='2. Customer Classes'!$B$14,+'4. Customer Growth'!$C42,+IF($W$18='2. Customer Classes'!$B$15,+'4. Customer Growth'!$E42,+IF($W$18='2. Customer Classes'!$B$16,+'4. Customer Growth'!$G42,+IF($W$18='2. Customer Classes'!$B$17,+'4. Customer Growth'!$I42,+IF($W$18='2. Customer Classes'!$B$18,+'4. Customer Growth'!$K42,+IF($W$18='2. Customer Classes'!$B$19,+'4. Customer Growth'!$M42,IF($W$18='2. Customer Classes'!$B$20,+'4. Customer Growth'!$O42,0)))))))</f>
        <v>0</v>
      </c>
      <c r="AC31" s="374">
        <f t="shared" si="11"/>
        <v>0</v>
      </c>
      <c r="AD31" s="377">
        <f t="shared" si="12"/>
        <v>0</v>
      </c>
      <c r="AE31" s="85"/>
      <c r="AG31" s="355" t="str">
        <f t="shared" si="14"/>
        <v>2016</v>
      </c>
      <c r="AH31" s="304">
        <f>+AH30/'6. WS Regression Analysis'!$V$68*'6. WS Regression Analysis'!$S$151</f>
        <v>153077.64183823875</v>
      </c>
      <c r="AI31" s="456"/>
      <c r="AJ31" s="497">
        <f t="shared" si="15"/>
        <v>153077.64183823875</v>
      </c>
      <c r="AK31" s="304">
        <f>AJ31*$AO$34</f>
        <v>0</v>
      </c>
      <c r="AL31" s="225">
        <f>IF($AG$18='2. Customer Classes'!$B$14,+'4. Customer Growth'!$C42,+IF($AG$18='2. Customer Classes'!$B$15,+'4. Customer Growth'!$E42,+IF($AG$18='2. Customer Classes'!$B$16,+'4. Customer Growth'!$G42,+IF($AG$18='2. Customer Classes'!$B$17,+'4. Customer Growth'!$I42,+IF($AG$18='2. Customer Classes'!$B$18,+'4. Customer Growth'!$K42,+IF($AG$18='2. Customer Classes'!$B$19,+'4. Customer Growth'!$M42,IF($AG$18='2. Customer Classes'!$B$20,+'4. Customer Growth'!$O42,IF($AG$18='2. Customer Classes'!$B$21,+'4. Customer Growth'!$Q42,0))))))))</f>
        <v>33.607977220079128</v>
      </c>
      <c r="AM31" s="374">
        <f t="shared" si="16"/>
        <v>4554.8008092192567</v>
      </c>
      <c r="AN31" s="377">
        <f t="shared" si="17"/>
        <v>0</v>
      </c>
      <c r="AO31" s="85"/>
      <c r="AQ31" s="355" t="str">
        <f t="shared" si="19"/>
        <v>2016</v>
      </c>
      <c r="AR31" s="304">
        <f>+AR30/'6. WS Regression Analysis'!$S$139*'6. WS Regression Analysis'!$S$151</f>
        <v>0</v>
      </c>
      <c r="AS31" s="456"/>
      <c r="AT31" s="497">
        <f t="shared" si="20"/>
        <v>0</v>
      </c>
      <c r="AU31" s="304">
        <f>AT31*$AY$34</f>
        <v>0</v>
      </c>
      <c r="AV31" s="225">
        <f>IF($AQ$18='2. Customer Classes'!$B$14,+'4. Customer Growth'!$C42,+IF($AQ$18='2. Customer Classes'!$B$15,+'4. Customer Growth'!$E42,+IF($AQ$18='2. Customer Classes'!$B$16,+'4. Customer Growth'!$G42,+IF($AQ$18='2. Customer Classes'!$B$17,+'4. Customer Growth'!$I42,+IF($AQ$18='2. Customer Classes'!$B$18,+'4. Customer Growth'!$K42,+IF($AQ$18='2. Customer Classes'!$B$19,+'4. Customer Growth'!$M42,IF($AQ$18='2. Customer Classes'!$B$20,+'4. Customer Growth'!$O42,0)))))))</f>
        <v>0</v>
      </c>
      <c r="AW31" s="374">
        <f t="shared" si="21"/>
        <v>0</v>
      </c>
      <c r="AX31" s="377">
        <f t="shared" si="22"/>
        <v>0</v>
      </c>
      <c r="AY31" s="85"/>
    </row>
    <row r="32" spans="2:51" x14ac:dyDescent="0.2">
      <c r="B32" s="190" t="str">
        <f>'4. Customer Growth'!B31</f>
        <v>2017</v>
      </c>
      <c r="C32" s="70">
        <f>+C30/'6. WS Regression Analysis'!$V$68*'6. WS Regression Analysis'!$S$163</f>
        <v>44077305.335229032</v>
      </c>
      <c r="D32" s="456"/>
      <c r="E32" s="70">
        <f t="shared" si="2"/>
        <v>44077305.335229032</v>
      </c>
      <c r="F32" s="283">
        <f>+E32*J34</f>
        <v>119772.08009201668</v>
      </c>
      <c r="G32" s="225">
        <f>IF($B$18='2. Customer Classes'!$B$14,+'4. Customer Growth'!$C43,+IF($B$18='2. Customer Classes'!$B$15,+'4. Customer Growth'!$E43,+IF($B$18='2. Customer Classes'!$B$16,+'4. Customer Growth'!$G43,+IF($B$18='2. Customer Classes'!$B$17,+'4. Customer Growth'!$I43,+IF($B$18='2. Customer Classes'!$B$18,+'4. Customer Growth'!$K43,+IF($B$18='2. Customer Classes'!$B$19,+'4. Customer Growth'!$M43,IF($B$18='2. Customer Classes'!$B$20,+'4. Customer Growth'!$O43,0)))))))</f>
        <v>60.779977365656592</v>
      </c>
      <c r="H32" s="374">
        <f t="shared" si="3"/>
        <v>725194.50065038493</v>
      </c>
      <c r="I32" s="377">
        <f t="shared" si="4"/>
        <v>1970.5844800082677</v>
      </c>
      <c r="J32" s="375"/>
      <c r="K32" s="80"/>
      <c r="L32" s="80"/>
      <c r="M32" s="190" t="str">
        <f t="shared" si="0"/>
        <v>2017</v>
      </c>
      <c r="N32" s="304">
        <f>+N30/'6. WS Regression Analysis'!$V$68*'6. WS Regression Analysis'!$S$163</f>
        <v>1098309.1910566292</v>
      </c>
      <c r="O32" s="456"/>
      <c r="P32" s="497">
        <f t="shared" si="6"/>
        <v>1098309.1910566292</v>
      </c>
      <c r="Q32" s="283">
        <f>P32*$U$34</f>
        <v>3051.8822831109183</v>
      </c>
      <c r="R32" s="225">
        <f>IF($M$18='2. Customer Classes'!$B$14,+'4. Customer Growth'!$C43,+IF($M$18='2. Customer Classes'!$B$15,+'4. Customer Growth'!$E43,+IF($M$18='2. Customer Classes'!$B$16,+'4. Customer Growth'!$G43,+IF($M$18='2. Customer Classes'!$B$17,+'4. Customer Growth'!$I43,+IF($M$18='2. Customer Classes'!$B$18,+'4. Customer Growth'!$K43,+IF($M$18='2. Customer Classes'!$B$19,+'4. Customer Growth'!$M43,IF($M$18='2. Customer Classes'!$B$20,+'4. Customer Growth'!$O43,0)))))))</f>
        <v>1199.30798221087</v>
      </c>
      <c r="S32" s="374">
        <f t="shared" si="7"/>
        <v>915.78577592049862</v>
      </c>
      <c r="T32" s="377">
        <f t="shared" si="8"/>
        <v>2.5447027188836944</v>
      </c>
      <c r="U32" s="85"/>
      <c r="V32" s="64"/>
      <c r="W32" s="190" t="str">
        <f t="shared" si="1"/>
        <v>2017</v>
      </c>
      <c r="X32" s="304">
        <f>+X30/'6. WS Regression Analysis'!$V$68*'6. WS Regression Analysis'!$S$163</f>
        <v>0</v>
      </c>
      <c r="Y32" s="456"/>
      <c r="Z32" s="70">
        <f t="shared" si="10"/>
        <v>0</v>
      </c>
      <c r="AA32" s="283">
        <f>Z32*$AE$34</f>
        <v>0</v>
      </c>
      <c r="AB32" s="225">
        <f>IF($W$18='2. Customer Classes'!$B$14,+'4. Customer Growth'!$C43,+IF($W$18='2. Customer Classes'!$B$15,+'4. Customer Growth'!$E43,+IF($W$18='2. Customer Classes'!$B$16,+'4. Customer Growth'!$G43,+IF($W$18='2. Customer Classes'!$B$17,+'4. Customer Growth'!$I43,+IF($W$18='2. Customer Classes'!$B$18,+'4. Customer Growth'!$K43,+IF($W$18='2. Customer Classes'!$B$19,+'4. Customer Growth'!$M43,IF($W$18='2. Customer Classes'!$B$20,+'4. Customer Growth'!$O43,0)))))))</f>
        <v>0</v>
      </c>
      <c r="AC32" s="374">
        <f t="shared" si="11"/>
        <v>0</v>
      </c>
      <c r="AD32" s="377">
        <f t="shared" si="12"/>
        <v>0</v>
      </c>
      <c r="AE32" s="85"/>
      <c r="AG32" s="355" t="str">
        <f t="shared" si="14"/>
        <v>2017</v>
      </c>
      <c r="AH32" s="304">
        <f>+AH30/'6. WS Regression Analysis'!$V$68*'6. WS Regression Analysis'!$S$163</f>
        <v>151855.87128682504</v>
      </c>
      <c r="AI32" s="456"/>
      <c r="AJ32" s="497">
        <f t="shared" si="15"/>
        <v>151855.87128682504</v>
      </c>
      <c r="AK32" s="304">
        <f>AJ32*$AO$34</f>
        <v>0</v>
      </c>
      <c r="AL32" s="225">
        <f>IF($AG$18='2. Customer Classes'!$B$14,+'4. Customer Growth'!$C43,+IF($AG$18='2. Customer Classes'!$B$15,+'4. Customer Growth'!$E43,+IF($AG$18='2. Customer Classes'!$B$16,+'4. Customer Growth'!$G43,+IF($AG$18='2. Customer Classes'!$B$17,+'4. Customer Growth'!$I43,+IF($AG$18='2. Customer Classes'!$B$18,+'4. Customer Growth'!$K43,+IF($AG$18='2. Customer Classes'!$B$19,+'4. Customer Growth'!$M43,IF($AG$18='2. Customer Classes'!$B$20,+'4. Customer Growth'!$O43,IF($AG$18='2. Customer Classes'!$B$21,+'4. Customer Growth'!$Q43,0))))))))</f>
        <v>34.227155540162357</v>
      </c>
      <c r="AM32" s="374">
        <f t="shared" si="16"/>
        <v>4436.7073129590453</v>
      </c>
      <c r="AN32" s="377">
        <f t="shared" si="17"/>
        <v>0</v>
      </c>
      <c r="AO32" s="85"/>
      <c r="AQ32" s="355" t="str">
        <f t="shared" si="19"/>
        <v>2017</v>
      </c>
      <c r="AR32" s="304">
        <f>+AR30/'6. WS Regression Analysis'!$S$139*'6. WS Regression Analysis'!$S$163</f>
        <v>0</v>
      </c>
      <c r="AS32" s="456"/>
      <c r="AT32" s="497">
        <f t="shared" si="20"/>
        <v>0</v>
      </c>
      <c r="AU32" s="304">
        <f>AT32*$AY$34</f>
        <v>0</v>
      </c>
      <c r="AV32" s="225">
        <f>IF($AQ$18='2. Customer Classes'!$B$14,+'4. Customer Growth'!$C43,+IF($AQ$18='2. Customer Classes'!$B$15,+'4. Customer Growth'!$E43,+IF($AQ$18='2. Customer Classes'!$B$16,+'4. Customer Growth'!$G43,+IF($AQ$18='2. Customer Classes'!$B$17,+'4. Customer Growth'!$I43,+IF($AQ$18='2. Customer Classes'!$B$18,+'4. Customer Growth'!$K43,+IF($AQ$18='2. Customer Classes'!$B$19,+'4. Customer Growth'!$M43,IF($AQ$18='2. Customer Classes'!$B$20,+'4. Customer Growth'!$O43,0)))))))</f>
        <v>0</v>
      </c>
      <c r="AW32" s="374">
        <f t="shared" si="21"/>
        <v>0</v>
      </c>
      <c r="AX32" s="377">
        <f t="shared" si="22"/>
        <v>0</v>
      </c>
      <c r="AY32" s="85"/>
    </row>
    <row r="33" spans="2:51" x14ac:dyDescent="0.2">
      <c r="B33" s="74"/>
      <c r="C33" s="490"/>
      <c r="D33" s="490"/>
      <c r="E33" s="225"/>
      <c r="F33" s="283"/>
      <c r="G33" s="281"/>
      <c r="H33" s="281"/>
      <c r="I33" s="283"/>
      <c r="J33" s="375"/>
      <c r="K33" s="80"/>
      <c r="L33" s="80"/>
      <c r="M33" s="74"/>
      <c r="N33" s="490"/>
      <c r="O33" s="490"/>
      <c r="P33" s="225"/>
      <c r="Q33" s="283"/>
      <c r="R33" s="283"/>
      <c r="S33" s="283"/>
      <c r="T33" s="283"/>
      <c r="U33" s="86"/>
      <c r="V33" s="64"/>
      <c r="W33" s="74"/>
      <c r="X33" s="490"/>
      <c r="Y33" s="490"/>
      <c r="Z33" s="283"/>
      <c r="AA33" s="283"/>
      <c r="AB33" s="283"/>
      <c r="AC33" s="283"/>
      <c r="AD33" s="283"/>
      <c r="AE33" s="242"/>
      <c r="AG33" s="74"/>
      <c r="AH33" s="490"/>
      <c r="AI33" s="490"/>
      <c r="AJ33" s="283"/>
      <c r="AK33" s="283"/>
      <c r="AL33" s="283"/>
      <c r="AM33" s="283"/>
      <c r="AN33" s="283"/>
      <c r="AO33" s="242"/>
      <c r="AQ33" s="74"/>
      <c r="AR33" s="490"/>
      <c r="AS33" s="490"/>
      <c r="AT33" s="304"/>
      <c r="AU33" s="304"/>
      <c r="AV33" s="304"/>
      <c r="AW33" s="304"/>
      <c r="AX33" s="304"/>
      <c r="AY33" s="242"/>
    </row>
    <row r="34" spans="2:51" ht="16.5" customHeight="1" x14ac:dyDescent="0.2">
      <c r="B34" s="235" t="s">
        <v>161</v>
      </c>
      <c r="C34" s="491"/>
      <c r="D34" s="491"/>
      <c r="E34" s="758">
        <v>10</v>
      </c>
      <c r="F34" s="189"/>
      <c r="G34" s="329"/>
      <c r="H34" s="335">
        <f>AVERAGE(H21:H31)</f>
        <v>779103.74639391352</v>
      </c>
      <c r="I34" s="381">
        <f>IF($E$34=1,+AVERAGE(I30:I30),+IF($E$34=2,+AVERAGE(I29:I30),+IF($E$34=3,+AVERAGE(I28:I30),+IF($E$34=4,+AVERAGE(I27:I30),+IF($E$34=5,+AVERAGE(I26:I30),+IF($E$34=6,+AVERAGE(I25:I30),+IF($E$34=7,+AVERAGE(I24:I30),+IF($E$34=8,+AVERAGE(I23:I30),+IF($E$34=9,+AVERAGE(I22:I30),+IF($E$34=10,+AVERAGE(I21:I30),0))))))))))</f>
        <v>2134.3854274261312</v>
      </c>
      <c r="J34" s="312">
        <f>IF($E$34=1,+AVERAGE(J30:J30),+IF($E$34=2,+AVERAGE(J29:J30),+IF($E$34=3,+AVERAGE(J28:J30),+IF($E$34=4,+AVERAGE(J27:J30),+IF($E$34=5,+AVERAGE(J26:J30),+IF($E$34=6,+AVERAGE(J25:J30),+IF($E$34=7,+AVERAGE(J24:J30),+IF($E$34=8,+AVERAGE(J23:J30),+IF($E$34=9,+AVERAGE(J22:J30),+IF($E$34=10,+AVERAGE(J21:J30),0))))))))))</f>
        <v>2.7173185652138352E-3</v>
      </c>
      <c r="K34" s="184"/>
      <c r="L34" s="184"/>
      <c r="M34" s="235" t="s">
        <v>161</v>
      </c>
      <c r="N34" s="496"/>
      <c r="O34" s="496"/>
      <c r="P34" s="773">
        <v>10</v>
      </c>
      <c r="Q34" s="189"/>
      <c r="R34" s="189"/>
      <c r="S34" s="335">
        <f>AVERAGE(S21:S32)</f>
        <v>945.98438206533217</v>
      </c>
      <c r="T34" s="335">
        <f>AVERAGE(T21:T32)</f>
        <v>2.6286487983350173</v>
      </c>
      <c r="U34" s="335">
        <f>AVERAGE(U21:U32)</f>
        <v>2.778709591034973E-3</v>
      </c>
      <c r="V34" s="64"/>
      <c r="W34" s="235" t="s">
        <v>161</v>
      </c>
      <c r="X34" s="496"/>
      <c r="Y34" s="496"/>
      <c r="Z34" s="773">
        <v>10</v>
      </c>
      <c r="AA34" s="189"/>
      <c r="AB34" s="189"/>
      <c r="AC34" s="335">
        <f>AVERAGE(AC21:AC32)</f>
        <v>0</v>
      </c>
      <c r="AD34" s="335">
        <f>AVERAGE(AD21:AD32)</f>
        <v>0</v>
      </c>
      <c r="AE34" s="191">
        <f>IF($Z$34=1,+AVERAGE(AE30:AE30),+IF($Z$34=2,+AVERAGE(AE29:AE30),+IF($Z$34=3,+AVERAGE(AE28:AE30),+IF($Z$34=4,+AVERAGE(AE27:AE30),+IF($Z$34=5,+AVERAGE(AE26:AE30),+IF($Z$34=6,+AVERAGE(AE25:AE30),+IF($Z$34=7,+AVERAGE(AE24:AE30),+IF($Z$34=8,+AVERAGE(AE23:AE30),+IF($Z$34=9,+AVERAGE(AE22:AE30),+IF($Z$34=10,+AVERAGE(AE21:AE30),0))))))))))</f>
        <v>0</v>
      </c>
      <c r="AG34" s="235" t="s">
        <v>161</v>
      </c>
      <c r="AH34" s="496"/>
      <c r="AI34" s="496"/>
      <c r="AJ34" s="773">
        <v>10</v>
      </c>
      <c r="AK34" s="189"/>
      <c r="AL34" s="189"/>
      <c r="AM34" s="335">
        <f>AVERAGE(AM21:AM32)</f>
        <v>4739.4455100322484</v>
      </c>
      <c r="AN34" s="380">
        <f>IF($AJ$34=1,+AVERAGE(AN30:AN30),+IF($AJ$34=2,+AVERAGE(AN29:AN30),+IF($AJ$34=3,+AVERAGE(AN28:AN30),+IF($AJ$34=4,+AVERAGE(AN27:AN30),+IF($AJ$34=5,+AVERAGE(AN26:AN30),+IF($AJ$34=6,+AVERAGE(AN25:AN30),+IF($AJ$34=7,+AVERAGE(AN24:AN30),+IF($AJ$34=8,+AVERAGE(AN23:AN30),+IF($AJ$34=9,+AVERAGE(AN22:AN30),+IF($AJ$34=10,+AVERAGE(AN21:AN30),0))))))))))</f>
        <v>0</v>
      </c>
      <c r="AO34" s="191">
        <f>IF($AJ$34=1,+AVERAGE(AO30:AO30),+IF($AJ$34=2,+AVERAGE(AO29:AO30),+IF($AJ$34=3,+AVERAGE(AO28:AO30),+IF($AJ$34=4,+AVERAGE(AO27:AO30),+IF($AJ$34=5,+AVERAGE(AO26:AO30),+IF($AJ$34=6,+AVERAGE(AO25:AO30),+IF($AJ$34=7,+AVERAGE(AO24:AO30),+IF($AJ$34=8,+AVERAGE(AO23:AO30),+IF($AJ$34=9,+AVERAGE(AO22:AO30),+IF($AJ$34=10,+AVERAGE(AO21:AO30),0))))))))))</f>
        <v>0</v>
      </c>
      <c r="AQ34" s="235" t="s">
        <v>161</v>
      </c>
      <c r="AR34" s="496"/>
      <c r="AS34" s="496"/>
      <c r="AT34" s="773">
        <v>4</v>
      </c>
      <c r="AU34" s="189"/>
      <c r="AV34" s="189"/>
      <c r="AW34" s="335">
        <f>IF($AT$34=1,+AVERAGE(AW30:AW30),+IF($AT$34=2,+AVERAGE(AW29:AW30),+IF($AT$34=3,+AVERAGE(AW28:AW30),+IF($AT$34=4,+AVERAGE(AW27:AW30),+IF($AT$34=5,+AVERAGE(AW26:AW30),+IF($AT$34=6,+AVERAGE(AW25:AW30),+IF($AT$34=7,+AVERAGE(AW24:AW30),+IF($AT$34=8,+AVERAGE(AW23:AW30),+IF($AT$34=9,+AVERAGE(AW22:AW30),+IF($AT$34=10,+AVERAGE(AW21:AW30),0))))))))))</f>
        <v>0</v>
      </c>
      <c r="AX34" s="380">
        <f>IF($AT$34=1,+AVERAGE(AX30:AX30),+IF($AT$34=2,+AVERAGE(AX29:AX30),+IF($AT$34=3,+AVERAGE(AX28:AX30),+IF($AT$34=4,+AVERAGE(AX27:AX30),+IF($AT$34=5,+AVERAGE(AX26:AX30),+IF($AT$34=6,+AVERAGE(AX25:AX30),+IF($AT$34=7,+AVERAGE(AX24:AX30),+IF($AT$34=8,+AVERAGE(AX23:AX30),+IF($AT$34=9,+AVERAGE(AX22:AX30),+IF($AT$34=10,+AVERAGE(AX21:AX30),0))))))))))</f>
        <v>0</v>
      </c>
      <c r="AY34" s="191">
        <f>IF($AT$34=1,+AVERAGE(AY30:AY30),+IF($AT$34=2,+AVERAGE(AY29:AY30),+IF($AT$34=3,+AVERAGE(AY28:AY30),+IF($AT$34=4,+AVERAGE(AY27:AY30),+IF($AT$34=5,+AVERAGE(AY26:AY30),+IF($AT$34=6,+AVERAGE(AY25:AY30),+IF($AT$34=7,+AVERAGE(AY24:AY30),+IF($AT$34=8,+AVERAGE(AY23:AY30),+IF($AT$34=9,+AVERAGE(AY22:AY30),+IF($AT$34=10,+AVERAGE(AY21:AY30),0))))))))))</f>
        <v>0</v>
      </c>
    </row>
    <row r="35" spans="2:51" ht="13.5" thickBot="1" x14ac:dyDescent="0.25">
      <c r="B35" s="192"/>
      <c r="C35" s="492"/>
      <c r="D35" s="492"/>
      <c r="E35" s="193"/>
      <c r="F35" s="193"/>
      <c r="G35" s="330"/>
      <c r="H35" s="802" t="s">
        <v>30</v>
      </c>
      <c r="I35" s="193"/>
      <c r="J35" s="379"/>
      <c r="M35" s="192"/>
      <c r="N35" s="492"/>
      <c r="O35" s="492"/>
      <c r="P35" s="193"/>
      <c r="Q35" s="91"/>
      <c r="R35" s="91"/>
      <c r="S35" s="91"/>
      <c r="T35" s="91"/>
      <c r="U35" s="194"/>
      <c r="W35" s="90"/>
      <c r="X35" s="478"/>
      <c r="Y35" s="478"/>
      <c r="Z35" s="91"/>
      <c r="AA35" s="91"/>
      <c r="AB35" s="91"/>
      <c r="AC35" s="91"/>
      <c r="AD35" s="91"/>
      <c r="AE35" s="194"/>
      <c r="AG35" s="90"/>
      <c r="AH35" s="478"/>
      <c r="AI35" s="478"/>
      <c r="AJ35" s="91"/>
      <c r="AK35" s="91"/>
      <c r="AL35" s="91"/>
      <c r="AM35" s="91"/>
      <c r="AN35" s="91"/>
      <c r="AO35" s="194"/>
      <c r="AQ35" s="90"/>
      <c r="AR35" s="478"/>
      <c r="AS35" s="478"/>
      <c r="AT35" s="91"/>
      <c r="AU35" s="91"/>
      <c r="AV35" s="91"/>
      <c r="AW35" s="91"/>
      <c r="AX35" s="91"/>
      <c r="AY35" s="194"/>
    </row>
    <row r="36" spans="2:51" x14ac:dyDescent="0.2">
      <c r="B36" s="1078" t="s">
        <v>155</v>
      </c>
      <c r="C36" s="1078"/>
      <c r="D36" s="1078"/>
      <c r="E36" s="1078"/>
      <c r="F36" s="1078"/>
      <c r="G36" s="1078"/>
      <c r="H36" s="1078"/>
      <c r="I36" s="1078"/>
      <c r="J36" s="1078"/>
      <c r="M36" s="1078" t="s">
        <v>155</v>
      </c>
      <c r="N36" s="1078"/>
      <c r="O36" s="1078"/>
      <c r="P36" s="1078"/>
      <c r="Q36" s="1078"/>
      <c r="R36" s="1078"/>
      <c r="S36" s="1078"/>
      <c r="T36" s="1078"/>
      <c r="U36" s="1078"/>
      <c r="W36" s="1066" t="s">
        <v>155</v>
      </c>
      <c r="X36" s="1066"/>
      <c r="Y36" s="1066"/>
      <c r="Z36" s="1066"/>
      <c r="AA36" s="1066"/>
      <c r="AB36" s="1066"/>
      <c r="AC36" s="1066"/>
      <c r="AD36" s="1066"/>
      <c r="AE36" s="1066"/>
      <c r="AG36" s="1078" t="s">
        <v>155</v>
      </c>
      <c r="AH36" s="1078"/>
      <c r="AI36" s="1078"/>
      <c r="AJ36" s="1078"/>
      <c r="AK36" s="1078"/>
      <c r="AL36" s="1078"/>
      <c r="AM36" s="1078"/>
      <c r="AN36" s="1078"/>
      <c r="AO36" s="1078"/>
      <c r="AQ36" s="1078" t="s">
        <v>155</v>
      </c>
      <c r="AR36" s="1078"/>
      <c r="AS36" s="1078"/>
      <c r="AT36" s="1078"/>
      <c r="AU36" s="1078"/>
      <c r="AV36" s="1078"/>
      <c r="AW36" s="1078"/>
      <c r="AX36" s="1078"/>
      <c r="AY36" s="1078"/>
    </row>
    <row r="37" spans="2:51" x14ac:dyDescent="0.2">
      <c r="B37" s="148"/>
      <c r="C37" s="148"/>
      <c r="D37" s="148"/>
      <c r="E37" s="148"/>
      <c r="F37" s="148"/>
      <c r="G37" s="149"/>
      <c r="H37" s="150"/>
      <c r="I37" s="151"/>
      <c r="J37" s="153"/>
      <c r="M37" s="148"/>
      <c r="N37" s="148"/>
      <c r="O37" s="148"/>
      <c r="P37" s="148"/>
      <c r="Q37" s="148"/>
      <c r="R37" s="149"/>
      <c r="S37" s="150"/>
      <c r="T37" s="151"/>
      <c r="U37" s="153"/>
      <c r="W37" s="148"/>
      <c r="X37" s="148"/>
      <c r="Y37" s="148"/>
      <c r="Z37" s="148"/>
      <c r="AA37" s="148"/>
      <c r="AB37" s="149"/>
      <c r="AC37" s="150"/>
      <c r="AD37" s="151"/>
      <c r="AE37" s="153"/>
      <c r="AG37" s="148"/>
      <c r="AH37" s="148"/>
      <c r="AI37" s="148"/>
      <c r="AJ37" s="148"/>
      <c r="AK37" s="148"/>
      <c r="AL37" s="149"/>
      <c r="AM37" s="150"/>
      <c r="AN37" s="151"/>
      <c r="AO37" s="153"/>
      <c r="AQ37" s="148"/>
      <c r="AR37" s="148"/>
      <c r="AS37" s="148"/>
      <c r="AT37" s="148"/>
      <c r="AU37" s="148"/>
      <c r="AV37" s="149"/>
      <c r="AW37" s="150"/>
      <c r="AX37" s="151"/>
      <c r="AY37" s="153"/>
    </row>
    <row r="38" spans="2:51" x14ac:dyDescent="0.2">
      <c r="B38" s="148"/>
      <c r="C38" s="148"/>
      <c r="D38" s="148"/>
      <c r="E38" s="148"/>
      <c r="F38" s="148"/>
      <c r="G38" s="149"/>
      <c r="H38" s="150"/>
      <c r="I38" s="151"/>
      <c r="J38" s="153"/>
      <c r="M38" s="148"/>
      <c r="N38" s="148"/>
      <c r="O38" s="148"/>
      <c r="P38" s="148"/>
      <c r="Q38" s="148"/>
      <c r="R38" s="149"/>
      <c r="S38" s="150"/>
      <c r="T38" s="151"/>
      <c r="U38" s="153"/>
      <c r="W38" s="148"/>
      <c r="X38" s="148"/>
      <c r="Y38" s="148"/>
      <c r="Z38" s="148"/>
      <c r="AA38" s="148"/>
      <c r="AB38" s="149"/>
      <c r="AC38" s="150"/>
      <c r="AD38" s="151"/>
      <c r="AE38" s="153"/>
      <c r="AG38" s="148"/>
      <c r="AH38" s="148"/>
      <c r="AI38" s="148"/>
      <c r="AJ38" s="148"/>
      <c r="AK38" s="148"/>
      <c r="AL38" s="149"/>
      <c r="AM38" s="150"/>
      <c r="AN38" s="151"/>
      <c r="AO38" s="153"/>
      <c r="AQ38" s="148"/>
      <c r="AR38" s="148"/>
      <c r="AS38" s="148"/>
      <c r="AT38" s="148"/>
      <c r="AU38" s="148"/>
      <c r="AV38" s="149"/>
      <c r="AW38" s="150"/>
      <c r="AX38" s="151"/>
      <c r="AY38" s="153"/>
    </row>
    <row r="39" spans="2:51" x14ac:dyDescent="0.2">
      <c r="B39" s="148"/>
      <c r="C39" s="148"/>
      <c r="D39" s="148"/>
      <c r="E39" s="148"/>
      <c r="F39" s="148"/>
      <c r="G39" s="149"/>
      <c r="H39" s="150"/>
      <c r="I39" s="151"/>
      <c r="J39" s="153"/>
      <c r="M39" s="148"/>
      <c r="N39" s="148"/>
      <c r="O39" s="148"/>
      <c r="P39" s="148"/>
      <c r="Q39" s="148"/>
      <c r="R39" s="149"/>
      <c r="S39" s="150"/>
      <c r="T39" s="151"/>
      <c r="U39" s="153"/>
      <c r="W39" s="148"/>
      <c r="X39" s="148"/>
      <c r="Y39" s="148"/>
      <c r="Z39" s="148"/>
      <c r="AA39" s="148"/>
      <c r="AB39" s="149"/>
      <c r="AC39" s="150"/>
      <c r="AD39" s="151"/>
      <c r="AE39" s="153"/>
      <c r="AG39" s="148"/>
      <c r="AH39" s="148"/>
      <c r="AI39" s="148"/>
      <c r="AJ39" s="148"/>
      <c r="AK39" s="148"/>
      <c r="AL39" s="149"/>
      <c r="AM39" s="150"/>
      <c r="AN39" s="151"/>
      <c r="AO39" s="153"/>
      <c r="AQ39" s="148"/>
      <c r="AR39" s="148"/>
      <c r="AS39" s="148"/>
      <c r="AT39" s="148"/>
      <c r="AU39" s="148"/>
      <c r="AV39" s="149"/>
      <c r="AW39" s="150"/>
      <c r="AX39" s="151"/>
      <c r="AY39" s="153"/>
    </row>
    <row r="40" spans="2:51" x14ac:dyDescent="0.2">
      <c r="B40" s="148"/>
      <c r="C40" s="148"/>
      <c r="D40" s="148"/>
      <c r="E40" s="148"/>
      <c r="F40" s="148"/>
      <c r="G40" s="149"/>
      <c r="H40" s="150"/>
      <c r="I40" s="151"/>
      <c r="J40" s="153"/>
      <c r="M40" s="148"/>
      <c r="N40" s="148"/>
      <c r="O40" s="148"/>
      <c r="P40" s="148"/>
      <c r="Q40" s="148"/>
      <c r="R40" s="149"/>
      <c r="S40" s="150"/>
      <c r="T40" s="151"/>
      <c r="U40" s="153"/>
      <c r="W40" s="148"/>
      <c r="X40" s="148"/>
      <c r="Y40" s="148"/>
      <c r="Z40" s="148"/>
      <c r="AA40" s="148"/>
      <c r="AB40" s="149"/>
      <c r="AC40" s="150"/>
      <c r="AD40" s="151"/>
      <c r="AE40" s="153"/>
      <c r="AG40" s="148"/>
      <c r="AH40" s="148"/>
      <c r="AI40" s="148"/>
      <c r="AJ40" s="148"/>
      <c r="AK40" s="148"/>
      <c r="AL40" s="149"/>
      <c r="AM40" s="150"/>
      <c r="AN40" s="151"/>
      <c r="AO40" s="153"/>
      <c r="AQ40" s="148"/>
      <c r="AR40" s="148"/>
      <c r="AS40" s="148"/>
      <c r="AT40" s="148"/>
      <c r="AU40" s="148"/>
      <c r="AV40" s="149"/>
      <c r="AW40" s="150"/>
      <c r="AX40" s="151"/>
      <c r="AY40" s="153"/>
    </row>
    <row r="41" spans="2:51" ht="15" x14ac:dyDescent="0.2">
      <c r="B41" s="1065" t="s">
        <v>175</v>
      </c>
      <c r="C41" s="1065"/>
      <c r="D41" s="1065"/>
      <c r="E41" s="1065"/>
      <c r="F41" s="1065"/>
      <c r="G41" s="1065"/>
      <c r="H41" s="1065"/>
      <c r="I41" s="1065"/>
      <c r="J41" s="1065"/>
      <c r="M41" s="1065" t="s">
        <v>175</v>
      </c>
      <c r="N41" s="1065"/>
      <c r="O41" s="1065"/>
      <c r="P41" s="1065"/>
      <c r="Q41" s="1065"/>
      <c r="R41" s="1065"/>
      <c r="S41" s="1065"/>
      <c r="T41" s="1065"/>
      <c r="U41" s="1065"/>
      <c r="W41" s="1065" t="s">
        <v>175</v>
      </c>
      <c r="X41" s="1065"/>
      <c r="Y41" s="1065"/>
      <c r="Z41" s="1065"/>
      <c r="AA41" s="1065"/>
      <c r="AB41" s="1065"/>
      <c r="AC41" s="1065"/>
      <c r="AD41" s="1065"/>
      <c r="AE41" s="1065"/>
      <c r="AG41" s="1065" t="s">
        <v>175</v>
      </c>
      <c r="AH41" s="1065"/>
      <c r="AI41" s="1065"/>
      <c r="AJ41" s="1065"/>
      <c r="AK41" s="1065"/>
      <c r="AL41" s="1065"/>
      <c r="AM41" s="1065"/>
      <c r="AN41" s="1065"/>
      <c r="AO41" s="1065"/>
      <c r="AQ41" s="1065" t="s">
        <v>175</v>
      </c>
      <c r="AR41" s="1065"/>
      <c r="AS41" s="1065"/>
      <c r="AT41" s="1065"/>
      <c r="AU41" s="1065"/>
      <c r="AV41" s="1065"/>
      <c r="AW41" s="1065"/>
      <c r="AX41" s="1065"/>
      <c r="AY41" s="1065"/>
    </row>
    <row r="42" spans="2:51" x14ac:dyDescent="0.2">
      <c r="C42" s="975"/>
      <c r="J42" s="317"/>
    </row>
    <row r="43" spans="2:51" x14ac:dyDescent="0.2">
      <c r="J43" s="317"/>
    </row>
    <row r="44" spans="2:51" x14ac:dyDescent="0.2">
      <c r="J44" s="317"/>
    </row>
    <row r="45" spans="2:51" x14ac:dyDescent="0.2">
      <c r="J45" s="317"/>
    </row>
    <row r="46" spans="2:51" ht="13.5" thickBot="1" x14ac:dyDescent="0.25">
      <c r="J46" s="317"/>
    </row>
    <row r="47" spans="2:51" ht="13.5" thickBot="1" x14ac:dyDescent="0.25">
      <c r="B47" s="1070" t="str">
        <f>+B18</f>
        <v>General Service &gt; 50 kW - 4999 kW</v>
      </c>
      <c r="C47" s="1071"/>
      <c r="D47" s="1071"/>
      <c r="E47" s="1071"/>
      <c r="F47" s="1071"/>
      <c r="G47" s="1071"/>
      <c r="H47" s="1071"/>
      <c r="I47" s="1071"/>
      <c r="J47" s="1072"/>
      <c r="M47" s="1070" t="str">
        <f>+M18</f>
        <v>Streetlighting</v>
      </c>
      <c r="N47" s="1071"/>
      <c r="O47" s="1071"/>
      <c r="P47" s="1071"/>
      <c r="Q47" s="1071"/>
      <c r="R47" s="1071"/>
      <c r="S47" s="1071"/>
      <c r="T47" s="1071"/>
      <c r="U47" s="1072"/>
      <c r="W47" s="1070" t="str">
        <f>+W18</f>
        <v>Sentinel Lighting</v>
      </c>
      <c r="X47" s="1071"/>
      <c r="Y47" s="1071"/>
      <c r="Z47" s="1071"/>
      <c r="AA47" s="1071"/>
      <c r="AB47" s="1071"/>
      <c r="AC47" s="1071"/>
      <c r="AD47" s="1071"/>
      <c r="AE47" s="1072"/>
      <c r="AG47" s="1070" t="str">
        <f>+AG18</f>
        <v>Unmetered Scattered Load</v>
      </c>
      <c r="AH47" s="1071"/>
      <c r="AI47" s="1071"/>
      <c r="AJ47" s="1071"/>
      <c r="AK47" s="1071"/>
      <c r="AL47" s="1071"/>
      <c r="AM47" s="1071"/>
      <c r="AN47" s="1071"/>
      <c r="AO47" s="1072"/>
      <c r="AQ47" s="1070">
        <f>+AQ18</f>
        <v>0</v>
      </c>
      <c r="AR47" s="1071"/>
      <c r="AS47" s="1071"/>
      <c r="AT47" s="1071"/>
      <c r="AU47" s="1071"/>
      <c r="AV47" s="1071"/>
      <c r="AW47" s="1071"/>
      <c r="AX47" s="1071"/>
      <c r="AY47" s="1072"/>
    </row>
    <row r="48" spans="2:51" ht="29.25" customHeight="1" thickBot="1" x14ac:dyDescent="0.25">
      <c r="B48" s="345" t="s">
        <v>33</v>
      </c>
      <c r="C48" s="493"/>
      <c r="D48" s="493"/>
      <c r="E48" s="346" t="s">
        <v>40</v>
      </c>
      <c r="F48" s="346" t="s">
        <v>183</v>
      </c>
      <c r="G48" s="346" t="s">
        <v>184</v>
      </c>
      <c r="H48" s="352" t="s">
        <v>187</v>
      </c>
      <c r="I48" s="346" t="s">
        <v>185</v>
      </c>
      <c r="J48" s="347" t="s">
        <v>186</v>
      </c>
      <c r="K48" s="315"/>
      <c r="L48" s="315"/>
      <c r="M48" s="345" t="s">
        <v>33</v>
      </c>
      <c r="N48" s="493"/>
      <c r="O48" s="493"/>
      <c r="P48" s="346" t="s">
        <v>40</v>
      </c>
      <c r="Q48" s="346" t="s">
        <v>183</v>
      </c>
      <c r="R48" s="346" t="s">
        <v>184</v>
      </c>
      <c r="S48" s="352" t="s">
        <v>187</v>
      </c>
      <c r="T48" s="346" t="s">
        <v>185</v>
      </c>
      <c r="U48" s="347" t="s">
        <v>186</v>
      </c>
      <c r="W48" s="345" t="s">
        <v>33</v>
      </c>
      <c r="X48" s="493"/>
      <c r="Y48" s="493"/>
      <c r="Z48" s="346" t="s">
        <v>40</v>
      </c>
      <c r="AA48" s="346" t="s">
        <v>183</v>
      </c>
      <c r="AB48" s="346" t="s">
        <v>184</v>
      </c>
      <c r="AC48" s="352" t="s">
        <v>187</v>
      </c>
      <c r="AD48" s="346" t="s">
        <v>185</v>
      </c>
      <c r="AE48" s="347" t="s">
        <v>186</v>
      </c>
      <c r="AG48" s="345" t="s">
        <v>33</v>
      </c>
      <c r="AH48" s="493"/>
      <c r="AI48" s="493"/>
      <c r="AJ48" s="346" t="s">
        <v>40</v>
      </c>
      <c r="AK48" s="346" t="s">
        <v>183</v>
      </c>
      <c r="AL48" s="346" t="s">
        <v>184</v>
      </c>
      <c r="AM48" s="352" t="s">
        <v>187</v>
      </c>
      <c r="AN48" s="346" t="s">
        <v>185</v>
      </c>
      <c r="AO48" s="347" t="s">
        <v>186</v>
      </c>
      <c r="AQ48" s="345" t="s">
        <v>33</v>
      </c>
      <c r="AR48" s="493"/>
      <c r="AS48" s="493"/>
      <c r="AT48" s="346" t="s">
        <v>40</v>
      </c>
      <c r="AU48" s="346" t="s">
        <v>183</v>
      </c>
      <c r="AV48" s="346" t="s">
        <v>184</v>
      </c>
      <c r="AW48" s="352" t="s">
        <v>187</v>
      </c>
      <c r="AX48" s="346" t="s">
        <v>185</v>
      </c>
      <c r="AY48" s="347" t="s">
        <v>186</v>
      </c>
    </row>
    <row r="49" spans="2:51" ht="12.75" customHeight="1" x14ac:dyDescent="0.2">
      <c r="B49" s="9" t="str">
        <f>+B31</f>
        <v>2016</v>
      </c>
      <c r="C49" s="494"/>
      <c r="D49" s="494"/>
      <c r="E49" s="341">
        <f>+G31-G30</f>
        <v>-0.11011069721794797</v>
      </c>
      <c r="F49" s="342">
        <f>+H34</f>
        <v>779103.74639391352</v>
      </c>
      <c r="G49" s="348">
        <f>+I34</f>
        <v>2134.3854274261312</v>
      </c>
      <c r="H49" s="1076" t="s">
        <v>178</v>
      </c>
      <c r="I49" s="350">
        <f>IF(H49="Yes",+F49*E49+$E$31,$E$31)</f>
        <v>44431933.399247296</v>
      </c>
      <c r="J49" s="343">
        <f>IF(H49="Yes",+G49*E49+$F$31,$F$31)</f>
        <v>120735.71751411934</v>
      </c>
      <c r="M49" s="9" t="str">
        <f>+M31</f>
        <v>2016</v>
      </c>
      <c r="N49" s="494"/>
      <c r="O49" s="494"/>
      <c r="P49" s="341">
        <f>+R31-R30</f>
        <v>4.6449258381903746</v>
      </c>
      <c r="Q49" s="342">
        <f>+S34</f>
        <v>945.98438206533217</v>
      </c>
      <c r="R49" s="348">
        <f>+T34</f>
        <v>2.6286487983350173</v>
      </c>
      <c r="S49" s="1076" t="s">
        <v>178</v>
      </c>
      <c r="T49" s="350">
        <f>IF(S49="Yes",+Q49*P49+$P$31,$P$31)</f>
        <v>1107145.7399144964</v>
      </c>
      <c r="U49" s="343">
        <f>IF(S49="Yes",+R49*P49+$Q$31,$Q$31)</f>
        <v>3076.4364861739227</v>
      </c>
      <c r="W49" s="9" t="str">
        <f>+W31</f>
        <v>2016</v>
      </c>
      <c r="X49" s="494"/>
      <c r="Y49" s="494"/>
      <c r="Z49" s="341">
        <f>+AB31-AB30</f>
        <v>0</v>
      </c>
      <c r="AA49" s="342">
        <f>+AC34</f>
        <v>0</v>
      </c>
      <c r="AB49" s="348">
        <f>+AD34</f>
        <v>0</v>
      </c>
      <c r="AC49" s="1076" t="s">
        <v>178</v>
      </c>
      <c r="AD49" s="350">
        <f>IF(AC49="Yes",+AA49*Z49+$Z$31,$Z$31)</f>
        <v>0</v>
      </c>
      <c r="AE49" s="343">
        <f>IF(AC49="Yes",+AB49*Z49+$AA$31,$AA$31)</f>
        <v>0</v>
      </c>
      <c r="AG49" s="9" t="str">
        <f>+AG31</f>
        <v>2016</v>
      </c>
      <c r="AH49" s="494"/>
      <c r="AI49" s="494"/>
      <c r="AJ49" s="341">
        <f>+AL31-AL30</f>
        <v>0.60797722007912824</v>
      </c>
      <c r="AK49" s="342">
        <f>+AM34</f>
        <v>4739.4455100322484</v>
      </c>
      <c r="AL49" s="348">
        <f>+AN34</f>
        <v>0</v>
      </c>
      <c r="AM49" s="1076" t="s">
        <v>178</v>
      </c>
      <c r="AN49" s="350">
        <f>IF(AM49="Yes",+AK49*AJ49+$AJ$31,$AJ$31)</f>
        <v>153077.64183823875</v>
      </c>
      <c r="AO49" s="343">
        <f>IF(AM49="Yes",+AL49*AJ49+$AK$31,$AK$31)</f>
        <v>0</v>
      </c>
      <c r="AQ49" s="9" t="str">
        <f>+AQ31</f>
        <v>2016</v>
      </c>
      <c r="AR49" s="494"/>
      <c r="AS49" s="494"/>
      <c r="AT49" s="341">
        <f>+AV31-AV30</f>
        <v>0</v>
      </c>
      <c r="AU49" s="342">
        <f>+AW34</f>
        <v>0</v>
      </c>
      <c r="AV49" s="348">
        <f>+AX34</f>
        <v>0</v>
      </c>
      <c r="AW49" s="1076" t="s">
        <v>178</v>
      </c>
      <c r="AX49" s="350">
        <f>IF(AW49="Yes",+AU49*AT49+$AT$31,$AT$31)</f>
        <v>0</v>
      </c>
      <c r="AY49" s="343">
        <f>IF(AW49="Yes",+AV49*AT49+$AU$31,$AU$31)</f>
        <v>0</v>
      </c>
    </row>
    <row r="50" spans="2:51" ht="13.5" customHeight="1" thickBot="1" x14ac:dyDescent="0.25">
      <c r="B50" s="21" t="str">
        <f>+B32</f>
        <v>2017</v>
      </c>
      <c r="C50" s="495"/>
      <c r="D50" s="495"/>
      <c r="E50" s="337">
        <f>+G32-G30</f>
        <v>-0.22002263434340819</v>
      </c>
      <c r="F50" s="376">
        <f>+H34</f>
        <v>779103.74639391352</v>
      </c>
      <c r="G50" s="349">
        <f>+I34</f>
        <v>2134.3854274261312</v>
      </c>
      <c r="H50" s="1077"/>
      <c r="I50" s="351">
        <f>IF(H49="Yes",+F50*E50+$E$32,$E$32)</f>
        <v>44077305.335229032</v>
      </c>
      <c r="J50" s="344">
        <f>IF(H49="Yes",+G50*E50+$F$32,$F$32)</f>
        <v>119772.08009201668</v>
      </c>
      <c r="M50" s="21" t="str">
        <f>+M32</f>
        <v>2017</v>
      </c>
      <c r="N50" s="495"/>
      <c r="O50" s="495"/>
      <c r="P50" s="337">
        <f>+R32-R30</f>
        <v>9.3079822108700228</v>
      </c>
      <c r="Q50" s="376">
        <f>+S34</f>
        <v>945.98438206533217</v>
      </c>
      <c r="R50" s="349">
        <f>+T34</f>
        <v>2.6286487983350173</v>
      </c>
      <c r="S50" s="1077"/>
      <c r="T50" s="351">
        <f>IF(S49="Yes",+Q50*P50+$P$32,$P$32)</f>
        <v>1098309.1910566292</v>
      </c>
      <c r="U50" s="344">
        <f>IF(S49="Yes",+R50*P50+$Q$32,$Q$32)</f>
        <v>3051.8822831109183</v>
      </c>
      <c r="W50" s="21" t="str">
        <f>+W32</f>
        <v>2017</v>
      </c>
      <c r="X50" s="495"/>
      <c r="Y50" s="495"/>
      <c r="Z50" s="337">
        <f>+AB32-AB30</f>
        <v>0</v>
      </c>
      <c r="AA50" s="376">
        <f>+AC34</f>
        <v>0</v>
      </c>
      <c r="AB50" s="349">
        <f>+AD34</f>
        <v>0</v>
      </c>
      <c r="AC50" s="1077"/>
      <c r="AD50" s="351">
        <f>IF(AC49="Yes",+AA50*Z50+$Z$32,$Z$32)</f>
        <v>0</v>
      </c>
      <c r="AE50" s="344">
        <f>IF(AC49="Yes",+AB50*Z50+$AA$32,$AA$32)</f>
        <v>0</v>
      </c>
      <c r="AG50" s="21" t="str">
        <f>+AG32</f>
        <v>2017</v>
      </c>
      <c r="AH50" s="495"/>
      <c r="AI50" s="495"/>
      <c r="AJ50" s="337">
        <f>+AL32-AL30</f>
        <v>1.2271555401623573</v>
      </c>
      <c r="AK50" s="376">
        <f>+AM34</f>
        <v>4739.4455100322484</v>
      </c>
      <c r="AL50" s="349">
        <f>+AN34</f>
        <v>0</v>
      </c>
      <c r="AM50" s="1077"/>
      <c r="AN50" s="351">
        <f>IF(AM49="Yes",+AK50*AJ50+$AJ$32,$AJ$32)</f>
        <v>151855.87128682504</v>
      </c>
      <c r="AO50" s="344">
        <f>IF(AM49="Yes",+AL50*AJ50+$AK$32,$AK$32)</f>
        <v>0</v>
      </c>
      <c r="AQ50" s="21" t="str">
        <f>+AQ32</f>
        <v>2017</v>
      </c>
      <c r="AR50" s="495"/>
      <c r="AS50" s="495"/>
      <c r="AT50" s="337">
        <f>+AV32-AV30</f>
        <v>0</v>
      </c>
      <c r="AU50" s="376">
        <f>+AW34</f>
        <v>0</v>
      </c>
      <c r="AV50" s="349">
        <f>+AX34</f>
        <v>0</v>
      </c>
      <c r="AW50" s="1077"/>
      <c r="AX50" s="351">
        <f>IF(AW49="Yes",+AU50*AT50+$AT$32,$AT$32)</f>
        <v>0</v>
      </c>
      <c r="AY50" s="344">
        <f>IF(AW49="Yes",+AV50*AT50+$AU$32,$AU$32)</f>
        <v>0</v>
      </c>
    </row>
    <row r="51" spans="2:51" x14ac:dyDescent="0.2">
      <c r="J51" s="317"/>
    </row>
    <row r="52" spans="2:51" x14ac:dyDescent="0.2">
      <c r="B52" s="354" t="s">
        <v>189</v>
      </c>
      <c r="C52" s="354"/>
      <c r="D52" s="354"/>
    </row>
    <row r="54" spans="2:51" x14ac:dyDescent="0.2">
      <c r="H54" s="353"/>
    </row>
    <row r="57" spans="2:51" ht="26.25" hidden="1" thickBot="1" x14ac:dyDescent="0.25">
      <c r="B57" s="1073" t="s">
        <v>162</v>
      </c>
      <c r="C57" s="1074"/>
      <c r="D57" s="1074"/>
      <c r="E57" s="1075"/>
      <c r="H57" s="318" t="s">
        <v>150</v>
      </c>
      <c r="I57" s="319" t="s">
        <v>147</v>
      </c>
    </row>
    <row r="58" spans="2:51" hidden="1" x14ac:dyDescent="0.2">
      <c r="B58" s="313">
        <v>1</v>
      </c>
      <c r="C58" s="322"/>
      <c r="D58" s="322"/>
      <c r="E58" s="322"/>
      <c r="F58" s="327">
        <f>+B21</f>
        <v>2006</v>
      </c>
      <c r="G58" s="331"/>
      <c r="H58" s="324">
        <f>SUM('6. WS Regression Analysis'!J20:K31)</f>
        <v>91022592.580000013</v>
      </c>
      <c r="I58" s="320">
        <f>SUM('6. WS Regression Analysis'!R20:R31)</f>
        <v>93834660.825160488</v>
      </c>
    </row>
    <row r="59" spans="2:51" hidden="1" x14ac:dyDescent="0.2">
      <c r="B59" s="313">
        <v>2</v>
      </c>
      <c r="C59" s="322"/>
      <c r="D59" s="322"/>
      <c r="E59" s="322"/>
      <c r="F59" s="327">
        <f t="shared" ref="F59:F67" si="24">+B22</f>
        <v>2007</v>
      </c>
      <c r="G59" s="332"/>
      <c r="H59" s="325">
        <f>SUM('6. WS Regression Analysis'!J32:J43)</f>
        <v>94614050.200000003</v>
      </c>
      <c r="I59" s="321">
        <f>SUM('6. WS Regression Analysis'!R32:R43)</f>
        <v>93363786.459310383</v>
      </c>
    </row>
    <row r="60" spans="2:51" hidden="1" x14ac:dyDescent="0.2">
      <c r="B60" s="313">
        <v>3</v>
      </c>
      <c r="C60" s="322"/>
      <c r="D60" s="322"/>
      <c r="E60" s="322"/>
      <c r="F60" s="327">
        <f t="shared" si="24"/>
        <v>2008</v>
      </c>
      <c r="G60" s="332"/>
      <c r="H60" s="325">
        <f>SUM('6. WS Regression Analysis'!J44:J55)</f>
        <v>96430220.5</v>
      </c>
      <c r="I60" s="321">
        <f>SUM('6. WS Regression Analysis'!R44:R55)</f>
        <v>92931642.3760335</v>
      </c>
    </row>
    <row r="61" spans="2:51" hidden="1" x14ac:dyDescent="0.2">
      <c r="B61" s="313">
        <v>4</v>
      </c>
      <c r="C61" s="322"/>
      <c r="D61" s="322"/>
      <c r="E61" s="322"/>
      <c r="F61" s="327">
        <f t="shared" si="24"/>
        <v>2009</v>
      </c>
      <c r="G61" s="332"/>
      <c r="H61" s="325">
        <f>SUM('6. WS Regression Analysis'!J56:J67)</f>
        <v>92313324</v>
      </c>
      <c r="I61" s="321">
        <f>SUM('6. WS Regression Analysis'!R56:R67)</f>
        <v>92048566.784686312</v>
      </c>
    </row>
    <row r="62" spans="2:51" hidden="1" x14ac:dyDescent="0.2">
      <c r="B62" s="313">
        <v>5</v>
      </c>
      <c r="C62" s="322"/>
      <c r="D62" s="322"/>
      <c r="E62" s="322"/>
      <c r="F62" s="327">
        <f t="shared" si="24"/>
        <v>2010</v>
      </c>
      <c r="G62" s="332"/>
      <c r="H62" s="325">
        <f>SUM('6. WS Regression Analysis'!J68:J79)</f>
        <v>91831741</v>
      </c>
      <c r="I62" s="321">
        <f>SUM('6. WS Regression Analysis'!R68:R79)</f>
        <v>91956572.796058238</v>
      </c>
    </row>
    <row r="63" spans="2:51" hidden="1" x14ac:dyDescent="0.2">
      <c r="B63" s="313">
        <v>6</v>
      </c>
      <c r="C63" s="322"/>
      <c r="D63" s="322"/>
      <c r="E63" s="322"/>
      <c r="F63" s="327">
        <f t="shared" si="24"/>
        <v>2011</v>
      </c>
      <c r="G63" s="332"/>
      <c r="H63" s="325">
        <f>SUM('6. WS Regression Analysis'!J80:J91)</f>
        <v>90656017</v>
      </c>
      <c r="I63" s="321">
        <f>SUM('6. WS Regression Analysis'!R80:R91)</f>
        <v>91628943.54129757</v>
      </c>
    </row>
    <row r="64" spans="2:51" hidden="1" x14ac:dyDescent="0.2">
      <c r="B64" s="313">
        <v>7</v>
      </c>
      <c r="C64" s="322"/>
      <c r="D64" s="322"/>
      <c r="E64" s="322"/>
      <c r="F64" s="327">
        <f t="shared" si="24"/>
        <v>2012</v>
      </c>
      <c r="G64" s="332"/>
      <c r="H64" s="325">
        <f>SUM('6. WS Regression Analysis'!J92:J103)</f>
        <v>89014822</v>
      </c>
      <c r="I64" s="321">
        <f>SUM('6. WS Regression Analysis'!R92:R103)</f>
        <v>91730059.579689622</v>
      </c>
    </row>
    <row r="65" spans="2:10" hidden="1" x14ac:dyDescent="0.2">
      <c r="B65" s="313">
        <v>8</v>
      </c>
      <c r="C65" s="322"/>
      <c r="D65" s="322"/>
      <c r="E65" s="322"/>
      <c r="F65" s="327">
        <f t="shared" si="24"/>
        <v>2013</v>
      </c>
      <c r="G65" s="332"/>
      <c r="H65" s="325">
        <f>SUM('6. WS Regression Analysis'!J104:J115)</f>
        <v>90972832</v>
      </c>
      <c r="I65" s="339">
        <f>SUM('6. WS Regression Analysis'!R104:R115)</f>
        <v>90628305.25001581</v>
      </c>
      <c r="J65" s="311" t="s">
        <v>188</v>
      </c>
    </row>
    <row r="66" spans="2:10" hidden="1" x14ac:dyDescent="0.2">
      <c r="B66" s="313">
        <v>9</v>
      </c>
      <c r="C66" s="322"/>
      <c r="D66" s="322"/>
      <c r="E66" s="322"/>
      <c r="F66" s="327">
        <f t="shared" si="24"/>
        <v>2014</v>
      </c>
      <c r="G66" s="332"/>
      <c r="H66" s="325">
        <f>SUM('6. WS Regression Analysis'!J116:J127)</f>
        <v>89574310</v>
      </c>
      <c r="I66" s="339">
        <f>SUM('6. WS Regression Analysis'!R116:R117)</f>
        <v>17313858.985778205</v>
      </c>
      <c r="J66" s="311" t="s">
        <v>177</v>
      </c>
    </row>
    <row r="67" spans="2:10" ht="13.5" hidden="1" thickBot="1" x14ac:dyDescent="0.25">
      <c r="B67" s="314">
        <v>10</v>
      </c>
      <c r="C67" s="323"/>
      <c r="D67" s="323"/>
      <c r="E67" s="323"/>
      <c r="F67" s="327">
        <f t="shared" si="24"/>
        <v>2015</v>
      </c>
      <c r="G67" s="333"/>
      <c r="H67" s="326">
        <f>SUM('6. WS Regression Analysis'!J128:J139)</f>
        <v>90503010</v>
      </c>
      <c r="I67" s="338">
        <f>SUM('6. WS Regression Analysis'!R128:R139)</f>
        <v>90106871.447792977</v>
      </c>
      <c r="J67" s="311" t="s">
        <v>178</v>
      </c>
    </row>
    <row r="68" spans="2:10" hidden="1" x14ac:dyDescent="0.2"/>
  </sheetData>
  <mergeCells count="26">
    <mergeCell ref="AQ18:AY18"/>
    <mergeCell ref="AQ36:AY36"/>
    <mergeCell ref="AQ41:AY41"/>
    <mergeCell ref="AQ47:AY47"/>
    <mergeCell ref="AW49:AW50"/>
    <mergeCell ref="B18:J18"/>
    <mergeCell ref="M18:U18"/>
    <mergeCell ref="W18:AE18"/>
    <mergeCell ref="AG18:AO18"/>
    <mergeCell ref="B57:E57"/>
    <mergeCell ref="H49:H50"/>
    <mergeCell ref="S49:S50"/>
    <mergeCell ref="AC49:AC50"/>
    <mergeCell ref="AM49:AM50"/>
    <mergeCell ref="B36:J36"/>
    <mergeCell ref="B41:J41"/>
    <mergeCell ref="M36:U36"/>
    <mergeCell ref="M41:U41"/>
    <mergeCell ref="W36:AE36"/>
    <mergeCell ref="W41:AE41"/>
    <mergeCell ref="AG36:AO36"/>
    <mergeCell ref="AG41:AO41"/>
    <mergeCell ref="B47:J47"/>
    <mergeCell ref="M47:U47"/>
    <mergeCell ref="W47:AE47"/>
    <mergeCell ref="AG47:AO47"/>
  </mergeCells>
  <dataValidations count="2">
    <dataValidation type="list" allowBlank="1" showInputMessage="1" showErrorMessage="1" sqref="E34 Z34 P34 AJ34 AT34">
      <formula1>$B$58:$B$67</formula1>
    </dataValidation>
    <dataValidation type="list" allowBlank="1" showInputMessage="1" showErrorMessage="1" sqref="H49 AW49 S49 AC49 AM49">
      <formula1>$J$66:$J$67</formula1>
    </dataValidation>
  </dataValidations>
  <pageMargins left="0.7" right="0.7" top="0.75" bottom="0.75" header="0.3" footer="0.3"/>
  <pageSetup orientation="portrait" horizontalDpi="4294967293"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B18:J18 M18:U18 W18:AE18 AG18:AO18 AQ18:AY18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7</vt:i4>
      </vt:variant>
    </vt:vector>
  </HeadingPairs>
  <TitlesOfParts>
    <vt:vector size="26" baseType="lpstr">
      <vt:lpstr>1. LDC Info</vt:lpstr>
      <vt:lpstr>2. Customer Classes</vt:lpstr>
      <vt:lpstr>3. Consumption by Rate Class</vt:lpstr>
      <vt:lpstr>4. Customer Growth</vt:lpstr>
      <vt:lpstr>5.Variables</vt:lpstr>
      <vt:lpstr>6. WS Regression Analysis</vt:lpstr>
      <vt:lpstr>6.1 Regression Scenarios</vt:lpstr>
      <vt:lpstr>7. Weather Senstive Class</vt:lpstr>
      <vt:lpstr>8. KW and Non-Weather Sensitive</vt:lpstr>
      <vt:lpstr>9. Weather Adj LF</vt:lpstr>
      <vt:lpstr>10. CDM Adjustment</vt:lpstr>
      <vt:lpstr>10. CDM Adjustment V2</vt:lpstr>
      <vt:lpstr>10.1 CDM Allocation</vt:lpstr>
      <vt:lpstr>10.2 LRAMVA Alloc</vt:lpstr>
      <vt:lpstr>11. Final Load Forecast</vt:lpstr>
      <vt:lpstr>12. Analysis_ Avg Per Cust</vt:lpstr>
      <vt:lpstr>14. Winter Flag</vt:lpstr>
      <vt:lpstr>13. Analysis_Weather adj LF</vt:lpstr>
      <vt:lpstr>Appendix 2-IA</vt:lpstr>
      <vt:lpstr>AllVariables</vt:lpstr>
      <vt:lpstr>'5.Variables'!Print_Area</vt:lpstr>
      <vt:lpstr>Variable1</vt:lpstr>
      <vt:lpstr>Variable2</vt:lpstr>
      <vt:lpstr>Variable3</vt:lpstr>
      <vt:lpstr>Variable5</vt:lpstr>
      <vt:lpstr>Variable6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2016-06-13T15:46:08Z</dcterms:modified>
</cp:coreProperties>
</file>