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wilkinson\Desktop\June 16 2016 updated rates\"/>
    </mc:Choice>
  </mc:AlternateContent>
  <bookViews>
    <workbookView xWindow="0" yWindow="0" windowWidth="19200" windowHeight="8235" activeTab="2"/>
  </bookViews>
  <sheets>
    <sheet name="Foregone Revenue" sheetId="1" r:id="rId1"/>
    <sheet name="App 2-V Rev_Reconciliation" sheetId="2" r:id="rId2"/>
    <sheet name="Rate Design" sheetId="3" r:id="rId3"/>
  </sheets>
  <externalReferences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3" l="1"/>
  <c r="C42" i="3"/>
  <c r="C41" i="3"/>
  <c r="C40" i="3"/>
  <c r="D40" i="3" s="1"/>
  <c r="C39" i="3"/>
  <c r="D39" i="3" s="1"/>
  <c r="C38" i="3"/>
  <c r="D38" i="3" s="1"/>
  <c r="F63" i="3"/>
  <c r="G62" i="3"/>
  <c r="A61" i="3"/>
  <c r="A60" i="3"/>
  <c r="A59" i="3"/>
  <c r="H58" i="3"/>
  <c r="C58" i="3"/>
  <c r="D58" i="3" s="1"/>
  <c r="B58" i="3"/>
  <c r="A58" i="3"/>
  <c r="H57" i="3"/>
  <c r="C57" i="3"/>
  <c r="B57" i="3"/>
  <c r="D57" i="3" s="1"/>
  <c r="A57" i="3"/>
  <c r="H56" i="3"/>
  <c r="C56" i="3"/>
  <c r="D56" i="3" s="1"/>
  <c r="B56" i="3"/>
  <c r="A56" i="3"/>
  <c r="H55" i="3"/>
  <c r="D55" i="3"/>
  <c r="A55" i="3"/>
  <c r="H54" i="3"/>
  <c r="B54" i="3"/>
  <c r="C54" i="3" s="1"/>
  <c r="D54" i="3" s="1"/>
  <c r="A54" i="3"/>
  <c r="H53" i="3"/>
  <c r="F62" i="3"/>
  <c r="B53" i="3"/>
  <c r="A53" i="3"/>
  <c r="A46" i="3"/>
  <c r="A45" i="3"/>
  <c r="A44" i="3"/>
  <c r="A43" i="3"/>
  <c r="D42" i="3"/>
  <c r="A42" i="3"/>
  <c r="A41" i="3"/>
  <c r="A40" i="3"/>
  <c r="A39" i="3"/>
  <c r="A38" i="3"/>
  <c r="A30" i="3"/>
  <c r="A29" i="3"/>
  <c r="A28" i="3"/>
  <c r="H27" i="3"/>
  <c r="D27" i="3"/>
  <c r="A27" i="3"/>
  <c r="H26" i="3"/>
  <c r="D26" i="3"/>
  <c r="A26" i="3"/>
  <c r="H25" i="3"/>
  <c r="D25" i="3"/>
  <c r="A25" i="3"/>
  <c r="H24" i="3"/>
  <c r="D24" i="3"/>
  <c r="A24" i="3"/>
  <c r="H23" i="3"/>
  <c r="D23" i="3"/>
  <c r="A23" i="3"/>
  <c r="H22" i="3"/>
  <c r="D22" i="3"/>
  <c r="A22" i="3"/>
  <c r="A15" i="3"/>
  <c r="A14" i="3"/>
  <c r="A13" i="3"/>
  <c r="G12" i="3"/>
  <c r="H12" i="3" s="1"/>
  <c r="A12" i="3"/>
  <c r="G11" i="3"/>
  <c r="H11" i="3" s="1"/>
  <c r="A11" i="3"/>
  <c r="G10" i="3"/>
  <c r="H10" i="3" s="1"/>
  <c r="A10" i="3"/>
  <c r="G9" i="3"/>
  <c r="H9" i="3" s="1"/>
  <c r="A9" i="3"/>
  <c r="G8" i="3"/>
  <c r="H8" i="3" s="1"/>
  <c r="A8" i="3"/>
  <c r="G7" i="3"/>
  <c r="H7" i="3" s="1"/>
  <c r="A7" i="3"/>
  <c r="H22" i="1"/>
  <c r="H17" i="1"/>
  <c r="H18" i="1"/>
  <c r="H19" i="1"/>
  <c r="H20" i="1"/>
  <c r="H21" i="1"/>
  <c r="G21" i="1"/>
  <c r="G20" i="1"/>
  <c r="G19" i="1"/>
  <c r="G18" i="1"/>
  <c r="G17" i="1"/>
  <c r="H16" i="1"/>
  <c r="G16" i="1"/>
  <c r="H11" i="1"/>
  <c r="H12" i="1"/>
  <c r="H13" i="1"/>
  <c r="H10" i="1"/>
  <c r="H9" i="1"/>
  <c r="H8" i="1"/>
  <c r="J36" i="1"/>
  <c r="L36" i="1"/>
  <c r="O36" i="1"/>
  <c r="N36" i="1"/>
  <c r="P29" i="1"/>
  <c r="P30" i="1"/>
  <c r="Q30" i="1" s="1"/>
  <c r="P31" i="1"/>
  <c r="Q31" i="1" s="1"/>
  <c r="P32" i="1"/>
  <c r="P33" i="1"/>
  <c r="P28" i="1"/>
  <c r="Q28" i="1" s="1"/>
  <c r="Q29" i="1"/>
  <c r="Q32" i="1"/>
  <c r="Q33" i="1"/>
  <c r="P20" i="2"/>
  <c r="A17" i="2"/>
  <c r="A16" i="2"/>
  <c r="A15" i="2"/>
  <c r="R14" i="2"/>
  <c r="S14" i="2" s="1"/>
  <c r="N14" i="2"/>
  <c r="M14" i="2"/>
  <c r="L14" i="2"/>
  <c r="E14" i="2"/>
  <c r="D14" i="2"/>
  <c r="A14" i="2"/>
  <c r="R13" i="2"/>
  <c r="S13" i="2" s="1"/>
  <c r="N13" i="2"/>
  <c r="M13" i="2"/>
  <c r="L13" i="2"/>
  <c r="E13" i="2"/>
  <c r="D13" i="2"/>
  <c r="A13" i="2"/>
  <c r="R12" i="2"/>
  <c r="S12" i="2" s="1"/>
  <c r="N12" i="2"/>
  <c r="M12" i="2"/>
  <c r="L12" i="2"/>
  <c r="E12" i="2"/>
  <c r="D12" i="2"/>
  <c r="A12" i="2"/>
  <c r="R11" i="2"/>
  <c r="Q20" i="2"/>
  <c r="M11" i="2"/>
  <c r="L11" i="2"/>
  <c r="N11" i="2" s="1"/>
  <c r="E11" i="2"/>
  <c r="D11" i="2"/>
  <c r="A11" i="2"/>
  <c r="R10" i="2"/>
  <c r="M10" i="2"/>
  <c r="L10" i="2"/>
  <c r="N10" i="2" s="1"/>
  <c r="S10" i="2" s="1"/>
  <c r="E10" i="2"/>
  <c r="D10" i="2"/>
  <c r="A10" i="2"/>
  <c r="R9" i="2"/>
  <c r="M9" i="2"/>
  <c r="M20" i="2" s="1"/>
  <c r="L9" i="2"/>
  <c r="N9" i="2" s="1"/>
  <c r="E9" i="2"/>
  <c r="D9" i="2"/>
  <c r="A9" i="2"/>
  <c r="H62" i="3" l="1"/>
  <c r="F40" i="3"/>
  <c r="F41" i="3"/>
  <c r="F42" i="3"/>
  <c r="F43" i="3"/>
  <c r="F39" i="3"/>
  <c r="D41" i="3"/>
  <c r="D43" i="3"/>
  <c r="C53" i="3"/>
  <c r="D53" i="3" s="1"/>
  <c r="B62" i="3"/>
  <c r="S11" i="2"/>
  <c r="N20" i="2"/>
  <c r="S9" i="2"/>
  <c r="R20" i="2"/>
  <c r="S20" i="2" s="1"/>
  <c r="L20" i="2"/>
  <c r="D62" i="3" l="1"/>
  <c r="F38" i="3"/>
</calcChain>
</file>

<file path=xl/sharedStrings.xml><?xml version="1.0" encoding="utf-8"?>
<sst xmlns="http://schemas.openxmlformats.org/spreadsheetml/2006/main" count="150" uniqueCount="79">
  <si>
    <t>Foregone Revenue Reconciliation</t>
  </si>
  <si>
    <t>Monthly Service Charge</t>
  </si>
  <si>
    <t>New
Rate (1)</t>
  </si>
  <si>
    <t>Existing
Rate (2)</t>
  </si>
  <si>
    <t>Difference</t>
  </si>
  <si>
    <t>Distribution Volumetric Rate *</t>
  </si>
  <si>
    <t xml:space="preserve"> </t>
  </si>
  <si>
    <t xml:space="preserve">Reconciliation </t>
  </si>
  <si>
    <t>Customers/ Connections</t>
  </si>
  <si>
    <t>Number of Customers/Connections</t>
  </si>
  <si>
    <t>Test Year Consumption</t>
  </si>
  <si>
    <t>Proposed Rates</t>
  </si>
  <si>
    <t>Start of Test Year</t>
  </si>
  <si>
    <t>End of Test Year</t>
  </si>
  <si>
    <t>Average</t>
  </si>
  <si>
    <t>kWh</t>
  </si>
  <si>
    <t>kW</t>
  </si>
  <si>
    <t>Volumetric</t>
  </si>
  <si>
    <t>Customers</t>
  </si>
  <si>
    <t>Connections</t>
  </si>
  <si>
    <t>Total</t>
  </si>
  <si>
    <t>reconciles</t>
  </si>
  <si>
    <t>1       The class specific revenue requirements in column N must be the amounts used in the final rate design process.  The total of column N should equate to the proposed base revenue requirement.</t>
  </si>
  <si>
    <t>2       Rates should be entered with the number of decimal places that will show on the Tariff of Rates and Charges.</t>
  </si>
  <si>
    <t>Residential</t>
  </si>
  <si>
    <t>General Service &lt; 50 kW</t>
  </si>
  <si>
    <t>General Service &gt; 50 to 4999 kW</t>
  </si>
  <si>
    <t>Sentinel Ligthing</t>
  </si>
  <si>
    <t>Streetlights</t>
  </si>
  <si>
    <t>Unmetered Scattered Load</t>
  </si>
  <si>
    <t>Revenues from proposed
 Foregone Rev Rate Rider</t>
  </si>
  <si>
    <t>Appendix 2-V</t>
  </si>
  <si>
    <t>Revenue Reconciliation</t>
  </si>
  <si>
    <t>Revenues at Proposed Rates</t>
  </si>
  <si>
    <t>Class Specific Revenue Requirement</t>
  </si>
  <si>
    <t>Transformer Allowance Credit</t>
  </si>
  <si>
    <t>other</t>
  </si>
  <si>
    <t>Note</t>
  </si>
  <si>
    <t>Revenue 
per Customer</t>
  </si>
  <si>
    <t>Foregone 
Monthly Rev</t>
  </si>
  <si>
    <t>Revenue to
Collect (2 Months)</t>
  </si>
  <si>
    <t>Difference in 
Rev Requirement</t>
  </si>
  <si>
    <t>Rev at 
existing Rates</t>
  </si>
  <si>
    <t xml:space="preserve">Rev at 
Proposed Rates </t>
  </si>
  <si>
    <t>Foregone Rev
for 2 Months</t>
  </si>
  <si>
    <t>Rate Rider
 per Cust
per month</t>
  </si>
  <si>
    <t>Rate Design</t>
  </si>
  <si>
    <t>Existing Rates</t>
  </si>
  <si>
    <t>Current Rates and Fixed to Variable Split</t>
  </si>
  <si>
    <t xml:space="preserve"> Proposed Rates at Current Fixed to Variable Split</t>
  </si>
  <si>
    <t>Customer Class Name</t>
  </si>
  <si>
    <t>Rate</t>
  </si>
  <si>
    <t>Fixed %</t>
  </si>
  <si>
    <t>Variable %</t>
  </si>
  <si>
    <t>TOTAL</t>
  </si>
  <si>
    <t>Cost Allocation Results - Minimum and Maximum MSC</t>
  </si>
  <si>
    <t>Cost Allocation - Minimum Fixed Rate (b)</t>
  </si>
  <si>
    <t>Cost Allocation - Maximun Fixed Rate (b)</t>
  </si>
  <si>
    <t>Proposed Fixed Charge</t>
  </si>
  <si>
    <t>Resulting Variable</t>
  </si>
  <si>
    <t>Fixed Rate</t>
  </si>
  <si>
    <t>Variable (h)</t>
  </si>
  <si>
    <t>Rate (i)</t>
  </si>
  <si>
    <t>per</t>
  </si>
  <si>
    <t>Transf. Allowance ($/kW):</t>
  </si>
  <si>
    <t>Base Revenue Requirement $</t>
  </si>
  <si>
    <t>Total $ (g)</t>
  </si>
  <si>
    <t>Total (d)</t>
  </si>
  <si>
    <t xml:space="preserve">Fixed </t>
  </si>
  <si>
    <t>Variable</t>
  </si>
  <si>
    <t>Integrity Check</t>
  </si>
  <si>
    <t>Notes:</t>
  </si>
  <si>
    <t>Rows 15-23 show the current and proposed rates at the existing fixed to variable split</t>
  </si>
  <si>
    <t>Rows 30-38 show the minimum and maximum MSC results from the Cost Allocation Study.</t>
  </si>
  <si>
    <t>At B46-B54, LDCs should use the proposed MSC at existing fixed to variable split (F15-F23) as a starting point to the Rate Design adjustment.</t>
  </si>
  <si>
    <t>Values at F15-F23 should be copied to B46-B54</t>
  </si>
  <si>
    <t>Utilities should then use the Minimum and Maximum Cost Allocation results (rows 30-38) to determine wheter further adjustement are required at row B46-B54</t>
  </si>
  <si>
    <t>The variable charge is automatically calculated depending on the selected MSC</t>
  </si>
  <si>
    <t>Rows 60-69 act as an integrity check between the fixed and variable charge to the base revenue requirement.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</si>
</sst>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6" formatCode="&quot;$&quot;#,##0.00"/>
    <numFmt numFmtId="168" formatCode="&quot;$&quot;#,##0.0000"/>
    <numFmt numFmtId="170" formatCode="_-* #,##0.00_-;\-* #,##0.00_-;_-* \-??_-;_-@_-"/>
    <numFmt numFmtId="171" formatCode="_-* #,##0_-;\-* #,##0_-;_-* \-??_-;_-@_-"/>
    <numFmt numFmtId="172" formatCode="_-\$* #,##0.00_-;&quot;-$&quot;* #,##0.00_-;_-\$* \-??_-;_-@_-"/>
    <numFmt numFmtId="176" formatCode="_(* #,##0_);_(* \(#,##0\);_(* &quot;-&quot;??_);_(@_)"/>
    <numFmt numFmtId="178" formatCode="\$#,##0.00"/>
    <numFmt numFmtId="179" formatCode="_-\$* #,##0_-;&quot;-$&quot;* #,##0_-;_-\$* \-??_-;_-@_-"/>
    <numFmt numFmtId="181" formatCode="_(* #,##0.0000_);_(* \(#,##0.0000\);_(* &quot;-&quot;??_);_(@_)"/>
    <numFmt numFmtId="182" formatCode="_(* #,##0.00000_);_(* \(#,##0.00000\);_(* &quot;-&quot;??_);_(@_)"/>
    <numFmt numFmtId="183" formatCode="\$#,##0.00_);&quot;($&quot;#,##0.00\)"/>
    <numFmt numFmtId="184" formatCode="\$#,##0.0000_);&quot;($&quot;#,##0.0000\)"/>
    <numFmt numFmtId="185" formatCode="_(* #,##0.00_);_(* \(#,##0.00\);_(* \-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Mangal"/>
      <family val="2"/>
    </font>
    <font>
      <sz val="10"/>
      <name val="Arial"/>
      <family val="2"/>
      <charset val="1"/>
    </font>
    <font>
      <b/>
      <sz val="14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  <charset val="1"/>
    </font>
    <font>
      <sz val="10"/>
      <name val="Mangal"/>
      <family val="2"/>
      <charset val="1"/>
    </font>
    <font>
      <sz val="11"/>
      <name val="Arial"/>
      <family val="2"/>
      <charset val="1"/>
    </font>
    <font>
      <b/>
      <u/>
      <sz val="10"/>
      <name val="Arial"/>
      <family val="2"/>
      <charset val="1"/>
    </font>
    <font>
      <i/>
      <sz val="10"/>
      <name val="Arial"/>
      <family val="2"/>
      <charset val="1"/>
    </font>
    <font>
      <b/>
      <sz val="10"/>
      <color rgb="FF376092"/>
      <name val="Arial"/>
      <family val="2"/>
      <charset val="1"/>
    </font>
    <font>
      <b/>
      <sz val="10"/>
      <color rgb="FF366092"/>
      <name val="Arial"/>
      <family val="2"/>
    </font>
    <font>
      <b/>
      <i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BF1DE"/>
        <bgColor rgb="FFEEECE1"/>
      </patternFill>
    </fill>
    <fill>
      <patternFill patternType="solid">
        <fgColor rgb="FFEBF1DE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70" fontId="4" fillId="0" borderId="0" applyFill="0" applyBorder="0" applyAlignment="0" applyProtection="0"/>
    <xf numFmtId="172" fontId="4" fillId="0" borderId="0" applyFill="0" applyBorder="0" applyAlignment="0" applyProtection="0"/>
    <xf numFmtId="170" fontId="9" fillId="0" borderId="0" applyFill="0" applyBorder="0" applyAlignment="0" applyProtection="0"/>
    <xf numFmtId="172" fontId="9" fillId="0" borderId="0" applyFill="0" applyBorder="0" applyAlignment="0" applyProtection="0"/>
    <xf numFmtId="9" fontId="4" fillId="0" borderId="0" applyFill="0" applyBorder="0" applyAlignment="0" applyProtection="0"/>
    <xf numFmtId="185" fontId="4" fillId="0" borderId="0" applyFill="0" applyBorder="0" applyAlignment="0" applyProtection="0"/>
  </cellStyleXfs>
  <cellXfs count="158">
    <xf numFmtId="0" fontId="0" fillId="0" borderId="0" xfId="0"/>
    <xf numFmtId="43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176" fontId="0" fillId="0" borderId="0" xfId="1" applyNumberFormat="1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Fill="1" applyBorder="1" applyProtection="1">
      <protection locked="0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/>
    <xf numFmtId="0" fontId="5" fillId="0" borderId="16" xfId="0" applyFont="1" applyFill="1" applyBorder="1" applyAlignment="1">
      <alignment horizontal="center"/>
    </xf>
    <xf numFmtId="178" fontId="7" fillId="0" borderId="16" xfId="0" applyNumberFormat="1" applyFont="1" applyFill="1" applyBorder="1"/>
    <xf numFmtId="178" fontId="7" fillId="0" borderId="18" xfId="0" applyNumberFormat="1" applyFont="1" applyFill="1" applyBorder="1"/>
    <xf numFmtId="0" fontId="7" fillId="0" borderId="14" xfId="0" applyFont="1" applyFill="1" applyBorder="1"/>
    <xf numFmtId="0" fontId="7" fillId="0" borderId="11" xfId="0" applyFont="1" applyFill="1" applyBorder="1"/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/>
    <xf numFmtId="0" fontId="7" fillId="0" borderId="5" xfId="0" applyFont="1" applyFill="1" applyBorder="1" applyAlignment="1">
      <alignment horizontal="center" vertical="center"/>
    </xf>
    <xf numFmtId="171" fontId="5" fillId="0" borderId="5" xfId="4" applyNumberFormat="1" applyFont="1" applyFill="1" applyBorder="1" applyAlignment="1" applyProtection="1"/>
    <xf numFmtId="166" fontId="5" fillId="0" borderId="5" xfId="4" applyNumberFormat="1" applyFont="1" applyFill="1" applyBorder="1" applyAlignment="1" applyProtection="1"/>
    <xf numFmtId="168" fontId="5" fillId="0" borderId="5" xfId="4" applyNumberFormat="1" applyFont="1" applyFill="1" applyBorder="1" applyAlignment="1" applyProtection="1"/>
    <xf numFmtId="178" fontId="5" fillId="0" borderId="5" xfId="5" applyNumberFormat="1" applyFont="1" applyFill="1" applyBorder="1" applyAlignment="1" applyProtection="1"/>
    <xf numFmtId="0" fontId="7" fillId="0" borderId="2" xfId="0" applyFont="1" applyFill="1" applyBorder="1"/>
    <xf numFmtId="178" fontId="5" fillId="0" borderId="2" xfId="5" applyNumberFormat="1" applyFont="1" applyFill="1" applyBorder="1" applyAlignment="1" applyProtection="1"/>
    <xf numFmtId="178" fontId="5" fillId="0" borderId="3" xfId="5" applyNumberFormat="1" applyFont="1" applyFill="1" applyBorder="1" applyAlignment="1" applyProtection="1"/>
    <xf numFmtId="0" fontId="5" fillId="0" borderId="6" xfId="0" applyFont="1" applyFill="1" applyBorder="1" applyAlignment="1" applyProtection="1">
      <alignment vertic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171" fontId="5" fillId="0" borderId="1" xfId="4" applyNumberFormat="1" applyFont="1" applyFill="1" applyBorder="1" applyAlignment="1" applyProtection="1"/>
    <xf numFmtId="166" fontId="5" fillId="0" borderId="1" xfId="4" applyNumberFormat="1" applyFont="1" applyFill="1" applyBorder="1" applyAlignment="1" applyProtection="1"/>
    <xf numFmtId="168" fontId="5" fillId="0" borderId="1" xfId="4" applyNumberFormat="1" applyFont="1" applyFill="1" applyBorder="1" applyAlignment="1" applyProtection="1"/>
    <xf numFmtId="178" fontId="5" fillId="0" borderId="1" xfId="5" applyNumberFormat="1" applyFont="1" applyFill="1" applyBorder="1" applyAlignment="1" applyProtection="1"/>
    <xf numFmtId="0" fontId="7" fillId="0" borderId="1" xfId="0" applyFont="1" applyFill="1" applyBorder="1"/>
    <xf numFmtId="178" fontId="5" fillId="0" borderId="7" xfId="5" applyNumberFormat="1" applyFont="1" applyFill="1" applyBorder="1" applyAlignment="1" applyProtection="1"/>
    <xf numFmtId="170" fontId="5" fillId="0" borderId="1" xfId="4" applyFont="1" applyFill="1" applyBorder="1" applyAlignment="1" applyProtection="1"/>
    <xf numFmtId="0" fontId="5" fillId="0" borderId="6" xfId="0" applyFont="1" applyFill="1" applyBorder="1"/>
    <xf numFmtId="0" fontId="7" fillId="0" borderId="6" xfId="0" applyFont="1" applyFill="1" applyBorder="1"/>
    <xf numFmtId="0" fontId="7" fillId="0" borderId="7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9" fontId="7" fillId="0" borderId="20" xfId="0" applyNumberFormat="1" applyFont="1" applyFill="1" applyBorder="1"/>
    <xf numFmtId="0" fontId="7" fillId="0" borderId="20" xfId="0" applyFont="1" applyFill="1" applyBorder="1"/>
    <xf numFmtId="179" fontId="7" fillId="0" borderId="21" xfId="0" applyNumberFormat="1" applyFont="1" applyFill="1" applyBorder="1"/>
    <xf numFmtId="170" fontId="7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181" fontId="0" fillId="0" borderId="0" xfId="1" applyNumberFormat="1" applyFont="1"/>
    <xf numFmtId="182" fontId="0" fillId="0" borderId="0" xfId="1" applyNumberFormat="1" applyFont="1"/>
    <xf numFmtId="43" fontId="2" fillId="0" borderId="0" xfId="0" applyNumberFormat="1" applyFont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6" xfId="0" applyBorder="1"/>
    <xf numFmtId="0" fontId="0" fillId="0" borderId="25" xfId="0" applyBorder="1"/>
    <xf numFmtId="0" fontId="0" fillId="0" borderId="0" xfId="0" applyBorder="1"/>
    <xf numFmtId="0" fontId="0" fillId="0" borderId="0" xfId="0" applyFill="1" applyBorder="1"/>
    <xf numFmtId="43" fontId="0" fillId="0" borderId="25" xfId="1" applyFont="1" applyBorder="1"/>
    <xf numFmtId="43" fontId="0" fillId="0" borderId="0" xfId="1" applyFont="1" applyBorder="1"/>
    <xf numFmtId="43" fontId="0" fillId="0" borderId="0" xfId="1" applyFont="1" applyFill="1" applyBorder="1"/>
    <xf numFmtId="43" fontId="0" fillId="0" borderId="25" xfId="0" applyNumberFormat="1" applyBorder="1"/>
    <xf numFmtId="43" fontId="0" fillId="0" borderId="0" xfId="0" applyNumberFormat="1" applyBorder="1"/>
    <xf numFmtId="43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5" fillId="0" borderId="0" xfId="0" applyFont="1" applyFill="1" applyBorder="1"/>
    <xf numFmtId="37" fontId="3" fillId="0" borderId="30" xfId="0" applyNumberFormat="1" applyFont="1" applyFill="1" applyBorder="1" applyAlignment="1" applyProtection="1">
      <alignment horizontal="center" vertical="center"/>
    </xf>
    <xf numFmtId="37" fontId="3" fillId="0" borderId="30" xfId="0" applyNumberFormat="1" applyFont="1" applyFill="1" applyBorder="1" applyAlignment="1" applyProtection="1">
      <alignment vertical="center"/>
    </xf>
    <xf numFmtId="37" fontId="3" fillId="0" borderId="30" xfId="0" applyNumberFormat="1" applyFont="1" applyFill="1" applyBorder="1" applyAlignment="1" applyProtection="1">
      <alignment horizontal="center" vertical="center"/>
    </xf>
    <xf numFmtId="10" fontId="3" fillId="0" borderId="30" xfId="6" applyNumberFormat="1" applyFont="1" applyFill="1" applyBorder="1" applyAlignment="1" applyProtection="1">
      <alignment vertical="center"/>
    </xf>
    <xf numFmtId="0" fontId="3" fillId="2" borderId="30" xfId="0" applyFont="1" applyFill="1" applyBorder="1" applyAlignment="1" applyProtection="1">
      <alignment vertical="top"/>
    </xf>
    <xf numFmtId="0" fontId="3" fillId="0" borderId="30" xfId="0" applyFont="1" applyFill="1" applyBorder="1" applyAlignment="1" applyProtection="1">
      <alignment horizontal="center" wrapText="1"/>
    </xf>
    <xf numFmtId="10" fontId="3" fillId="0" borderId="30" xfId="6" applyNumberFormat="1" applyFont="1" applyFill="1" applyBorder="1" applyAlignment="1" applyProtection="1">
      <alignment horizontal="center" wrapText="1"/>
    </xf>
    <xf numFmtId="0" fontId="5" fillId="0" borderId="30" xfId="0" applyFont="1" applyFill="1" applyBorder="1" applyAlignment="1" applyProtection="1">
      <alignment vertical="center"/>
    </xf>
    <xf numFmtId="183" fontId="5" fillId="0" borderId="30" xfId="0" applyNumberFormat="1" applyFont="1" applyFill="1" applyBorder="1" applyAlignment="1" applyProtection="1">
      <alignment horizontal="center"/>
    </xf>
    <xf numFmtId="10" fontId="5" fillId="0" borderId="30" xfId="0" applyNumberFormat="1" applyFont="1" applyFill="1" applyBorder="1" applyAlignment="1" applyProtection="1">
      <alignment horizontal="center"/>
    </xf>
    <xf numFmtId="183" fontId="5" fillId="0" borderId="30" xfId="0" quotePrefix="1" applyNumberFormat="1" applyFont="1" applyFill="1" applyBorder="1" applyAlignment="1" applyProtection="1">
      <alignment horizontal="center"/>
    </xf>
    <xf numFmtId="183" fontId="5" fillId="0" borderId="30" xfId="0" applyNumberFormat="1" applyFont="1" applyFill="1" applyBorder="1" applyProtection="1"/>
    <xf numFmtId="10" fontId="5" fillId="0" borderId="30" xfId="0" applyNumberFormat="1" applyFont="1" applyFill="1" applyBorder="1" applyProtection="1"/>
    <xf numFmtId="183" fontId="5" fillId="0" borderId="0" xfId="0" applyNumberFormat="1" applyFont="1" applyFill="1" applyBorder="1" applyProtection="1"/>
    <xf numFmtId="10" fontId="5" fillId="0" borderId="0" xfId="0" applyNumberFormat="1" applyFont="1" applyFill="1" applyBorder="1" applyProtection="1"/>
    <xf numFmtId="184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0" borderId="30" xfId="6" applyNumberFormat="1" applyFont="1" applyFill="1" applyBorder="1" applyAlignment="1" applyProtection="1">
      <alignment horizontal="center" vertical="center"/>
    </xf>
    <xf numFmtId="10" fontId="3" fillId="0" borderId="0" xfId="6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/>
    <xf numFmtId="10" fontId="3" fillId="0" borderId="0" xfId="6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>
      <alignment horizontal="center"/>
    </xf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/>
    </xf>
    <xf numFmtId="0" fontId="5" fillId="0" borderId="30" xfId="0" applyFont="1" applyFill="1" applyBorder="1" applyAlignment="1">
      <alignment horizontal="center"/>
    </xf>
    <xf numFmtId="0" fontId="3" fillId="0" borderId="30" xfId="6" applyNumberFormat="1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185" fontId="3" fillId="0" borderId="30" xfId="7" applyFont="1" applyFill="1" applyBorder="1" applyAlignment="1" applyProtection="1">
      <alignment horizontal="center"/>
    </xf>
    <xf numFmtId="183" fontId="13" fillId="3" borderId="30" xfId="0" applyNumberFormat="1" applyFont="1" applyFill="1" applyBorder="1" applyAlignment="1" applyProtection="1">
      <alignment horizontal="center"/>
    </xf>
    <xf numFmtId="37" fontId="5" fillId="0" borderId="30" xfId="0" applyNumberFormat="1" applyFont="1" applyFill="1" applyBorder="1" applyAlignment="1" applyProtection="1">
      <alignment horizontal="center"/>
    </xf>
    <xf numFmtId="168" fontId="14" fillId="0" borderId="1" xfId="0" quotePrefix="1" applyNumberFormat="1" applyFont="1" applyFill="1" applyBorder="1" applyAlignment="1" applyProtection="1">
      <alignment horizontal="center" vertical="center"/>
    </xf>
    <xf numFmtId="185" fontId="5" fillId="4" borderId="30" xfId="7" applyFont="1" applyFill="1" applyBorder="1" applyAlignment="1" applyProtection="1">
      <alignment horizontal="center"/>
    </xf>
    <xf numFmtId="0" fontId="5" fillId="0" borderId="0" xfId="0" quotePrefix="1" applyFont="1" applyFill="1" applyBorder="1"/>
    <xf numFmtId="183" fontId="3" fillId="0" borderId="30" xfId="0" applyNumberFormat="1" applyFont="1" applyFill="1" applyBorder="1" applyAlignment="1" applyProtection="1">
      <alignment horizontal="center"/>
    </xf>
    <xf numFmtId="37" fontId="3" fillId="0" borderId="3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3" fillId="0" borderId="31" xfId="0" applyFont="1" applyFill="1" applyBorder="1" applyAlignment="1" applyProtection="1">
      <alignment horizontal="left" vertical="center" indent="1"/>
    </xf>
    <xf numFmtId="0" fontId="3" fillId="2" borderId="32" xfId="0" applyFont="1" applyFill="1" applyBorder="1" applyAlignment="1" applyProtection="1">
      <alignment vertical="center"/>
    </xf>
    <xf numFmtId="0" fontId="3" fillId="0" borderId="30" xfId="6" applyNumberFormat="1" applyFont="1" applyFill="1" applyBorder="1" applyAlignment="1" applyProtection="1"/>
    <xf numFmtId="185" fontId="3" fillId="0" borderId="30" xfId="7" applyFont="1" applyFill="1" applyBorder="1" applyAlignment="1" applyProtection="1">
      <alignment horizontal="right"/>
    </xf>
    <xf numFmtId="183" fontId="3" fillId="3" borderId="30" xfId="0" applyNumberFormat="1" applyFont="1" applyFill="1" applyBorder="1" applyAlignment="1" applyProtection="1">
      <alignment horizontal="center"/>
    </xf>
    <xf numFmtId="183" fontId="3" fillId="0" borderId="0" xfId="0" applyNumberFormat="1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37" fontId="5" fillId="0" borderId="30" xfId="7" applyNumberFormat="1" applyFont="1" applyFill="1" applyBorder="1" applyAlignment="1" applyProtection="1">
      <alignment horizontal="center"/>
    </xf>
    <xf numFmtId="37" fontId="5" fillId="0" borderId="30" xfId="0" applyNumberFormat="1" applyFont="1" applyFill="1" applyBorder="1" applyProtection="1"/>
    <xf numFmtId="37" fontId="3" fillId="0" borderId="34" xfId="0" applyNumberFormat="1" applyFont="1" applyFill="1" applyBorder="1" applyAlignment="1" applyProtection="1">
      <alignment horizontal="center"/>
    </xf>
    <xf numFmtId="37" fontId="3" fillId="0" borderId="30" xfId="7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right"/>
    </xf>
    <xf numFmtId="37" fontId="3" fillId="0" borderId="0" xfId="0" applyNumberFormat="1" applyFont="1" applyFill="1" applyBorder="1" applyAlignment="1" applyProtection="1">
      <alignment horizontal="center"/>
    </xf>
    <xf numFmtId="183" fontId="5" fillId="0" borderId="0" xfId="0" applyNumberFormat="1" applyFont="1" applyFill="1" applyBorder="1" applyAlignment="1" applyProtection="1">
      <alignment horizontal="center"/>
    </xf>
    <xf numFmtId="10" fontId="5" fillId="0" borderId="35" xfId="0" applyNumberFormat="1" applyFont="1" applyFill="1" applyBorder="1" applyAlignment="1" applyProtection="1">
      <alignment horizontal="center"/>
    </xf>
    <xf numFmtId="183" fontId="5" fillId="0" borderId="35" xfId="0" applyNumberFormat="1" applyFont="1" applyBorder="1" applyAlignment="1" applyProtection="1">
      <alignment horizontal="center"/>
    </xf>
  </cellXfs>
  <cellStyles count="8">
    <cellStyle name="Comma" xfId="1" builtinId="3"/>
    <cellStyle name="Comma 12" xfId="4"/>
    <cellStyle name="Comma 2 4" xfId="2"/>
    <cellStyle name="Comma 4 2" xfId="7"/>
    <cellStyle name="Currency 2 4" xfId="3"/>
    <cellStyle name="Currency 2 9" xfId="5"/>
    <cellStyle name="Normal" xfId="0" builtinId="0"/>
    <cellStyle name="Percent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ilkinson/Desktop/Updated%20Models/EB-2014-0105%202016%20ORPC%20Rate%20Design%20Model_201606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5.%20TESI%20UTILITIES\ORPC\Settlement%20Conference\Draft%20Settlement%20Proposal%20-%20Copy\Settlement%20Conference%20Feb%2025\EB-2014-0105%202016%20ORPC%20Rate%20Design%20Model_Feb%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wilkinson/Desktop/Updated%20Models/EB-2014-0105%202016%20ORPC%20Rate%20Design%20Model_201606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8.1 Res Rate Design"/>
      <sheetName val="Cost Allocation"/>
      <sheetName val="RATE RIDERS -&gt;"/>
      <sheetName val="I. SMRR"/>
      <sheetName val="J. DVA"/>
      <sheetName val="Foregone Revenue Rider"/>
      <sheetName val="K. Summary of Tariffs"/>
      <sheetName val="BILL IMPACT -&gt;"/>
      <sheetName val="Bill Impact - Res 10 Pct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  <sheetName val="Settlement Proposal Tables"/>
    </sheetNames>
    <sheetDataSet>
      <sheetData sheetId="0"/>
      <sheetData sheetId="1"/>
      <sheetData sheetId="2">
        <row r="13">
          <cell r="A13" t="str">
            <v>Residential</v>
          </cell>
        </row>
        <row r="14">
          <cell r="A14" t="str">
            <v>General Service &lt; 50 kW</v>
          </cell>
        </row>
        <row r="15">
          <cell r="A15" t="str">
            <v>General Service &gt; 50 to 4999 kW</v>
          </cell>
        </row>
        <row r="16">
          <cell r="A16" t="str">
            <v>Sentinel Ligthing</v>
          </cell>
        </row>
        <row r="17">
          <cell r="A17" t="str">
            <v>Streetlights</v>
          </cell>
        </row>
        <row r="18">
          <cell r="A18" t="str">
            <v>Unmetered Scattered Load</v>
          </cell>
        </row>
        <row r="19">
          <cell r="A19" t="str">
            <v>other classes</v>
          </cell>
        </row>
        <row r="20">
          <cell r="A20" t="str">
            <v>other classes</v>
          </cell>
        </row>
        <row r="21">
          <cell r="A21" t="str">
            <v>other classes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8.1 Res Rate Design"/>
      <sheetName val="Cost Allocation"/>
      <sheetName val="RATE RIDERS -&gt;"/>
      <sheetName val="I. SMRR"/>
      <sheetName val="J. DVA"/>
      <sheetName val="K. Summary of Tariffs"/>
      <sheetName val="BILL IMPACT -&gt;"/>
      <sheetName val="Bill Impact - Res 10 Pct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  <sheetName val="Settlement Proposal Tables"/>
    </sheetNames>
    <sheetDataSet>
      <sheetData sheetId="0" refreshError="1"/>
      <sheetData sheetId="1" refreshError="1"/>
      <sheetData sheetId="2" refreshError="1">
        <row r="13">
          <cell r="A13" t="str">
            <v>Residential</v>
          </cell>
        </row>
        <row r="14">
          <cell r="A14" t="str">
            <v>General Service &lt; 50 kW</v>
          </cell>
        </row>
        <row r="15">
          <cell r="A15" t="str">
            <v>General Service &gt; 50 to 4999 kW</v>
          </cell>
        </row>
        <row r="16">
          <cell r="A16" t="str">
            <v>Sentinel Ligthing</v>
          </cell>
        </row>
        <row r="17">
          <cell r="A17" t="str">
            <v>Streetlights</v>
          </cell>
        </row>
        <row r="18">
          <cell r="A18" t="str">
            <v>Unmetered Scattered Load</v>
          </cell>
        </row>
        <row r="19">
          <cell r="A19" t="str">
            <v>other classes</v>
          </cell>
        </row>
        <row r="20">
          <cell r="A20" t="str">
            <v>other classes</v>
          </cell>
        </row>
        <row r="21">
          <cell r="A21" t="str">
            <v>other classes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8.1 Res Rate Design"/>
      <sheetName val="Cost Allocation"/>
      <sheetName val="RATE RIDERS -&gt;"/>
      <sheetName val="I. SMRR"/>
      <sheetName val="J. DVA"/>
      <sheetName val="Foregone Revenue Rider"/>
      <sheetName val="K. Summary of Tariffs"/>
      <sheetName val="BILL IMPACT -&gt;"/>
      <sheetName val="Bill Impact - Res 10 Pct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  <sheetName val="Settlement Proposal Tables"/>
    </sheetNames>
    <sheetDataSet>
      <sheetData sheetId="0"/>
      <sheetData sheetId="1"/>
      <sheetData sheetId="2"/>
      <sheetData sheetId="3">
        <row r="25">
          <cell r="C25"/>
        </row>
        <row r="28">
          <cell r="C28"/>
        </row>
        <row r="29">
          <cell r="C29"/>
        </row>
        <row r="30">
          <cell r="C30" t="str">
            <v>Customers
(Connections)</v>
          </cell>
        </row>
      </sheetData>
      <sheetData sheetId="4"/>
      <sheetData sheetId="5"/>
      <sheetData sheetId="6"/>
      <sheetData sheetId="7"/>
      <sheetData sheetId="8">
        <row r="30">
          <cell r="E30">
            <v>2585524.5371710015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39"/>
  <sheetViews>
    <sheetView topLeftCell="E21" workbookViewId="0">
      <selection activeCell="O36" sqref="O36"/>
    </sheetView>
  </sheetViews>
  <sheetFormatPr defaultRowHeight="15" x14ac:dyDescent="0.25"/>
  <cols>
    <col min="2" max="2" width="28.85546875" customWidth="1"/>
    <col min="3" max="3" width="13.28515625" customWidth="1"/>
    <col min="4" max="4" width="10.140625" customWidth="1"/>
    <col min="5" max="5" width="6.140625" customWidth="1"/>
    <col min="6" max="6" width="11.7109375" customWidth="1"/>
    <col min="7" max="7" width="12.28515625" customWidth="1"/>
    <col min="8" max="8" width="13.5703125" customWidth="1"/>
    <col min="9" max="9" width="15" customWidth="1"/>
    <col min="10" max="10" width="15.42578125" customWidth="1"/>
    <col min="11" max="11" width="17" customWidth="1"/>
    <col min="12" max="12" width="13.140625" customWidth="1"/>
    <col min="13" max="13" width="17.5703125" customWidth="1"/>
    <col min="14" max="14" width="12.42578125" customWidth="1"/>
    <col min="15" max="15" width="12.7109375" customWidth="1"/>
    <col min="16" max="16" width="12.140625" customWidth="1"/>
    <col min="17" max="17" width="12.28515625" customWidth="1"/>
  </cols>
  <sheetData>
    <row r="3" spans="2:8" ht="18.75" x14ac:dyDescent="0.3">
      <c r="B3" s="6" t="s">
        <v>0</v>
      </c>
    </row>
    <row r="7" spans="2:8" ht="30" x14ac:dyDescent="0.25">
      <c r="B7" t="s">
        <v>1</v>
      </c>
      <c r="C7" t="s">
        <v>2</v>
      </c>
      <c r="D7" t="s">
        <v>3</v>
      </c>
      <c r="F7" t="s">
        <v>4</v>
      </c>
      <c r="H7" s="5" t="s">
        <v>44</v>
      </c>
    </row>
    <row r="8" spans="2:8" x14ac:dyDescent="0.25">
      <c r="B8" t="s">
        <v>24</v>
      </c>
      <c r="C8" s="2">
        <v>14.02</v>
      </c>
      <c r="D8" s="2">
        <v>10.99</v>
      </c>
      <c r="E8" s="2"/>
      <c r="F8" s="2">
        <v>3.0299999999999994</v>
      </c>
      <c r="H8" s="2">
        <f>+F8*2*D28</f>
        <v>57345.779999999984</v>
      </c>
    </row>
    <row r="9" spans="2:8" x14ac:dyDescent="0.25">
      <c r="B9" t="s">
        <v>25</v>
      </c>
      <c r="C9" s="2">
        <v>22.015000000000001</v>
      </c>
      <c r="D9" s="2">
        <v>22.97</v>
      </c>
      <c r="E9" s="2"/>
      <c r="F9" s="2">
        <v>-0.95499999999999829</v>
      </c>
      <c r="H9" s="2">
        <f>+F9*2*D29</f>
        <v>-2446.7099999999955</v>
      </c>
    </row>
    <row r="10" spans="2:8" x14ac:dyDescent="0.25">
      <c r="B10" t="s">
        <v>26</v>
      </c>
      <c r="C10" s="2">
        <v>82.85</v>
      </c>
      <c r="D10" s="2">
        <v>378.72</v>
      </c>
      <c r="E10" s="2"/>
      <c r="F10" s="2">
        <v>-295.87</v>
      </c>
      <c r="H10" s="2">
        <f>+F10*D30*2</f>
        <v>-87577.52</v>
      </c>
    </row>
    <row r="11" spans="2:8" x14ac:dyDescent="0.25">
      <c r="B11" t="s">
        <v>27</v>
      </c>
      <c r="C11" s="2">
        <v>2.867</v>
      </c>
      <c r="D11" s="2">
        <v>2.6</v>
      </c>
      <c r="E11" s="2"/>
      <c r="F11" s="2">
        <v>0.2669999999999999</v>
      </c>
      <c r="H11" s="2">
        <f>+F11*D31*2</f>
        <v>104.12999999999997</v>
      </c>
    </row>
    <row r="12" spans="2:8" x14ac:dyDescent="0.25">
      <c r="B12" t="s">
        <v>28</v>
      </c>
      <c r="C12" s="2">
        <v>2.3313999999999999</v>
      </c>
      <c r="D12" s="2">
        <v>2.2200000000000002</v>
      </c>
      <c r="E12" s="2"/>
      <c r="F12" s="2">
        <v>0.11139999999999972</v>
      </c>
      <c r="H12" s="2">
        <f>+F12*D32*2</f>
        <v>634.75719999999842</v>
      </c>
    </row>
    <row r="13" spans="2:8" x14ac:dyDescent="0.25">
      <c r="B13" t="s">
        <v>29</v>
      </c>
      <c r="C13" s="2">
        <v>10.131</v>
      </c>
      <c r="D13" s="2">
        <v>6.25</v>
      </c>
      <c r="E13" s="2"/>
      <c r="F13" s="2">
        <v>3.8810000000000002</v>
      </c>
      <c r="H13" s="2">
        <f>+F13*D33*2</f>
        <v>155.24</v>
      </c>
    </row>
    <row r="15" spans="2:8" x14ac:dyDescent="0.25">
      <c r="B15" t="s">
        <v>5</v>
      </c>
      <c r="C15" t="s">
        <v>2</v>
      </c>
      <c r="D15" t="s">
        <v>3</v>
      </c>
      <c r="F15" t="s">
        <v>4</v>
      </c>
    </row>
    <row r="16" spans="2:8" x14ac:dyDescent="0.25">
      <c r="B16" t="s">
        <v>24</v>
      </c>
      <c r="C16" s="66">
        <v>1.2907750387988397E-2</v>
      </c>
      <c r="D16" s="66">
        <v>1.4999999999999999E-2</v>
      </c>
      <c r="E16" s="2"/>
      <c r="F16" s="67">
        <v>-2.092249612011602E-3</v>
      </c>
      <c r="G16" s="1">
        <f>+F16*F28</f>
        <v>-161032.89657948335</v>
      </c>
      <c r="H16" s="2">
        <f>+G16*2/12</f>
        <v>-26838.816096580558</v>
      </c>
    </row>
    <row r="17" spans="2:18" x14ac:dyDescent="0.25">
      <c r="B17" t="s">
        <v>25</v>
      </c>
      <c r="C17" s="66">
        <v>1.2500000000000001E-2</v>
      </c>
      <c r="D17" s="66">
        <v>1.0500000000000001E-2</v>
      </c>
      <c r="E17" s="2"/>
      <c r="F17" s="67">
        <v>2E-3</v>
      </c>
      <c r="G17" s="1">
        <f>+F17*F29</f>
        <v>68595.321117490574</v>
      </c>
      <c r="H17" s="2">
        <f t="shared" ref="H17:H21" si="0">+G17*2/12</f>
        <v>11432.553519581763</v>
      </c>
    </row>
    <row r="18" spans="2:18" x14ac:dyDescent="0.25">
      <c r="B18" t="s">
        <v>26</v>
      </c>
      <c r="C18" s="66">
        <v>3.4316218935600102</v>
      </c>
      <c r="D18" s="66">
        <v>0.64890000000000003</v>
      </c>
      <c r="E18" s="2"/>
      <c r="F18" s="67">
        <v>2.7827218935600104</v>
      </c>
      <c r="G18" s="1">
        <f>+F18*G30</f>
        <v>586744.68022294401</v>
      </c>
      <c r="H18" s="2">
        <f t="shared" si="0"/>
        <v>97790.780037157339</v>
      </c>
    </row>
    <row r="19" spans="2:18" x14ac:dyDescent="0.25">
      <c r="B19" t="s">
        <v>27</v>
      </c>
      <c r="C19" s="66">
        <v>8.9936625841570255</v>
      </c>
      <c r="D19" s="66">
        <v>7.8817000000000004</v>
      </c>
      <c r="E19" s="2"/>
      <c r="F19" s="67">
        <v>1.1119625841570251</v>
      </c>
      <c r="G19" s="1">
        <f>+F19*G31</f>
        <v>794.91505078775663</v>
      </c>
      <c r="H19" s="2">
        <f t="shared" si="0"/>
        <v>132.48584179795944</v>
      </c>
    </row>
    <row r="20" spans="2:18" x14ac:dyDescent="0.25">
      <c r="B20" t="s">
        <v>28</v>
      </c>
      <c r="C20" s="66">
        <v>12.608080887988054</v>
      </c>
      <c r="D20" s="66">
        <v>12.1768</v>
      </c>
      <c r="E20" s="2"/>
      <c r="F20" s="67">
        <v>0.43128088798805386</v>
      </c>
      <c r="G20" s="1">
        <f>+F20*G32</f>
        <v>1656.1812134377417</v>
      </c>
      <c r="H20" s="2">
        <f t="shared" si="0"/>
        <v>276.03020223962363</v>
      </c>
    </row>
    <row r="21" spans="2:18" x14ac:dyDescent="0.25">
      <c r="B21" t="s">
        <v>29</v>
      </c>
      <c r="C21" s="66">
        <v>3.3157374489311345E-3</v>
      </c>
      <c r="D21" s="66">
        <v>2E-3</v>
      </c>
      <c r="E21" s="2"/>
      <c r="F21" s="67">
        <v>1.3157374489311344E-3</v>
      </c>
      <c r="G21" s="1">
        <f>+F21*F33</f>
        <v>610.78069103439486</v>
      </c>
      <c r="H21" s="2">
        <f t="shared" si="0"/>
        <v>101.79678183906582</v>
      </c>
    </row>
    <row r="22" spans="2:18" ht="15.75" thickBot="1" x14ac:dyDescent="0.3">
      <c r="B22" t="s">
        <v>6</v>
      </c>
      <c r="H22" s="68">
        <f>SUM(H8:H21)</f>
        <v>51110.507486035182</v>
      </c>
    </row>
    <row r="23" spans="2:18" x14ac:dyDescent="0.25">
      <c r="G23" s="1"/>
      <c r="J23" s="69"/>
      <c r="K23" s="70" t="s">
        <v>7</v>
      </c>
      <c r="L23" s="70"/>
      <c r="M23" s="70"/>
      <c r="N23" s="70"/>
      <c r="O23" s="70"/>
      <c r="P23" s="70"/>
      <c r="Q23" s="71"/>
      <c r="R23" s="72"/>
    </row>
    <row r="24" spans="2:18" ht="60" x14ac:dyDescent="0.25">
      <c r="F24" s="3" t="s">
        <v>10</v>
      </c>
      <c r="G24" s="3"/>
      <c r="J24" s="73" t="s">
        <v>30</v>
      </c>
      <c r="K24" s="74" t="s">
        <v>42</v>
      </c>
      <c r="L24" s="74" t="s">
        <v>43</v>
      </c>
      <c r="M24" s="74" t="s">
        <v>41</v>
      </c>
      <c r="N24" s="74" t="s">
        <v>39</v>
      </c>
      <c r="O24" s="75" t="s">
        <v>40</v>
      </c>
      <c r="P24" s="75" t="s">
        <v>38</v>
      </c>
      <c r="Q24" s="88" t="s">
        <v>45</v>
      </c>
      <c r="R24" s="76"/>
    </row>
    <row r="25" spans="2:18" x14ac:dyDescent="0.25">
      <c r="F25" t="s">
        <v>15</v>
      </c>
      <c r="G25" t="s">
        <v>16</v>
      </c>
      <c r="J25" s="77"/>
      <c r="K25" s="78"/>
      <c r="L25" s="78"/>
      <c r="M25" s="78"/>
      <c r="N25" s="78"/>
      <c r="O25" s="78"/>
      <c r="P25" s="78"/>
      <c r="Q25" s="89"/>
      <c r="R25" s="76"/>
    </row>
    <row r="26" spans="2:18" x14ac:dyDescent="0.25">
      <c r="D26" t="s">
        <v>14</v>
      </c>
      <c r="J26" s="77"/>
      <c r="K26" s="78"/>
      <c r="L26" s="78"/>
      <c r="M26" s="78"/>
      <c r="N26" s="78"/>
      <c r="O26" s="79"/>
      <c r="P26" s="78"/>
      <c r="Q26" s="89"/>
      <c r="R26" s="76"/>
    </row>
    <row r="27" spans="2:18" x14ac:dyDescent="0.25">
      <c r="J27" s="77"/>
      <c r="K27" s="78"/>
      <c r="L27" s="78"/>
      <c r="M27" s="78"/>
      <c r="N27" s="78"/>
      <c r="O27" s="79"/>
      <c r="P27" s="78"/>
      <c r="Q27" s="89"/>
      <c r="R27" s="76"/>
    </row>
    <row r="28" spans="2:18" x14ac:dyDescent="0.25">
      <c r="B28" t="s">
        <v>24</v>
      </c>
      <c r="C28" t="s">
        <v>18</v>
      </c>
      <c r="D28">
        <v>9463</v>
      </c>
      <c r="F28" s="4">
        <v>76966388.54895407</v>
      </c>
      <c r="G28" s="4">
        <v>0</v>
      </c>
      <c r="J28" s="80">
        <v>15253.481951709713</v>
      </c>
      <c r="K28" s="81">
        <v>2402476.2682343107</v>
      </c>
      <c r="L28" s="81">
        <v>2585518.0516548278</v>
      </c>
      <c r="M28" s="81">
        <v>183041.78342051711</v>
      </c>
      <c r="N28" s="81">
        <v>15253.481951709759</v>
      </c>
      <c r="O28" s="82">
        <v>30506.963903419517</v>
      </c>
      <c r="P28" s="78">
        <f>+O28/D28</f>
        <v>3.2238152703602996</v>
      </c>
      <c r="Q28" s="89">
        <f>+P28/10</f>
        <v>0.32238152703602996</v>
      </c>
      <c r="R28" s="76"/>
    </row>
    <row r="29" spans="2:18" x14ac:dyDescent="0.25">
      <c r="B29" t="s">
        <v>25</v>
      </c>
      <c r="C29" t="s">
        <v>18</v>
      </c>
      <c r="D29">
        <v>1281</v>
      </c>
      <c r="F29" s="4">
        <v>34297660.558745287</v>
      </c>
      <c r="G29" s="4">
        <v>0</v>
      </c>
      <c r="J29" s="80">
        <v>4492.9217597908837</v>
      </c>
      <c r="K29" s="81">
        <v>713220.27586682548</v>
      </c>
      <c r="L29" s="81">
        <v>767633.94755703199</v>
      </c>
      <c r="M29" s="81">
        <v>54413.671690206509</v>
      </c>
      <c r="N29" s="81">
        <v>4534.4726408505421</v>
      </c>
      <c r="O29" s="82">
        <v>9068.9452817010842</v>
      </c>
      <c r="P29" s="78">
        <f t="shared" ref="P29:P33" si="1">+O29/D29</f>
        <v>7.0795825774403465</v>
      </c>
      <c r="Q29" s="89">
        <f t="shared" ref="Q29:Q33" si="2">+P29/10</f>
        <v>0.70795825774403465</v>
      </c>
      <c r="R29" s="76"/>
    </row>
    <row r="30" spans="2:18" x14ac:dyDescent="0.25">
      <c r="B30" t="s">
        <v>26</v>
      </c>
      <c r="C30" t="s">
        <v>18</v>
      </c>
      <c r="D30">
        <v>148</v>
      </c>
      <c r="F30" s="4">
        <v>74077571.369279549</v>
      </c>
      <c r="G30" s="4">
        <v>210852.79185851585</v>
      </c>
      <c r="J30" s="80">
        <v>5106.6300185786677</v>
      </c>
      <c r="K30" s="81">
        <v>787179.29663699097</v>
      </c>
      <c r="L30" s="81">
        <v>848458.85685993475</v>
      </c>
      <c r="M30" s="81">
        <v>61279.560222943779</v>
      </c>
      <c r="N30" s="81">
        <v>5106.6300185786486</v>
      </c>
      <c r="O30" s="82">
        <v>10213.260037157297</v>
      </c>
      <c r="P30" s="78">
        <f t="shared" si="1"/>
        <v>69.008513764576335</v>
      </c>
      <c r="Q30" s="89">
        <f t="shared" si="2"/>
        <v>6.9008513764576334</v>
      </c>
      <c r="R30" s="76"/>
    </row>
    <row r="31" spans="2:18" x14ac:dyDescent="0.25">
      <c r="B31" t="s">
        <v>27</v>
      </c>
      <c r="C31" t="s">
        <v>18</v>
      </c>
      <c r="D31">
        <v>195</v>
      </c>
      <c r="F31" s="4">
        <v>250869.52551857277</v>
      </c>
      <c r="G31" s="4">
        <v>714.8757180443971</v>
      </c>
      <c r="J31" s="80">
        <v>118.3079208989797</v>
      </c>
      <c r="K31" s="81">
        <v>11718.435946910526</v>
      </c>
      <c r="L31" s="81">
        <v>13074.950997698281</v>
      </c>
      <c r="M31" s="81">
        <v>1356.5150507877552</v>
      </c>
      <c r="N31" s="81">
        <v>113.0429208989796</v>
      </c>
      <c r="O31" s="82">
        <v>226.0858417979592</v>
      </c>
      <c r="P31" s="78">
        <f t="shared" si="1"/>
        <v>1.1594145733228678</v>
      </c>
      <c r="Q31" s="89">
        <f t="shared" si="2"/>
        <v>0.11594145733228678</v>
      </c>
      <c r="R31" s="76"/>
    </row>
    <row r="32" spans="2:18" x14ac:dyDescent="0.25">
      <c r="B32" t="s">
        <v>28</v>
      </c>
      <c r="C32" t="s">
        <v>19</v>
      </c>
      <c r="D32">
        <v>2849</v>
      </c>
      <c r="F32" s="4">
        <v>1379312.6173961633</v>
      </c>
      <c r="G32" s="4">
        <v>3840.1451572869528</v>
      </c>
      <c r="J32" s="80">
        <v>455.393701119811</v>
      </c>
      <c r="K32" s="81">
        <v>122658.03955125177</v>
      </c>
      <c r="L32" s="81">
        <v>128758.66076468951</v>
      </c>
      <c r="M32" s="81">
        <v>6100.621213437742</v>
      </c>
      <c r="N32" s="81">
        <v>508.38510111981185</v>
      </c>
      <c r="O32" s="81">
        <v>1016.7702022396237</v>
      </c>
      <c r="P32" s="78">
        <f t="shared" si="1"/>
        <v>0.3568866978728058</v>
      </c>
      <c r="Q32" s="89">
        <f t="shared" si="2"/>
        <v>3.568866978728058E-2</v>
      </c>
      <c r="R32" s="76"/>
    </row>
    <row r="33" spans="2:18" x14ac:dyDescent="0.25">
      <c r="B33" t="s">
        <v>29</v>
      </c>
      <c r="C33" t="s">
        <v>19</v>
      </c>
      <c r="D33">
        <v>20</v>
      </c>
      <c r="F33" s="4">
        <v>464211.67956462339</v>
      </c>
      <c r="G33" s="4">
        <v>0</v>
      </c>
      <c r="J33" s="80">
        <v>128.51839091953292</v>
      </c>
      <c r="K33" s="81">
        <v>2428.4233591292468</v>
      </c>
      <c r="L33" s="81">
        <v>4025.6040501636412</v>
      </c>
      <c r="M33" s="81">
        <v>1597.1806910343944</v>
      </c>
      <c r="N33" s="81">
        <v>133.09839091953287</v>
      </c>
      <c r="O33" s="81">
        <v>266.19678183906575</v>
      </c>
      <c r="P33" s="78">
        <f t="shared" si="1"/>
        <v>13.309839091953288</v>
      </c>
      <c r="Q33" s="89">
        <f t="shared" si="2"/>
        <v>1.3309839091953288</v>
      </c>
      <c r="R33" s="76"/>
    </row>
    <row r="34" spans="2:18" x14ac:dyDescent="0.25">
      <c r="J34" s="77"/>
      <c r="K34" s="78"/>
      <c r="L34" s="78"/>
      <c r="M34" s="78"/>
      <c r="N34" s="78"/>
      <c r="O34" s="78"/>
      <c r="P34" s="78"/>
      <c r="Q34" s="78"/>
      <c r="R34" s="76"/>
    </row>
    <row r="35" spans="2:18" x14ac:dyDescent="0.25">
      <c r="J35" s="77"/>
      <c r="K35" s="78"/>
      <c r="L35" s="78"/>
      <c r="M35" s="78"/>
      <c r="N35" s="78"/>
      <c r="O35" s="78"/>
      <c r="P35" s="78"/>
      <c r="Q35" s="78"/>
      <c r="R35" s="76"/>
    </row>
    <row r="36" spans="2:18" x14ac:dyDescent="0.25">
      <c r="B36" t="s">
        <v>20</v>
      </c>
      <c r="J36" s="83">
        <f>SUM(J28:J35)</f>
        <v>25555.253743017587</v>
      </c>
      <c r="K36" s="81">
        <v>4039680.7395954183</v>
      </c>
      <c r="L36" s="84">
        <f>SUM(L28:L33)</f>
        <v>4347470.0718843453</v>
      </c>
      <c r="M36" s="81">
        <v>307789.33228892734</v>
      </c>
      <c r="N36" s="84">
        <f>SUM(N28:N33)</f>
        <v>25649.111024077276</v>
      </c>
      <c r="O36" s="84">
        <f>SUM(O28:O35)</f>
        <v>51298.222048154552</v>
      </c>
      <c r="P36" s="78"/>
      <c r="Q36" s="78"/>
      <c r="R36" s="76"/>
    </row>
    <row r="37" spans="2:18" x14ac:dyDescent="0.25">
      <c r="J37" s="77"/>
      <c r="K37" s="78"/>
      <c r="L37" s="78" t="s">
        <v>21</v>
      </c>
      <c r="M37" s="78"/>
      <c r="N37" s="78"/>
      <c r="O37" s="78"/>
      <c r="P37" s="78"/>
      <c r="Q37" s="78"/>
      <c r="R37" s="76"/>
    </row>
    <row r="38" spans="2:18" ht="15.75" thickBot="1" x14ac:dyDescent="0.3">
      <c r="B38" t="s">
        <v>6</v>
      </c>
      <c r="J38" s="85"/>
      <c r="K38" s="86"/>
      <c r="L38" s="86"/>
      <c r="M38" s="86"/>
      <c r="N38" s="86"/>
      <c r="O38" s="86"/>
      <c r="P38" s="86"/>
      <c r="Q38" s="86"/>
      <c r="R38" s="87"/>
    </row>
    <row r="39" spans="2:18" x14ac:dyDescent="0.25">
      <c r="M39" s="1"/>
    </row>
  </sheetData>
  <mergeCells count="2">
    <mergeCell ref="F24:G24"/>
    <mergeCell ref="K23:P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opLeftCell="J1" workbookViewId="0">
      <selection activeCell="Q12" sqref="Q12"/>
    </sheetView>
  </sheetViews>
  <sheetFormatPr defaultRowHeight="15" x14ac:dyDescent="0.25"/>
  <cols>
    <col min="1" max="1" width="29" customWidth="1"/>
    <col min="3" max="3" width="12" customWidth="1"/>
    <col min="7" max="7" width="11.28515625" bestFit="1" customWidth="1"/>
    <col min="12" max="12" width="23.5703125" customWidth="1"/>
    <col min="13" max="13" width="27.42578125" bestFit="1" customWidth="1"/>
    <col min="14" max="14" width="14.28515625" customWidth="1"/>
    <col min="16" max="16" width="14.85546875" customWidth="1"/>
    <col min="17" max="17" width="13.140625" customWidth="1"/>
    <col min="18" max="18" width="15.140625" customWidth="1"/>
    <col min="19" max="19" width="15" customWidth="1"/>
  </cols>
  <sheetData>
    <row r="2" spans="1:19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8" x14ac:dyDescent="0.25">
      <c r="A3" s="8" t="s">
        <v>31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8" x14ac:dyDescent="0.25">
      <c r="A4" s="8" t="s">
        <v>32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5.75" thickBot="1" x14ac:dyDescent="0.3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1.5" customHeight="1" thickBot="1" x14ac:dyDescent="0.3">
      <c r="A6" s="11"/>
      <c r="B6" s="11"/>
      <c r="C6" s="12" t="s">
        <v>8</v>
      </c>
      <c r="D6" s="12" t="s">
        <v>9</v>
      </c>
      <c r="E6" s="12"/>
      <c r="F6" s="12"/>
      <c r="G6" s="13" t="s">
        <v>10</v>
      </c>
      <c r="H6" s="13"/>
      <c r="I6" s="14" t="s">
        <v>11</v>
      </c>
      <c r="J6" s="14"/>
      <c r="K6" s="14"/>
      <c r="L6" s="12" t="s">
        <v>33</v>
      </c>
      <c r="M6" s="12" t="s">
        <v>33</v>
      </c>
      <c r="N6" s="12" t="s">
        <v>20</v>
      </c>
      <c r="O6" s="15"/>
      <c r="P6" s="12" t="s">
        <v>34</v>
      </c>
      <c r="Q6" s="12" t="s">
        <v>35</v>
      </c>
      <c r="R6" s="12" t="s">
        <v>20</v>
      </c>
      <c r="S6" s="16" t="s">
        <v>4</v>
      </c>
    </row>
    <row r="7" spans="1:19" ht="39" thickBot="1" x14ac:dyDescent="0.3">
      <c r="A7" s="17"/>
      <c r="B7" s="17"/>
      <c r="C7" s="18"/>
      <c r="D7" s="19" t="s">
        <v>12</v>
      </c>
      <c r="E7" s="19" t="s">
        <v>13</v>
      </c>
      <c r="F7" s="20" t="s">
        <v>14</v>
      </c>
      <c r="G7" s="20" t="s">
        <v>15</v>
      </c>
      <c r="H7" s="21" t="s">
        <v>16</v>
      </c>
      <c r="I7" s="19" t="s">
        <v>1</v>
      </c>
      <c r="J7" s="22" t="s">
        <v>17</v>
      </c>
      <c r="K7" s="22"/>
      <c r="L7" s="18"/>
      <c r="M7" s="18"/>
      <c r="N7" s="18"/>
      <c r="O7" s="23"/>
      <c r="P7" s="12"/>
      <c r="Q7" s="12"/>
      <c r="R7" s="12"/>
      <c r="S7" s="16"/>
    </row>
    <row r="8" spans="1:19" ht="15.75" thickBot="1" x14ac:dyDescent="0.3">
      <c r="A8" s="24"/>
      <c r="B8" s="25"/>
      <c r="C8" s="26"/>
      <c r="D8" s="25"/>
      <c r="E8" s="25"/>
      <c r="F8" s="25"/>
      <c r="G8" s="25"/>
      <c r="H8" s="27"/>
      <c r="I8" s="25"/>
      <c r="J8" s="28" t="s">
        <v>15</v>
      </c>
      <c r="K8" s="28" t="s">
        <v>16</v>
      </c>
      <c r="L8" s="29"/>
      <c r="M8" s="30"/>
      <c r="N8" s="30"/>
      <c r="O8" s="31"/>
      <c r="P8" s="32"/>
      <c r="Q8" s="32"/>
      <c r="R8" s="32"/>
      <c r="S8" s="31"/>
    </row>
    <row r="9" spans="1:19" x14ac:dyDescent="0.25">
      <c r="A9" s="33" t="str">
        <f>'[2]B. CurrentTariff'!$A$13</f>
        <v>Residential</v>
      </c>
      <c r="B9" s="34"/>
      <c r="C9" s="35" t="s">
        <v>15</v>
      </c>
      <c r="D9" s="36">
        <f>'[3]C. Revenues at Curr Rates'!C25</f>
        <v>0</v>
      </c>
      <c r="E9" s="36">
        <f t="shared" ref="E9:E14" si="0">D9</f>
        <v>0</v>
      </c>
      <c r="F9" s="36">
        <v>9463</v>
      </c>
      <c r="G9" s="36">
        <v>76966388.54895407</v>
      </c>
      <c r="H9" s="36">
        <v>0</v>
      </c>
      <c r="I9" s="37">
        <v>14.02</v>
      </c>
      <c r="J9" s="38">
        <v>1.2907750387988397E-2</v>
      </c>
      <c r="K9" s="38"/>
      <c r="L9" s="39">
        <f>I9*F9*12</f>
        <v>1592055.12</v>
      </c>
      <c r="M9" s="39">
        <f>J9*G9+K9*H9</f>
        <v>993462.93165482767</v>
      </c>
      <c r="N9" s="39">
        <f>L9+M9</f>
        <v>2585518.0516548278</v>
      </c>
      <c r="O9" s="40"/>
      <c r="P9" s="41">
        <v>2585518.0516548278</v>
      </c>
      <c r="Q9" s="41"/>
      <c r="R9" s="41">
        <f t="shared" ref="R9:R14" si="1">SUM(P9:Q9)</f>
        <v>2585518.0516548278</v>
      </c>
      <c r="S9" s="42">
        <f>R9-N9</f>
        <v>0</v>
      </c>
    </row>
    <row r="10" spans="1:19" x14ac:dyDescent="0.25">
      <c r="A10" s="43" t="str">
        <f>'[2]B. CurrentTariff'!$A$14</f>
        <v>General Service &lt; 50 kW</v>
      </c>
      <c r="B10" s="44"/>
      <c r="C10" s="45" t="s">
        <v>15</v>
      </c>
      <c r="D10" s="46">
        <f>'[3]C. Revenues at Curr Rates'!C26</f>
        <v>0</v>
      </c>
      <c r="E10" s="46">
        <f t="shared" si="0"/>
        <v>0</v>
      </c>
      <c r="F10" s="46">
        <v>1281</v>
      </c>
      <c r="G10" s="36">
        <v>34297660.558745287</v>
      </c>
      <c r="H10" s="36">
        <v>0</v>
      </c>
      <c r="I10" s="47">
        <v>22.015000000000001</v>
      </c>
      <c r="J10" s="48">
        <v>1.2500000000000001E-2</v>
      </c>
      <c r="K10" s="48"/>
      <c r="L10" s="49">
        <f t="shared" ref="L10:L14" si="2">I10*F10*12</f>
        <v>338414.58</v>
      </c>
      <c r="M10" s="49">
        <f t="shared" ref="M10:M14" si="3">J10*G10+K10*H10</f>
        <v>428720.7569843161</v>
      </c>
      <c r="N10" s="39">
        <f t="shared" ref="N10:N14" si="4">L10+M10</f>
        <v>767135.33698431612</v>
      </c>
      <c r="O10" s="50"/>
      <c r="P10" s="49">
        <v>767633.94755703199</v>
      </c>
      <c r="Q10" s="49"/>
      <c r="R10" s="49">
        <f t="shared" si="1"/>
        <v>767633.94755703199</v>
      </c>
      <c r="S10" s="51">
        <f>R10-N10</f>
        <v>498.61057271587197</v>
      </c>
    </row>
    <row r="11" spans="1:19" x14ac:dyDescent="0.25">
      <c r="A11" s="43" t="str">
        <f>'[2]B. CurrentTariff'!$A$15</f>
        <v>General Service &gt; 50 to 4999 kW</v>
      </c>
      <c r="B11" s="44"/>
      <c r="C11" s="45" t="s">
        <v>16</v>
      </c>
      <c r="D11" s="46">
        <f>'[3]C. Revenues at Curr Rates'!C27</f>
        <v>0</v>
      </c>
      <c r="E11" s="46">
        <f t="shared" si="0"/>
        <v>0</v>
      </c>
      <c r="F11" s="46">
        <v>148</v>
      </c>
      <c r="G11" s="36">
        <v>74077571.369279549</v>
      </c>
      <c r="H11" s="36">
        <v>210852.79185851585</v>
      </c>
      <c r="I11" s="47">
        <v>82.85</v>
      </c>
      <c r="J11" s="48"/>
      <c r="K11" s="48">
        <v>3.4316218935600102</v>
      </c>
      <c r="L11" s="49">
        <f t="shared" si="2"/>
        <v>147141.59999999998</v>
      </c>
      <c r="M11" s="49">
        <f t="shared" si="3"/>
        <v>723567.05685993482</v>
      </c>
      <c r="N11" s="39">
        <f t="shared" si="4"/>
        <v>870708.6568599348</v>
      </c>
      <c r="O11" s="50"/>
      <c r="P11" s="49">
        <v>848458.85685993475</v>
      </c>
      <c r="Q11" s="49">
        <v>22249.8</v>
      </c>
      <c r="R11" s="49">
        <f t="shared" si="1"/>
        <v>870708.6568599348</v>
      </c>
      <c r="S11" s="51">
        <f t="shared" ref="S11:S14" si="5">R11-N11</f>
        <v>0</v>
      </c>
    </row>
    <row r="12" spans="1:19" x14ac:dyDescent="0.25">
      <c r="A12" s="43" t="str">
        <f>'[2]B. CurrentTariff'!$A$16</f>
        <v>Sentinel Ligthing</v>
      </c>
      <c r="B12" s="44"/>
      <c r="C12" s="45" t="s">
        <v>15</v>
      </c>
      <c r="D12" s="46">
        <f>'[3]C. Revenues at Curr Rates'!C28</f>
        <v>0</v>
      </c>
      <c r="E12" s="46">
        <f t="shared" si="0"/>
        <v>0</v>
      </c>
      <c r="F12" s="46">
        <v>195</v>
      </c>
      <c r="G12" s="36">
        <v>250869.52551857277</v>
      </c>
      <c r="H12" s="36">
        <v>714.8757180443971</v>
      </c>
      <c r="I12" s="47">
        <v>2.867</v>
      </c>
      <c r="J12" s="48"/>
      <c r="K12" s="48">
        <v>8.9936625841570255</v>
      </c>
      <c r="L12" s="49">
        <f t="shared" si="2"/>
        <v>6708.7800000000007</v>
      </c>
      <c r="M12" s="49">
        <f t="shared" si="3"/>
        <v>6429.3509976982814</v>
      </c>
      <c r="N12" s="39">
        <f t="shared" si="4"/>
        <v>13138.130997698281</v>
      </c>
      <c r="O12" s="50"/>
      <c r="P12" s="49">
        <v>13074.950997698281</v>
      </c>
      <c r="Q12" s="49"/>
      <c r="R12" s="49">
        <f t="shared" si="1"/>
        <v>13074.950997698281</v>
      </c>
      <c r="S12" s="51">
        <f t="shared" si="5"/>
        <v>-63.180000000000291</v>
      </c>
    </row>
    <row r="13" spans="1:19" x14ac:dyDescent="0.25">
      <c r="A13" s="43" t="str">
        <f>'[2]B. CurrentTariff'!$A$17</f>
        <v>Streetlights</v>
      </c>
      <c r="B13" s="44"/>
      <c r="C13" s="45" t="s">
        <v>16</v>
      </c>
      <c r="D13" s="46">
        <f>'[3]C. Revenues at Curr Rates'!C29</f>
        <v>0</v>
      </c>
      <c r="E13" s="46">
        <f t="shared" si="0"/>
        <v>0</v>
      </c>
      <c r="F13" s="46">
        <v>2849</v>
      </c>
      <c r="G13" s="36">
        <v>1379312.6173961633</v>
      </c>
      <c r="H13" s="36">
        <v>3840.1451572869528</v>
      </c>
      <c r="I13" s="47">
        <v>2.3313999999999999</v>
      </c>
      <c r="J13" s="48"/>
      <c r="K13" s="48">
        <v>12.608080887988054</v>
      </c>
      <c r="L13" s="49">
        <f t="shared" si="2"/>
        <v>79705.903200000001</v>
      </c>
      <c r="M13" s="49">
        <f t="shared" si="3"/>
        <v>48416.860764689511</v>
      </c>
      <c r="N13" s="39">
        <f t="shared" si="4"/>
        <v>128122.76396468951</v>
      </c>
      <c r="O13" s="50"/>
      <c r="P13" s="49">
        <v>128758.66076468951</v>
      </c>
      <c r="Q13" s="49"/>
      <c r="R13" s="49">
        <f t="shared" si="1"/>
        <v>128758.66076468951</v>
      </c>
      <c r="S13" s="51">
        <f t="shared" si="5"/>
        <v>635.89680000000226</v>
      </c>
    </row>
    <row r="14" spans="1:19" x14ac:dyDescent="0.25">
      <c r="A14" s="43" t="str">
        <f>'[2]B. CurrentTariff'!$A$18</f>
        <v>Unmetered Scattered Load</v>
      </c>
      <c r="B14" s="44"/>
      <c r="C14" s="45" t="s">
        <v>16</v>
      </c>
      <c r="D14" s="46" t="str">
        <f>'[3]C. Revenues at Curr Rates'!C30</f>
        <v>Customers
(Connections)</v>
      </c>
      <c r="E14" s="46" t="str">
        <f t="shared" si="0"/>
        <v>Customers
(Connections)</v>
      </c>
      <c r="F14" s="46">
        <v>20</v>
      </c>
      <c r="G14" s="36">
        <v>464211.67956462339</v>
      </c>
      <c r="H14" s="36">
        <v>0</v>
      </c>
      <c r="I14" s="47">
        <v>10.131</v>
      </c>
      <c r="J14" s="48">
        <v>3.3157374489311345E-3</v>
      </c>
      <c r="K14" s="48"/>
      <c r="L14" s="49">
        <f t="shared" si="2"/>
        <v>2431.44</v>
      </c>
      <c r="M14" s="49">
        <f t="shared" si="3"/>
        <v>1539.2040501636416</v>
      </c>
      <c r="N14" s="39">
        <f t="shared" si="4"/>
        <v>3970.6440501636416</v>
      </c>
      <c r="O14" s="50"/>
      <c r="P14" s="49">
        <v>4025.6040501636412</v>
      </c>
      <c r="Q14" s="49"/>
      <c r="R14" s="49">
        <f t="shared" si="1"/>
        <v>4025.6040501636412</v>
      </c>
      <c r="S14" s="51">
        <f t="shared" si="5"/>
        <v>54.959999999999582</v>
      </c>
    </row>
    <row r="15" spans="1:19" x14ac:dyDescent="0.25">
      <c r="A15" s="43" t="str">
        <f>'[2]B. CurrentTariff'!$A$19</f>
        <v>other classes</v>
      </c>
      <c r="B15" s="44"/>
      <c r="C15" s="45" t="s">
        <v>16</v>
      </c>
      <c r="D15" s="52"/>
      <c r="E15" s="52"/>
      <c r="F15" s="52">
        <v>0</v>
      </c>
      <c r="G15" s="52"/>
      <c r="H15" s="46"/>
      <c r="I15" s="47"/>
      <c r="J15" s="48"/>
      <c r="K15" s="48"/>
      <c r="L15" s="49"/>
      <c r="M15" s="49"/>
      <c r="N15" s="49"/>
      <c r="O15" s="50"/>
      <c r="P15" s="49"/>
      <c r="Q15" s="49"/>
      <c r="R15" s="49"/>
      <c r="S15" s="51"/>
    </row>
    <row r="16" spans="1:19" x14ac:dyDescent="0.25">
      <c r="A16" s="43" t="str">
        <f>'[2]B. CurrentTariff'!$A$20</f>
        <v>other classes</v>
      </c>
      <c r="B16" s="44"/>
      <c r="C16" s="45" t="s">
        <v>16</v>
      </c>
      <c r="D16" s="52"/>
      <c r="E16" s="52"/>
      <c r="F16" s="52">
        <v>0</v>
      </c>
      <c r="G16" s="52"/>
      <c r="H16" s="46"/>
      <c r="I16" s="47"/>
      <c r="J16" s="48"/>
      <c r="K16" s="48"/>
      <c r="L16" s="49"/>
      <c r="M16" s="49"/>
      <c r="N16" s="49"/>
      <c r="O16" s="50"/>
      <c r="P16" s="49"/>
      <c r="Q16" s="49"/>
      <c r="R16" s="49"/>
      <c r="S16" s="51"/>
    </row>
    <row r="17" spans="1:19" x14ac:dyDescent="0.25">
      <c r="A17" s="43" t="str">
        <f>'[2]B. CurrentTariff'!$A$21</f>
        <v>other classes</v>
      </c>
      <c r="B17" s="44"/>
      <c r="C17" s="45" t="s">
        <v>16</v>
      </c>
      <c r="D17" s="52"/>
      <c r="E17" s="52"/>
      <c r="F17" s="52">
        <v>0</v>
      </c>
      <c r="G17" s="52"/>
      <c r="H17" s="46"/>
      <c r="I17" s="47"/>
      <c r="J17" s="48"/>
      <c r="K17" s="48"/>
      <c r="L17" s="49"/>
      <c r="M17" s="49"/>
      <c r="N17" s="49"/>
      <c r="O17" s="50"/>
      <c r="P17" s="49"/>
      <c r="Q17" s="49"/>
      <c r="R17" s="49"/>
      <c r="S17" s="51"/>
    </row>
    <row r="18" spans="1:19" x14ac:dyDescent="0.25">
      <c r="A18" s="53" t="s">
        <v>36</v>
      </c>
      <c r="B18" s="44"/>
      <c r="C18" s="45" t="s">
        <v>16</v>
      </c>
      <c r="D18" s="52"/>
      <c r="E18" s="52"/>
      <c r="F18" s="52">
        <v>0</v>
      </c>
      <c r="G18" s="52"/>
      <c r="H18" s="46"/>
      <c r="I18" s="47"/>
      <c r="J18" s="48"/>
      <c r="K18" s="48"/>
      <c r="L18" s="49"/>
      <c r="M18" s="49"/>
      <c r="N18" s="49"/>
      <c r="O18" s="50"/>
      <c r="P18" s="49"/>
      <c r="Q18" s="49"/>
      <c r="R18" s="49"/>
      <c r="S18" s="51"/>
    </row>
    <row r="19" spans="1:19" x14ac:dyDescent="0.25">
      <c r="A19" s="54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5"/>
    </row>
    <row r="20" spans="1:19" ht="15.75" thickBot="1" x14ac:dyDescent="0.3">
      <c r="A20" s="56" t="s">
        <v>20</v>
      </c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>
        <f>SUM(L9:L18)</f>
        <v>2166457.4232000001</v>
      </c>
      <c r="M20" s="58">
        <f>SUM(M9:M18)</f>
        <v>2202136.1613116302</v>
      </c>
      <c r="N20" s="58">
        <f>SUM(N9:N18)</f>
        <v>4368593.5845116293</v>
      </c>
      <c r="O20" s="59"/>
      <c r="P20" s="58">
        <f>SUM(P9:P18)</f>
        <v>4347470.0718843453</v>
      </c>
      <c r="Q20" s="58">
        <f>SUM(Q9:Q18)</f>
        <v>22249.8</v>
      </c>
      <c r="R20" s="58">
        <f>P20+Q20</f>
        <v>4369719.8718843451</v>
      </c>
      <c r="S20" s="60">
        <f>R20-N20</f>
        <v>1126.2873727157712</v>
      </c>
    </row>
    <row r="21" spans="1:19" x14ac:dyDescent="0.25">
      <c r="A21" s="9"/>
      <c r="B21" s="9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61" t="s">
        <v>6</v>
      </c>
      <c r="Q21" s="9"/>
      <c r="R21" s="9"/>
      <c r="S21" s="9"/>
    </row>
    <row r="22" spans="1:19" x14ac:dyDescent="0.25">
      <c r="A22" s="62" t="s">
        <v>37</v>
      </c>
      <c r="B22" s="62"/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9"/>
      <c r="P22" s="9"/>
      <c r="Q22" s="9"/>
      <c r="R22" s="9"/>
      <c r="S22" s="9"/>
    </row>
    <row r="23" spans="1:19" x14ac:dyDescent="0.25">
      <c r="A23" s="64"/>
      <c r="B23" s="64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9"/>
      <c r="P23" s="9"/>
      <c r="Q23" s="9"/>
      <c r="R23" s="9"/>
      <c r="S23" s="9"/>
    </row>
    <row r="24" spans="1:19" x14ac:dyDescent="0.25">
      <c r="A24" s="65" t="s">
        <v>22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9"/>
      <c r="S24" s="9"/>
    </row>
    <row r="25" spans="1:19" x14ac:dyDescent="0.25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9"/>
      <c r="S25" s="9"/>
    </row>
    <row r="26" spans="1:19" x14ac:dyDescent="0.25">
      <c r="A26" s="65" t="s">
        <v>23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9"/>
      <c r="S26" s="9"/>
    </row>
    <row r="27" spans="1:19" x14ac:dyDescent="0.2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9"/>
      <c r="S27" s="9"/>
    </row>
  </sheetData>
  <mergeCells count="16">
    <mergeCell ref="Q6:Q7"/>
    <mergeCell ref="R6:R7"/>
    <mergeCell ref="S6:S7"/>
    <mergeCell ref="J7:K7"/>
    <mergeCell ref="A24:Q25"/>
    <mergeCell ref="A26:Q27"/>
    <mergeCell ref="A3:S3"/>
    <mergeCell ref="A4:S4"/>
    <mergeCell ref="C6:C7"/>
    <mergeCell ref="D6:F6"/>
    <mergeCell ref="G6:H6"/>
    <mergeCell ref="I6:K6"/>
    <mergeCell ref="L6:L7"/>
    <mergeCell ref="M6:M7"/>
    <mergeCell ref="N6:N7"/>
    <mergeCell ref="P6:P7"/>
  </mergeCells>
  <dataValidations count="1">
    <dataValidation type="list" allowBlank="1" showInputMessage="1" showErrorMessage="1" sqref="C9:C18">
      <formula1>"kWh,kW"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abSelected="1" workbookViewId="0">
      <selection activeCell="J54" sqref="J54"/>
    </sheetView>
  </sheetViews>
  <sheetFormatPr defaultRowHeight="15" x14ac:dyDescent="0.25"/>
  <cols>
    <col min="1" max="1" width="24.85546875" customWidth="1"/>
    <col min="2" max="2" width="20.7109375" customWidth="1"/>
    <col min="3" max="4" width="13.42578125" customWidth="1"/>
    <col min="6" max="6" width="13.28515625" customWidth="1"/>
    <col min="7" max="7" width="11.140625" customWidth="1"/>
    <col min="8" max="8" width="12" customWidth="1"/>
    <col min="10" max="10" width="13.7109375" customWidth="1"/>
  </cols>
  <sheetData>
    <row r="2" spans="1:11" ht="18" x14ac:dyDescent="0.25">
      <c r="A2" s="90" t="s">
        <v>46</v>
      </c>
      <c r="B2" s="90"/>
      <c r="C2" s="90"/>
      <c r="D2" s="90"/>
      <c r="E2" s="90"/>
      <c r="F2" s="90"/>
      <c r="G2" s="90"/>
      <c r="H2" s="90"/>
      <c r="I2" s="91"/>
      <c r="J2" s="91"/>
      <c r="K2" s="92"/>
    </row>
    <row r="3" spans="1:11" x14ac:dyDescent="0.25">
      <c r="A3" s="92"/>
      <c r="B3" s="92"/>
      <c r="C3" s="92"/>
      <c r="D3" s="92"/>
      <c r="E3" s="92"/>
      <c r="F3" s="92"/>
      <c r="G3" s="92"/>
      <c r="H3" s="92"/>
      <c r="I3" s="92"/>
      <c r="J3" s="93"/>
      <c r="K3" s="92"/>
    </row>
    <row r="4" spans="1:11" x14ac:dyDescent="0.25">
      <c r="A4" s="94" t="s">
        <v>47</v>
      </c>
      <c r="B4" s="95"/>
      <c r="C4" s="95"/>
      <c r="D4" s="95"/>
      <c r="E4" s="95"/>
      <c r="F4" s="95"/>
      <c r="G4" s="95"/>
      <c r="H4" s="95"/>
      <c r="I4" s="92"/>
      <c r="J4" s="93"/>
      <c r="K4" s="92"/>
    </row>
    <row r="5" spans="1:11" x14ac:dyDescent="0.25">
      <c r="A5" s="95"/>
      <c r="B5" s="96" t="s">
        <v>48</v>
      </c>
      <c r="C5" s="96"/>
      <c r="D5" s="96"/>
      <c r="E5" s="95"/>
      <c r="F5" s="97"/>
      <c r="G5" s="98" t="s">
        <v>49</v>
      </c>
      <c r="H5" s="99"/>
      <c r="I5" s="92"/>
      <c r="J5" s="93"/>
      <c r="K5" s="92"/>
    </row>
    <row r="6" spans="1:11" ht="26.25" x14ac:dyDescent="0.25">
      <c r="A6" s="100" t="s">
        <v>50</v>
      </c>
      <c r="B6" s="101" t="s">
        <v>51</v>
      </c>
      <c r="C6" s="101" t="s">
        <v>52</v>
      </c>
      <c r="D6" s="102" t="s">
        <v>53</v>
      </c>
      <c r="E6" s="95"/>
      <c r="F6" s="101" t="s">
        <v>51</v>
      </c>
      <c r="G6" s="101" t="s">
        <v>52</v>
      </c>
      <c r="H6" s="102" t="s">
        <v>53</v>
      </c>
      <c r="I6" s="92"/>
      <c r="J6" s="93"/>
      <c r="K6" s="92"/>
    </row>
    <row r="7" spans="1:11" x14ac:dyDescent="0.25">
      <c r="A7" s="103" t="str">
        <f>'[1]B. CurrentTariff'!$A$13</f>
        <v>Residential</v>
      </c>
      <c r="B7" s="104">
        <v>10.99</v>
      </c>
      <c r="C7" s="105">
        <v>0.51945588662034847</v>
      </c>
      <c r="D7" s="105">
        <v>0.48054411337965164</v>
      </c>
      <c r="E7" s="95"/>
      <c r="F7" s="106">
        <v>11.927150618654816</v>
      </c>
      <c r="G7" s="105">
        <f t="shared" ref="G7:G12" si="0">C7</f>
        <v>0.51945588662034847</v>
      </c>
      <c r="H7" s="105">
        <f t="shared" ref="H7:H12" si="1">1-G7</f>
        <v>0.48054411337965153</v>
      </c>
      <c r="I7" s="92"/>
      <c r="J7" s="93"/>
      <c r="K7" s="92"/>
    </row>
    <row r="8" spans="1:11" x14ac:dyDescent="0.25">
      <c r="A8" s="103" t="str">
        <f>'[1]B. CurrentTariff'!$A$14</f>
        <v>General Service &lt; 50 kW</v>
      </c>
      <c r="B8" s="104">
        <v>22.97</v>
      </c>
      <c r="C8" s="105">
        <v>0.49507123107354123</v>
      </c>
      <c r="D8" s="105">
        <v>0.50492876892645877</v>
      </c>
      <c r="E8" s="95"/>
      <c r="F8" s="106">
        <v>24.369022864086276</v>
      </c>
      <c r="G8" s="105">
        <f t="shared" si="0"/>
        <v>0.49507123107354123</v>
      </c>
      <c r="H8" s="105">
        <f t="shared" si="1"/>
        <v>0.50492876892645877</v>
      </c>
      <c r="I8" s="92"/>
      <c r="J8" s="93"/>
      <c r="K8" s="92"/>
    </row>
    <row r="9" spans="1:11" x14ac:dyDescent="0.25">
      <c r="A9" s="103" t="str">
        <f>'[1]B. CurrentTariff'!$A$15</f>
        <v>General Service &gt; 50 to 4999 kW</v>
      </c>
      <c r="B9" s="104">
        <v>378.72</v>
      </c>
      <c r="C9" s="105">
        <v>0.854451740376721</v>
      </c>
      <c r="D9" s="105">
        <v>0.14554825962327902</v>
      </c>
      <c r="E9" s="95"/>
      <c r="F9" s="106">
        <v>413.79403360845572</v>
      </c>
      <c r="G9" s="105">
        <f t="shared" si="0"/>
        <v>0.854451740376721</v>
      </c>
      <c r="H9" s="105">
        <f t="shared" si="1"/>
        <v>0.145548259623279</v>
      </c>
      <c r="I9" s="92"/>
      <c r="J9" s="93"/>
      <c r="K9" s="92"/>
    </row>
    <row r="10" spans="1:11" x14ac:dyDescent="0.25">
      <c r="A10" s="103" t="str">
        <f>'[1]B. CurrentTariff'!$A$16</f>
        <v>Sentinel Ligthing</v>
      </c>
      <c r="B10" s="104">
        <v>2.6</v>
      </c>
      <c r="C10" s="105">
        <v>0.51918191365836663</v>
      </c>
      <c r="D10" s="105">
        <v>0.48081808634163331</v>
      </c>
      <c r="E10" s="95"/>
      <c r="F10" s="106">
        <v>2.8363538857429926</v>
      </c>
      <c r="G10" s="105">
        <f t="shared" si="0"/>
        <v>0.51918191365836663</v>
      </c>
      <c r="H10" s="105">
        <f t="shared" si="1"/>
        <v>0.48081808634163337</v>
      </c>
      <c r="I10" s="92"/>
      <c r="J10" s="93"/>
      <c r="K10" s="92"/>
    </row>
    <row r="11" spans="1:11" x14ac:dyDescent="0.25">
      <c r="A11" s="103" t="str">
        <f>'[1]B. CurrentTariff'!$A$17</f>
        <v>Streetlights</v>
      </c>
      <c r="B11" s="104">
        <v>2.2200000000000002</v>
      </c>
      <c r="C11" s="105">
        <v>0.6187719963377275</v>
      </c>
      <c r="D11" s="105">
        <v>0.38122800366227239</v>
      </c>
      <c r="E11" s="95"/>
      <c r="F11" s="106">
        <v>2.3498236695531745</v>
      </c>
      <c r="G11" s="105">
        <f t="shared" si="0"/>
        <v>0.6187719963377275</v>
      </c>
      <c r="H11" s="105">
        <f t="shared" si="1"/>
        <v>0.3812280036622725</v>
      </c>
      <c r="I11" s="92"/>
      <c r="J11" s="93"/>
      <c r="K11" s="92"/>
    </row>
    <row r="12" spans="1:11" x14ac:dyDescent="0.25">
      <c r="A12" s="103" t="str">
        <f>'[1]B. CurrentTariff'!$A$18</f>
        <v>Unmetered Scattered Load</v>
      </c>
      <c r="B12" s="104">
        <v>6.25</v>
      </c>
      <c r="C12" s="105">
        <v>0.61768471891896604</v>
      </c>
      <c r="D12" s="105">
        <v>0.38231528108103402</v>
      </c>
      <c r="E12" s="95"/>
      <c r="F12" s="106">
        <v>10.360642109184916</v>
      </c>
      <c r="G12" s="105">
        <f t="shared" si="0"/>
        <v>0.61768471891896604</v>
      </c>
      <c r="H12" s="105">
        <f t="shared" si="1"/>
        <v>0.38231528108103396</v>
      </c>
      <c r="I12" s="92"/>
      <c r="J12" s="93"/>
      <c r="K12" s="92"/>
    </row>
    <row r="13" spans="1:11" x14ac:dyDescent="0.25">
      <c r="A13" s="103" t="str">
        <f>'[1]B. CurrentTariff'!$A$19</f>
        <v>other classes</v>
      </c>
      <c r="B13" s="104"/>
      <c r="C13" s="105"/>
      <c r="D13" s="105"/>
      <c r="E13" s="95"/>
      <c r="F13" s="104"/>
      <c r="G13" s="105"/>
      <c r="H13" s="105"/>
      <c r="I13" s="92"/>
      <c r="J13" s="93"/>
      <c r="K13" s="92"/>
    </row>
    <row r="14" spans="1:11" x14ac:dyDescent="0.25">
      <c r="A14" s="103" t="str">
        <f>'[1]B. CurrentTariff'!$A$20</f>
        <v>other classes</v>
      </c>
      <c r="B14" s="104"/>
      <c r="C14" s="105"/>
      <c r="D14" s="105"/>
      <c r="E14" s="95"/>
      <c r="F14" s="104"/>
      <c r="G14" s="105"/>
      <c r="H14" s="105"/>
      <c r="I14" s="92"/>
      <c r="J14" s="93"/>
      <c r="K14" s="92"/>
    </row>
    <row r="15" spans="1:11" x14ac:dyDescent="0.25">
      <c r="A15" s="103" t="str">
        <f>'[1]B. CurrentTariff'!$A$21</f>
        <v>other classes</v>
      </c>
      <c r="B15" s="104"/>
      <c r="C15" s="105"/>
      <c r="D15" s="105"/>
      <c r="E15" s="95"/>
      <c r="F15" s="104"/>
      <c r="G15" s="105"/>
      <c r="H15" s="105"/>
      <c r="I15" s="92"/>
      <c r="J15" s="93"/>
      <c r="K15" s="92"/>
    </row>
    <row r="16" spans="1:11" x14ac:dyDescent="0.25">
      <c r="A16" s="103" t="s">
        <v>54</v>
      </c>
      <c r="B16" s="104"/>
      <c r="C16" s="105"/>
      <c r="D16" s="105"/>
      <c r="E16" s="95"/>
      <c r="F16" s="107"/>
      <c r="G16" s="108"/>
      <c r="H16" s="108"/>
      <c r="I16" s="92"/>
      <c r="J16" s="93"/>
      <c r="K16" s="92"/>
    </row>
    <row r="17" spans="1:11" x14ac:dyDescent="0.25">
      <c r="A17" s="92"/>
      <c r="B17" s="92"/>
      <c r="C17" s="92"/>
      <c r="D17" s="92"/>
      <c r="E17" s="92"/>
      <c r="F17" s="92"/>
      <c r="G17" s="92"/>
      <c r="H17" s="92"/>
      <c r="I17" s="92"/>
      <c r="J17" s="93"/>
      <c r="K17" s="92"/>
    </row>
    <row r="18" spans="1:11" x14ac:dyDescent="0.25">
      <c r="A18" s="92"/>
      <c r="B18" s="92"/>
      <c r="C18" s="92"/>
      <c r="D18" s="92"/>
      <c r="E18" s="92"/>
      <c r="F18" s="92"/>
      <c r="G18" s="92"/>
      <c r="H18" s="92"/>
      <c r="I18" s="92"/>
      <c r="J18" s="93"/>
      <c r="K18" s="92"/>
    </row>
    <row r="19" spans="1:11" x14ac:dyDescent="0.25">
      <c r="A19" s="94" t="s">
        <v>55</v>
      </c>
      <c r="B19" s="109"/>
      <c r="C19" s="110"/>
      <c r="D19" s="110"/>
      <c r="E19" s="110"/>
      <c r="F19" s="111"/>
      <c r="G19" s="112"/>
      <c r="H19" s="112"/>
      <c r="I19" s="95"/>
      <c r="J19" s="113"/>
      <c r="K19" s="95"/>
    </row>
    <row r="20" spans="1:11" x14ac:dyDescent="0.25">
      <c r="A20" s="95"/>
      <c r="B20" s="98"/>
      <c r="C20" s="98" t="s">
        <v>56</v>
      </c>
      <c r="D20" s="114"/>
      <c r="E20" s="115"/>
      <c r="F20" s="116"/>
      <c r="G20" s="98" t="s">
        <v>57</v>
      </c>
      <c r="H20" s="116"/>
      <c r="I20" s="95"/>
      <c r="J20" s="113"/>
      <c r="K20" s="95"/>
    </row>
    <row r="21" spans="1:11" ht="26.25" x14ac:dyDescent="0.25">
      <c r="A21" s="100" t="s">
        <v>50</v>
      </c>
      <c r="B21" s="101" t="s">
        <v>51</v>
      </c>
      <c r="C21" s="101" t="s">
        <v>52</v>
      </c>
      <c r="D21" s="102" t="s">
        <v>53</v>
      </c>
      <c r="E21" s="117"/>
      <c r="F21" s="101" t="s">
        <v>51</v>
      </c>
      <c r="G21" s="101" t="s">
        <v>52</v>
      </c>
      <c r="H21" s="102" t="s">
        <v>53</v>
      </c>
      <c r="I21" s="95"/>
      <c r="J21" s="118"/>
      <c r="K21" s="95"/>
    </row>
    <row r="22" spans="1:11" x14ac:dyDescent="0.25">
      <c r="A22" s="103" t="str">
        <f>'[1]B. CurrentTariff'!$A$13</f>
        <v>Residential</v>
      </c>
      <c r="B22" s="104">
        <v>6.7699795406029351</v>
      </c>
      <c r="C22" s="105">
        <v>0.29484877294709161</v>
      </c>
      <c r="D22" s="105">
        <f t="shared" ref="D22:D27" si="2">1-C22</f>
        <v>0.70515122705290834</v>
      </c>
      <c r="E22" s="119"/>
      <c r="F22" s="157">
        <v>18.05</v>
      </c>
      <c r="G22" s="105">
        <v>0.78612059604851103</v>
      </c>
      <c r="H22" s="105">
        <f t="shared" ref="H22:H27" si="3">1-G22</f>
        <v>0.21387940395148897</v>
      </c>
      <c r="I22" s="95"/>
      <c r="J22" s="120"/>
      <c r="K22" s="95"/>
    </row>
    <row r="23" spans="1:11" x14ac:dyDescent="0.25">
      <c r="A23" s="103" t="str">
        <f>'[1]B. CurrentTariff'!$A$14</f>
        <v>General Service &lt; 50 kW</v>
      </c>
      <c r="B23" s="104">
        <v>6.9266898523306244</v>
      </c>
      <c r="C23" s="105">
        <v>0.14071983483226572</v>
      </c>
      <c r="D23" s="105">
        <f t="shared" si="2"/>
        <v>0.85928016516773431</v>
      </c>
      <c r="E23" s="119"/>
      <c r="F23" s="157">
        <v>22.97</v>
      </c>
      <c r="G23" s="105">
        <v>0.46664924733270097</v>
      </c>
      <c r="H23" s="105">
        <f t="shared" si="3"/>
        <v>0.53335075266729903</v>
      </c>
      <c r="I23" s="95"/>
      <c r="J23" s="120"/>
      <c r="K23" s="95"/>
    </row>
    <row r="24" spans="1:11" x14ac:dyDescent="0.25">
      <c r="A24" s="103" t="str">
        <f>'[1]B. CurrentTariff'!$A$15</f>
        <v>General Service &gt; 50 to 4999 kW</v>
      </c>
      <c r="B24" s="104">
        <v>26.265886589635205</v>
      </c>
      <c r="C24" s="105">
        <v>5.4236964978300176E-2</v>
      </c>
      <c r="D24" s="105">
        <f t="shared" si="2"/>
        <v>0.94576303502169978</v>
      </c>
      <c r="E24" s="121"/>
      <c r="F24" s="157">
        <v>378.72</v>
      </c>
      <c r="G24" s="105">
        <v>0.78202665295476415</v>
      </c>
      <c r="H24" s="105">
        <f t="shared" si="3"/>
        <v>0.21797334704523585</v>
      </c>
      <c r="I24" s="95"/>
      <c r="J24" s="120"/>
      <c r="K24" s="95"/>
    </row>
    <row r="25" spans="1:11" x14ac:dyDescent="0.25">
      <c r="A25" s="103" t="str">
        <f>'[1]B. CurrentTariff'!$A$16</f>
        <v>Sentinel Ligthing</v>
      </c>
      <c r="B25" s="104">
        <v>0.72183466236067095</v>
      </c>
      <c r="C25" s="105">
        <v>0.1321286117480307</v>
      </c>
      <c r="D25" s="105">
        <f t="shared" si="2"/>
        <v>0.8678713882519693</v>
      </c>
      <c r="E25" s="121"/>
      <c r="F25" s="157">
        <v>7.26</v>
      </c>
      <c r="G25" s="105">
        <v>1.328910582034925</v>
      </c>
      <c r="H25" s="105">
        <f t="shared" si="3"/>
        <v>-0.32891058203492496</v>
      </c>
      <c r="I25" s="95"/>
      <c r="J25" s="120"/>
      <c r="K25" s="95"/>
    </row>
    <row r="26" spans="1:11" x14ac:dyDescent="0.25">
      <c r="A26" s="103" t="str">
        <f>'[1]B. CurrentTariff'!$A$17</f>
        <v>Streetlights</v>
      </c>
      <c r="B26" s="104">
        <v>0.66120666512106918</v>
      </c>
      <c r="C26" s="105">
        <v>0.17411356157058949</v>
      </c>
      <c r="D26" s="105">
        <f t="shared" si="2"/>
        <v>0.82588643842941045</v>
      </c>
      <c r="E26" s="119"/>
      <c r="F26" s="157">
        <v>3.15</v>
      </c>
      <c r="G26" s="105">
        <v>0.82948002172200186</v>
      </c>
      <c r="H26" s="105">
        <f t="shared" si="3"/>
        <v>0.17051997827799814</v>
      </c>
      <c r="I26" s="95"/>
      <c r="J26" s="120"/>
      <c r="K26" s="95"/>
    </row>
    <row r="27" spans="1:11" x14ac:dyDescent="0.25">
      <c r="A27" s="103" t="str">
        <f>'[1]B. CurrentTariff'!$A$18</f>
        <v>Unmetered Scattered Load</v>
      </c>
      <c r="B27" s="104">
        <v>2.8784528305170851</v>
      </c>
      <c r="C27" s="105">
        <v>0.17160870038771403</v>
      </c>
      <c r="D27" s="105">
        <f t="shared" si="2"/>
        <v>0.82839129961228597</v>
      </c>
      <c r="E27" s="119"/>
      <c r="F27" s="157">
        <v>10.55</v>
      </c>
      <c r="G27" s="105">
        <v>0.62897392998625234</v>
      </c>
      <c r="H27" s="105">
        <f t="shared" si="3"/>
        <v>0.37102607001374766</v>
      </c>
      <c r="I27" s="95"/>
      <c r="J27" s="120"/>
      <c r="K27" s="95"/>
    </row>
    <row r="28" spans="1:11" x14ac:dyDescent="0.25">
      <c r="A28" s="103" t="str">
        <f>'[1]B. CurrentTariff'!$A$19</f>
        <v>other classes</v>
      </c>
      <c r="B28" s="104"/>
      <c r="C28" s="105"/>
      <c r="D28" s="105"/>
      <c r="E28" s="119"/>
      <c r="F28" s="104"/>
      <c r="G28" s="105"/>
      <c r="H28" s="105"/>
      <c r="I28" s="95"/>
      <c r="J28" s="120"/>
      <c r="K28" s="95"/>
    </row>
    <row r="29" spans="1:11" x14ac:dyDescent="0.25">
      <c r="A29" s="103" t="str">
        <f>'[1]B. CurrentTariff'!$A$20</f>
        <v>other classes</v>
      </c>
      <c r="B29" s="104"/>
      <c r="C29" s="105"/>
      <c r="D29" s="105"/>
      <c r="E29" s="119"/>
      <c r="F29" s="104"/>
      <c r="G29" s="105"/>
      <c r="H29" s="105"/>
      <c r="I29" s="95"/>
      <c r="J29" s="120"/>
      <c r="K29" s="95"/>
    </row>
    <row r="30" spans="1:11" x14ac:dyDescent="0.25">
      <c r="A30" s="103" t="str">
        <f>'[1]B. CurrentTariff'!$A$21</f>
        <v>other classes</v>
      </c>
      <c r="B30" s="104"/>
      <c r="C30" s="105"/>
      <c r="D30" s="105"/>
      <c r="E30" s="119"/>
      <c r="F30" s="104"/>
      <c r="G30" s="105"/>
      <c r="H30" s="105"/>
      <c r="I30" s="95"/>
      <c r="J30" s="120"/>
      <c r="K30" s="95"/>
    </row>
    <row r="31" spans="1:11" x14ac:dyDescent="0.25">
      <c r="A31" s="103" t="s">
        <v>54</v>
      </c>
      <c r="B31" s="104"/>
      <c r="C31" s="105"/>
      <c r="D31" s="105"/>
      <c r="E31" s="119"/>
      <c r="F31" s="104"/>
      <c r="G31" s="105"/>
      <c r="H31" s="105"/>
      <c r="I31" s="95"/>
      <c r="J31" s="120"/>
      <c r="K31" s="95"/>
    </row>
    <row r="32" spans="1:11" x14ac:dyDescent="0.25">
      <c r="A32" s="122"/>
      <c r="B32" s="109"/>
      <c r="C32" s="110"/>
      <c r="D32" s="110"/>
      <c r="E32" s="110"/>
      <c r="F32" s="111"/>
      <c r="G32" s="112"/>
      <c r="H32" s="112"/>
      <c r="I32" s="95"/>
      <c r="J32" s="113"/>
      <c r="K32" s="95"/>
    </row>
    <row r="33" spans="1:1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113"/>
      <c r="K33" s="95"/>
    </row>
    <row r="34" spans="1:11" x14ac:dyDescent="0.25">
      <c r="A34" s="123"/>
      <c r="B34" s="124"/>
      <c r="C34" s="124"/>
      <c r="D34" s="124"/>
      <c r="E34" s="124"/>
      <c r="F34" s="124"/>
      <c r="G34" s="124"/>
      <c r="H34" s="124"/>
      <c r="I34" s="124"/>
      <c r="J34" s="113"/>
      <c r="K34" s="95"/>
    </row>
    <row r="35" spans="1:11" x14ac:dyDescent="0.25">
      <c r="A35" s="94" t="s">
        <v>46</v>
      </c>
      <c r="B35" s="124"/>
      <c r="C35" s="124"/>
      <c r="D35" s="124"/>
      <c r="E35" s="124"/>
      <c r="F35" s="124"/>
      <c r="G35" s="124"/>
      <c r="H35" s="124"/>
      <c r="I35" s="124"/>
      <c r="J35" s="113"/>
      <c r="K35" s="95"/>
    </row>
    <row r="36" spans="1:11" x14ac:dyDescent="0.25">
      <c r="A36" s="125"/>
      <c r="B36" s="98"/>
      <c r="C36" s="98" t="s">
        <v>58</v>
      </c>
      <c r="D36" s="114"/>
      <c r="E36" s="124"/>
      <c r="F36" s="126" t="s">
        <v>59</v>
      </c>
      <c r="G36" s="126"/>
      <c r="H36" s="126"/>
      <c r="I36" s="95"/>
      <c r="J36" s="113"/>
      <c r="K36" s="95"/>
    </row>
    <row r="37" spans="1:11" x14ac:dyDescent="0.25">
      <c r="A37" s="100" t="s">
        <v>50</v>
      </c>
      <c r="B37" s="127" t="s">
        <v>60</v>
      </c>
      <c r="C37" s="127" t="s">
        <v>52</v>
      </c>
      <c r="D37" s="127" t="s">
        <v>53</v>
      </c>
      <c r="E37" s="95"/>
      <c r="F37" s="128" t="s">
        <v>61</v>
      </c>
      <c r="G37" s="129" t="s">
        <v>62</v>
      </c>
      <c r="H37" s="130" t="s">
        <v>63</v>
      </c>
      <c r="I37" s="95"/>
      <c r="J37" s="113"/>
      <c r="K37" s="95"/>
    </row>
    <row r="38" spans="1:11" x14ac:dyDescent="0.25">
      <c r="A38" s="103" t="str">
        <f>'[1]B. CurrentTariff'!$A$13</f>
        <v>Residential</v>
      </c>
      <c r="B38" s="131">
        <v>14.02</v>
      </c>
      <c r="C38" s="156">
        <f t="shared" ref="C38:C43" si="4">G53/F53</f>
        <v>0.61575865578700006</v>
      </c>
      <c r="D38" s="105">
        <f t="shared" ref="D38:D43" si="5">1-C38</f>
        <v>0.38424134421299994</v>
      </c>
      <c r="E38" s="95"/>
      <c r="F38" s="132">
        <f t="shared" ref="F38:F43" si="6">H53+D53</f>
        <v>993462.93165482767</v>
      </c>
      <c r="G38" s="133">
        <v>1.2907750387988397E-2</v>
      </c>
      <c r="H38" s="134" t="s">
        <v>15</v>
      </c>
      <c r="I38" s="95"/>
      <c r="J38" s="113"/>
      <c r="K38" s="135"/>
    </row>
    <row r="39" spans="1:11" x14ac:dyDescent="0.25">
      <c r="A39" s="103" t="str">
        <f>'[1]B. CurrentTariff'!$A$14</f>
        <v>General Service &lt; 50 kW</v>
      </c>
      <c r="B39" s="131">
        <v>22.015000000000001</v>
      </c>
      <c r="C39" s="156">
        <f t="shared" si="4"/>
        <v>0.4408546561508826</v>
      </c>
      <c r="D39" s="105">
        <f t="shared" si="5"/>
        <v>0.5591453438491174</v>
      </c>
      <c r="E39" s="95"/>
      <c r="F39" s="132">
        <f t="shared" si="6"/>
        <v>429218.94755703199</v>
      </c>
      <c r="G39" s="133">
        <v>1.2500000000000001E-2</v>
      </c>
      <c r="H39" s="134" t="s">
        <v>15</v>
      </c>
      <c r="I39" s="95"/>
      <c r="J39" s="113"/>
      <c r="K39" s="95"/>
    </row>
    <row r="40" spans="1:11" x14ac:dyDescent="0.25">
      <c r="A40" s="103" t="str">
        <f>'[1]B. CurrentTariff'!$A$15</f>
        <v>General Service &gt; 50 to 4999 kW</v>
      </c>
      <c r="B40" s="131">
        <v>82.85</v>
      </c>
      <c r="C40" s="156">
        <f t="shared" si="4"/>
        <v>0.1734221981541415</v>
      </c>
      <c r="D40" s="105">
        <f t="shared" si="5"/>
        <v>0.8265778018458585</v>
      </c>
      <c r="E40" s="95"/>
      <c r="F40" s="132">
        <f t="shared" si="6"/>
        <v>723567.05685993482</v>
      </c>
      <c r="G40" s="133">
        <v>3.4316218935600102</v>
      </c>
      <c r="H40" s="134" t="s">
        <v>16</v>
      </c>
      <c r="I40" s="95"/>
      <c r="J40" s="113"/>
      <c r="K40" s="95"/>
    </row>
    <row r="41" spans="1:11" x14ac:dyDescent="0.25">
      <c r="A41" s="103" t="str">
        <f>'[1]B. CurrentTariff'!$A$16</f>
        <v>Sentinel Ligthing</v>
      </c>
      <c r="B41" s="131">
        <v>2.867</v>
      </c>
      <c r="C41" s="156">
        <f t="shared" si="4"/>
        <v>0.51311855785777361</v>
      </c>
      <c r="D41" s="105">
        <f t="shared" si="5"/>
        <v>0.48688144214222639</v>
      </c>
      <c r="E41" s="95"/>
      <c r="F41" s="132">
        <f t="shared" si="6"/>
        <v>6365.9509976982808</v>
      </c>
      <c r="G41" s="133">
        <v>8.9936625841570255</v>
      </c>
      <c r="H41" s="134" t="s">
        <v>16</v>
      </c>
      <c r="I41" s="95"/>
      <c r="J41" s="113"/>
      <c r="K41" s="95"/>
    </row>
    <row r="42" spans="1:11" x14ac:dyDescent="0.25">
      <c r="A42" s="103" t="str">
        <f>'[1]B. CurrentTariff'!$A$17</f>
        <v>Streetlights</v>
      </c>
      <c r="B42" s="131">
        <v>2.3313999999999999</v>
      </c>
      <c r="C42" s="156">
        <f t="shared" si="4"/>
        <v>0.61903408692379314</v>
      </c>
      <c r="D42" s="105">
        <f t="shared" si="5"/>
        <v>0.38096591307620686</v>
      </c>
      <c r="E42" s="95"/>
      <c r="F42" s="132">
        <f t="shared" si="6"/>
        <v>49052.660764689514</v>
      </c>
      <c r="G42" s="133">
        <v>12.608080887988054</v>
      </c>
      <c r="H42" s="134" t="s">
        <v>16</v>
      </c>
      <c r="I42" s="95"/>
      <c r="J42" s="113"/>
      <c r="K42" s="95"/>
    </row>
    <row r="43" spans="1:11" x14ac:dyDescent="0.25">
      <c r="A43" s="103" t="str">
        <f>'[1]B. CurrentTariff'!$A$18</f>
        <v>Unmetered Scattered Load</v>
      </c>
      <c r="B43" s="131">
        <v>10.131</v>
      </c>
      <c r="C43" s="156">
        <f t="shared" si="4"/>
        <v>0.6038845275657897</v>
      </c>
      <c r="D43" s="105">
        <f t="shared" si="5"/>
        <v>0.3961154724342103</v>
      </c>
      <c r="E43" s="95"/>
      <c r="F43" s="132">
        <f t="shared" si="6"/>
        <v>1594.6040501636412</v>
      </c>
      <c r="G43" s="133">
        <v>3.3157374489311345E-3</v>
      </c>
      <c r="H43" s="134" t="s">
        <v>15</v>
      </c>
      <c r="I43" s="95"/>
      <c r="J43" s="113"/>
      <c r="K43" s="95"/>
    </row>
    <row r="44" spans="1:11" x14ac:dyDescent="0.25">
      <c r="A44" s="103" t="str">
        <f>'[1]B. CurrentTariff'!$A$19</f>
        <v>other classes</v>
      </c>
      <c r="B44" s="131"/>
      <c r="C44" s="105"/>
      <c r="D44" s="105"/>
      <c r="E44" s="95"/>
      <c r="F44" s="132"/>
      <c r="G44" s="133"/>
      <c r="H44" s="134"/>
      <c r="I44" s="95"/>
      <c r="J44" s="113"/>
      <c r="K44" s="95"/>
    </row>
    <row r="45" spans="1:11" x14ac:dyDescent="0.25">
      <c r="A45" s="103" t="str">
        <f>'[1]B. CurrentTariff'!$A$20</f>
        <v>other classes</v>
      </c>
      <c r="B45" s="131"/>
      <c r="C45" s="105"/>
      <c r="D45" s="105"/>
      <c r="E45" s="95"/>
      <c r="F45" s="132"/>
      <c r="G45" s="133"/>
      <c r="H45" s="134"/>
      <c r="I45" s="95"/>
      <c r="J45" s="113"/>
      <c r="K45" s="95"/>
    </row>
    <row r="46" spans="1:11" x14ac:dyDescent="0.25">
      <c r="A46" s="103" t="str">
        <f>'[1]B. CurrentTariff'!$A$21</f>
        <v>other classes</v>
      </c>
      <c r="B46" s="131"/>
      <c r="C46" s="105"/>
      <c r="D46" s="105"/>
      <c r="E46" s="95"/>
      <c r="F46" s="132"/>
      <c r="G46" s="133"/>
      <c r="H46" s="134"/>
      <c r="I46" s="95"/>
      <c r="J46" s="113"/>
      <c r="K46" s="95"/>
    </row>
    <row r="47" spans="1:11" x14ac:dyDescent="0.25">
      <c r="A47" s="103" t="s">
        <v>54</v>
      </c>
      <c r="B47" s="136"/>
      <c r="C47" s="105"/>
      <c r="D47" s="105"/>
      <c r="E47" s="95"/>
      <c r="F47" s="137"/>
      <c r="G47" s="137" t="s">
        <v>6</v>
      </c>
      <c r="H47" s="137" t="s">
        <v>6</v>
      </c>
      <c r="I47" s="95"/>
      <c r="J47" s="113"/>
      <c r="K47" s="95"/>
    </row>
    <row r="48" spans="1:11" x14ac:dyDescent="0.25">
      <c r="A48" s="123"/>
      <c r="B48" s="95"/>
      <c r="C48" s="95"/>
      <c r="D48" s="95"/>
      <c r="E48" s="95"/>
      <c r="F48" s="95"/>
      <c r="G48" s="95"/>
      <c r="H48" s="95"/>
      <c r="I48" s="124"/>
      <c r="J48" s="113"/>
      <c r="K48" s="124"/>
    </row>
    <row r="49" spans="1:11" x14ac:dyDescent="0.25">
      <c r="A49" s="123"/>
      <c r="B49" s="124"/>
      <c r="C49" s="124"/>
      <c r="D49" s="124"/>
      <c r="E49" s="124"/>
      <c r="F49" s="124"/>
      <c r="G49" s="139"/>
      <c r="H49" s="124"/>
      <c r="I49" s="124"/>
      <c r="J49" s="113"/>
      <c r="K49" s="124"/>
    </row>
    <row r="50" spans="1:11" x14ac:dyDescent="0.25">
      <c r="A50" s="140"/>
      <c r="B50" s="124"/>
      <c r="C50" s="124"/>
      <c r="D50" s="124"/>
      <c r="E50" s="124"/>
      <c r="F50" s="124"/>
      <c r="G50" s="124"/>
      <c r="H50" s="124"/>
      <c r="I50" s="124"/>
      <c r="J50" s="138"/>
      <c r="K50" s="124"/>
    </row>
    <row r="51" spans="1:11" x14ac:dyDescent="0.25">
      <c r="A51" s="141"/>
      <c r="B51" s="142"/>
      <c r="C51" s="143" t="s">
        <v>64</v>
      </c>
      <c r="D51" s="144">
        <v>-0.60000000000000009</v>
      </c>
      <c r="E51" s="145"/>
      <c r="F51" s="129"/>
      <c r="G51" s="129" t="s">
        <v>65</v>
      </c>
      <c r="H51" s="130"/>
      <c r="I51" s="95"/>
      <c r="J51" s="113"/>
      <c r="K51" s="95"/>
    </row>
    <row r="52" spans="1:11" x14ac:dyDescent="0.25">
      <c r="A52" s="146" t="s">
        <v>50</v>
      </c>
      <c r="B52" s="128" t="s">
        <v>16</v>
      </c>
      <c r="C52" s="129" t="s">
        <v>51</v>
      </c>
      <c r="D52" s="129" t="s">
        <v>66</v>
      </c>
      <c r="E52" s="147"/>
      <c r="F52" s="127" t="s">
        <v>67</v>
      </c>
      <c r="G52" s="127" t="s">
        <v>68</v>
      </c>
      <c r="H52" s="127" t="s">
        <v>69</v>
      </c>
      <c r="I52" s="95"/>
      <c r="J52" s="113"/>
      <c r="K52" s="95"/>
    </row>
    <row r="53" spans="1:11" x14ac:dyDescent="0.25">
      <c r="A53" s="103" t="str">
        <f>'[1]B. CurrentTariff'!$A$13</f>
        <v>Residential</v>
      </c>
      <c r="B53" s="132">
        <f>'[1]C. Revenues at Curr Rates'!G8</f>
        <v>0</v>
      </c>
      <c r="C53" s="104">
        <f>IF(B53=0,0,-D$59)</f>
        <v>0</v>
      </c>
      <c r="D53" s="132">
        <f t="shared" ref="D53:D58" si="7">B53*C53</f>
        <v>0</v>
      </c>
      <c r="E53" s="148"/>
      <c r="F53" s="132">
        <v>2585518.0516548278</v>
      </c>
      <c r="G53" s="149">
        <v>1592055.12</v>
      </c>
      <c r="H53" s="132">
        <f t="shared" ref="H53:H58" si="8">F53-G53</f>
        <v>993462.93165482767</v>
      </c>
      <c r="I53" s="95"/>
      <c r="J53" s="113"/>
      <c r="K53" s="95"/>
    </row>
    <row r="54" spans="1:11" x14ac:dyDescent="0.25">
      <c r="A54" s="103" t="str">
        <f>'[1]B. CurrentTariff'!$A$14</f>
        <v>General Service &lt; 50 kW</v>
      </c>
      <c r="B54" s="132">
        <f>'[1]C. Revenues at Curr Rates'!G9</f>
        <v>0</v>
      </c>
      <c r="C54" s="104">
        <f>IF(B54=0,0,-D$59)</f>
        <v>0</v>
      </c>
      <c r="D54" s="132">
        <f t="shared" si="7"/>
        <v>0</v>
      </c>
      <c r="E54" s="148"/>
      <c r="F54" s="132">
        <v>767633.94755703199</v>
      </c>
      <c r="G54" s="149">
        <v>338415</v>
      </c>
      <c r="H54" s="132">
        <f t="shared" si="8"/>
        <v>429218.94755703199</v>
      </c>
      <c r="I54" s="95"/>
      <c r="J54" s="113"/>
      <c r="K54" s="95"/>
    </row>
    <row r="55" spans="1:11" x14ac:dyDescent="0.25">
      <c r="A55" s="103" t="str">
        <f>'[1]B. CurrentTariff'!$A$15</f>
        <v>General Service &gt; 50 to 4999 kW</v>
      </c>
      <c r="B55" s="132">
        <v>37083</v>
      </c>
      <c r="C55" s="104">
        <v>0.60000000000000009</v>
      </c>
      <c r="D55" s="132">
        <f t="shared" si="7"/>
        <v>22249.800000000003</v>
      </c>
      <c r="E55" s="112"/>
      <c r="F55" s="132">
        <v>848458.85685993475</v>
      </c>
      <c r="G55" s="149">
        <v>147141.59999999998</v>
      </c>
      <c r="H55" s="132">
        <f t="shared" si="8"/>
        <v>701317.25685993477</v>
      </c>
      <c r="I55" s="95"/>
      <c r="J55" s="113"/>
      <c r="K55" s="95"/>
    </row>
    <row r="56" spans="1:11" x14ac:dyDescent="0.25">
      <c r="A56" s="103" t="str">
        <f>'[1]B. CurrentTariff'!$A$16</f>
        <v>Sentinel Ligthing</v>
      </c>
      <c r="B56" s="132">
        <f>'[1]C. Revenues at Curr Rates'!G11</f>
        <v>0</v>
      </c>
      <c r="C56" s="104">
        <f>IF(B56=0,0,-D$59)</f>
        <v>0</v>
      </c>
      <c r="D56" s="132">
        <f t="shared" si="7"/>
        <v>0</v>
      </c>
      <c r="E56" s="112"/>
      <c r="F56" s="132">
        <v>13074.950997698281</v>
      </c>
      <c r="G56" s="149">
        <v>6709</v>
      </c>
      <c r="H56" s="132">
        <f t="shared" si="8"/>
        <v>6365.9509976982808</v>
      </c>
      <c r="I56" s="95"/>
      <c r="J56" s="113"/>
      <c r="K56" s="95"/>
    </row>
    <row r="57" spans="1:11" x14ac:dyDescent="0.25">
      <c r="A57" s="103" t="str">
        <f>'[1]B. CurrentTariff'!$A$17</f>
        <v>Streetlights</v>
      </c>
      <c r="B57" s="132">
        <f>'[1]C. Revenues at Curr Rates'!G12</f>
        <v>0</v>
      </c>
      <c r="C57" s="104">
        <f>IF(B57=0,0,-D$59)</f>
        <v>0</v>
      </c>
      <c r="D57" s="132">
        <f t="shared" si="7"/>
        <v>0</v>
      </c>
      <c r="E57" s="148"/>
      <c r="F57" s="132">
        <v>128758.66076468951</v>
      </c>
      <c r="G57" s="149">
        <v>79706</v>
      </c>
      <c r="H57" s="132">
        <f t="shared" si="8"/>
        <v>49052.660764689514</v>
      </c>
      <c r="I57" s="95"/>
      <c r="J57" s="113"/>
      <c r="K57" s="95"/>
    </row>
    <row r="58" spans="1:11" x14ac:dyDescent="0.25">
      <c r="A58" s="103" t="str">
        <f>'[1]B. CurrentTariff'!$A$18</f>
        <v>Unmetered Scattered Load</v>
      </c>
      <c r="B58" s="132">
        <f>'[1]C. Revenues at Curr Rates'!G13</f>
        <v>0</v>
      </c>
      <c r="C58" s="104">
        <f>IF(B58=0,0,-D$59)</f>
        <v>0</v>
      </c>
      <c r="D58" s="132">
        <f t="shared" si="7"/>
        <v>0</v>
      </c>
      <c r="E58" s="148"/>
      <c r="F58" s="132">
        <v>4025.6040501636412</v>
      </c>
      <c r="G58" s="149">
        <v>2431</v>
      </c>
      <c r="H58" s="132">
        <f t="shared" si="8"/>
        <v>1594.6040501636412</v>
      </c>
      <c r="I58" s="95"/>
      <c r="J58" s="113"/>
      <c r="K58" s="95"/>
    </row>
    <row r="59" spans="1:11" x14ac:dyDescent="0.25">
      <c r="A59" s="103" t="str">
        <f>'[1]B. CurrentTariff'!$A$19</f>
        <v>other classes</v>
      </c>
      <c r="B59" s="132"/>
      <c r="C59" s="104"/>
      <c r="D59" s="132"/>
      <c r="E59" s="148"/>
      <c r="F59" s="132"/>
      <c r="G59" s="149"/>
      <c r="H59" s="132"/>
      <c r="I59" s="95"/>
      <c r="J59" s="113"/>
      <c r="K59" s="95"/>
    </row>
    <row r="60" spans="1:11" x14ac:dyDescent="0.25">
      <c r="A60" s="103" t="str">
        <f>'[1]B. CurrentTariff'!$A$20</f>
        <v>other classes</v>
      </c>
      <c r="B60" s="132"/>
      <c r="C60" s="104"/>
      <c r="D60" s="132"/>
      <c r="E60" s="148"/>
      <c r="F60" s="132"/>
      <c r="G60" s="149"/>
      <c r="H60" s="132"/>
      <c r="I60" s="95"/>
      <c r="J60" s="113"/>
      <c r="K60" s="95"/>
    </row>
    <row r="61" spans="1:11" x14ac:dyDescent="0.25">
      <c r="A61" s="103" t="str">
        <f>'[1]B. CurrentTariff'!$A$21</f>
        <v>other classes</v>
      </c>
      <c r="B61" s="132"/>
      <c r="C61" s="104"/>
      <c r="D61" s="132"/>
      <c r="E61" s="148"/>
      <c r="F61" s="132"/>
      <c r="G61" s="149"/>
      <c r="H61" s="132"/>
      <c r="I61" s="95"/>
      <c r="J61" s="113"/>
      <c r="K61" s="95"/>
    </row>
    <row r="62" spans="1:11" x14ac:dyDescent="0.25">
      <c r="A62" s="103" t="s">
        <v>54</v>
      </c>
      <c r="B62" s="150">
        <f>SUM(B53:B61)</f>
        <v>37083</v>
      </c>
      <c r="C62" s="107"/>
      <c r="D62" s="150">
        <f>SUM(D53:D61)</f>
        <v>22249.800000000003</v>
      </c>
      <c r="E62" s="148"/>
      <c r="F62" s="151">
        <f>SUM(F53:F61)</f>
        <v>4347470.0718843453</v>
      </c>
      <c r="G62" s="152">
        <f>SUM(G53:G61)</f>
        <v>2166457.7200000002</v>
      </c>
      <c r="H62" s="137">
        <f>SUM(H53:H61)</f>
        <v>2181012.351884346</v>
      </c>
      <c r="I62" s="95"/>
      <c r="J62" s="113"/>
      <c r="K62" s="95"/>
    </row>
    <row r="63" spans="1:11" x14ac:dyDescent="0.25">
      <c r="A63" s="123"/>
      <c r="B63" s="124"/>
      <c r="C63" s="124"/>
      <c r="D63" s="153" t="s">
        <v>70</v>
      </c>
      <c r="E63" s="124"/>
      <c r="F63" s="154">
        <f>'[1]E. Revenue Requirement'!C18</f>
        <v>0</v>
      </c>
      <c r="G63" s="123"/>
      <c r="H63" s="123"/>
      <c r="I63" s="124"/>
      <c r="J63" s="138"/>
      <c r="K63" s="124"/>
    </row>
    <row r="64" spans="1:11" x14ac:dyDescent="0.25">
      <c r="A64" s="95" t="s">
        <v>71</v>
      </c>
      <c r="B64" s="155"/>
      <c r="C64" s="119"/>
      <c r="D64" s="119"/>
      <c r="E64" s="95"/>
      <c r="F64" s="95"/>
      <c r="G64" s="95"/>
      <c r="H64" s="95"/>
      <c r="I64" s="95"/>
      <c r="J64" s="113"/>
      <c r="K64" s="95"/>
    </row>
    <row r="65" spans="1:11" x14ac:dyDescent="0.25">
      <c r="A65" s="95" t="s">
        <v>72</v>
      </c>
      <c r="B65" s="155"/>
      <c r="C65" s="119"/>
      <c r="D65" s="119"/>
      <c r="E65" s="95"/>
      <c r="F65" s="95"/>
      <c r="G65" s="95"/>
      <c r="H65" s="95"/>
      <c r="I65" s="95"/>
      <c r="J65" s="113"/>
      <c r="K65" s="95"/>
    </row>
    <row r="66" spans="1:11" x14ac:dyDescent="0.25">
      <c r="A66" s="95" t="s">
        <v>73</v>
      </c>
      <c r="B66" s="155"/>
      <c r="C66" s="119"/>
      <c r="D66" s="119"/>
      <c r="E66" s="95"/>
      <c r="F66" s="95"/>
      <c r="G66" s="95"/>
      <c r="H66" s="95"/>
      <c r="I66" s="95"/>
      <c r="J66" s="113"/>
      <c r="K66" s="95"/>
    </row>
    <row r="67" spans="1:11" x14ac:dyDescent="0.25">
      <c r="A67" s="95" t="s">
        <v>74</v>
      </c>
      <c r="B67" s="95"/>
      <c r="C67" s="95"/>
      <c r="D67" s="95"/>
      <c r="E67" s="95"/>
      <c r="F67" s="95"/>
      <c r="G67" s="95"/>
      <c r="H67" s="95"/>
      <c r="I67" s="95"/>
      <c r="J67" s="113"/>
      <c r="K67" s="95"/>
    </row>
    <row r="68" spans="1:11" x14ac:dyDescent="0.25">
      <c r="A68" s="95" t="s">
        <v>75</v>
      </c>
      <c r="B68" s="95"/>
      <c r="C68" s="95"/>
      <c r="D68" s="95"/>
      <c r="E68" s="95"/>
      <c r="F68" s="95"/>
      <c r="G68" s="95"/>
      <c r="H68" s="95"/>
      <c r="I68" s="95"/>
      <c r="J68" s="113"/>
      <c r="K68" s="95"/>
    </row>
    <row r="69" spans="1:11" x14ac:dyDescent="0.25">
      <c r="A69" s="95" t="s">
        <v>76</v>
      </c>
      <c r="B69" s="95"/>
      <c r="C69" s="95"/>
      <c r="D69" s="95"/>
      <c r="E69" s="95"/>
      <c r="F69" s="95"/>
      <c r="G69" s="95"/>
      <c r="H69" s="95"/>
      <c r="I69" s="95"/>
      <c r="J69" s="113"/>
      <c r="K69" s="95"/>
    </row>
    <row r="70" spans="1:11" x14ac:dyDescent="0.25">
      <c r="A70" s="95" t="s">
        <v>77</v>
      </c>
      <c r="B70" s="95"/>
      <c r="C70" s="95"/>
      <c r="D70" s="95"/>
      <c r="E70" s="95"/>
      <c r="F70" s="95"/>
      <c r="G70" s="95"/>
      <c r="H70" s="95"/>
      <c r="I70" s="95"/>
      <c r="J70" s="113"/>
      <c r="K70" s="95"/>
    </row>
    <row r="71" spans="1:11" x14ac:dyDescent="0.25">
      <c r="A71" s="95" t="s">
        <v>78</v>
      </c>
      <c r="B71" s="95"/>
      <c r="C71" s="95"/>
      <c r="D71" s="95"/>
      <c r="E71" s="95"/>
      <c r="F71" s="95"/>
      <c r="G71" s="95"/>
      <c r="H71" s="95"/>
      <c r="I71" s="95"/>
      <c r="J71" s="113"/>
      <c r="K71" s="95"/>
    </row>
  </sheetData>
  <mergeCells count="3">
    <mergeCell ref="A2:H2"/>
    <mergeCell ref="B5:D5"/>
    <mergeCell ref="F36:H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Foregone Revenue</vt:lpstr>
      <vt:lpstr>App 2-V Rev_Reconciliation</vt:lpstr>
      <vt:lpstr>Rate Design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Donnelly</dc:creator>
  <cp:lastModifiedBy>Jane Donnelly</cp:lastModifiedBy>
  <dcterms:created xsi:type="dcterms:W3CDTF">2016-06-20T14:07:21Z</dcterms:created>
  <dcterms:modified xsi:type="dcterms:W3CDTF">2016-06-20T15:32:57Z</dcterms:modified>
</cp:coreProperties>
</file>