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4.Final Rates\"/>
    </mc:Choice>
  </mc:AlternateContent>
  <bookViews>
    <workbookView xWindow="0" yWindow="0" windowWidth="38400" windowHeight="17835"/>
  </bookViews>
  <sheets>
    <sheet name="Bill Impact - Res 10% 206kWh" sheetId="1" r:id="rId1"/>
    <sheet name="Bill Impact - Res 750kWh" sheetId="8" r:id="rId2"/>
    <sheet name="Bill Impact - GS&lt;50" sheetId="3" r:id="rId3"/>
    <sheet name="Bill Impact - GS&gt;50" sheetId="4" r:id="rId4"/>
    <sheet name="Bill Impact - Sentinel" sheetId="5" r:id="rId5"/>
    <sheet name="Bill Impact - StreetLight" sheetId="6" r:id="rId6"/>
    <sheet name="Bill Impact - USL" sheetId="7" r:id="rId7"/>
  </sheets>
  <externalReferences>
    <externalReference r:id="rId8"/>
  </externalReferences>
  <definedNames>
    <definedName name="_xlnm.Print_Area" localSheetId="2">'Bill Impact - GS&lt;50'!$A$1:$P$66</definedName>
    <definedName name="_xlnm.Print_Area" localSheetId="3">'Bill Impact - GS&gt;50'!$A$1:$P$63</definedName>
    <definedName name="_xlnm.Print_Area" localSheetId="0">'Bill Impact - Res 10% 206kWh'!$A$1:$P$65</definedName>
    <definedName name="_xlnm.Print_Area" localSheetId="1">'Bill Impact - Res 750kWh'!$A$1:$P$65</definedName>
    <definedName name="_xlnm.Print_Area" localSheetId="4">'Bill Impact - Sentinel'!$A$1:$P$63</definedName>
    <definedName name="_xlnm.Print_Area" localSheetId="5">'Bill Impact - StreetLight'!$A$1:$P$63</definedName>
    <definedName name="_xlnm.Print_Area" localSheetId="6">'Bill Impact - USL'!$A$1:$Q$64</definedName>
    <definedName name="RebaseYear">'[1]LDC Info'!$E$28</definedName>
    <definedName name="TestYear">'[1]LDC Info'!$E$24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7" l="1"/>
  <c r="H28" i="7"/>
  <c r="H29" i="7"/>
  <c r="H30" i="7"/>
  <c r="H31" i="7"/>
  <c r="H28" i="6"/>
  <c r="H29" i="6"/>
  <c r="H28" i="5"/>
  <c r="H29" i="5"/>
  <c r="H30" i="5"/>
  <c r="L25" i="4"/>
  <c r="G49" i="8"/>
  <c r="H49" i="8" s="1"/>
  <c r="G48" i="8"/>
  <c r="K48" i="8" s="1"/>
  <c r="L48" i="8" s="1"/>
  <c r="K47" i="8"/>
  <c r="L47" i="8" s="1"/>
  <c r="G47" i="8"/>
  <c r="H47" i="8" s="1"/>
  <c r="G46" i="8"/>
  <c r="K46" i="8" s="1"/>
  <c r="L46" i="8" s="1"/>
  <c r="G45" i="8"/>
  <c r="H45" i="8" s="1"/>
  <c r="K44" i="8"/>
  <c r="L44" i="8" s="1"/>
  <c r="G44" i="8"/>
  <c r="H44" i="8" s="1"/>
  <c r="L43" i="8"/>
  <c r="H43" i="8"/>
  <c r="K38" i="8"/>
  <c r="L38" i="8" s="1"/>
  <c r="G38" i="8"/>
  <c r="G39" i="8" s="1"/>
  <c r="L36" i="8"/>
  <c r="N36" i="8" s="1"/>
  <c r="H36" i="8"/>
  <c r="K35" i="8"/>
  <c r="J35" i="8"/>
  <c r="G35" i="8"/>
  <c r="H35" i="8" s="1"/>
  <c r="F35" i="8"/>
  <c r="L34" i="8"/>
  <c r="K34" i="8"/>
  <c r="H34" i="8"/>
  <c r="G34" i="8"/>
  <c r="L33" i="8"/>
  <c r="K33" i="8"/>
  <c r="H33" i="8"/>
  <c r="O33" i="8" s="1"/>
  <c r="G33" i="8"/>
  <c r="L32" i="8"/>
  <c r="K32" i="8"/>
  <c r="H32" i="8"/>
  <c r="O32" i="8" s="1"/>
  <c r="G32" i="8"/>
  <c r="O31" i="8"/>
  <c r="L31" i="8"/>
  <c r="N31" i="8" s="1"/>
  <c r="G31" i="8"/>
  <c r="O30" i="8"/>
  <c r="L30" i="8"/>
  <c r="N30" i="8" s="1"/>
  <c r="K30" i="8"/>
  <c r="G30" i="8"/>
  <c r="K29" i="8"/>
  <c r="L29" i="8" s="1"/>
  <c r="G29" i="8"/>
  <c r="H29" i="8" s="1"/>
  <c r="O29" i="8" s="1"/>
  <c r="K28" i="8"/>
  <c r="L28" i="8" s="1"/>
  <c r="G28" i="8"/>
  <c r="H28" i="8" s="1"/>
  <c r="O28" i="8" s="1"/>
  <c r="K26" i="8"/>
  <c r="L26" i="8" s="1"/>
  <c r="G26" i="8"/>
  <c r="H26" i="8" s="1"/>
  <c r="L25" i="8"/>
  <c r="H25" i="8"/>
  <c r="O25" i="8" s="1"/>
  <c r="L24" i="8"/>
  <c r="H24" i="8"/>
  <c r="O24" i="8" s="1"/>
  <c r="L23" i="8"/>
  <c r="H23" i="8"/>
  <c r="H32" i="1"/>
  <c r="H33" i="1"/>
  <c r="L35" i="8" l="1"/>
  <c r="N35" i="8" s="1"/>
  <c r="O35" i="8" s="1"/>
  <c r="K45" i="8"/>
  <c r="L45" i="8" s="1"/>
  <c r="N45" i="8" s="1"/>
  <c r="O45" i="8" s="1"/>
  <c r="N32" i="8"/>
  <c r="N33" i="8"/>
  <c r="N34" i="8"/>
  <c r="O34" i="8" s="1"/>
  <c r="K39" i="8"/>
  <c r="K41" i="8" s="1"/>
  <c r="L41" i="8" s="1"/>
  <c r="K49" i="8"/>
  <c r="L49" i="8" s="1"/>
  <c r="N49" i="8" s="1"/>
  <c r="O49" i="8" s="1"/>
  <c r="N29" i="8"/>
  <c r="N47" i="8"/>
  <c r="O47" i="8" s="1"/>
  <c r="L27" i="8"/>
  <c r="N28" i="8"/>
  <c r="H39" i="8"/>
  <c r="G42" i="8"/>
  <c r="H42" i="8" s="1"/>
  <c r="G41" i="8"/>
  <c r="H41" i="8" s="1"/>
  <c r="N41" i="8" s="1"/>
  <c r="N26" i="8"/>
  <c r="O26" i="8" s="1"/>
  <c r="N44" i="8"/>
  <c r="O44" i="8" s="1"/>
  <c r="K42" i="8"/>
  <c r="L42" i="8" s="1"/>
  <c r="H38" i="8"/>
  <c r="L39" i="8"/>
  <c r="H46" i="8"/>
  <c r="H48" i="8"/>
  <c r="H27" i="8"/>
  <c r="N43" i="8"/>
  <c r="O43" i="8" s="1"/>
  <c r="N23" i="8"/>
  <c r="O23" i="8" s="1"/>
  <c r="N24" i="8"/>
  <c r="N25" i="8"/>
  <c r="G48" i="1"/>
  <c r="G45" i="1"/>
  <c r="G46" i="1"/>
  <c r="G47" i="1"/>
  <c r="N42" i="8" l="1"/>
  <c r="O42" i="8" s="1"/>
  <c r="O39" i="8"/>
  <c r="N39" i="8"/>
  <c r="H37" i="8"/>
  <c r="O38" i="8"/>
  <c r="N38" i="8"/>
  <c r="O41" i="8"/>
  <c r="N48" i="8"/>
  <c r="O48" i="8" s="1"/>
  <c r="N27" i="8"/>
  <c r="O27" i="8" s="1"/>
  <c r="L37" i="8"/>
  <c r="N46" i="8"/>
  <c r="O46" i="8" s="1"/>
  <c r="G47" i="7"/>
  <c r="H47" i="7" s="1"/>
  <c r="G46" i="7"/>
  <c r="H46" i="7" s="1"/>
  <c r="G45" i="7"/>
  <c r="H45" i="7" s="1"/>
  <c r="G44" i="7"/>
  <c r="H44" i="7" s="1"/>
  <c r="G43" i="7"/>
  <c r="H43" i="7" s="1"/>
  <c r="K42" i="7"/>
  <c r="L42" i="7" s="1"/>
  <c r="G42" i="7"/>
  <c r="H42" i="7" s="1"/>
  <c r="L41" i="7"/>
  <c r="N41" i="7" s="1"/>
  <c r="H41" i="7"/>
  <c r="K36" i="7"/>
  <c r="K37" i="7" s="1"/>
  <c r="K39" i="7" s="1"/>
  <c r="L39" i="7" s="1"/>
  <c r="L36" i="7"/>
  <c r="G36" i="7"/>
  <c r="H36" i="7" s="1"/>
  <c r="L34" i="7"/>
  <c r="H34" i="7"/>
  <c r="K33" i="7"/>
  <c r="J33" i="7"/>
  <c r="G33" i="7"/>
  <c r="F33" i="7"/>
  <c r="K32" i="7"/>
  <c r="L32" i="7" s="1"/>
  <c r="G32" i="7"/>
  <c r="H32" i="7" s="1"/>
  <c r="K31" i="7"/>
  <c r="L31" i="7" s="1"/>
  <c r="G31" i="7"/>
  <c r="O31" i="7" s="1"/>
  <c r="K30" i="7"/>
  <c r="L30" i="7" s="1"/>
  <c r="G30" i="7"/>
  <c r="O30" i="7" s="1"/>
  <c r="O29" i="7"/>
  <c r="K29" i="7"/>
  <c r="L29" i="7" s="1"/>
  <c r="N29" i="7" s="1"/>
  <c r="G29" i="7"/>
  <c r="O28" i="7"/>
  <c r="K28" i="7"/>
  <c r="L28" i="7" s="1"/>
  <c r="N28" i="7" s="1"/>
  <c r="G28" i="7"/>
  <c r="K27" i="7"/>
  <c r="L27" i="7" s="1"/>
  <c r="G27" i="7"/>
  <c r="O27" i="7" s="1"/>
  <c r="L26" i="7"/>
  <c r="K26" i="7"/>
  <c r="G26" i="7"/>
  <c r="H26" i="7" s="1"/>
  <c r="O26" i="7" s="1"/>
  <c r="K24" i="7"/>
  <c r="G24" i="7"/>
  <c r="H24" i="7" s="1"/>
  <c r="L23" i="7"/>
  <c r="H23" i="7"/>
  <c r="K47" i="6"/>
  <c r="L47" i="6" s="1"/>
  <c r="N47" i="6" s="1"/>
  <c r="G47" i="6"/>
  <c r="H47" i="6" s="1"/>
  <c r="O47" i="6" s="1"/>
  <c r="G46" i="6"/>
  <c r="K46" i="6" s="1"/>
  <c r="L46" i="6" s="1"/>
  <c r="G45" i="6"/>
  <c r="H45" i="6" s="1"/>
  <c r="G44" i="6"/>
  <c r="K44" i="6" s="1"/>
  <c r="L44" i="6" s="1"/>
  <c r="K43" i="6"/>
  <c r="L43" i="6" s="1"/>
  <c r="G43" i="6"/>
  <c r="H43" i="6" s="1"/>
  <c r="K42" i="6"/>
  <c r="L42" i="6" s="1"/>
  <c r="G42" i="6"/>
  <c r="H42" i="6" s="1"/>
  <c r="L41" i="6"/>
  <c r="N41" i="6" s="1"/>
  <c r="H41" i="6"/>
  <c r="K36" i="6"/>
  <c r="K37" i="6" s="1"/>
  <c r="G36" i="6"/>
  <c r="H36" i="6" s="1"/>
  <c r="L34" i="6"/>
  <c r="H34" i="6"/>
  <c r="K33" i="6"/>
  <c r="J33" i="6"/>
  <c r="G33" i="6"/>
  <c r="H33" i="6" s="1"/>
  <c r="F33" i="6"/>
  <c r="K32" i="6"/>
  <c r="L32" i="6" s="1"/>
  <c r="G32" i="6"/>
  <c r="H32" i="6" s="1"/>
  <c r="K31" i="6"/>
  <c r="L31" i="6" s="1"/>
  <c r="G31" i="6"/>
  <c r="H31" i="6" s="1"/>
  <c r="O31" i="6" s="1"/>
  <c r="K30" i="6"/>
  <c r="L30" i="6" s="1"/>
  <c r="G30" i="6"/>
  <c r="H30" i="6" s="1"/>
  <c r="O30" i="6" s="1"/>
  <c r="O29" i="6"/>
  <c r="K29" i="6"/>
  <c r="L29" i="6" s="1"/>
  <c r="N29" i="6" s="1"/>
  <c r="G29" i="6"/>
  <c r="O28" i="6"/>
  <c r="K28" i="6"/>
  <c r="L28" i="6" s="1"/>
  <c r="N28" i="6" s="1"/>
  <c r="G28" i="6"/>
  <c r="K27" i="6"/>
  <c r="L27" i="6" s="1"/>
  <c r="G27" i="6"/>
  <c r="H27" i="6" s="1"/>
  <c r="K26" i="6"/>
  <c r="L26" i="6" s="1"/>
  <c r="G26" i="6"/>
  <c r="H26" i="6" s="1"/>
  <c r="K24" i="6"/>
  <c r="G24" i="6"/>
  <c r="H24" i="6" s="1"/>
  <c r="L23" i="6"/>
  <c r="H23" i="6"/>
  <c r="G47" i="5"/>
  <c r="K47" i="5" s="1"/>
  <c r="L47" i="5" s="1"/>
  <c r="G46" i="5"/>
  <c r="H46" i="5" s="1"/>
  <c r="G45" i="5"/>
  <c r="K45" i="5" s="1"/>
  <c r="L45" i="5" s="1"/>
  <c r="K44" i="5"/>
  <c r="L44" i="5" s="1"/>
  <c r="G44" i="5"/>
  <c r="H44" i="5" s="1"/>
  <c r="G43" i="5"/>
  <c r="K43" i="5" s="1"/>
  <c r="L43" i="5" s="1"/>
  <c r="K42" i="5"/>
  <c r="L42" i="5" s="1"/>
  <c r="G42" i="5"/>
  <c r="H42" i="5" s="1"/>
  <c r="L41" i="5"/>
  <c r="H41" i="5"/>
  <c r="L39" i="5"/>
  <c r="H39" i="5"/>
  <c r="G37" i="5"/>
  <c r="H37" i="5" s="1"/>
  <c r="K36" i="5"/>
  <c r="L36" i="5" s="1"/>
  <c r="G36" i="5"/>
  <c r="H36" i="5" s="1"/>
  <c r="L34" i="5"/>
  <c r="H34" i="5"/>
  <c r="L33" i="5"/>
  <c r="K33" i="5"/>
  <c r="J33" i="5"/>
  <c r="G33" i="5"/>
  <c r="F33" i="5"/>
  <c r="K32" i="5"/>
  <c r="L32" i="5" s="1"/>
  <c r="G32" i="5"/>
  <c r="H32" i="5" s="1"/>
  <c r="K31" i="5"/>
  <c r="L31" i="5" s="1"/>
  <c r="N31" i="5" s="1"/>
  <c r="G31" i="5"/>
  <c r="H31" i="5" s="1"/>
  <c r="O31" i="5" s="1"/>
  <c r="K30" i="5"/>
  <c r="L30" i="5" s="1"/>
  <c r="G30" i="5"/>
  <c r="O30" i="5" s="1"/>
  <c r="K29" i="5"/>
  <c r="L29" i="5" s="1"/>
  <c r="N29" i="5" s="1"/>
  <c r="G29" i="5"/>
  <c r="K28" i="5"/>
  <c r="L28" i="5" s="1"/>
  <c r="N28" i="5" s="1"/>
  <c r="G28" i="5"/>
  <c r="K27" i="5"/>
  <c r="L27" i="5" s="1"/>
  <c r="N27" i="5" s="1"/>
  <c r="G27" i="5"/>
  <c r="H27" i="5" s="1"/>
  <c r="O27" i="5" s="1"/>
  <c r="K26" i="5"/>
  <c r="L26" i="5" s="1"/>
  <c r="G26" i="5"/>
  <c r="H26" i="5" s="1"/>
  <c r="O26" i="5" s="1"/>
  <c r="K24" i="5"/>
  <c r="G24" i="5"/>
  <c r="H24" i="5" s="1"/>
  <c r="L23" i="5"/>
  <c r="H23" i="5"/>
  <c r="G47" i="4"/>
  <c r="K47" i="4" s="1"/>
  <c r="L47" i="4" s="1"/>
  <c r="G46" i="4"/>
  <c r="H46" i="4" s="1"/>
  <c r="G45" i="4"/>
  <c r="K45" i="4" s="1"/>
  <c r="L45" i="4" s="1"/>
  <c r="G44" i="4"/>
  <c r="G43" i="4"/>
  <c r="H43" i="4" s="1"/>
  <c r="K42" i="4"/>
  <c r="L42" i="4" s="1"/>
  <c r="G42" i="4"/>
  <c r="H42" i="4" s="1"/>
  <c r="L41" i="4"/>
  <c r="H41" i="4"/>
  <c r="K36" i="4"/>
  <c r="K37" i="4" s="1"/>
  <c r="G36" i="4"/>
  <c r="G37" i="4" s="1"/>
  <c r="L34" i="4"/>
  <c r="H34" i="4"/>
  <c r="K33" i="4"/>
  <c r="J33" i="4"/>
  <c r="G33" i="4"/>
  <c r="F33" i="4"/>
  <c r="K32" i="4"/>
  <c r="L32" i="4" s="1"/>
  <c r="G32" i="4"/>
  <c r="H32" i="4" s="1"/>
  <c r="K31" i="4"/>
  <c r="L31" i="4" s="1"/>
  <c r="G31" i="4"/>
  <c r="H31" i="4" s="1"/>
  <c r="O31" i="4" s="1"/>
  <c r="K30" i="4"/>
  <c r="L30" i="4" s="1"/>
  <c r="G30" i="4"/>
  <c r="H30" i="4" s="1"/>
  <c r="O30" i="4" s="1"/>
  <c r="O29" i="4"/>
  <c r="K29" i="4"/>
  <c r="L29" i="4" s="1"/>
  <c r="N29" i="4" s="1"/>
  <c r="G29" i="4"/>
  <c r="O28" i="4"/>
  <c r="K28" i="4"/>
  <c r="G28" i="4"/>
  <c r="K27" i="4"/>
  <c r="L27" i="4" s="1"/>
  <c r="G27" i="4"/>
  <c r="H27" i="4" s="1"/>
  <c r="O27" i="4" s="1"/>
  <c r="K26" i="4"/>
  <c r="L26" i="4" s="1"/>
  <c r="G26" i="4"/>
  <c r="H26" i="4" s="1"/>
  <c r="O26" i="4" s="1"/>
  <c r="K24" i="4"/>
  <c r="G24" i="4"/>
  <c r="H24" i="4" s="1"/>
  <c r="L23" i="4"/>
  <c r="H23" i="4"/>
  <c r="G50" i="3"/>
  <c r="H50" i="3" s="1"/>
  <c r="K49" i="3"/>
  <c r="L49" i="3" s="1"/>
  <c r="G49" i="3"/>
  <c r="H49" i="3" s="1"/>
  <c r="G48" i="3"/>
  <c r="H48" i="3" s="1"/>
  <c r="G47" i="3"/>
  <c r="H47" i="3" s="1"/>
  <c r="G46" i="3"/>
  <c r="H46" i="3" s="1"/>
  <c r="K45" i="3"/>
  <c r="L45" i="3" s="1"/>
  <c r="G45" i="3"/>
  <c r="H45" i="3" s="1"/>
  <c r="L44" i="3"/>
  <c r="H44" i="3"/>
  <c r="K39" i="3"/>
  <c r="K40" i="3" s="1"/>
  <c r="L39" i="3"/>
  <c r="G39" i="3"/>
  <c r="H39" i="3" s="1"/>
  <c r="L37" i="3"/>
  <c r="N37" i="3" s="1"/>
  <c r="H37" i="3"/>
  <c r="K36" i="3"/>
  <c r="J36" i="3"/>
  <c r="G36" i="3"/>
  <c r="F36" i="3"/>
  <c r="K35" i="3"/>
  <c r="G35" i="3"/>
  <c r="H35" i="3" s="1"/>
  <c r="K34" i="3"/>
  <c r="L34" i="3" s="1"/>
  <c r="G34" i="3"/>
  <c r="H34" i="3" s="1"/>
  <c r="O34" i="3" s="1"/>
  <c r="L33" i="3"/>
  <c r="K33" i="3"/>
  <c r="G33" i="3"/>
  <c r="H33" i="3" s="1"/>
  <c r="O33" i="3" s="1"/>
  <c r="K32" i="3"/>
  <c r="L32" i="3" s="1"/>
  <c r="N32" i="3" s="1"/>
  <c r="G32" i="3"/>
  <c r="K31" i="3"/>
  <c r="L31" i="3" s="1"/>
  <c r="N31" i="3" s="1"/>
  <c r="G31" i="3"/>
  <c r="K30" i="3"/>
  <c r="L30" i="3" s="1"/>
  <c r="G30" i="3"/>
  <c r="H30" i="3" s="1"/>
  <c r="O30" i="3" s="1"/>
  <c r="K29" i="3"/>
  <c r="L29" i="3" s="1"/>
  <c r="G29" i="3"/>
  <c r="H29" i="3" s="1"/>
  <c r="O29" i="3" s="1"/>
  <c r="K27" i="3"/>
  <c r="G27" i="3"/>
  <c r="H27" i="3" s="1"/>
  <c r="L26" i="3"/>
  <c r="H26" i="3"/>
  <c r="O26" i="3" s="1"/>
  <c r="H25" i="3"/>
  <c r="O25" i="3" s="1"/>
  <c r="L24" i="3"/>
  <c r="H24" i="3"/>
  <c r="O24" i="3" s="1"/>
  <c r="L23" i="3"/>
  <c r="H23" i="3"/>
  <c r="G49" i="1"/>
  <c r="H49" i="1" s="1"/>
  <c r="O49" i="1" s="1"/>
  <c r="K48" i="1"/>
  <c r="L48" i="1" s="1"/>
  <c r="H48" i="1"/>
  <c r="K47" i="1"/>
  <c r="L47" i="1" s="1"/>
  <c r="K46" i="1"/>
  <c r="L46" i="1" s="1"/>
  <c r="H46" i="1"/>
  <c r="H45" i="1"/>
  <c r="K44" i="1"/>
  <c r="L44" i="1" s="1"/>
  <c r="H44" i="1"/>
  <c r="G44" i="1"/>
  <c r="L43" i="1"/>
  <c r="H43" i="1"/>
  <c r="L38" i="1"/>
  <c r="K38" i="1"/>
  <c r="K39" i="1" s="1"/>
  <c r="G38" i="1"/>
  <c r="G39" i="1" s="1"/>
  <c r="L36" i="1"/>
  <c r="H36" i="1"/>
  <c r="K35" i="1"/>
  <c r="J35" i="1"/>
  <c r="G35" i="1"/>
  <c r="F35" i="1"/>
  <c r="K34" i="1"/>
  <c r="L34" i="1" s="1"/>
  <c r="G34" i="1"/>
  <c r="H34" i="1" s="1"/>
  <c r="K33" i="1"/>
  <c r="L33" i="1" s="1"/>
  <c r="G33" i="1"/>
  <c r="O33" i="1" s="1"/>
  <c r="K32" i="1"/>
  <c r="L32" i="1" s="1"/>
  <c r="G32" i="1"/>
  <c r="O32" i="1" s="1"/>
  <c r="O31" i="1"/>
  <c r="L31" i="1"/>
  <c r="N31" i="1" s="1"/>
  <c r="G31" i="1"/>
  <c r="O30" i="1"/>
  <c r="K30" i="1"/>
  <c r="L30" i="1" s="1"/>
  <c r="N30" i="1" s="1"/>
  <c r="G30" i="1"/>
  <c r="K29" i="1"/>
  <c r="L29" i="1" s="1"/>
  <c r="G29" i="1"/>
  <c r="H29" i="1" s="1"/>
  <c r="O29" i="1" s="1"/>
  <c r="K28" i="1"/>
  <c r="L28" i="1" s="1"/>
  <c r="G28" i="1"/>
  <c r="H28" i="1" s="1"/>
  <c r="O28" i="1" s="1"/>
  <c r="K26" i="1"/>
  <c r="G26" i="1"/>
  <c r="H26" i="1" s="1"/>
  <c r="L25" i="1"/>
  <c r="H25" i="1"/>
  <c r="O25" i="1" s="1"/>
  <c r="H24" i="1"/>
  <c r="O24" i="1" s="1"/>
  <c r="H23" i="1"/>
  <c r="N31" i="7" l="1"/>
  <c r="H33" i="7"/>
  <c r="N34" i="7"/>
  <c r="K44" i="7"/>
  <c r="L44" i="7" s="1"/>
  <c r="L33" i="7"/>
  <c r="N33" i="7" s="1"/>
  <c r="O33" i="7" s="1"/>
  <c r="O41" i="7"/>
  <c r="N30" i="7"/>
  <c r="N26" i="7"/>
  <c r="K46" i="7"/>
  <c r="L46" i="7" s="1"/>
  <c r="N46" i="7" s="1"/>
  <c r="O46" i="7" s="1"/>
  <c r="L33" i="6"/>
  <c r="N33" i="6" s="1"/>
  <c r="N42" i="6"/>
  <c r="N31" i="6"/>
  <c r="G37" i="6"/>
  <c r="G39" i="6" s="1"/>
  <c r="H39" i="6" s="1"/>
  <c r="N30" i="6"/>
  <c r="N34" i="6"/>
  <c r="O41" i="6"/>
  <c r="K45" i="6"/>
  <c r="L45" i="6" s="1"/>
  <c r="N45" i="6" s="1"/>
  <c r="O45" i="6" s="1"/>
  <c r="N39" i="5"/>
  <c r="O39" i="5" s="1"/>
  <c r="N42" i="5"/>
  <c r="O42" i="5" s="1"/>
  <c r="N41" i="5"/>
  <c r="O41" i="5" s="1"/>
  <c r="N26" i="5"/>
  <c r="H33" i="5"/>
  <c r="N33" i="5" s="1"/>
  <c r="O33" i="5" s="1"/>
  <c r="N30" i="5"/>
  <c r="N34" i="5"/>
  <c r="K46" i="5"/>
  <c r="L46" i="5" s="1"/>
  <c r="N32" i="5"/>
  <c r="H33" i="4"/>
  <c r="L33" i="4"/>
  <c r="H36" i="4"/>
  <c r="N34" i="4"/>
  <c r="K43" i="4"/>
  <c r="L43" i="4" s="1"/>
  <c r="N43" i="4" s="1"/>
  <c r="O43" i="4" s="1"/>
  <c r="H45" i="4"/>
  <c r="N45" i="4" s="1"/>
  <c r="H47" i="4"/>
  <c r="O47" i="4" s="1"/>
  <c r="N31" i="4"/>
  <c r="N24" i="3"/>
  <c r="N29" i="3"/>
  <c r="N44" i="3"/>
  <c r="O44" i="3" s="1"/>
  <c r="L36" i="3"/>
  <c r="N36" i="3" s="1"/>
  <c r="O36" i="3" s="1"/>
  <c r="K47" i="3"/>
  <c r="L47" i="3" s="1"/>
  <c r="N47" i="3" s="1"/>
  <c r="O47" i="3" s="1"/>
  <c r="H36" i="3"/>
  <c r="N45" i="3"/>
  <c r="O45" i="3" s="1"/>
  <c r="N26" i="3"/>
  <c r="N37" i="8"/>
  <c r="O37" i="8" s="1"/>
  <c r="L40" i="8"/>
  <c r="H40" i="8"/>
  <c r="L35" i="1"/>
  <c r="N43" i="1"/>
  <c r="O43" i="1" s="1"/>
  <c r="N36" i="1"/>
  <c r="N34" i="1"/>
  <c r="O34" i="1" s="1"/>
  <c r="N33" i="1"/>
  <c r="H38" i="1"/>
  <c r="N44" i="1"/>
  <c r="O44" i="1" s="1"/>
  <c r="H35" i="1"/>
  <c r="N25" i="1"/>
  <c r="N32" i="1"/>
  <c r="N26" i="6"/>
  <c r="N27" i="6"/>
  <c r="N46" i="1"/>
  <c r="O46" i="1" s="1"/>
  <c r="H25" i="4"/>
  <c r="H28" i="3"/>
  <c r="L35" i="3"/>
  <c r="N35" i="3" s="1"/>
  <c r="O35" i="3" s="1"/>
  <c r="K41" i="1"/>
  <c r="L41" i="1" s="1"/>
  <c r="L39" i="1"/>
  <c r="K42" i="1"/>
  <c r="L42" i="1" s="1"/>
  <c r="H39" i="1"/>
  <c r="G41" i="1"/>
  <c r="H41" i="1" s="1"/>
  <c r="G42" i="1"/>
  <c r="H42" i="1" s="1"/>
  <c r="N48" i="1"/>
  <c r="O48" i="1" s="1"/>
  <c r="N28" i="1"/>
  <c r="H27" i="1"/>
  <c r="N29" i="1"/>
  <c r="H47" i="1"/>
  <c r="N47" i="1" s="1"/>
  <c r="K49" i="1"/>
  <c r="L49" i="1" s="1"/>
  <c r="N49" i="1" s="1"/>
  <c r="K45" i="1"/>
  <c r="L45" i="1" s="1"/>
  <c r="N45" i="1" s="1"/>
  <c r="O45" i="1" s="1"/>
  <c r="N30" i="3"/>
  <c r="N39" i="3"/>
  <c r="O39" i="3" s="1"/>
  <c r="N26" i="4"/>
  <c r="K39" i="4"/>
  <c r="L39" i="4" s="1"/>
  <c r="L37" i="4"/>
  <c r="K40" i="4"/>
  <c r="L40" i="4" s="1"/>
  <c r="H38" i="3"/>
  <c r="N27" i="4"/>
  <c r="N42" i="4"/>
  <c r="O42" i="4" s="1"/>
  <c r="N38" i="1"/>
  <c r="O38" i="1" s="1"/>
  <c r="N23" i="3"/>
  <c r="O23" i="3" s="1"/>
  <c r="K42" i="3"/>
  <c r="L42" i="3" s="1"/>
  <c r="L40" i="3"/>
  <c r="K43" i="3"/>
  <c r="L43" i="3" s="1"/>
  <c r="N49" i="3"/>
  <c r="O49" i="3" s="1"/>
  <c r="N23" i="4"/>
  <c r="O23" i="4" s="1"/>
  <c r="K46" i="3"/>
  <c r="L46" i="3" s="1"/>
  <c r="N46" i="3" s="1"/>
  <c r="O46" i="3" s="1"/>
  <c r="K48" i="3"/>
  <c r="L48" i="3" s="1"/>
  <c r="N48" i="3" s="1"/>
  <c r="O48" i="3" s="1"/>
  <c r="K50" i="3"/>
  <c r="L50" i="3" s="1"/>
  <c r="N50" i="3" s="1"/>
  <c r="O50" i="3" s="1"/>
  <c r="L28" i="4"/>
  <c r="N28" i="4" s="1"/>
  <c r="N41" i="4"/>
  <c r="O41" i="4" s="1"/>
  <c r="N36" i="5"/>
  <c r="O36" i="5" s="1"/>
  <c r="N44" i="5"/>
  <c r="O44" i="5" s="1"/>
  <c r="N47" i="5"/>
  <c r="G40" i="3"/>
  <c r="N30" i="4"/>
  <c r="H25" i="6"/>
  <c r="N33" i="3"/>
  <c r="N34" i="3"/>
  <c r="N32" i="4"/>
  <c r="O32" i="4" s="1"/>
  <c r="G40" i="4"/>
  <c r="H40" i="4" s="1"/>
  <c r="H37" i="4"/>
  <c r="G39" i="4"/>
  <c r="H39" i="4" s="1"/>
  <c r="L36" i="4"/>
  <c r="H44" i="4"/>
  <c r="K44" i="4"/>
  <c r="L44" i="4" s="1"/>
  <c r="O32" i="5"/>
  <c r="N46" i="5"/>
  <c r="O46" i="5" s="1"/>
  <c r="K46" i="4"/>
  <c r="L46" i="4" s="1"/>
  <c r="O42" i="6"/>
  <c r="H25" i="7"/>
  <c r="N27" i="7"/>
  <c r="N36" i="7"/>
  <c r="O36" i="7" s="1"/>
  <c r="N42" i="7"/>
  <c r="K37" i="5"/>
  <c r="G40" i="5"/>
  <c r="H40" i="5" s="1"/>
  <c r="N32" i="6"/>
  <c r="O32" i="6" s="1"/>
  <c r="N23" i="5"/>
  <c r="O23" i="5" s="1"/>
  <c r="H25" i="5"/>
  <c r="H43" i="5"/>
  <c r="H45" i="5"/>
  <c r="H47" i="5"/>
  <c r="O47" i="5" s="1"/>
  <c r="N23" i="6"/>
  <c r="O23" i="6" s="1"/>
  <c r="O33" i="6"/>
  <c r="K40" i="6"/>
  <c r="L40" i="6" s="1"/>
  <c r="K39" i="6"/>
  <c r="L39" i="6" s="1"/>
  <c r="L37" i="6"/>
  <c r="N43" i="6"/>
  <c r="O43" i="6" s="1"/>
  <c r="N32" i="7"/>
  <c r="O32" i="7" s="1"/>
  <c r="O42" i="7"/>
  <c r="N44" i="7"/>
  <c r="O44" i="7" s="1"/>
  <c r="O26" i="6"/>
  <c r="O27" i="6"/>
  <c r="H44" i="6"/>
  <c r="N44" i="6" s="1"/>
  <c r="H46" i="6"/>
  <c r="N46" i="6" s="1"/>
  <c r="K40" i="7"/>
  <c r="L40" i="7" s="1"/>
  <c r="K43" i="7"/>
  <c r="L43" i="7" s="1"/>
  <c r="N43" i="7" s="1"/>
  <c r="O43" i="7" s="1"/>
  <c r="K45" i="7"/>
  <c r="L45" i="7" s="1"/>
  <c r="N45" i="7" s="1"/>
  <c r="O45" i="7" s="1"/>
  <c r="K47" i="7"/>
  <c r="L47" i="7" s="1"/>
  <c r="N47" i="7" s="1"/>
  <c r="O47" i="7" s="1"/>
  <c r="L36" i="6"/>
  <c r="N36" i="6" s="1"/>
  <c r="O36" i="6" s="1"/>
  <c r="H37" i="6"/>
  <c r="G40" i="6"/>
  <c r="H40" i="6" s="1"/>
  <c r="G37" i="7"/>
  <c r="L37" i="7"/>
  <c r="N23" i="7"/>
  <c r="O23" i="7" s="1"/>
  <c r="N37" i="6" l="1"/>
  <c r="O37" i="6" s="1"/>
  <c r="N36" i="4"/>
  <c r="O36" i="4" s="1"/>
  <c r="N33" i="4"/>
  <c r="O33" i="4" s="1"/>
  <c r="N37" i="4"/>
  <c r="O37" i="4" s="1"/>
  <c r="H35" i="4"/>
  <c r="H38" i="4" s="1"/>
  <c r="N47" i="4"/>
  <c r="O45" i="4"/>
  <c r="N44" i="4"/>
  <c r="O40" i="8"/>
  <c r="H51" i="8"/>
  <c r="H57" i="8"/>
  <c r="N40" i="8"/>
  <c r="L57" i="8"/>
  <c r="L51" i="8"/>
  <c r="N35" i="1"/>
  <c r="O35" i="1" s="1"/>
  <c r="K40" i="5"/>
  <c r="L40" i="5" s="1"/>
  <c r="L37" i="5"/>
  <c r="N37" i="5" s="1"/>
  <c r="O37" i="5" s="1"/>
  <c r="N46" i="4"/>
  <c r="O46" i="4" s="1"/>
  <c r="H35" i="6"/>
  <c r="O47" i="1"/>
  <c r="N42" i="1"/>
  <c r="O42" i="1" s="1"/>
  <c r="N39" i="6"/>
  <c r="O39" i="6" s="1"/>
  <c r="G40" i="7"/>
  <c r="H40" i="7" s="1"/>
  <c r="H37" i="7"/>
  <c r="N37" i="7" s="1"/>
  <c r="G39" i="7"/>
  <c r="H39" i="7" s="1"/>
  <c r="N43" i="5"/>
  <c r="O43" i="5" s="1"/>
  <c r="O40" i="4"/>
  <c r="N45" i="5"/>
  <c r="O45" i="5" s="1"/>
  <c r="N40" i="4"/>
  <c r="N39" i="1"/>
  <c r="O39" i="1" s="1"/>
  <c r="H37" i="1"/>
  <c r="N41" i="1"/>
  <c r="O41" i="1" s="1"/>
  <c r="O46" i="6"/>
  <c r="O44" i="6"/>
  <c r="N40" i="6"/>
  <c r="O40" i="6" s="1"/>
  <c r="H35" i="5"/>
  <c r="H35" i="7"/>
  <c r="O44" i="4"/>
  <c r="G43" i="3"/>
  <c r="H43" i="3" s="1"/>
  <c r="H40" i="3"/>
  <c r="H41" i="3" s="1"/>
  <c r="G42" i="3"/>
  <c r="H42" i="3" s="1"/>
  <c r="N39" i="4"/>
  <c r="O39" i="4" s="1"/>
  <c r="N51" i="8" l="1"/>
  <c r="O51" i="8" s="1"/>
  <c r="L53" i="8"/>
  <c r="L52" i="8"/>
  <c r="H52" i="8"/>
  <c r="N57" i="8"/>
  <c r="O57" i="8" s="1"/>
  <c r="L58" i="8"/>
  <c r="N58" i="8" s="1"/>
  <c r="H58" i="8"/>
  <c r="H40" i="1"/>
  <c r="H58" i="3"/>
  <c r="H52" i="3"/>
  <c r="H38" i="7"/>
  <c r="H49" i="7" s="1"/>
  <c r="N40" i="3"/>
  <c r="O40" i="3" s="1"/>
  <c r="H38" i="6"/>
  <c r="H38" i="5"/>
  <c r="N39" i="7"/>
  <c r="O39" i="7" s="1"/>
  <c r="N43" i="3"/>
  <c r="O43" i="3" s="1"/>
  <c r="H55" i="4"/>
  <c r="O37" i="7"/>
  <c r="H49" i="4"/>
  <c r="N42" i="3"/>
  <c r="O42" i="3" s="1"/>
  <c r="N40" i="7"/>
  <c r="O40" i="7" s="1"/>
  <c r="N40" i="5"/>
  <c r="O40" i="5" s="1"/>
  <c r="N53" i="8" l="1"/>
  <c r="L54" i="8"/>
  <c r="H53" i="8"/>
  <c r="O58" i="8"/>
  <c r="L59" i="8"/>
  <c r="H59" i="8"/>
  <c r="N52" i="8"/>
  <c r="O52" i="8" s="1"/>
  <c r="H55" i="5"/>
  <c r="H49" i="5"/>
  <c r="H57" i="1"/>
  <c r="H51" i="1"/>
  <c r="H59" i="3"/>
  <c r="H60" i="3" s="1"/>
  <c r="H56" i="4"/>
  <c r="H50" i="4"/>
  <c r="H55" i="6"/>
  <c r="H49" i="6"/>
  <c r="H55" i="7"/>
  <c r="H53" i="3"/>
  <c r="H50" i="7"/>
  <c r="N59" i="8" l="1"/>
  <c r="O59" i="8" s="1"/>
  <c r="L60" i="8"/>
  <c r="L55" i="8"/>
  <c r="H60" i="8"/>
  <c r="H61" i="8" s="1"/>
  <c r="O53" i="8"/>
  <c r="H54" i="8"/>
  <c r="H55" i="8" s="1"/>
  <c r="H61" i="3"/>
  <c r="H56" i="7"/>
  <c r="H57" i="7" s="1"/>
  <c r="H56" i="6"/>
  <c r="H57" i="6" s="1"/>
  <c r="H50" i="5"/>
  <c r="H51" i="5" s="1"/>
  <c r="H56" i="5"/>
  <c r="H57" i="5" s="1"/>
  <c r="H52" i="1"/>
  <c r="H54" i="3"/>
  <c r="H57" i="4"/>
  <c r="H58" i="1"/>
  <c r="H59" i="1" s="1"/>
  <c r="H51" i="7"/>
  <c r="H50" i="6"/>
  <c r="H51" i="4"/>
  <c r="N60" i="8" l="1"/>
  <c r="O60" i="8" s="1"/>
  <c r="L61" i="8"/>
  <c r="N61" i="8" s="1"/>
  <c r="O61" i="8" s="1"/>
  <c r="N55" i="8"/>
  <c r="O55" i="8" s="1"/>
  <c r="N54" i="8"/>
  <c r="O54" i="8" s="1"/>
  <c r="H60" i="1"/>
  <c r="H61" i="1" s="1"/>
  <c r="H51" i="6"/>
  <c r="H53" i="1"/>
  <c r="H52" i="7"/>
  <c r="H52" i="4"/>
  <c r="H53" i="4" s="1"/>
  <c r="H58" i="4"/>
  <c r="H55" i="3"/>
  <c r="H52" i="5"/>
  <c r="H58" i="6"/>
  <c r="H59" i="6" s="1"/>
  <c r="H58" i="7"/>
  <c r="H59" i="7" s="1"/>
  <c r="H58" i="5"/>
  <c r="H59" i="5" s="1"/>
  <c r="H62" i="3"/>
  <c r="H56" i="3" l="1"/>
  <c r="H59" i="4"/>
  <c r="H53" i="7"/>
  <c r="H54" i="1"/>
  <c r="H55" i="1" s="1"/>
  <c r="H53" i="5"/>
  <c r="H52" i="6"/>
  <c r="H53" i="6" l="1"/>
  <c r="L25" i="3" l="1"/>
  <c r="L24" i="1" l="1"/>
  <c r="N24" i="1" s="1"/>
  <c r="N25" i="3"/>
  <c r="L24" i="6" l="1"/>
  <c r="L24" i="7"/>
  <c r="L24" i="4"/>
  <c r="L27" i="3"/>
  <c r="L24" i="5"/>
  <c r="N24" i="6" l="1"/>
  <c r="O24" i="6" s="1"/>
  <c r="L25" i="6"/>
  <c r="N24" i="7"/>
  <c r="O24" i="7" s="1"/>
  <c r="L25" i="7"/>
  <c r="N27" i="3"/>
  <c r="O27" i="3" s="1"/>
  <c r="L28" i="3"/>
  <c r="N24" i="5"/>
  <c r="O24" i="5" s="1"/>
  <c r="L25" i="5"/>
  <c r="N24" i="4"/>
  <c r="O24" i="4" s="1"/>
  <c r="N25" i="4" l="1"/>
  <c r="O25" i="4" s="1"/>
  <c r="L35" i="4"/>
  <c r="L38" i="3"/>
  <c r="N28" i="3"/>
  <c r="O28" i="3" s="1"/>
  <c r="L35" i="6"/>
  <c r="N25" i="6"/>
  <c r="O25" i="6" s="1"/>
  <c r="L35" i="5"/>
  <c r="N25" i="5"/>
  <c r="O25" i="5" s="1"/>
  <c r="L35" i="7"/>
  <c r="N25" i="7"/>
  <c r="O25" i="7" s="1"/>
  <c r="L38" i="5" l="1"/>
  <c r="N35" i="5"/>
  <c r="O35" i="5" s="1"/>
  <c r="L41" i="3"/>
  <c r="N38" i="3"/>
  <c r="O38" i="3" s="1"/>
  <c r="N35" i="4"/>
  <c r="O35" i="4" s="1"/>
  <c r="L38" i="4"/>
  <c r="N35" i="7"/>
  <c r="O35" i="7" s="1"/>
  <c r="L38" i="7"/>
  <c r="N35" i="6"/>
  <c r="O35" i="6" s="1"/>
  <c r="L38" i="6"/>
  <c r="L55" i="7" l="1"/>
  <c r="L49" i="7"/>
  <c r="N38" i="7"/>
  <c r="O38" i="7" s="1"/>
  <c r="L23" i="1"/>
  <c r="L52" i="3"/>
  <c r="N41" i="3"/>
  <c r="O41" i="3" s="1"/>
  <c r="L58" i="3"/>
  <c r="L55" i="6"/>
  <c r="L49" i="6"/>
  <c r="N38" i="6"/>
  <c r="O38" i="6" s="1"/>
  <c r="N38" i="4"/>
  <c r="O38" i="4" s="1"/>
  <c r="L49" i="4"/>
  <c r="L55" i="4"/>
  <c r="L55" i="5"/>
  <c r="L49" i="5"/>
  <c r="N38" i="5"/>
  <c r="O38" i="5" s="1"/>
  <c r="L56" i="5" l="1"/>
  <c r="N56" i="5" s="1"/>
  <c r="O56" i="5" s="1"/>
  <c r="N55" i="5"/>
  <c r="O55" i="5" s="1"/>
  <c r="L56" i="4"/>
  <c r="N56" i="4" s="1"/>
  <c r="O56" i="4" s="1"/>
  <c r="N55" i="4"/>
  <c r="O55" i="4" s="1"/>
  <c r="N49" i="6"/>
  <c r="O49" i="6" s="1"/>
  <c r="L50" i="6"/>
  <c r="N50" i="6" s="1"/>
  <c r="O50" i="6" s="1"/>
  <c r="N52" i="3"/>
  <c r="O52" i="3" s="1"/>
  <c r="L53" i="3"/>
  <c r="N53" i="3" s="1"/>
  <c r="O53" i="3" s="1"/>
  <c r="N49" i="4"/>
  <c r="O49" i="4" s="1"/>
  <c r="L50" i="4"/>
  <c r="N50" i="4" s="1"/>
  <c r="O50" i="4" s="1"/>
  <c r="N23" i="1"/>
  <c r="O23" i="1" s="1"/>
  <c r="N49" i="7"/>
  <c r="O49" i="7" s="1"/>
  <c r="L50" i="7"/>
  <c r="N50" i="7" s="1"/>
  <c r="O50" i="7" s="1"/>
  <c r="N55" i="6"/>
  <c r="O55" i="6" s="1"/>
  <c r="L56" i="6"/>
  <c r="N56" i="6" s="1"/>
  <c r="O56" i="6" s="1"/>
  <c r="N49" i="5"/>
  <c r="O49" i="5" s="1"/>
  <c r="L50" i="5"/>
  <c r="N50" i="5" s="1"/>
  <c r="O50" i="5" s="1"/>
  <c r="N58" i="3"/>
  <c r="O58" i="3" s="1"/>
  <c r="L59" i="3"/>
  <c r="N59" i="3" s="1"/>
  <c r="O59" i="3" s="1"/>
  <c r="L56" i="7"/>
  <c r="N56" i="7" s="1"/>
  <c r="O56" i="7" s="1"/>
  <c r="N55" i="7"/>
  <c r="O55" i="7" s="1"/>
  <c r="L60" i="3" l="1"/>
  <c r="N60" i="3" s="1"/>
  <c r="O60" i="3" s="1"/>
  <c r="L54" i="3"/>
  <c r="N54" i="3" s="1"/>
  <c r="O54" i="3" s="1"/>
  <c r="L51" i="7"/>
  <c r="N51" i="7" s="1"/>
  <c r="O51" i="7" s="1"/>
  <c r="L57" i="4"/>
  <c r="N57" i="4" s="1"/>
  <c r="O57" i="4" s="1"/>
  <c r="L57" i="6"/>
  <c r="L51" i="4"/>
  <c r="L57" i="5"/>
  <c r="L52" i="7"/>
  <c r="N52" i="7" s="1"/>
  <c r="O52" i="7" s="1"/>
  <c r="L57" i="7"/>
  <c r="L51" i="5"/>
  <c r="L51" i="6"/>
  <c r="L61" i="3" l="1"/>
  <c r="N61" i="3" s="1"/>
  <c r="O61" i="3" s="1"/>
  <c r="L55" i="3"/>
  <c r="N55" i="3" s="1"/>
  <c r="O55" i="3" s="1"/>
  <c r="L58" i="4"/>
  <c r="N58" i="4" s="1"/>
  <c r="O58" i="4" s="1"/>
  <c r="N51" i="6"/>
  <c r="O51" i="6" s="1"/>
  <c r="L52" i="6"/>
  <c r="N52" i="6" s="1"/>
  <c r="O52" i="6" s="1"/>
  <c r="L52" i="5"/>
  <c r="N52" i="5" s="1"/>
  <c r="O52" i="5" s="1"/>
  <c r="N51" i="5"/>
  <c r="O51" i="5" s="1"/>
  <c r="N57" i="5"/>
  <c r="O57" i="5" s="1"/>
  <c r="L58" i="5"/>
  <c r="N58" i="5" s="1"/>
  <c r="O58" i="5" s="1"/>
  <c r="N57" i="6"/>
  <c r="O57" i="6" s="1"/>
  <c r="L58" i="6"/>
  <c r="N58" i="6" s="1"/>
  <c r="O58" i="6" s="1"/>
  <c r="L26" i="1"/>
  <c r="N57" i="7"/>
  <c r="O57" i="7" s="1"/>
  <c r="L58" i="7"/>
  <c r="N58" i="7" s="1"/>
  <c r="O58" i="7" s="1"/>
  <c r="L53" i="7"/>
  <c r="N53" i="7" s="1"/>
  <c r="O53" i="7" s="1"/>
  <c r="L52" i="4"/>
  <c r="N52" i="4" s="1"/>
  <c r="O52" i="4" s="1"/>
  <c r="N51" i="4"/>
  <c r="O51" i="4" s="1"/>
  <c r="L62" i="3" l="1"/>
  <c r="N62" i="3" s="1"/>
  <c r="O62" i="3" s="1"/>
  <c r="L56" i="3"/>
  <c r="N56" i="3" s="1"/>
  <c r="O56" i="3" s="1"/>
  <c r="L59" i="6"/>
  <c r="N59" i="6" s="1"/>
  <c r="O59" i="6" s="1"/>
  <c r="L59" i="4"/>
  <c r="N59" i="4" s="1"/>
  <c r="O59" i="4" s="1"/>
  <c r="L53" i="6"/>
  <c r="N53" i="6" s="1"/>
  <c r="O53" i="6" s="1"/>
  <c r="L59" i="7"/>
  <c r="N59" i="7" s="1"/>
  <c r="O59" i="7" s="1"/>
  <c r="L53" i="4"/>
  <c r="N53" i="4" s="1"/>
  <c r="O53" i="4" s="1"/>
  <c r="N26" i="1"/>
  <c r="O26" i="1" s="1"/>
  <c r="L27" i="1"/>
  <c r="L53" i="5"/>
  <c r="N53" i="5" s="1"/>
  <c r="O53" i="5" s="1"/>
  <c r="L59" i="5"/>
  <c r="N59" i="5" s="1"/>
  <c r="O59" i="5" s="1"/>
  <c r="L37" i="1" l="1"/>
  <c r="N27" i="1"/>
  <c r="O27" i="1" s="1"/>
  <c r="L40" i="1" l="1"/>
  <c r="N37" i="1"/>
  <c r="O37" i="1" s="1"/>
  <c r="N40" i="1" l="1"/>
  <c r="O40" i="1" s="1"/>
  <c r="L51" i="1"/>
  <c r="L57" i="1"/>
  <c r="N57" i="1" l="1"/>
  <c r="O57" i="1" s="1"/>
  <c r="L58" i="1"/>
  <c r="N58" i="1" s="1"/>
  <c r="O58" i="1" s="1"/>
  <c r="N51" i="1"/>
  <c r="O51" i="1" s="1"/>
  <c r="L52" i="1"/>
  <c r="N52" i="1" s="1"/>
  <c r="O52" i="1" s="1"/>
  <c r="L53" i="1" l="1"/>
  <c r="N53" i="1" s="1"/>
  <c r="O53" i="1" s="1"/>
  <c r="L59" i="1"/>
  <c r="L54" i="1" l="1"/>
  <c r="N54" i="1" s="1"/>
  <c r="O54" i="1" s="1"/>
  <c r="L60" i="1"/>
  <c r="N60" i="1" s="1"/>
  <c r="O60" i="1" s="1"/>
  <c r="N59" i="1"/>
  <c r="O59" i="1" s="1"/>
  <c r="L55" i="1" l="1"/>
  <c r="N55" i="1" s="1"/>
  <c r="O55" i="1" s="1"/>
  <c r="L61" i="1"/>
  <c r="N61" i="1" s="1"/>
  <c r="O61" i="1" s="1"/>
</calcChain>
</file>

<file path=xl/sharedStrings.xml><?xml version="1.0" encoding="utf-8"?>
<sst xmlns="http://schemas.openxmlformats.org/spreadsheetml/2006/main" count="662" uniqueCount="83">
  <si>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</si>
  <si>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</si>
  <si>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</si>
  <si>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</si>
  <si>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</si>
  <si>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</si>
  <si>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</si>
  <si>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</si>
  <si>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</si>
  <si>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</si>
  <si>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</si>
  <si>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</si>
  <si>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</si>
  <si>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</si>
  <si>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</si>
  <si>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</si>
  <si>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</si>
  <si>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</si>
  <si>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</si>
  <si>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</si>
  <si>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</si>
  <si>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Distribution Volumetric Rate</t>
  </si>
  <si>
    <t>per kWh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</si>
  <si>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</si>
  <si>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</si>
  <si>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</si>
  <si>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</si>
  <si>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</si>
  <si>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</si>
  <si>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</si>
  <si>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</si>
  <si>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</si>
  <si>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</si>
  <si>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</si>
  <si>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OEAP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</si>
  <si>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</si>
  <si>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</si>
  <si>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</si>
  <si>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</si>
  <si>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</si>
  <si>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</si>
  <si>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</si>
  <si>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</si>
  <si>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</si>
  <si>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</si>
  <si>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</si>
  <si>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</si>
  <si>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</si>
  <si>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</si>
  <si>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</si>
  <si>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</si>
  <si>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</si>
  <si>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</si>
  <si>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</si>
  <si>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</si>
  <si>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</si>
  <si>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</si>
  <si>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</si>
  <si>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</si>
  <si>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</si>
  <si>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</si>
  <si>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</si>
  <si>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</si>
  <si>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</si>
  <si>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</si>
  <si>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</si>
  <si>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</si>
  <si>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</si>
  <si>
    <t>Rate Rider Calculation for Accounts 1568</t>
  </si>
  <si>
    <t>Rate Rider for Disposition of Deferral/Variance Accounts (2016) - effective until June 30, 2018</t>
  </si>
  <si>
    <t>Rate Rider for Disposition of Residual Historical Smart Meter Costs - effective until June 30, 2020</t>
  </si>
  <si>
    <t>Rate Rider for Recovery of Stranded Meter Assets - effective until June 30, 2018</t>
  </si>
  <si>
    <t>Service Charge</t>
  </si>
  <si>
    <t>Rate Rider for Disposition of Group 2 Deferral/Variance Accounts - effective until June 30, 2018</t>
  </si>
  <si>
    <t>Rate Rider for Disposition of Global Adjustment Account (2016) - effective until June 30, 2018
      Applicable only for Non-RPP Customers</t>
  </si>
  <si>
    <t>Rate Rider for Disposition of Global Adjustment Account (2016) - effective until June 30, 2018 Applicable only for Non-RPP Customers</t>
  </si>
  <si>
    <t>Rate Rider for Disposition of Account 1576 - effective until June 30. 2018</t>
  </si>
  <si>
    <t>Rate Rider for Recovery of Lost Revenue Adjustment Mechanism (LRAM) costs - effective until June 30, 2018</t>
  </si>
  <si>
    <t>ate Rider for Disposition of Deferral/Variance Accounts (2016) - effective until June 30, 2018</t>
  </si>
  <si>
    <t>Rate Rider for Disposition of Deferral/Variance Accounts (2016) - effective until June 30, 2018
      Applicable only for Non-Wholesale Market Participants</t>
  </si>
  <si>
    <t>Rate Rider for Disposition of Deferral/Variance Accounts (2016) - effective until June 30, 2018  Applicable only for Non-Wholesale Market Participants</t>
  </si>
  <si>
    <t>Rate Rider for Disposition of Global Adjustment Account (2016) - effective until June 30, 2018  Applicable only for Non-RPP Customers</t>
  </si>
  <si>
    <t>Rate Rider for Disposition of Deferral/Variance Accounts (2016) - effective until June 30, 2018 Applicable only for Non-Wholesale Market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</si>
</sst>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1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03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8" fillId="0" borderId="16" xfId="0" applyNumberFormat="1" applyFont="1" applyFill="1" applyBorder="1" applyAlignment="1" applyProtection="1">
      <alignment vertical="center"/>
    </xf>
    <xf numFmtId="166" fontId="18" fillId="0" borderId="3" xfId="0" applyNumberFormat="1" applyFont="1" applyFill="1" applyBorder="1" applyAlignment="1" applyProtection="1">
      <alignment vertical="center"/>
    </xf>
    <xf numFmtId="166" fontId="18" fillId="0" borderId="7" xfId="0" applyNumberFormat="1" applyFont="1" applyFill="1" applyBorder="1" applyAlignment="1" applyProtection="1">
      <alignment vertical="center"/>
    </xf>
    <xf numFmtId="10" fontId="18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8" fillId="0" borderId="16" xfId="4" applyNumberFormat="1" applyFont="1" applyFill="1" applyBorder="1" applyAlignment="1" applyProtection="1">
      <alignment vertical="center"/>
    </xf>
    <xf numFmtId="166" fontId="18" fillId="0" borderId="3" xfId="4" applyNumberFormat="1" applyFont="1" applyFill="1" applyBorder="1" applyAlignment="1" applyProtection="1">
      <alignment vertical="center"/>
    </xf>
    <xf numFmtId="166" fontId="18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9" fillId="0" borderId="0" xfId="0" applyFont="1" applyFill="1" applyProtection="1"/>
    <xf numFmtId="0" fontId="11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0" fontId="5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vertical="center" wrapText="1"/>
    </xf>
    <xf numFmtId="0" fontId="10" fillId="0" borderId="0" xfId="4" applyFont="1" applyFill="1" applyAlignment="1" applyProtection="1">
      <alignment vertical="center" wrapText="1"/>
    </xf>
    <xf numFmtId="0" fontId="11" fillId="0" borderId="0" xfId="4" applyFont="1" applyFill="1" applyAlignment="1" applyProtection="1">
      <alignment horizontal="left" vertical="center" wrapText="1"/>
    </xf>
    <xf numFmtId="0" fontId="10" fillId="0" borderId="0" xfId="4" applyFont="1" applyFill="1" applyAlignment="1" applyProtection="1">
      <alignment horizontal="left" vertical="center" wrapText="1"/>
    </xf>
    <xf numFmtId="0" fontId="16" fillId="0" borderId="0" xfId="4" applyFont="1" applyFill="1" applyBorder="1" applyAlignment="1" applyProtection="1">
      <alignment horizontal="left" vertical="center" wrapText="1"/>
    </xf>
    <xf numFmtId="0" fontId="10" fillId="0" borderId="0" xfId="4" applyFont="1" applyFill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8193" name="Option Button 44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8194" name="Option Button 45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2016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4">
    <pageSetUpPr fitToPage="1"/>
  </sheetPr>
  <dimension ref="A1:T80"/>
  <sheetViews>
    <sheetView showGridLines="0" tabSelected="1" workbookViewId="0">
      <selection activeCell="J58" sqref="J58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3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206</v>
      </c>
      <c r="G18" s="132" t="s">
        <v>7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136" t="s">
        <v>13</v>
      </c>
      <c r="H21" s="137" t="s">
        <v>14</v>
      </c>
      <c r="J21" s="136" t="s">
        <v>12</v>
      </c>
      <c r="K21" s="138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139"/>
      <c r="H22" s="140" t="s">
        <v>17</v>
      </c>
      <c r="J22" s="139" t="s">
        <v>17</v>
      </c>
      <c r="K22" s="140"/>
      <c r="L22" s="140" t="s">
        <v>17</v>
      </c>
      <c r="N22" s="287"/>
      <c r="O22" s="288"/>
    </row>
    <row r="23" spans="1:15">
      <c r="B23" s="141" t="s">
        <v>72</v>
      </c>
      <c r="C23" s="20"/>
      <c r="D23" s="142" t="s">
        <v>19</v>
      </c>
      <c r="E23" s="14"/>
      <c r="F23" s="143">
        <v>10.99</v>
      </c>
      <c r="G23" s="15">
        <v>1</v>
      </c>
      <c r="H23" s="16">
        <f>G23*F23</f>
        <v>10.99</v>
      </c>
      <c r="I23" s="28"/>
      <c r="J23" s="144">
        <v>14.02</v>
      </c>
      <c r="K23" s="17">
        <v>1</v>
      </c>
      <c r="L23" s="16">
        <f>K23*J23</f>
        <v>14.02</v>
      </c>
      <c r="M23" s="28"/>
      <c r="N23" s="145">
        <f>L23-H23</f>
        <v>3.0299999999999994</v>
      </c>
      <c r="O23" s="18">
        <f>IF((H23)=0,"",(N23/H23))</f>
        <v>0.27570518653321197</v>
      </c>
    </row>
    <row r="24" spans="1:15" ht="38.25">
      <c r="A24" s="19"/>
      <c r="B24" s="147" t="s">
        <v>71</v>
      </c>
      <c r="C24" s="20"/>
      <c r="D24" s="142" t="s">
        <v>19</v>
      </c>
      <c r="E24" s="14"/>
      <c r="F24" s="146"/>
      <c r="G24" s="15">
        <v>1</v>
      </c>
      <c r="H24" s="16">
        <f t="shared" ref="H24:H26" si="0">G24*F24</f>
        <v>0</v>
      </c>
      <c r="I24" s="28"/>
      <c r="J24" s="144">
        <v>7.0000000000000007E-2</v>
      </c>
      <c r="K24" s="17">
        <v>1</v>
      </c>
      <c r="L24" s="16">
        <f t="shared" ref="L24:L26" si="1">K24*J24</f>
        <v>7.0000000000000007E-2</v>
      </c>
      <c r="M24" s="28"/>
      <c r="N24" s="145">
        <f t="shared" ref="N24:N55" si="2">L24-H24</f>
        <v>7.0000000000000007E-2</v>
      </c>
      <c r="O24" s="18" t="str">
        <f t="shared" ref="O24:O35" si="3">IF((H24)=0,"",(N24/H24))</f>
        <v/>
      </c>
    </row>
    <row r="25" spans="1:15" ht="38.25">
      <c r="A25" s="19"/>
      <c r="B25" s="141" t="s">
        <v>70</v>
      </c>
      <c r="C25" s="20"/>
      <c r="D25" s="142"/>
      <c r="E25" s="14"/>
      <c r="F25" s="146"/>
      <c r="G25" s="15">
        <v>1</v>
      </c>
      <c r="H25" s="16">
        <f t="shared" si="0"/>
        <v>0</v>
      </c>
      <c r="I25" s="28"/>
      <c r="J25" s="144">
        <v>1.68</v>
      </c>
      <c r="K25" s="17">
        <v>1</v>
      </c>
      <c r="L25" s="16">
        <f t="shared" si="1"/>
        <v>1.68</v>
      </c>
      <c r="M25" s="28"/>
      <c r="N25" s="145">
        <f t="shared" si="2"/>
        <v>1.68</v>
      </c>
      <c r="O25" s="18" t="str">
        <f t="shared" si="3"/>
        <v/>
      </c>
    </row>
    <row r="26" spans="1:15">
      <c r="A26" s="19"/>
      <c r="B26" s="141" t="s">
        <v>21</v>
      </c>
      <c r="C26" s="20"/>
      <c r="D26" s="142" t="s">
        <v>22</v>
      </c>
      <c r="E26" s="14"/>
      <c r="F26" s="146">
        <v>1.4999999999999999E-2</v>
      </c>
      <c r="G26" s="15">
        <f t="shared" ref="G26" si="4">$F$18</f>
        <v>206</v>
      </c>
      <c r="H26" s="16">
        <f t="shared" si="0"/>
        <v>3.09</v>
      </c>
      <c r="I26" s="28"/>
      <c r="J26" s="31">
        <v>1.2907742015678856E-2</v>
      </c>
      <c r="K26" s="15">
        <f>$F$18</f>
        <v>206</v>
      </c>
      <c r="L26" s="16">
        <f t="shared" si="1"/>
        <v>2.6589948552298441</v>
      </c>
      <c r="M26" s="28"/>
      <c r="N26" s="145">
        <f t="shared" si="2"/>
        <v>-0.43100514477015572</v>
      </c>
      <c r="O26" s="18">
        <f t="shared" si="3"/>
        <v>-0.13948386562140963</v>
      </c>
    </row>
    <row r="27" spans="1:15">
      <c r="A27" s="19"/>
      <c r="B27" s="148" t="s">
        <v>23</v>
      </c>
      <c r="C27" s="149"/>
      <c r="D27" s="150"/>
      <c r="E27" s="149"/>
      <c r="F27" s="151"/>
      <c r="G27" s="152"/>
      <c r="H27" s="153">
        <f>SUM(H23:H26)</f>
        <v>14.08</v>
      </c>
      <c r="I27" s="28"/>
      <c r="J27" s="154"/>
      <c r="K27" s="155"/>
      <c r="L27" s="153">
        <f>SUM(L23:L26)</f>
        <v>18.428994855229845</v>
      </c>
      <c r="M27" s="28"/>
      <c r="N27" s="156">
        <f t="shared" si="2"/>
        <v>4.3489948552298454</v>
      </c>
      <c r="O27" s="157">
        <f t="shared" si="3"/>
        <v>0.30887747551348332</v>
      </c>
    </row>
    <row r="28" spans="1:15" ht="38.25">
      <c r="A28" s="158"/>
      <c r="B28" s="159" t="s">
        <v>69</v>
      </c>
      <c r="C28" s="20"/>
      <c r="D28" s="160" t="s">
        <v>22</v>
      </c>
      <c r="E28" s="20"/>
      <c r="F28" s="161"/>
      <c r="G28" s="21">
        <f t="shared" ref="G28:G34" si="5">$F$18</f>
        <v>206</v>
      </c>
      <c r="H28" s="22">
        <f t="shared" ref="H28:H36" si="6">G28*F28</f>
        <v>0</v>
      </c>
      <c r="I28" s="162"/>
      <c r="J28" s="161">
        <v>-8.4166580262031484E-4</v>
      </c>
      <c r="K28" s="21">
        <f t="shared" ref="K28:K34" si="7">$F$18</f>
        <v>206</v>
      </c>
      <c r="L28" s="22">
        <f t="shared" ref="L28:L36" si="8">K28*J28</f>
        <v>-0.17338315533978485</v>
      </c>
      <c r="M28" s="162"/>
      <c r="N28" s="163">
        <f t="shared" si="2"/>
        <v>-0.17338315533978485</v>
      </c>
      <c r="O28" s="23" t="str">
        <f t="shared" si="3"/>
        <v/>
      </c>
    </row>
    <row r="29" spans="1:15" ht="38.25">
      <c r="A29" s="164"/>
      <c r="B29" s="159" t="s">
        <v>69</v>
      </c>
      <c r="C29" s="20"/>
      <c r="D29" s="160" t="s">
        <v>22</v>
      </c>
      <c r="E29" s="20"/>
      <c r="F29" s="161"/>
      <c r="G29" s="21">
        <f t="shared" si="5"/>
        <v>206</v>
      </c>
      <c r="H29" s="22">
        <f t="shared" si="6"/>
        <v>0</v>
      </c>
      <c r="I29" s="162"/>
      <c r="J29" s="161">
        <v>-2.6878065725373353E-3</v>
      </c>
      <c r="K29" s="21">
        <f t="shared" si="7"/>
        <v>206</v>
      </c>
      <c r="L29" s="22">
        <f t="shared" si="8"/>
        <v>-0.55368815394269111</v>
      </c>
      <c r="M29" s="162"/>
      <c r="N29" s="163">
        <f t="shared" si="2"/>
        <v>-0.55368815394269111</v>
      </c>
      <c r="O29" s="23" t="str">
        <f t="shared" si="3"/>
        <v/>
      </c>
    </row>
    <row r="30" spans="1:15" ht="51">
      <c r="A30" s="164"/>
      <c r="B30" s="159" t="s">
        <v>75</v>
      </c>
      <c r="C30" s="20"/>
      <c r="D30" s="160" t="s">
        <v>22</v>
      </c>
      <c r="E30" s="20"/>
      <c r="F30" s="161"/>
      <c r="G30" s="21">
        <f t="shared" si="5"/>
        <v>206</v>
      </c>
      <c r="H30" s="22"/>
      <c r="I30" s="162"/>
      <c r="J30" s="161">
        <v>6.1999999999999998E-3</v>
      </c>
      <c r="K30" s="21">
        <f t="shared" si="7"/>
        <v>206</v>
      </c>
      <c r="L30" s="22">
        <f t="shared" si="8"/>
        <v>1.2771999999999999</v>
      </c>
      <c r="M30" s="162"/>
      <c r="N30" s="163">
        <f t="shared" si="2"/>
        <v>1.2771999999999999</v>
      </c>
      <c r="O30" s="23" t="str">
        <f t="shared" si="3"/>
        <v/>
      </c>
    </row>
    <row r="31" spans="1:15" ht="38.25">
      <c r="A31" s="164"/>
      <c r="B31" s="159" t="s">
        <v>73</v>
      </c>
      <c r="C31" s="20"/>
      <c r="D31" s="160" t="s">
        <v>19</v>
      </c>
      <c r="E31" s="20"/>
      <c r="F31" s="161"/>
      <c r="G31" s="21">
        <f t="shared" si="5"/>
        <v>206</v>
      </c>
      <c r="H31" s="22"/>
      <c r="I31" s="162"/>
      <c r="J31" s="161">
        <v>0.11</v>
      </c>
      <c r="K31" s="21">
        <v>1</v>
      </c>
      <c r="L31" s="22">
        <f t="shared" si="8"/>
        <v>0.11</v>
      </c>
      <c r="M31" s="162"/>
      <c r="N31" s="163">
        <f t="shared" si="2"/>
        <v>0.11</v>
      </c>
      <c r="O31" s="23" t="str">
        <f t="shared" si="3"/>
        <v/>
      </c>
    </row>
    <row r="32" spans="1:15" ht="25.5">
      <c r="A32" s="158"/>
      <c r="B32" s="159" t="s">
        <v>76</v>
      </c>
      <c r="C32" s="20"/>
      <c r="D32" s="160" t="s">
        <v>22</v>
      </c>
      <c r="E32" s="20"/>
      <c r="F32" s="161"/>
      <c r="G32" s="21">
        <f t="shared" si="5"/>
        <v>206</v>
      </c>
      <c r="H32" s="22">
        <f t="shared" si="6"/>
        <v>0</v>
      </c>
      <c r="I32" s="162"/>
      <c r="J32" s="161">
        <v>-3.9452380925434662E-4</v>
      </c>
      <c r="K32" s="21">
        <f t="shared" si="7"/>
        <v>206</v>
      </c>
      <c r="L32" s="22">
        <f t="shared" si="8"/>
        <v>-8.1271904706395406E-2</v>
      </c>
      <c r="M32" s="162"/>
      <c r="N32" s="163">
        <f t="shared" si="2"/>
        <v>-8.1271904706395406E-2</v>
      </c>
      <c r="O32" s="23" t="str">
        <f t="shared" si="3"/>
        <v/>
      </c>
    </row>
    <row r="33" spans="1:19" ht="51">
      <c r="A33" s="158"/>
      <c r="B33" s="159" t="s">
        <v>77</v>
      </c>
      <c r="C33" s="20"/>
      <c r="D33" s="160" t="s">
        <v>22</v>
      </c>
      <c r="E33" s="20"/>
      <c r="F33" s="161"/>
      <c r="G33" s="21">
        <f t="shared" si="5"/>
        <v>206</v>
      </c>
      <c r="H33" s="22">
        <f t="shared" si="6"/>
        <v>0</v>
      </c>
      <c r="I33" s="162"/>
      <c r="J33" s="161">
        <v>2.9506096519263029E-4</v>
      </c>
      <c r="K33" s="21">
        <f t="shared" si="7"/>
        <v>206</v>
      </c>
      <c r="L33" s="22">
        <f t="shared" si="8"/>
        <v>6.0782558829681838E-2</v>
      </c>
      <c r="M33" s="162"/>
      <c r="N33" s="163">
        <f t="shared" si="2"/>
        <v>6.0782558829681838E-2</v>
      </c>
      <c r="O33" s="23" t="str">
        <f t="shared" si="3"/>
        <v/>
      </c>
    </row>
    <row r="34" spans="1:19">
      <c r="A34" s="158"/>
      <c r="B34" s="159" t="s">
        <v>24</v>
      </c>
      <c r="C34" s="20"/>
      <c r="D34" s="160" t="s">
        <v>22</v>
      </c>
      <c r="E34" s="20"/>
      <c r="F34" s="161">
        <v>1.1000000000000001E-3</v>
      </c>
      <c r="G34" s="21">
        <f t="shared" si="5"/>
        <v>206</v>
      </c>
      <c r="H34" s="22">
        <f t="shared" si="6"/>
        <v>0.22660000000000002</v>
      </c>
      <c r="I34" s="162"/>
      <c r="J34" s="161">
        <v>8.0000000000000004E-4</v>
      </c>
      <c r="K34" s="21">
        <f t="shared" si="7"/>
        <v>206</v>
      </c>
      <c r="L34" s="22">
        <f t="shared" si="8"/>
        <v>0.1648</v>
      </c>
      <c r="M34" s="162"/>
      <c r="N34" s="163">
        <f t="shared" si="2"/>
        <v>-6.1800000000000022E-2</v>
      </c>
      <c r="O34" s="24">
        <f>IF((H34)=0,"",(N34/H34))</f>
        <v>-0.27272727272727282</v>
      </c>
    </row>
    <row r="35" spans="1:19">
      <c r="A35" s="19"/>
      <c r="B35" s="141" t="s">
        <v>25</v>
      </c>
      <c r="C35" s="20"/>
      <c r="D35" s="160" t="s">
        <v>22</v>
      </c>
      <c r="E35" s="20"/>
      <c r="F35" s="161">
        <f>IF(ISBLANK(D16)=1, 0, IF(D16="TOU", 0.64*$F$45+0.18*$F$46+0.18*$F$47, IF(AND(D16="non-TOU", G49&gt;0), F49,F48)))</f>
        <v>0.10766000000000001</v>
      </c>
      <c r="G35" s="21">
        <f>$F$18*(1+$F$64)-$F$18</f>
        <v>8.0339999999999918</v>
      </c>
      <c r="H35" s="22">
        <f t="shared" si="6"/>
        <v>0.86494043999999914</v>
      </c>
      <c r="I35" s="162"/>
      <c r="J35" s="161">
        <f>0.64*$F$45+0.18*$F$46+0.18*$F$47</f>
        <v>0.10766000000000001</v>
      </c>
      <c r="K35" s="21">
        <f>$F$18*(1+$J$64)-$F$18</f>
        <v>9.4142000000000223</v>
      </c>
      <c r="L35" s="22">
        <f t="shared" si="8"/>
        <v>1.0135327720000025</v>
      </c>
      <c r="M35" s="162"/>
      <c r="N35" s="163">
        <f t="shared" si="2"/>
        <v>0.14859233200000332</v>
      </c>
      <c r="O35" s="24">
        <f t="shared" si="3"/>
        <v>0.17179487179487582</v>
      </c>
    </row>
    <row r="36" spans="1:19">
      <c r="A36" s="19"/>
      <c r="B36" s="165" t="s">
        <v>26</v>
      </c>
      <c r="C36" s="20"/>
      <c r="D36" s="166" t="s">
        <v>22</v>
      </c>
      <c r="E36" s="14"/>
      <c r="F36" s="167">
        <v>0.79</v>
      </c>
      <c r="G36" s="25">
        <v>1</v>
      </c>
      <c r="H36" s="26">
        <f t="shared" si="6"/>
        <v>0.79</v>
      </c>
      <c r="I36" s="168"/>
      <c r="J36" s="167">
        <v>0.79</v>
      </c>
      <c r="K36" s="25">
        <v>1</v>
      </c>
      <c r="L36" s="26">
        <f t="shared" si="8"/>
        <v>0.79</v>
      </c>
      <c r="M36" s="168"/>
      <c r="N36" s="169">
        <f t="shared" si="2"/>
        <v>0</v>
      </c>
      <c r="O36" s="27"/>
    </row>
    <row r="37" spans="1:19" ht="25.5">
      <c r="B37" s="170" t="s">
        <v>27</v>
      </c>
      <c r="C37" s="171"/>
      <c r="D37" s="171"/>
      <c r="E37" s="171"/>
      <c r="F37" s="172"/>
      <c r="G37" s="173"/>
      <c r="H37" s="174">
        <f>SUM(H28:H36)+H27</f>
        <v>15.96154044</v>
      </c>
      <c r="I37" s="28"/>
      <c r="J37" s="173"/>
      <c r="K37" s="175"/>
      <c r="L37" s="174">
        <f>SUM(L28:L36)+L27</f>
        <v>21.036966972070658</v>
      </c>
      <c r="M37" s="28"/>
      <c r="N37" s="156">
        <f t="shared" si="2"/>
        <v>5.075426532070658</v>
      </c>
      <c r="O37" s="157">
        <f t="shared" ref="O37:O55" si="9">IF((H37)=0,"",(N37/H37))</f>
        <v>0.31797849030608089</v>
      </c>
    </row>
    <row r="38" spans="1:19">
      <c r="B38" s="176" t="s">
        <v>28</v>
      </c>
      <c r="C38" s="28"/>
      <c r="D38" s="177" t="s">
        <v>22</v>
      </c>
      <c r="E38" s="28"/>
      <c r="F38" s="31">
        <v>6.3E-3</v>
      </c>
      <c r="G38" s="29">
        <f>F18*(1+F64)</f>
        <v>214.03399999999999</v>
      </c>
      <c r="H38" s="16">
        <f>G38*F38</f>
        <v>1.3484141999999999</v>
      </c>
      <c r="I38" s="28"/>
      <c r="J38" s="31">
        <v>5.9083602245513928E-3</v>
      </c>
      <c r="K38" s="30">
        <f>F18*(1+J64)</f>
        <v>215.41420000000002</v>
      </c>
      <c r="L38" s="16">
        <f>K38*J38</f>
        <v>1.2727446910835587</v>
      </c>
      <c r="M38" s="28"/>
      <c r="N38" s="145">
        <f t="shared" si="2"/>
        <v>-7.5669508916441197E-2</v>
      </c>
      <c r="O38" s="18">
        <f t="shared" si="9"/>
        <v>-5.611740733406783E-2</v>
      </c>
    </row>
    <row r="39" spans="1:19" ht="25.5">
      <c r="B39" s="178" t="s">
        <v>29</v>
      </c>
      <c r="C39" s="28"/>
      <c r="D39" s="177" t="s">
        <v>22</v>
      </c>
      <c r="E39" s="28"/>
      <c r="F39" s="31">
        <v>4.4999999999999997E-3</v>
      </c>
      <c r="G39" s="29">
        <f>G38</f>
        <v>214.03399999999999</v>
      </c>
      <c r="H39" s="16">
        <f>G39*F39</f>
        <v>0.96315299999999993</v>
      </c>
      <c r="I39" s="28"/>
      <c r="J39" s="31">
        <v>4.5291837326333229E-3</v>
      </c>
      <c r="K39" s="30">
        <f>K38</f>
        <v>215.41420000000002</v>
      </c>
      <c r="L39" s="16">
        <f>K39*J39</f>
        <v>0.97565049041822127</v>
      </c>
      <c r="M39" s="28"/>
      <c r="N39" s="145">
        <f t="shared" si="2"/>
        <v>1.2497490418221346E-2</v>
      </c>
      <c r="O39" s="18">
        <f t="shared" si="9"/>
        <v>1.2975602441378834E-2</v>
      </c>
    </row>
    <row r="40" spans="1:19" ht="25.5">
      <c r="B40" s="170" t="s">
        <v>30</v>
      </c>
      <c r="C40" s="149"/>
      <c r="D40" s="149"/>
      <c r="E40" s="149"/>
      <c r="F40" s="179"/>
      <c r="G40" s="173"/>
      <c r="H40" s="174">
        <f>SUM(H37:H39)</f>
        <v>18.273107639999999</v>
      </c>
      <c r="I40" s="180"/>
      <c r="J40" s="181"/>
      <c r="K40" s="182"/>
      <c r="L40" s="174">
        <f>SUM(L37:L39)</f>
        <v>23.285362153572439</v>
      </c>
      <c r="M40" s="180"/>
      <c r="N40" s="156">
        <f t="shared" si="2"/>
        <v>5.0122545135724401</v>
      </c>
      <c r="O40" s="157">
        <f t="shared" si="9"/>
        <v>0.27429677602295566</v>
      </c>
    </row>
    <row r="41" spans="1:19" ht="25.5">
      <c r="B41" s="141" t="s">
        <v>31</v>
      </c>
      <c r="C41" s="20"/>
      <c r="D41" s="183" t="s">
        <v>22</v>
      </c>
      <c r="E41" s="14"/>
      <c r="F41" s="31">
        <v>3.5999999999999999E-3</v>
      </c>
      <c r="G41" s="29">
        <f>G39</f>
        <v>214.03399999999999</v>
      </c>
      <c r="H41" s="16">
        <f t="shared" ref="H41:H47" si="10">G41*F41</f>
        <v>0.77052239999999994</v>
      </c>
      <c r="I41" s="28"/>
      <c r="J41" s="31">
        <v>3.5999999999999999E-3</v>
      </c>
      <c r="K41" s="30">
        <f>K39</f>
        <v>215.41420000000002</v>
      </c>
      <c r="L41" s="16">
        <f t="shared" ref="L41:L47" si="11">K41*J41</f>
        <v>0.77549112000000009</v>
      </c>
      <c r="M41" s="28"/>
      <c r="N41" s="145">
        <f t="shared" si="2"/>
        <v>4.9687200000001486E-3</v>
      </c>
      <c r="O41" s="18">
        <f t="shared" si="9"/>
        <v>6.4485081809434082E-3</v>
      </c>
    </row>
    <row r="42" spans="1:19" ht="25.5">
      <c r="B42" s="141" t="s">
        <v>32</v>
      </c>
      <c r="C42" s="20"/>
      <c r="D42" s="183" t="s">
        <v>22</v>
      </c>
      <c r="E42" s="14"/>
      <c r="F42" s="31">
        <v>1.2999999999999999E-3</v>
      </c>
      <c r="G42" s="29">
        <f>G39</f>
        <v>214.03399999999999</v>
      </c>
      <c r="H42" s="16">
        <f t="shared" si="10"/>
        <v>0.2782442</v>
      </c>
      <c r="I42" s="28"/>
      <c r="J42" s="31">
        <v>1.2999999999999999E-3</v>
      </c>
      <c r="K42" s="30">
        <f>K39</f>
        <v>215.41420000000002</v>
      </c>
      <c r="L42" s="16">
        <f t="shared" si="11"/>
        <v>0.28003845999999999</v>
      </c>
      <c r="M42" s="28"/>
      <c r="N42" s="145">
        <f t="shared" si="2"/>
        <v>1.794259999999992E-3</v>
      </c>
      <c r="O42" s="18">
        <f t="shared" si="9"/>
        <v>6.4485081809431861E-3</v>
      </c>
    </row>
    <row r="43" spans="1:19">
      <c r="B43" s="141" t="s">
        <v>33</v>
      </c>
      <c r="C43" s="20"/>
      <c r="D43" s="183" t="s">
        <v>19</v>
      </c>
      <c r="E43" s="14"/>
      <c r="F43" s="31">
        <v>0.25</v>
      </c>
      <c r="G43" s="15">
        <v>1</v>
      </c>
      <c r="H43" s="16">
        <f t="shared" si="10"/>
        <v>0.25</v>
      </c>
      <c r="I43" s="28"/>
      <c r="J43" s="31">
        <v>0.25</v>
      </c>
      <c r="K43" s="17">
        <v>1</v>
      </c>
      <c r="L43" s="16">
        <f t="shared" si="11"/>
        <v>0.25</v>
      </c>
      <c r="M43" s="28"/>
      <c r="N43" s="145">
        <f t="shared" si="2"/>
        <v>0</v>
      </c>
      <c r="O43" s="18">
        <f t="shared" si="9"/>
        <v>0</v>
      </c>
    </row>
    <row r="44" spans="1:19">
      <c r="B44" s="141" t="s">
        <v>34</v>
      </c>
      <c r="C44" s="20"/>
      <c r="D44" s="183" t="s">
        <v>22</v>
      </c>
      <c r="E44" s="14"/>
      <c r="F44" s="31">
        <v>1.1000000000000001E-3</v>
      </c>
      <c r="G44" s="29">
        <f>F18</f>
        <v>206</v>
      </c>
      <c r="H44" s="16">
        <f t="shared" si="10"/>
        <v>0.22660000000000002</v>
      </c>
      <c r="I44" s="28"/>
      <c r="J44" s="31">
        <v>1.1000000000000001E-3</v>
      </c>
      <c r="K44" s="30">
        <f>F18</f>
        <v>206</v>
      </c>
      <c r="L44" s="16">
        <f t="shared" si="11"/>
        <v>0.22660000000000002</v>
      </c>
      <c r="M44" s="28"/>
      <c r="N44" s="145">
        <f t="shared" si="2"/>
        <v>0</v>
      </c>
      <c r="O44" s="18">
        <f t="shared" si="9"/>
        <v>0</v>
      </c>
    </row>
    <row r="45" spans="1:19">
      <c r="B45" s="165" t="s">
        <v>35</v>
      </c>
      <c r="C45" s="20"/>
      <c r="D45" s="183" t="s">
        <v>22</v>
      </c>
      <c r="E45" s="14"/>
      <c r="F45" s="31">
        <v>8.3000000000000004E-2</v>
      </c>
      <c r="G45" s="184">
        <f>0.64*$F$18</f>
        <v>131.84</v>
      </c>
      <c r="H45" s="16">
        <f t="shared" si="10"/>
        <v>10.942720000000001</v>
      </c>
      <c r="I45" s="28"/>
      <c r="J45" s="31">
        <v>8.3000000000000004E-2</v>
      </c>
      <c r="K45" s="184">
        <f>G45</f>
        <v>131.84</v>
      </c>
      <c r="L45" s="16">
        <f t="shared" si="11"/>
        <v>10.942720000000001</v>
      </c>
      <c r="M45" s="28"/>
      <c r="N45" s="145">
        <f t="shared" si="2"/>
        <v>0</v>
      </c>
      <c r="O45" s="18">
        <f t="shared" si="9"/>
        <v>0</v>
      </c>
      <c r="S45" s="185"/>
    </row>
    <row r="46" spans="1:19">
      <c r="B46" s="165" t="s">
        <v>36</v>
      </c>
      <c r="C46" s="20"/>
      <c r="D46" s="183" t="s">
        <v>22</v>
      </c>
      <c r="E46" s="14"/>
      <c r="F46" s="31">
        <v>0.128</v>
      </c>
      <c r="G46" s="184">
        <f>0.18*$F$18</f>
        <v>37.08</v>
      </c>
      <c r="H46" s="16">
        <f t="shared" si="10"/>
        <v>4.7462400000000002</v>
      </c>
      <c r="I46" s="28"/>
      <c r="J46" s="31">
        <v>0.128</v>
      </c>
      <c r="K46" s="184">
        <f>G46</f>
        <v>37.08</v>
      </c>
      <c r="L46" s="16">
        <f t="shared" si="11"/>
        <v>4.7462400000000002</v>
      </c>
      <c r="M46" s="28"/>
      <c r="N46" s="145">
        <f t="shared" si="2"/>
        <v>0</v>
      </c>
      <c r="O46" s="18">
        <f t="shared" si="9"/>
        <v>0</v>
      </c>
      <c r="S46" s="185"/>
    </row>
    <row r="47" spans="1:19">
      <c r="B47" s="131" t="s">
        <v>37</v>
      </c>
      <c r="C47" s="20"/>
      <c r="D47" s="183" t="s">
        <v>22</v>
      </c>
      <c r="E47" s="14"/>
      <c r="F47" s="31">
        <v>0.17499999999999999</v>
      </c>
      <c r="G47" s="184">
        <f>0.18*$F$18</f>
        <v>37.08</v>
      </c>
      <c r="H47" s="16">
        <f t="shared" si="10"/>
        <v>6.488999999999999</v>
      </c>
      <c r="I47" s="28"/>
      <c r="J47" s="31">
        <v>0.17499999999999999</v>
      </c>
      <c r="K47" s="184">
        <f>G47</f>
        <v>37.08</v>
      </c>
      <c r="L47" s="16">
        <f t="shared" si="11"/>
        <v>6.488999999999999</v>
      </c>
      <c r="M47" s="28"/>
      <c r="N47" s="145">
        <f t="shared" si="2"/>
        <v>0</v>
      </c>
      <c r="O47" s="18">
        <f t="shared" si="9"/>
        <v>0</v>
      </c>
      <c r="S47" s="185"/>
    </row>
    <row r="48" spans="1:19" s="190" customFormat="1">
      <c r="B48" s="186" t="s">
        <v>38</v>
      </c>
      <c r="C48" s="32"/>
      <c r="D48" s="183" t="s">
        <v>22</v>
      </c>
      <c r="E48" s="32"/>
      <c r="F48" s="31">
        <v>9.9000000000000005E-2</v>
      </c>
      <c r="G48" s="187">
        <f>IF(AND($T$1=1, F18&gt;=600), 600, IF(AND($T$1=1, AND(F18&lt;600, F18&gt;=0)), F18, IF(AND($T$1=2, F18&gt;=1000), 1000, IF(AND($T$1=2, AND(F18&lt;1000, F18&gt;=0)), F18))))</f>
        <v>206</v>
      </c>
      <c r="H48" s="16">
        <f>G48*F48</f>
        <v>20.394000000000002</v>
      </c>
      <c r="I48" s="188"/>
      <c r="J48" s="31">
        <v>9.9000000000000005E-2</v>
      </c>
      <c r="K48" s="187">
        <f>G48</f>
        <v>206</v>
      </c>
      <c r="L48" s="16">
        <f>K48*J48</f>
        <v>20.394000000000002</v>
      </c>
      <c r="M48" s="188"/>
      <c r="N48" s="189">
        <f t="shared" si="2"/>
        <v>0</v>
      </c>
      <c r="O48" s="18">
        <f t="shared" si="9"/>
        <v>0</v>
      </c>
    </row>
    <row r="49" spans="2:19" s="190" customFormat="1" ht="13.5" thickBot="1">
      <c r="B49" s="186" t="s">
        <v>39</v>
      </c>
      <c r="C49" s="32"/>
      <c r="D49" s="183" t="s">
        <v>22</v>
      </c>
      <c r="E49" s="32"/>
      <c r="F49" s="31">
        <v>0.11600000000000001</v>
      </c>
      <c r="G49" s="187">
        <f>IF(AND($T$1=1, F18&gt;=600), F18-600, IF(AND($T$1=1, AND(F18&lt;600, F18&gt;=0)), 0, IF(AND($T$1=2, F18&gt;=1000), F18-1000, IF(AND($T$1=2, AND(F18&lt;1000, F18&gt;=0)), 0))))</f>
        <v>0</v>
      </c>
      <c r="H49" s="16">
        <f>G49*F49</f>
        <v>0</v>
      </c>
      <c r="I49" s="188"/>
      <c r="J49" s="31">
        <v>0.11600000000000001</v>
      </c>
      <c r="K49" s="187">
        <f>G49</f>
        <v>0</v>
      </c>
      <c r="L49" s="16">
        <f>K49*J49</f>
        <v>0</v>
      </c>
      <c r="M49" s="188"/>
      <c r="N49" s="189">
        <f t="shared" si="2"/>
        <v>0</v>
      </c>
      <c r="O49" s="18" t="str">
        <f t="shared" si="9"/>
        <v/>
      </c>
    </row>
    <row r="50" spans="2:19" ht="13.5" thickBot="1">
      <c r="B50" s="191"/>
      <c r="C50" s="192"/>
      <c r="D50" s="193"/>
      <c r="E50" s="192"/>
      <c r="F50" s="194"/>
      <c r="G50" s="195"/>
      <c r="H50" s="196"/>
      <c r="I50" s="197"/>
      <c r="J50" s="194"/>
      <c r="K50" s="198"/>
      <c r="L50" s="196"/>
      <c r="M50" s="197"/>
      <c r="N50" s="199"/>
      <c r="O50" s="200"/>
    </row>
    <row r="51" spans="2:19">
      <c r="B51" s="298" t="s">
        <v>40</v>
      </c>
      <c r="C51" s="290"/>
      <c r="D51" s="290"/>
      <c r="E51" s="20"/>
      <c r="F51" s="33"/>
      <c r="G51" s="34"/>
      <c r="H51" s="35">
        <f>SUM(H41:H47,H40)</f>
        <v>41.976434239999996</v>
      </c>
      <c r="I51" s="36"/>
      <c r="J51" s="37"/>
      <c r="K51" s="37"/>
      <c r="L51" s="35">
        <f>SUM(L41:L47,L40)</f>
        <v>46.995451733572438</v>
      </c>
      <c r="M51" s="38"/>
      <c r="N51" s="39">
        <f>L51-H51</f>
        <v>5.0190174935724414</v>
      </c>
      <c r="O51" s="40">
        <f>IF((H51)=0,"",(N51/H51))</f>
        <v>0.11956750458784185</v>
      </c>
      <c r="S51" s="185"/>
    </row>
    <row r="52" spans="2:19">
      <c r="B52" s="299" t="s">
        <v>41</v>
      </c>
      <c r="C52" s="290"/>
      <c r="D52" s="290"/>
      <c r="E52" s="20"/>
      <c r="F52" s="41">
        <v>0.13</v>
      </c>
      <c r="G52" s="42"/>
      <c r="H52" s="43">
        <f>H51*F52</f>
        <v>5.4569364511999998</v>
      </c>
      <c r="I52" s="44"/>
      <c r="J52" s="45">
        <v>0.13</v>
      </c>
      <c r="K52" s="44"/>
      <c r="L52" s="46">
        <f>L51*J52</f>
        <v>6.1094087253644167</v>
      </c>
      <c r="M52" s="47"/>
      <c r="N52" s="48">
        <f t="shared" si="2"/>
        <v>0.65247227416441689</v>
      </c>
      <c r="O52" s="18">
        <f t="shared" si="9"/>
        <v>0.11956750458784175</v>
      </c>
      <c r="S52" s="185"/>
    </row>
    <row r="53" spans="2:19">
      <c r="B53" s="300" t="s">
        <v>42</v>
      </c>
      <c r="C53" s="290"/>
      <c r="D53" s="290"/>
      <c r="E53" s="20"/>
      <c r="F53" s="49"/>
      <c r="G53" s="42"/>
      <c r="H53" s="43">
        <f>H51+H52</f>
        <v>47.433370691199997</v>
      </c>
      <c r="I53" s="44"/>
      <c r="J53" s="44"/>
      <c r="K53" s="44"/>
      <c r="L53" s="46">
        <f>L51+L52</f>
        <v>53.104860458936855</v>
      </c>
      <c r="M53" s="47"/>
      <c r="N53" s="48">
        <f t="shared" si="2"/>
        <v>5.6714897677368583</v>
      </c>
      <c r="O53" s="18">
        <f t="shared" si="9"/>
        <v>0.11956750458784184</v>
      </c>
      <c r="S53" s="185"/>
    </row>
    <row r="54" spans="2:19">
      <c r="B54" s="301" t="s">
        <v>43</v>
      </c>
      <c r="C54" s="301"/>
      <c r="D54" s="301"/>
      <c r="E54" s="20"/>
      <c r="F54" s="49"/>
      <c r="G54" s="42"/>
      <c r="H54" s="50">
        <f>ROUND(-H53*0.1,2)</f>
        <v>-4.74</v>
      </c>
      <c r="I54" s="44"/>
      <c r="J54" s="44"/>
      <c r="K54" s="44"/>
      <c r="L54" s="51">
        <f>ROUND(-L53*0.1,2)</f>
        <v>-5.31</v>
      </c>
      <c r="M54" s="47"/>
      <c r="N54" s="52">
        <f t="shared" si="2"/>
        <v>-0.5699999999999994</v>
      </c>
      <c r="O54" s="53">
        <f t="shared" si="9"/>
        <v>0.12025316455696189</v>
      </c>
    </row>
    <row r="55" spans="2:19" ht="13.5" thickBot="1">
      <c r="B55" s="302" t="s">
        <v>44</v>
      </c>
      <c r="C55" s="302"/>
      <c r="D55" s="302"/>
      <c r="E55" s="14"/>
      <c r="F55" s="201"/>
      <c r="G55" s="202"/>
      <c r="H55" s="203">
        <f>H53+H54</f>
        <v>42.693370691199995</v>
      </c>
      <c r="I55" s="204"/>
      <c r="J55" s="204"/>
      <c r="K55" s="204"/>
      <c r="L55" s="205">
        <f>L53+L54</f>
        <v>47.794860458936853</v>
      </c>
      <c r="M55" s="206"/>
      <c r="N55" s="207">
        <f t="shared" si="2"/>
        <v>5.101489767736858</v>
      </c>
      <c r="O55" s="208">
        <f t="shared" si="9"/>
        <v>0.11949137969535825</v>
      </c>
    </row>
    <row r="56" spans="2:19" s="190" customFormat="1" ht="13.5" thickBot="1">
      <c r="B56" s="209"/>
      <c r="C56" s="210"/>
      <c r="D56" s="211"/>
      <c r="E56" s="210"/>
      <c r="F56" s="194"/>
      <c r="G56" s="212"/>
      <c r="H56" s="196"/>
      <c r="I56" s="213"/>
      <c r="J56" s="194"/>
      <c r="K56" s="214"/>
      <c r="L56" s="196"/>
      <c r="M56" s="213"/>
      <c r="N56" s="215"/>
      <c r="O56" s="200"/>
    </row>
    <row r="57" spans="2:19" s="190" customFormat="1">
      <c r="B57" s="293" t="s">
        <v>45</v>
      </c>
      <c r="C57" s="188"/>
      <c r="D57" s="188"/>
      <c r="E57" s="32"/>
      <c r="F57" s="55"/>
      <c r="G57" s="56"/>
      <c r="H57" s="57">
        <f>SUM(H48:H49,H40,H41:H44)</f>
        <v>40.192474239999996</v>
      </c>
      <c r="I57" s="58"/>
      <c r="J57" s="59"/>
      <c r="K57" s="59"/>
      <c r="L57" s="57">
        <f>SUM(L48:L49,L40,L41:L44)</f>
        <v>45.211491733572437</v>
      </c>
      <c r="M57" s="60"/>
      <c r="N57" s="61">
        <f>L57-H57</f>
        <v>5.0190174935724414</v>
      </c>
      <c r="O57" s="40">
        <f>IF((H57)=0,"",(N57/H57))</f>
        <v>0.12487455894361088</v>
      </c>
    </row>
    <row r="58" spans="2:19" s="190" customFormat="1">
      <c r="B58" s="294" t="s">
        <v>41</v>
      </c>
      <c r="C58" s="188"/>
      <c r="D58" s="188"/>
      <c r="E58" s="32"/>
      <c r="F58" s="62">
        <v>0.13</v>
      </c>
      <c r="G58" s="56"/>
      <c r="H58" s="63">
        <f>H57*F58</f>
        <v>5.2250216511999996</v>
      </c>
      <c r="I58" s="64"/>
      <c r="J58" s="65">
        <v>0.13</v>
      </c>
      <c r="K58" s="66"/>
      <c r="L58" s="67">
        <f>L57*J58</f>
        <v>5.8774939253644174</v>
      </c>
      <c r="M58" s="68"/>
      <c r="N58" s="69">
        <f>L58-H58</f>
        <v>0.65247227416441778</v>
      </c>
      <c r="O58" s="18">
        <f>IF((H58)=0,"",(N58/H58))</f>
        <v>0.12487455894361095</v>
      </c>
    </row>
    <row r="59" spans="2:19" s="190" customFormat="1">
      <c r="B59" s="295" t="s">
        <v>42</v>
      </c>
      <c r="C59" s="188"/>
      <c r="D59" s="188"/>
      <c r="E59" s="32"/>
      <c r="F59" s="70"/>
      <c r="G59" s="71"/>
      <c r="H59" s="63">
        <f>H57+H58</f>
        <v>45.417495891199998</v>
      </c>
      <c r="I59" s="64"/>
      <c r="J59" s="64"/>
      <c r="K59" s="64"/>
      <c r="L59" s="67">
        <f>L57+L58</f>
        <v>51.088985658936856</v>
      </c>
      <c r="M59" s="68"/>
      <c r="N59" s="69">
        <f>L59-H59</f>
        <v>5.6714897677368583</v>
      </c>
      <c r="O59" s="18">
        <f>IF((H59)=0,"",(N59/H59))</f>
        <v>0.12487455894361087</v>
      </c>
    </row>
    <row r="60" spans="2:19" s="190" customFormat="1">
      <c r="B60" s="296" t="s">
        <v>43</v>
      </c>
      <c r="C60" s="296"/>
      <c r="D60" s="296"/>
      <c r="E60" s="32"/>
      <c r="F60" s="70"/>
      <c r="G60" s="71"/>
      <c r="H60" s="72">
        <f>ROUND(-H59*0.1,2)</f>
        <v>-4.54</v>
      </c>
      <c r="I60" s="64"/>
      <c r="J60" s="64"/>
      <c r="K60" s="64"/>
      <c r="L60" s="73">
        <f>ROUND(-L59*0.1,2)</f>
        <v>-5.1100000000000003</v>
      </c>
      <c r="M60" s="68"/>
      <c r="N60" s="74">
        <f>L60-H60</f>
        <v>-0.57000000000000028</v>
      </c>
      <c r="O60" s="53">
        <f>IF((H60)=0,"",(N60/H60))</f>
        <v>0.1255506607929516</v>
      </c>
    </row>
    <row r="61" spans="2:19" s="190" customFormat="1" ht="13.5" thickBot="1">
      <c r="B61" s="297" t="s">
        <v>46</v>
      </c>
      <c r="C61" s="297"/>
      <c r="D61" s="297"/>
      <c r="E61" s="32"/>
      <c r="F61" s="70"/>
      <c r="G61" s="71"/>
      <c r="H61" s="57">
        <f>SUM(H59:H60)</f>
        <v>40.877495891199999</v>
      </c>
      <c r="I61" s="58"/>
      <c r="J61" s="58"/>
      <c r="K61" s="58"/>
      <c r="L61" s="216">
        <f>SUM(L59:L60)</f>
        <v>45.978985658936857</v>
      </c>
      <c r="M61" s="60"/>
      <c r="N61" s="61">
        <f>L61-H61</f>
        <v>5.101489767736858</v>
      </c>
      <c r="O61" s="40">
        <f>IF((H61)=0,"",(N61/H61))</f>
        <v>0.12479946866889891</v>
      </c>
    </row>
    <row r="62" spans="2:19" s="190" customFormat="1" ht="13.5" thickBot="1">
      <c r="B62" s="209"/>
      <c r="C62" s="210"/>
      <c r="D62" s="211"/>
      <c r="E62" s="210"/>
      <c r="F62" s="217"/>
      <c r="G62" s="218"/>
      <c r="H62" s="219"/>
      <c r="I62" s="220"/>
      <c r="J62" s="217"/>
      <c r="K62" s="212"/>
      <c r="L62" s="221"/>
      <c r="M62" s="213"/>
      <c r="N62" s="222"/>
      <c r="O62" s="200"/>
    </row>
    <row r="63" spans="2:19">
      <c r="L63" s="185"/>
    </row>
    <row r="64" spans="2:19">
      <c r="B64" s="223" t="s">
        <v>47</v>
      </c>
      <c r="F64" s="224">
        <v>3.9E-2</v>
      </c>
      <c r="J64" s="224">
        <v>4.5699999999999998E-2</v>
      </c>
    </row>
    <row r="66" spans="1:2" ht="14.25">
      <c r="A66" s="225" t="s">
        <v>48</v>
      </c>
    </row>
    <row r="68" spans="1:2">
      <c r="A68" s="12" t="s">
        <v>49</v>
      </c>
    </row>
    <row r="69" spans="1:2">
      <c r="A69" s="12" t="s">
        <v>50</v>
      </c>
    </row>
    <row r="71" spans="1:2">
      <c r="A71" s="226" t="s">
        <v>51</v>
      </c>
    </row>
    <row r="72" spans="1:2">
      <c r="A72" s="226" t="s">
        <v>52</v>
      </c>
    </row>
    <row r="74" spans="1:2">
      <c r="A74" s="12" t="s">
        <v>53</v>
      </c>
    </row>
    <row r="75" spans="1:2">
      <c r="A75" s="12" t="s">
        <v>54</v>
      </c>
    </row>
    <row r="76" spans="1:2">
      <c r="A76" s="12" t="s">
        <v>55</v>
      </c>
    </row>
    <row r="77" spans="1:2">
      <c r="A77" s="12" t="s">
        <v>56</v>
      </c>
    </row>
    <row r="78" spans="1:2">
      <c r="A78" s="12" t="s">
        <v>57</v>
      </c>
    </row>
    <row r="80" spans="1:2" ht="51">
      <c r="B80" s="13" t="s">
        <v>58</v>
      </c>
    </row>
  </sheetData>
  <mergeCells count="14">
    <mergeCell ref="B61:D61"/>
    <mergeCell ref="D21:D22"/>
    <mergeCell ref="N21:N22"/>
    <mergeCell ref="O21:O22"/>
    <mergeCell ref="B54:D54"/>
    <mergeCell ref="B55:D55"/>
    <mergeCell ref="B60:D6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2 E38:E39 E41:E50 E56 E28:E36 E23:E26">
      <formula1>"#REF!"</formula1>
      <formula2>0</formula2>
    </dataValidation>
    <dataValidation type="list" allowBlank="1" showInputMessage="1" showErrorMessage="1" prompt="Select Charge Unit - monthly, per kWh, per kW" sqref="D62 D38:D39 D56 D41:D50 D28:D36 D23:D26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workbookViewId="0">
      <selection activeCell="B58" sqref="B58:D61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3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750</v>
      </c>
      <c r="G18" s="132" t="s">
        <v>7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136" t="s">
        <v>13</v>
      </c>
      <c r="H21" s="137" t="s">
        <v>14</v>
      </c>
      <c r="J21" s="136" t="s">
        <v>12</v>
      </c>
      <c r="K21" s="138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139"/>
      <c r="H22" s="140" t="s">
        <v>17</v>
      </c>
      <c r="J22" s="139" t="s">
        <v>17</v>
      </c>
      <c r="K22" s="140"/>
      <c r="L22" s="140" t="s">
        <v>17</v>
      </c>
      <c r="N22" s="287"/>
      <c r="O22" s="288"/>
    </row>
    <row r="23" spans="1:15">
      <c r="B23" s="141" t="s">
        <v>72</v>
      </c>
      <c r="C23" s="20"/>
      <c r="D23" s="142" t="s">
        <v>19</v>
      </c>
      <c r="E23" s="14"/>
      <c r="F23" s="143">
        <v>10.99</v>
      </c>
      <c r="G23" s="15">
        <v>1</v>
      </c>
      <c r="H23" s="16">
        <f>G23*F23</f>
        <v>10.99</v>
      </c>
      <c r="I23" s="28"/>
      <c r="J23" s="144">
        <v>14.02</v>
      </c>
      <c r="K23" s="17">
        <v>1</v>
      </c>
      <c r="L23" s="16">
        <f>K23*J23</f>
        <v>14.02</v>
      </c>
      <c r="M23" s="28"/>
      <c r="N23" s="145">
        <f>L23-H23</f>
        <v>3.0299999999999994</v>
      </c>
      <c r="O23" s="18">
        <f>IF((H23)=0,"",(N23/H23))</f>
        <v>0.27570518653321197</v>
      </c>
    </row>
    <row r="24" spans="1:15" ht="38.25">
      <c r="A24" s="19"/>
      <c r="B24" s="147" t="s">
        <v>71</v>
      </c>
      <c r="C24" s="20"/>
      <c r="D24" s="142" t="s">
        <v>19</v>
      </c>
      <c r="E24" s="14"/>
      <c r="F24" s="146"/>
      <c r="G24" s="15">
        <v>1</v>
      </c>
      <c r="H24" s="16">
        <f t="shared" ref="H24:H26" si="0">G24*F24</f>
        <v>0</v>
      </c>
      <c r="I24" s="28"/>
      <c r="J24" s="144">
        <v>7.0000000000000007E-2</v>
      </c>
      <c r="K24" s="17">
        <v>1</v>
      </c>
      <c r="L24" s="16">
        <f t="shared" ref="L24:L26" si="1">K24*J24</f>
        <v>7.0000000000000007E-2</v>
      </c>
      <c r="M24" s="28"/>
      <c r="N24" s="145">
        <f t="shared" ref="N24:N55" si="2">L24-H24</f>
        <v>7.0000000000000007E-2</v>
      </c>
      <c r="O24" s="18" t="str">
        <f t="shared" ref="O24:O35" si="3">IF((H24)=0,"",(N24/H24))</f>
        <v/>
      </c>
    </row>
    <row r="25" spans="1:15" ht="38.25">
      <c r="A25" s="19"/>
      <c r="B25" s="141" t="s">
        <v>70</v>
      </c>
      <c r="C25" s="20"/>
      <c r="D25" s="142"/>
      <c r="E25" s="14"/>
      <c r="F25" s="146"/>
      <c r="G25" s="15">
        <v>1</v>
      </c>
      <c r="H25" s="16">
        <f t="shared" si="0"/>
        <v>0</v>
      </c>
      <c r="I25" s="28"/>
      <c r="J25" s="144">
        <v>1.68</v>
      </c>
      <c r="K25" s="17">
        <v>1</v>
      </c>
      <c r="L25" s="16">
        <f t="shared" si="1"/>
        <v>1.68</v>
      </c>
      <c r="M25" s="28"/>
      <c r="N25" s="145">
        <f t="shared" si="2"/>
        <v>1.68</v>
      </c>
      <c r="O25" s="18" t="str">
        <f t="shared" si="3"/>
        <v/>
      </c>
    </row>
    <row r="26" spans="1:15">
      <c r="A26" s="19"/>
      <c r="B26" s="141" t="s">
        <v>21</v>
      </c>
      <c r="C26" s="20"/>
      <c r="D26" s="142" t="s">
        <v>22</v>
      </c>
      <c r="E26" s="14"/>
      <c r="F26" s="146">
        <v>1.4999999999999999E-2</v>
      </c>
      <c r="G26" s="15">
        <f t="shared" ref="G26" si="4">$F$18</f>
        <v>750</v>
      </c>
      <c r="H26" s="16">
        <f t="shared" si="0"/>
        <v>11.25</v>
      </c>
      <c r="I26" s="28"/>
      <c r="J26" s="31">
        <v>1.2907742015678856E-2</v>
      </c>
      <c r="K26" s="15">
        <f>$F$18</f>
        <v>750</v>
      </c>
      <c r="L26" s="16">
        <f t="shared" si="1"/>
        <v>9.6808065117591422</v>
      </c>
      <c r="M26" s="28"/>
      <c r="N26" s="145">
        <f t="shared" si="2"/>
        <v>-1.5691934882408578</v>
      </c>
      <c r="O26" s="18">
        <f t="shared" si="3"/>
        <v>-0.13948386562140958</v>
      </c>
    </row>
    <row r="27" spans="1:15">
      <c r="A27" s="19"/>
      <c r="B27" s="148" t="s">
        <v>23</v>
      </c>
      <c r="C27" s="149"/>
      <c r="D27" s="150"/>
      <c r="E27" s="149"/>
      <c r="F27" s="151"/>
      <c r="G27" s="152"/>
      <c r="H27" s="153">
        <f>SUM(H23:H26)</f>
        <v>22.240000000000002</v>
      </c>
      <c r="I27" s="28"/>
      <c r="J27" s="154"/>
      <c r="K27" s="155"/>
      <c r="L27" s="153">
        <f>SUM(L23:L26)</f>
        <v>25.45080651175914</v>
      </c>
      <c r="M27" s="28"/>
      <c r="N27" s="156">
        <f t="shared" si="2"/>
        <v>3.210806511759138</v>
      </c>
      <c r="O27" s="157">
        <f t="shared" si="3"/>
        <v>0.14437079639204756</v>
      </c>
    </row>
    <row r="28" spans="1:15" ht="38.25">
      <c r="A28" s="158"/>
      <c r="B28" s="159" t="s">
        <v>69</v>
      </c>
      <c r="C28" s="20"/>
      <c r="D28" s="160" t="s">
        <v>22</v>
      </c>
      <c r="E28" s="20"/>
      <c r="F28" s="161"/>
      <c r="G28" s="21">
        <f t="shared" ref="G28:G34" si="5">$F$18</f>
        <v>750</v>
      </c>
      <c r="H28" s="22">
        <f t="shared" ref="H28:H36" si="6">G28*F28</f>
        <v>0</v>
      </c>
      <c r="I28" s="162"/>
      <c r="J28" s="161">
        <v>-8.4166580262031484E-4</v>
      </c>
      <c r="K28" s="21">
        <f t="shared" ref="K28:K34" si="7">$F$18</f>
        <v>750</v>
      </c>
      <c r="L28" s="22">
        <f t="shared" ref="L28:L36" si="8">K28*J28</f>
        <v>-0.63124935196523613</v>
      </c>
      <c r="M28" s="162"/>
      <c r="N28" s="163">
        <f t="shared" si="2"/>
        <v>-0.63124935196523613</v>
      </c>
      <c r="O28" s="23" t="str">
        <f t="shared" si="3"/>
        <v/>
      </c>
    </row>
    <row r="29" spans="1:15" ht="38.25">
      <c r="A29" s="164"/>
      <c r="B29" s="159" t="s">
        <v>69</v>
      </c>
      <c r="C29" s="20"/>
      <c r="D29" s="160" t="s">
        <v>22</v>
      </c>
      <c r="E29" s="20"/>
      <c r="F29" s="161"/>
      <c r="G29" s="21">
        <f t="shared" si="5"/>
        <v>750</v>
      </c>
      <c r="H29" s="22">
        <f t="shared" si="6"/>
        <v>0</v>
      </c>
      <c r="I29" s="162"/>
      <c r="J29" s="161">
        <v>-2.6878065725373353E-3</v>
      </c>
      <c r="K29" s="21">
        <f t="shared" si="7"/>
        <v>750</v>
      </c>
      <c r="L29" s="22">
        <f t="shared" si="8"/>
        <v>-2.0158549294030013</v>
      </c>
      <c r="M29" s="162"/>
      <c r="N29" s="163">
        <f t="shared" si="2"/>
        <v>-2.0158549294030013</v>
      </c>
      <c r="O29" s="23" t="str">
        <f t="shared" si="3"/>
        <v/>
      </c>
    </row>
    <row r="30" spans="1:15" ht="51">
      <c r="A30" s="164"/>
      <c r="B30" s="159" t="s">
        <v>75</v>
      </c>
      <c r="C30" s="20"/>
      <c r="D30" s="160" t="s">
        <v>22</v>
      </c>
      <c r="E30" s="20"/>
      <c r="F30" s="161"/>
      <c r="G30" s="21">
        <f t="shared" si="5"/>
        <v>750</v>
      </c>
      <c r="H30" s="22"/>
      <c r="I30" s="162"/>
      <c r="J30" s="161">
        <v>6.1999999999999998E-3</v>
      </c>
      <c r="K30" s="21">
        <f t="shared" si="7"/>
        <v>750</v>
      </c>
      <c r="L30" s="22">
        <f t="shared" si="8"/>
        <v>4.6499999999999995</v>
      </c>
      <c r="M30" s="162"/>
      <c r="N30" s="163">
        <f t="shared" si="2"/>
        <v>4.6499999999999995</v>
      </c>
      <c r="O30" s="23" t="str">
        <f t="shared" si="3"/>
        <v/>
      </c>
    </row>
    <row r="31" spans="1:15" ht="38.25">
      <c r="A31" s="164"/>
      <c r="B31" s="159" t="s">
        <v>73</v>
      </c>
      <c r="C31" s="20"/>
      <c r="D31" s="160" t="s">
        <v>19</v>
      </c>
      <c r="E31" s="20"/>
      <c r="F31" s="161"/>
      <c r="G31" s="21">
        <f t="shared" si="5"/>
        <v>750</v>
      </c>
      <c r="H31" s="22"/>
      <c r="I31" s="162"/>
      <c r="J31" s="161">
        <v>0.11</v>
      </c>
      <c r="K31" s="21">
        <v>1</v>
      </c>
      <c r="L31" s="22">
        <f t="shared" si="8"/>
        <v>0.11</v>
      </c>
      <c r="M31" s="162"/>
      <c r="N31" s="163">
        <f t="shared" si="2"/>
        <v>0.11</v>
      </c>
      <c r="O31" s="23" t="str">
        <f t="shared" si="3"/>
        <v/>
      </c>
    </row>
    <row r="32" spans="1:15" ht="25.5">
      <c r="A32" s="158"/>
      <c r="B32" s="159" t="s">
        <v>76</v>
      </c>
      <c r="C32" s="20"/>
      <c r="D32" s="160" t="s">
        <v>22</v>
      </c>
      <c r="E32" s="20"/>
      <c r="F32" s="161"/>
      <c r="G32" s="21">
        <f t="shared" si="5"/>
        <v>750</v>
      </c>
      <c r="H32" s="22">
        <f t="shared" si="6"/>
        <v>0</v>
      </c>
      <c r="I32" s="162"/>
      <c r="J32" s="161">
        <v>-3.9452380925434662E-4</v>
      </c>
      <c r="K32" s="21">
        <f t="shared" si="7"/>
        <v>750</v>
      </c>
      <c r="L32" s="22">
        <f t="shared" si="8"/>
        <v>-0.29589285694075995</v>
      </c>
      <c r="M32" s="162"/>
      <c r="N32" s="163">
        <f t="shared" si="2"/>
        <v>-0.29589285694075995</v>
      </c>
      <c r="O32" s="23" t="str">
        <f t="shared" si="3"/>
        <v/>
      </c>
    </row>
    <row r="33" spans="1:19" ht="51">
      <c r="A33" s="158"/>
      <c r="B33" s="159" t="s">
        <v>77</v>
      </c>
      <c r="C33" s="20"/>
      <c r="D33" s="160" t="s">
        <v>22</v>
      </c>
      <c r="E33" s="20"/>
      <c r="F33" s="161"/>
      <c r="G33" s="21">
        <f t="shared" si="5"/>
        <v>750</v>
      </c>
      <c r="H33" s="22">
        <f t="shared" si="6"/>
        <v>0</v>
      </c>
      <c r="I33" s="162"/>
      <c r="J33" s="161">
        <v>2.9506096519263029E-4</v>
      </c>
      <c r="K33" s="21">
        <f t="shared" si="7"/>
        <v>750</v>
      </c>
      <c r="L33" s="22">
        <f t="shared" si="8"/>
        <v>0.22129572389447272</v>
      </c>
      <c r="M33" s="162"/>
      <c r="N33" s="163">
        <f t="shared" si="2"/>
        <v>0.22129572389447272</v>
      </c>
      <c r="O33" s="23" t="str">
        <f t="shared" si="3"/>
        <v/>
      </c>
    </row>
    <row r="34" spans="1:19">
      <c r="A34" s="158"/>
      <c r="B34" s="159" t="s">
        <v>24</v>
      </c>
      <c r="C34" s="20"/>
      <c r="D34" s="160" t="s">
        <v>22</v>
      </c>
      <c r="E34" s="20"/>
      <c r="F34" s="161">
        <v>1.1000000000000001E-3</v>
      </c>
      <c r="G34" s="21">
        <f t="shared" si="5"/>
        <v>750</v>
      </c>
      <c r="H34" s="22">
        <f t="shared" si="6"/>
        <v>0.82500000000000007</v>
      </c>
      <c r="I34" s="162"/>
      <c r="J34" s="161">
        <v>8.0000000000000004E-4</v>
      </c>
      <c r="K34" s="21">
        <f t="shared" si="7"/>
        <v>750</v>
      </c>
      <c r="L34" s="22">
        <f t="shared" si="8"/>
        <v>0.6</v>
      </c>
      <c r="M34" s="162"/>
      <c r="N34" s="163">
        <f t="shared" si="2"/>
        <v>-0.22500000000000009</v>
      </c>
      <c r="O34" s="24">
        <f>IF((H34)=0,"",(N34/H34))</f>
        <v>-0.27272727272727282</v>
      </c>
    </row>
    <row r="35" spans="1:19">
      <c r="A35" s="19"/>
      <c r="B35" s="141" t="s">
        <v>25</v>
      </c>
      <c r="C35" s="20"/>
      <c r="D35" s="160" t="s">
        <v>22</v>
      </c>
      <c r="E35" s="20"/>
      <c r="F35" s="161">
        <f>IF(ISBLANK(D16)=1, 0, IF(D16="TOU", 0.64*$F$45+0.18*$F$46+0.18*$F$47, IF(AND(D16="non-TOU", G49&gt;0), F49,F48)))</f>
        <v>0.10766000000000001</v>
      </c>
      <c r="G35" s="21">
        <f>$F$18*(1+$F$64)-$F$18</f>
        <v>29.249999999999886</v>
      </c>
      <c r="H35" s="22">
        <f t="shared" si="6"/>
        <v>3.1490549999999877</v>
      </c>
      <c r="I35" s="162"/>
      <c r="J35" s="161">
        <f>0.64*$F$45+0.18*$F$46+0.18*$F$47</f>
        <v>0.10766000000000001</v>
      </c>
      <c r="K35" s="21">
        <f>$F$18*(1+$J$64)-$F$18</f>
        <v>34.275000000000091</v>
      </c>
      <c r="L35" s="22">
        <f t="shared" si="8"/>
        <v>3.69004650000001</v>
      </c>
      <c r="M35" s="162"/>
      <c r="N35" s="163">
        <f t="shared" si="2"/>
        <v>0.54099150000002227</v>
      </c>
      <c r="O35" s="24">
        <f t="shared" si="3"/>
        <v>0.17179487179487954</v>
      </c>
    </row>
    <row r="36" spans="1:19">
      <c r="A36" s="19"/>
      <c r="B36" s="165" t="s">
        <v>26</v>
      </c>
      <c r="C36" s="20"/>
      <c r="D36" s="166" t="s">
        <v>22</v>
      </c>
      <c r="E36" s="14"/>
      <c r="F36" s="167">
        <v>0.79</v>
      </c>
      <c r="G36" s="25">
        <v>1</v>
      </c>
      <c r="H36" s="26">
        <f t="shared" si="6"/>
        <v>0.79</v>
      </c>
      <c r="I36" s="168"/>
      <c r="J36" s="167">
        <v>0.79</v>
      </c>
      <c r="K36" s="25">
        <v>1</v>
      </c>
      <c r="L36" s="26">
        <f t="shared" si="8"/>
        <v>0.79</v>
      </c>
      <c r="M36" s="168"/>
      <c r="N36" s="169">
        <f t="shared" si="2"/>
        <v>0</v>
      </c>
      <c r="O36" s="27"/>
    </row>
    <row r="37" spans="1:19" ht="25.5">
      <c r="B37" s="170" t="s">
        <v>27</v>
      </c>
      <c r="C37" s="171"/>
      <c r="D37" s="171"/>
      <c r="E37" s="171"/>
      <c r="F37" s="172"/>
      <c r="G37" s="173"/>
      <c r="H37" s="174">
        <f>SUM(H28:H36)+H27</f>
        <v>27.00405499999999</v>
      </c>
      <c r="I37" s="28"/>
      <c r="J37" s="173"/>
      <c r="K37" s="175"/>
      <c r="L37" s="174">
        <f>SUM(L28:L36)+L27</f>
        <v>32.569151597344629</v>
      </c>
      <c r="M37" s="28"/>
      <c r="N37" s="156">
        <f t="shared" si="2"/>
        <v>5.5650965973446382</v>
      </c>
      <c r="O37" s="157">
        <f t="shared" ref="O37:O55" si="9">IF((H37)=0,"",(N37/H37))</f>
        <v>0.20608373806617711</v>
      </c>
    </row>
    <row r="38" spans="1:19">
      <c r="B38" s="176" t="s">
        <v>28</v>
      </c>
      <c r="C38" s="28"/>
      <c r="D38" s="177" t="s">
        <v>22</v>
      </c>
      <c r="E38" s="28"/>
      <c r="F38" s="31">
        <v>6.3E-3</v>
      </c>
      <c r="G38" s="29">
        <f>F18*(1+F64)</f>
        <v>779.24999999999989</v>
      </c>
      <c r="H38" s="16">
        <f>G38*F38</f>
        <v>4.9092749999999992</v>
      </c>
      <c r="I38" s="28"/>
      <c r="J38" s="31">
        <v>5.9083602245513928E-3</v>
      </c>
      <c r="K38" s="30">
        <f>F18*(1+J64)</f>
        <v>784.27500000000009</v>
      </c>
      <c r="L38" s="16">
        <f>K38*J38</f>
        <v>4.6337792151100441</v>
      </c>
      <c r="M38" s="28"/>
      <c r="N38" s="145">
        <f t="shared" si="2"/>
        <v>-0.27549578488995508</v>
      </c>
      <c r="O38" s="18">
        <f t="shared" si="9"/>
        <v>-5.6117407334067684E-2</v>
      </c>
    </row>
    <row r="39" spans="1:19" ht="25.5">
      <c r="B39" s="178" t="s">
        <v>29</v>
      </c>
      <c r="C39" s="28"/>
      <c r="D39" s="177" t="s">
        <v>22</v>
      </c>
      <c r="E39" s="28"/>
      <c r="F39" s="31">
        <v>4.4999999999999997E-3</v>
      </c>
      <c r="G39" s="29">
        <f>G38</f>
        <v>779.24999999999989</v>
      </c>
      <c r="H39" s="16">
        <f>G39*F39</f>
        <v>3.5066249999999992</v>
      </c>
      <c r="I39" s="28"/>
      <c r="J39" s="31">
        <v>4.5291837326333229E-3</v>
      </c>
      <c r="K39" s="30">
        <f>K38</f>
        <v>784.27500000000009</v>
      </c>
      <c r="L39" s="16">
        <f>K39*J39</f>
        <v>3.5521255719109996</v>
      </c>
      <c r="M39" s="28"/>
      <c r="N39" s="145">
        <f t="shared" si="2"/>
        <v>4.5500571911000431E-2</v>
      </c>
      <c r="O39" s="18">
        <f t="shared" si="9"/>
        <v>1.2975602441378945E-2</v>
      </c>
    </row>
    <row r="40" spans="1:19" ht="25.5">
      <c r="B40" s="170" t="s">
        <v>30</v>
      </c>
      <c r="C40" s="149"/>
      <c r="D40" s="149"/>
      <c r="E40" s="149"/>
      <c r="F40" s="179"/>
      <c r="G40" s="173"/>
      <c r="H40" s="174">
        <f>SUM(H37:H39)</f>
        <v>35.419954999999987</v>
      </c>
      <c r="I40" s="180"/>
      <c r="J40" s="181"/>
      <c r="K40" s="182"/>
      <c r="L40" s="174">
        <f>SUM(L37:L39)</f>
        <v>40.755056384365673</v>
      </c>
      <c r="M40" s="180"/>
      <c r="N40" s="156">
        <f t="shared" si="2"/>
        <v>5.3351013843656858</v>
      </c>
      <c r="O40" s="157">
        <f t="shared" si="9"/>
        <v>0.15062417172369891</v>
      </c>
    </row>
    <row r="41" spans="1:19" ht="25.5">
      <c r="B41" s="141" t="s">
        <v>31</v>
      </c>
      <c r="C41" s="20"/>
      <c r="D41" s="183" t="s">
        <v>22</v>
      </c>
      <c r="E41" s="14"/>
      <c r="F41" s="31">
        <v>3.5999999999999999E-3</v>
      </c>
      <c r="G41" s="29">
        <f>G39</f>
        <v>779.24999999999989</v>
      </c>
      <c r="H41" s="16">
        <f t="shared" ref="H41:H47" si="10">G41*F41</f>
        <v>2.8052999999999995</v>
      </c>
      <c r="I41" s="28"/>
      <c r="J41" s="31">
        <v>3.5999999999999999E-3</v>
      </c>
      <c r="K41" s="30">
        <f>K39</f>
        <v>784.27500000000009</v>
      </c>
      <c r="L41" s="16">
        <f t="shared" ref="L41:L47" si="11">K41*J41</f>
        <v>2.8233900000000003</v>
      </c>
      <c r="M41" s="28"/>
      <c r="N41" s="145">
        <f t="shared" si="2"/>
        <v>1.8090000000000828E-2</v>
      </c>
      <c r="O41" s="18">
        <f t="shared" si="9"/>
        <v>6.4485081809435105E-3</v>
      </c>
    </row>
    <row r="42" spans="1:19" ht="25.5">
      <c r="B42" s="141" t="s">
        <v>32</v>
      </c>
      <c r="C42" s="20"/>
      <c r="D42" s="183" t="s">
        <v>22</v>
      </c>
      <c r="E42" s="14"/>
      <c r="F42" s="31">
        <v>1.2999999999999999E-3</v>
      </c>
      <c r="G42" s="29">
        <f>G39</f>
        <v>779.24999999999989</v>
      </c>
      <c r="H42" s="16">
        <f t="shared" si="10"/>
        <v>1.0130249999999998</v>
      </c>
      <c r="I42" s="28"/>
      <c r="J42" s="31">
        <v>1.2999999999999999E-3</v>
      </c>
      <c r="K42" s="30">
        <f>K39</f>
        <v>784.27500000000009</v>
      </c>
      <c r="L42" s="16">
        <f t="shared" si="11"/>
        <v>1.0195575000000001</v>
      </c>
      <c r="M42" s="28"/>
      <c r="N42" s="145">
        <f t="shared" si="2"/>
        <v>6.5325000000002742E-3</v>
      </c>
      <c r="O42" s="18">
        <f t="shared" si="9"/>
        <v>6.4485081809434863E-3</v>
      </c>
    </row>
    <row r="43" spans="1:19">
      <c r="B43" s="141" t="s">
        <v>33</v>
      </c>
      <c r="C43" s="20"/>
      <c r="D43" s="183" t="s">
        <v>19</v>
      </c>
      <c r="E43" s="14"/>
      <c r="F43" s="31">
        <v>0.25</v>
      </c>
      <c r="G43" s="15">
        <v>1</v>
      </c>
      <c r="H43" s="16">
        <f t="shared" si="10"/>
        <v>0.25</v>
      </c>
      <c r="I43" s="28"/>
      <c r="J43" s="31">
        <v>0.25</v>
      </c>
      <c r="K43" s="17">
        <v>1</v>
      </c>
      <c r="L43" s="16">
        <f t="shared" si="11"/>
        <v>0.25</v>
      </c>
      <c r="M43" s="28"/>
      <c r="N43" s="145">
        <f t="shared" si="2"/>
        <v>0</v>
      </c>
      <c r="O43" s="18">
        <f t="shared" si="9"/>
        <v>0</v>
      </c>
    </row>
    <row r="44" spans="1:19">
      <c r="B44" s="141" t="s">
        <v>34</v>
      </c>
      <c r="C44" s="20"/>
      <c r="D44" s="183" t="s">
        <v>22</v>
      </c>
      <c r="E44" s="14"/>
      <c r="F44" s="31">
        <v>1.1000000000000001E-3</v>
      </c>
      <c r="G44" s="29">
        <f>F18</f>
        <v>750</v>
      </c>
      <c r="H44" s="16">
        <f t="shared" si="10"/>
        <v>0.82500000000000007</v>
      </c>
      <c r="I44" s="28"/>
      <c r="J44" s="31">
        <v>1.1000000000000001E-3</v>
      </c>
      <c r="K44" s="30">
        <f>F18</f>
        <v>750</v>
      </c>
      <c r="L44" s="16">
        <f t="shared" si="11"/>
        <v>0.82500000000000007</v>
      </c>
      <c r="M44" s="28"/>
      <c r="N44" s="145">
        <f t="shared" si="2"/>
        <v>0</v>
      </c>
      <c r="O44" s="18">
        <f t="shared" si="9"/>
        <v>0</v>
      </c>
    </row>
    <row r="45" spans="1:19">
      <c r="B45" s="165" t="s">
        <v>35</v>
      </c>
      <c r="C45" s="20"/>
      <c r="D45" s="183" t="s">
        <v>22</v>
      </c>
      <c r="E45" s="14"/>
      <c r="F45" s="31">
        <v>8.3000000000000004E-2</v>
      </c>
      <c r="G45" s="184">
        <f>0.64*$F$18</f>
        <v>480</v>
      </c>
      <c r="H45" s="16">
        <f t="shared" si="10"/>
        <v>39.840000000000003</v>
      </c>
      <c r="I45" s="28"/>
      <c r="J45" s="31">
        <v>8.3000000000000004E-2</v>
      </c>
      <c r="K45" s="184">
        <f>G45</f>
        <v>480</v>
      </c>
      <c r="L45" s="16">
        <f t="shared" si="11"/>
        <v>39.840000000000003</v>
      </c>
      <c r="M45" s="28"/>
      <c r="N45" s="145">
        <f t="shared" si="2"/>
        <v>0</v>
      </c>
      <c r="O45" s="18">
        <f t="shared" si="9"/>
        <v>0</v>
      </c>
      <c r="S45" s="185"/>
    </row>
    <row r="46" spans="1:19">
      <c r="B46" s="165" t="s">
        <v>36</v>
      </c>
      <c r="C46" s="20"/>
      <c r="D46" s="183" t="s">
        <v>22</v>
      </c>
      <c r="E46" s="14"/>
      <c r="F46" s="31">
        <v>0.128</v>
      </c>
      <c r="G46" s="184">
        <f>0.18*$F$18</f>
        <v>135</v>
      </c>
      <c r="H46" s="16">
        <f t="shared" si="10"/>
        <v>17.28</v>
      </c>
      <c r="I46" s="28"/>
      <c r="J46" s="31">
        <v>0.128</v>
      </c>
      <c r="K46" s="184">
        <f>G46</f>
        <v>135</v>
      </c>
      <c r="L46" s="16">
        <f t="shared" si="11"/>
        <v>17.28</v>
      </c>
      <c r="M46" s="28"/>
      <c r="N46" s="145">
        <f t="shared" si="2"/>
        <v>0</v>
      </c>
      <c r="O46" s="18">
        <f t="shared" si="9"/>
        <v>0</v>
      </c>
      <c r="S46" s="185"/>
    </row>
    <row r="47" spans="1:19">
      <c r="B47" s="131" t="s">
        <v>37</v>
      </c>
      <c r="C47" s="20"/>
      <c r="D47" s="183" t="s">
        <v>22</v>
      </c>
      <c r="E47" s="14"/>
      <c r="F47" s="31">
        <v>0.17499999999999999</v>
      </c>
      <c r="G47" s="184">
        <f>0.18*$F$18</f>
        <v>135</v>
      </c>
      <c r="H47" s="16">
        <f t="shared" si="10"/>
        <v>23.625</v>
      </c>
      <c r="I47" s="28"/>
      <c r="J47" s="31">
        <v>0.17499999999999999</v>
      </c>
      <c r="K47" s="184">
        <f>G47</f>
        <v>135</v>
      </c>
      <c r="L47" s="16">
        <f t="shared" si="11"/>
        <v>23.625</v>
      </c>
      <c r="M47" s="28"/>
      <c r="N47" s="145">
        <f t="shared" si="2"/>
        <v>0</v>
      </c>
      <c r="O47" s="18">
        <f t="shared" si="9"/>
        <v>0</v>
      </c>
      <c r="S47" s="185"/>
    </row>
    <row r="48" spans="1:19" s="190" customFormat="1">
      <c r="B48" s="186" t="s">
        <v>38</v>
      </c>
      <c r="C48" s="32"/>
      <c r="D48" s="183" t="s">
        <v>22</v>
      </c>
      <c r="E48" s="32"/>
      <c r="F48" s="31">
        <v>9.9000000000000005E-2</v>
      </c>
      <c r="G48" s="187">
        <f>IF(AND($T$1=1, F18&gt;=600), 600, IF(AND($T$1=1, AND(F18&lt;600, F18&gt;=0)), F18, IF(AND($T$1=2, F18&gt;=1000), 1000, IF(AND($T$1=2, AND(F18&lt;1000, F18&gt;=0)), F18))))</f>
        <v>600</v>
      </c>
      <c r="H48" s="16">
        <f>G48*F48</f>
        <v>59.400000000000006</v>
      </c>
      <c r="I48" s="188"/>
      <c r="J48" s="31">
        <v>9.9000000000000005E-2</v>
      </c>
      <c r="K48" s="187">
        <f>G48</f>
        <v>600</v>
      </c>
      <c r="L48" s="16">
        <f>K48*J48</f>
        <v>59.400000000000006</v>
      </c>
      <c r="M48" s="188"/>
      <c r="N48" s="189">
        <f t="shared" si="2"/>
        <v>0</v>
      </c>
      <c r="O48" s="18">
        <f t="shared" si="9"/>
        <v>0</v>
      </c>
    </row>
    <row r="49" spans="2:19" s="190" customFormat="1" ht="13.5" thickBot="1">
      <c r="B49" s="186" t="s">
        <v>39</v>
      </c>
      <c r="C49" s="32"/>
      <c r="D49" s="183" t="s">
        <v>22</v>
      </c>
      <c r="E49" s="32"/>
      <c r="F49" s="31">
        <v>0.11600000000000001</v>
      </c>
      <c r="G49" s="187">
        <f>IF(AND($T$1=1, F18&gt;=600), F18-600, IF(AND($T$1=1, AND(F18&lt;600, F18&gt;=0)), 0, IF(AND($T$1=2, F18&gt;=1000), F18-1000, IF(AND($T$1=2, AND(F18&lt;1000, F18&gt;=0)), 0))))</f>
        <v>150</v>
      </c>
      <c r="H49" s="16">
        <f>G49*F49</f>
        <v>17.400000000000002</v>
      </c>
      <c r="I49" s="188"/>
      <c r="J49" s="31">
        <v>0.11600000000000001</v>
      </c>
      <c r="K49" s="187">
        <f>G49</f>
        <v>150</v>
      </c>
      <c r="L49" s="16">
        <f>K49*J49</f>
        <v>17.400000000000002</v>
      </c>
      <c r="M49" s="188"/>
      <c r="N49" s="189">
        <f t="shared" si="2"/>
        <v>0</v>
      </c>
      <c r="O49" s="18">
        <f t="shared" si="9"/>
        <v>0</v>
      </c>
    </row>
    <row r="50" spans="2:19" ht="13.5" thickBot="1">
      <c r="B50" s="191"/>
      <c r="C50" s="192"/>
      <c r="D50" s="193"/>
      <c r="E50" s="192"/>
      <c r="F50" s="194"/>
      <c r="G50" s="195"/>
      <c r="H50" s="196"/>
      <c r="I50" s="197"/>
      <c r="J50" s="194"/>
      <c r="K50" s="198"/>
      <c r="L50" s="196"/>
      <c r="M50" s="197"/>
      <c r="N50" s="199"/>
      <c r="O50" s="200"/>
    </row>
    <row r="51" spans="2:19">
      <c r="B51" s="298" t="s">
        <v>40</v>
      </c>
      <c r="C51" s="290"/>
      <c r="D51" s="290"/>
      <c r="E51" s="20"/>
      <c r="F51" s="33"/>
      <c r="G51" s="34"/>
      <c r="H51" s="35">
        <f>SUM(H41:H47,H40)</f>
        <v>121.05828</v>
      </c>
      <c r="I51" s="36"/>
      <c r="J51" s="37"/>
      <c r="K51" s="37"/>
      <c r="L51" s="35">
        <f>SUM(L41:L47,L40)</f>
        <v>126.41800388436567</v>
      </c>
      <c r="M51" s="38"/>
      <c r="N51" s="39">
        <f>L51-H51</f>
        <v>5.3597238843656783</v>
      </c>
      <c r="O51" s="40">
        <f>IF((H51)=0,"",(N51/H51))</f>
        <v>4.4273914054996311E-2</v>
      </c>
      <c r="S51" s="185"/>
    </row>
    <row r="52" spans="2:19">
      <c r="B52" s="299" t="s">
        <v>41</v>
      </c>
      <c r="C52" s="290"/>
      <c r="D52" s="290"/>
      <c r="E52" s="20"/>
      <c r="F52" s="41">
        <v>0.13</v>
      </c>
      <c r="G52" s="42"/>
      <c r="H52" s="43">
        <f>H51*F52</f>
        <v>15.7375764</v>
      </c>
      <c r="I52" s="44"/>
      <c r="J52" s="45">
        <v>0.13</v>
      </c>
      <c r="K52" s="44"/>
      <c r="L52" s="46">
        <f>L51*J52</f>
        <v>16.434340504967537</v>
      </c>
      <c r="M52" s="47"/>
      <c r="N52" s="48">
        <f t="shared" si="2"/>
        <v>0.69676410496753682</v>
      </c>
      <c r="O52" s="18">
        <f t="shared" si="9"/>
        <v>4.427391405499622E-2</v>
      </c>
      <c r="S52" s="185"/>
    </row>
    <row r="53" spans="2:19">
      <c r="B53" s="300" t="s">
        <v>42</v>
      </c>
      <c r="C53" s="290"/>
      <c r="D53" s="290"/>
      <c r="E53" s="20"/>
      <c r="F53" s="49"/>
      <c r="G53" s="42"/>
      <c r="H53" s="43">
        <f>H51+H52</f>
        <v>136.79585639999999</v>
      </c>
      <c r="I53" s="44"/>
      <c r="J53" s="44"/>
      <c r="K53" s="44"/>
      <c r="L53" s="46">
        <f>L51+L52</f>
        <v>142.85234438933321</v>
      </c>
      <c r="M53" s="47"/>
      <c r="N53" s="48">
        <f t="shared" si="2"/>
        <v>6.0564879893332204</v>
      </c>
      <c r="O53" s="18">
        <f t="shared" si="9"/>
        <v>4.4273914054996338E-2</v>
      </c>
      <c r="S53" s="185"/>
    </row>
    <row r="54" spans="2:19">
      <c r="B54" s="301" t="s">
        <v>43</v>
      </c>
      <c r="C54" s="301"/>
      <c r="D54" s="301"/>
      <c r="E54" s="20"/>
      <c r="F54" s="49"/>
      <c r="G54" s="42"/>
      <c r="H54" s="50">
        <f>ROUND(-H53*0.1,2)</f>
        <v>-13.68</v>
      </c>
      <c r="I54" s="44"/>
      <c r="J54" s="44"/>
      <c r="K54" s="44"/>
      <c r="L54" s="51">
        <f>ROUND(-L53*0.1,2)</f>
        <v>-14.29</v>
      </c>
      <c r="M54" s="47"/>
      <c r="N54" s="52">
        <f t="shared" si="2"/>
        <v>-0.60999999999999943</v>
      </c>
      <c r="O54" s="53">
        <f t="shared" si="9"/>
        <v>4.4590643274853764E-2</v>
      </c>
    </row>
    <row r="55" spans="2:19" ht="13.5" thickBot="1">
      <c r="B55" s="302" t="s">
        <v>44</v>
      </c>
      <c r="C55" s="302"/>
      <c r="D55" s="302"/>
      <c r="E55" s="14"/>
      <c r="F55" s="201"/>
      <c r="G55" s="202"/>
      <c r="H55" s="203">
        <f>H53+H54</f>
        <v>123.11585639999998</v>
      </c>
      <c r="I55" s="204"/>
      <c r="J55" s="204"/>
      <c r="K55" s="204"/>
      <c r="L55" s="205">
        <f>L53+L54</f>
        <v>128.56234438933322</v>
      </c>
      <c r="M55" s="206"/>
      <c r="N55" s="207">
        <f t="shared" si="2"/>
        <v>5.4464879893332352</v>
      </c>
      <c r="O55" s="208">
        <f t="shared" si="9"/>
        <v>4.423872073502659E-2</v>
      </c>
    </row>
    <row r="56" spans="2:19" s="190" customFormat="1" ht="13.5" thickBot="1">
      <c r="B56" s="209"/>
      <c r="C56" s="210"/>
      <c r="D56" s="211"/>
      <c r="E56" s="210"/>
      <c r="F56" s="194"/>
      <c r="G56" s="212"/>
      <c r="H56" s="196"/>
      <c r="I56" s="213"/>
      <c r="J56" s="194"/>
      <c r="K56" s="214"/>
      <c r="L56" s="196"/>
      <c r="M56" s="213"/>
      <c r="N56" s="215"/>
      <c r="O56" s="200"/>
    </row>
    <row r="57" spans="2:19" s="190" customFormat="1">
      <c r="B57" s="54" t="s">
        <v>45</v>
      </c>
      <c r="C57" s="32"/>
      <c r="D57" s="32"/>
      <c r="E57" s="32"/>
      <c r="F57" s="55"/>
      <c r="G57" s="56"/>
      <c r="H57" s="57">
        <f>SUM(H48:H49,H40,H41:H44)</f>
        <v>117.11328</v>
      </c>
      <c r="I57" s="58"/>
      <c r="J57" s="59"/>
      <c r="K57" s="59"/>
      <c r="L57" s="57">
        <f>SUM(L48:L49,L40,L41:L44)</f>
        <v>122.4730038843657</v>
      </c>
      <c r="M57" s="60"/>
      <c r="N57" s="61">
        <f>L57-H57</f>
        <v>5.3597238843656925</v>
      </c>
      <c r="O57" s="40">
        <f>IF((H57)=0,"",(N57/H57))</f>
        <v>4.5765295655332106E-2</v>
      </c>
    </row>
    <row r="58" spans="2:19" s="190" customFormat="1">
      <c r="B58" s="294" t="s">
        <v>41</v>
      </c>
      <c r="C58" s="188"/>
      <c r="D58" s="188"/>
      <c r="E58" s="32"/>
      <c r="F58" s="62">
        <v>0.13</v>
      </c>
      <c r="G58" s="56"/>
      <c r="H58" s="63">
        <f>H57*F58</f>
        <v>15.224726400000002</v>
      </c>
      <c r="I58" s="64"/>
      <c r="J58" s="65">
        <v>0.13</v>
      </c>
      <c r="K58" s="66"/>
      <c r="L58" s="67">
        <f>L57*J58</f>
        <v>15.92149050496754</v>
      </c>
      <c r="M58" s="68"/>
      <c r="N58" s="69">
        <f>L58-H58</f>
        <v>0.6967641049675386</v>
      </c>
      <c r="O58" s="18">
        <f>IF((H58)=0,"",(N58/H58))</f>
        <v>4.5765295655332008E-2</v>
      </c>
    </row>
    <row r="59" spans="2:19" s="190" customFormat="1">
      <c r="B59" s="295" t="s">
        <v>42</v>
      </c>
      <c r="C59" s="188"/>
      <c r="D59" s="188"/>
      <c r="E59" s="32"/>
      <c r="F59" s="70"/>
      <c r="G59" s="71"/>
      <c r="H59" s="63">
        <f>H57+H58</f>
        <v>132.33800640000001</v>
      </c>
      <c r="I59" s="64"/>
      <c r="J59" s="64"/>
      <c r="K59" s="64"/>
      <c r="L59" s="67">
        <f>L57+L58</f>
        <v>138.39449438933323</v>
      </c>
      <c r="M59" s="68"/>
      <c r="N59" s="69">
        <f>L59-H59</f>
        <v>6.0564879893332204</v>
      </c>
      <c r="O59" s="18">
        <f>IF((H59)=0,"",(N59/H59))</f>
        <v>4.5765295655332008E-2</v>
      </c>
    </row>
    <row r="60" spans="2:19" s="190" customFormat="1">
      <c r="B60" s="296" t="s">
        <v>43</v>
      </c>
      <c r="C60" s="296"/>
      <c r="D60" s="296"/>
      <c r="E60" s="32"/>
      <c r="F60" s="70"/>
      <c r="G60" s="71"/>
      <c r="H60" s="72">
        <f>ROUND(-H59*0.1,2)</f>
        <v>-13.23</v>
      </c>
      <c r="I60" s="64"/>
      <c r="J60" s="64"/>
      <c r="K60" s="64"/>
      <c r="L60" s="73">
        <f>ROUND(-L59*0.1,2)</f>
        <v>-13.84</v>
      </c>
      <c r="M60" s="68"/>
      <c r="N60" s="74">
        <f>L60-H60</f>
        <v>-0.60999999999999943</v>
      </c>
      <c r="O60" s="53">
        <f>IF((H60)=0,"",(N60/H60))</f>
        <v>4.6107331821617491E-2</v>
      </c>
    </row>
    <row r="61" spans="2:19" s="190" customFormat="1" ht="13.5" thickBot="1">
      <c r="B61" s="297" t="s">
        <v>46</v>
      </c>
      <c r="C61" s="297"/>
      <c r="D61" s="297"/>
      <c r="E61" s="32"/>
      <c r="F61" s="70"/>
      <c r="G61" s="71"/>
      <c r="H61" s="57">
        <f>SUM(H59:H60)</f>
        <v>119.10800640000001</v>
      </c>
      <c r="I61" s="58"/>
      <c r="J61" s="58"/>
      <c r="K61" s="58"/>
      <c r="L61" s="216">
        <f>SUM(L59:L60)</f>
        <v>124.55449438933323</v>
      </c>
      <c r="M61" s="60"/>
      <c r="N61" s="61">
        <f>L61-H61</f>
        <v>5.446487989333221</v>
      </c>
      <c r="O61" s="40">
        <f>IF((H61)=0,"",(N61/H61))</f>
        <v>4.5727303763630288E-2</v>
      </c>
    </row>
    <row r="62" spans="2:19" s="190" customFormat="1" ht="13.5" thickBot="1">
      <c r="B62" s="209"/>
      <c r="C62" s="210"/>
      <c r="D62" s="211"/>
      <c r="E62" s="210"/>
      <c r="F62" s="217"/>
      <c r="G62" s="218"/>
      <c r="H62" s="219"/>
      <c r="I62" s="220"/>
      <c r="J62" s="217"/>
      <c r="K62" s="212"/>
      <c r="L62" s="221"/>
      <c r="M62" s="213"/>
      <c r="N62" s="222"/>
      <c r="O62" s="200"/>
    </row>
    <row r="63" spans="2:19">
      <c r="L63" s="185"/>
    </row>
    <row r="64" spans="2:19">
      <c r="B64" s="223" t="s">
        <v>47</v>
      </c>
      <c r="F64" s="224">
        <v>3.9E-2</v>
      </c>
      <c r="J64" s="224">
        <v>4.5699999999999998E-2</v>
      </c>
    </row>
    <row r="66" spans="1:2" ht="14.25">
      <c r="A66" s="225" t="s">
        <v>48</v>
      </c>
    </row>
    <row r="68" spans="1:2">
      <c r="A68" s="12" t="s">
        <v>49</v>
      </c>
    </row>
    <row r="69" spans="1:2">
      <c r="A69" s="12" t="s">
        <v>50</v>
      </c>
    </row>
    <row r="71" spans="1:2">
      <c r="A71" s="226" t="s">
        <v>51</v>
      </c>
    </row>
    <row r="72" spans="1:2">
      <c r="A72" s="226" t="s">
        <v>52</v>
      </c>
    </row>
    <row r="74" spans="1:2">
      <c r="A74" s="12" t="s">
        <v>53</v>
      </c>
    </row>
    <row r="75" spans="1:2">
      <c r="A75" s="12" t="s">
        <v>54</v>
      </c>
    </row>
    <row r="76" spans="1:2">
      <c r="A76" s="12" t="s">
        <v>55</v>
      </c>
    </row>
    <row r="77" spans="1:2">
      <c r="A77" s="12" t="s">
        <v>56</v>
      </c>
    </row>
    <row r="78" spans="1:2">
      <c r="A78" s="12" t="s">
        <v>57</v>
      </c>
    </row>
    <row r="80" spans="1:2" ht="38.25">
      <c r="B80" s="13" t="s">
        <v>58</v>
      </c>
    </row>
  </sheetData>
  <mergeCells count="14">
    <mergeCell ref="B61:D61"/>
    <mergeCell ref="D21:D22"/>
    <mergeCell ref="N21:N22"/>
    <mergeCell ref="O21:O22"/>
    <mergeCell ref="B54:D54"/>
    <mergeCell ref="B55:D55"/>
    <mergeCell ref="B60:D6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62 D38:D39 D56 D41:D50 D28:D36 D23:D26">
      <formula1>"Monthly,per kWh,per kW"</formula1>
      <formula2>0</formula2>
    </dataValidation>
    <dataValidation type="list" allowBlank="1" showInputMessage="1" showErrorMessage="1" sqref="E62 E38:E39 E41:E50 E56 E28:E36 E23:E26">
      <formula1>"#REF!"</formula1>
      <formula2>0</formula2>
    </dataValidation>
  </dataValidations>
  <pageMargins left="0.25" right="0.25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8">
    <pageSetUpPr fitToPage="1"/>
  </sheetPr>
  <dimension ref="A1:T81"/>
  <sheetViews>
    <sheetView showGridLines="0" workbookViewId="0">
      <selection activeCell="B58" sqref="B58:D62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59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2000</v>
      </c>
      <c r="G18" s="132" t="s">
        <v>7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136" t="s">
        <v>13</v>
      </c>
      <c r="H21" s="137" t="s">
        <v>14</v>
      </c>
      <c r="J21" s="136" t="s">
        <v>12</v>
      </c>
      <c r="K21" s="138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139"/>
      <c r="H22" s="140" t="s">
        <v>17</v>
      </c>
      <c r="J22" s="139" t="s">
        <v>17</v>
      </c>
      <c r="K22" s="140"/>
      <c r="L22" s="140" t="s">
        <v>17</v>
      </c>
      <c r="N22" s="287"/>
      <c r="O22" s="288"/>
    </row>
    <row r="23" spans="1:15">
      <c r="B23" s="141" t="s">
        <v>72</v>
      </c>
      <c r="C23" s="20"/>
      <c r="D23" s="142" t="s">
        <v>19</v>
      </c>
      <c r="E23" s="14"/>
      <c r="F23" s="143">
        <v>22.97</v>
      </c>
      <c r="G23" s="15">
        <v>1</v>
      </c>
      <c r="H23" s="16">
        <f>G23*F23</f>
        <v>22.97</v>
      </c>
      <c r="I23" s="28"/>
      <c r="J23" s="144">
        <v>22.02</v>
      </c>
      <c r="K23" s="17">
        <v>1</v>
      </c>
      <c r="L23" s="16">
        <f>K23*J23</f>
        <v>22.02</v>
      </c>
      <c r="M23" s="28"/>
      <c r="N23" s="145">
        <f>L23-H23</f>
        <v>-0.94999999999999929</v>
      </c>
      <c r="O23" s="18">
        <f>IF((H23)=0,"",(N23/H23))</f>
        <v>-4.1358293426208066E-2</v>
      </c>
    </row>
    <row r="24" spans="1:15">
      <c r="A24" s="19"/>
      <c r="B24" s="141" t="s">
        <v>20</v>
      </c>
      <c r="C24" s="20"/>
      <c r="D24" s="142"/>
      <c r="E24" s="14"/>
      <c r="F24" s="146"/>
      <c r="G24" s="15">
        <v>1</v>
      </c>
      <c r="H24" s="16">
        <f t="shared" ref="H24:H27" si="0">G24*F24</f>
        <v>0</v>
      </c>
      <c r="I24" s="28"/>
      <c r="J24" s="144"/>
      <c r="K24" s="17">
        <v>1</v>
      </c>
      <c r="L24" s="16">
        <f>K24*J24</f>
        <v>0</v>
      </c>
      <c r="M24" s="28"/>
      <c r="N24" s="145">
        <f>L24-H24</f>
        <v>0</v>
      </c>
      <c r="O24" s="18" t="str">
        <f>IF((H24)=0,"",(N24/H24))</f>
        <v/>
      </c>
    </row>
    <row r="25" spans="1:15" ht="38.25">
      <c r="A25" s="19"/>
      <c r="B25" s="147" t="s">
        <v>71</v>
      </c>
      <c r="C25" s="20"/>
      <c r="D25" s="142" t="s">
        <v>19</v>
      </c>
      <c r="E25" s="14"/>
      <c r="F25" s="146"/>
      <c r="G25" s="15">
        <v>1</v>
      </c>
      <c r="H25" s="16">
        <f t="shared" si="0"/>
        <v>0</v>
      </c>
      <c r="I25" s="28"/>
      <c r="J25" s="144">
        <v>2.5</v>
      </c>
      <c r="K25" s="17">
        <v>1</v>
      </c>
      <c r="L25" s="16">
        <f t="shared" ref="L25:L27" si="1">K25*J25</f>
        <v>2.5</v>
      </c>
      <c r="M25" s="28"/>
      <c r="N25" s="145">
        <f t="shared" ref="N25:N56" si="2">L25-H25</f>
        <v>2.5</v>
      </c>
      <c r="O25" s="18" t="str">
        <f t="shared" ref="O25:O36" si="3">IF((H25)=0,"",(N25/H25))</f>
        <v/>
      </c>
    </row>
    <row r="26" spans="1:15" ht="38.25">
      <c r="A26" s="19"/>
      <c r="B26" s="141" t="s">
        <v>70</v>
      </c>
      <c r="C26" s="20"/>
      <c r="D26" s="142" t="s">
        <v>19</v>
      </c>
      <c r="E26" s="14"/>
      <c r="F26" s="146"/>
      <c r="G26" s="15">
        <v>1</v>
      </c>
      <c r="H26" s="16">
        <f t="shared" si="0"/>
        <v>0</v>
      </c>
      <c r="I26" s="28"/>
      <c r="J26" s="144">
        <v>4.47</v>
      </c>
      <c r="K26" s="17">
        <v>1</v>
      </c>
      <c r="L26" s="16">
        <f t="shared" si="1"/>
        <v>4.47</v>
      </c>
      <c r="M26" s="28"/>
      <c r="N26" s="145">
        <f t="shared" si="2"/>
        <v>4.47</v>
      </c>
      <c r="O26" s="18" t="str">
        <f t="shared" si="3"/>
        <v/>
      </c>
    </row>
    <row r="27" spans="1:15">
      <c r="A27" s="19"/>
      <c r="B27" s="141" t="s">
        <v>21</v>
      </c>
      <c r="C27" s="20"/>
      <c r="D27" s="142" t="s">
        <v>22</v>
      </c>
      <c r="E27" s="14"/>
      <c r="F27" s="146">
        <v>1.0500000000000001E-2</v>
      </c>
      <c r="G27" s="15">
        <f t="shared" ref="G27" si="4">$F$18</f>
        <v>2000</v>
      </c>
      <c r="H27" s="16">
        <f t="shared" si="0"/>
        <v>21</v>
      </c>
      <c r="I27" s="28"/>
      <c r="J27" s="31">
        <v>1.25086507052872E-2</v>
      </c>
      <c r="K27" s="15">
        <f>$F$18</f>
        <v>2000</v>
      </c>
      <c r="L27" s="16">
        <f t="shared" si="1"/>
        <v>25.017301410574401</v>
      </c>
      <c r="M27" s="28"/>
      <c r="N27" s="145">
        <f t="shared" si="2"/>
        <v>4.0173014105744009</v>
      </c>
      <c r="O27" s="18">
        <f t="shared" si="3"/>
        <v>0.19130006717020956</v>
      </c>
    </row>
    <row r="28" spans="1:15">
      <c r="A28" s="19"/>
      <c r="B28" s="148" t="s">
        <v>23</v>
      </c>
      <c r="C28" s="149"/>
      <c r="D28" s="150"/>
      <c r="E28" s="149"/>
      <c r="F28" s="151"/>
      <c r="G28" s="152"/>
      <c r="H28" s="153">
        <f>SUM(H23:H27)</f>
        <v>43.97</v>
      </c>
      <c r="I28" s="28"/>
      <c r="J28" s="154"/>
      <c r="K28" s="155"/>
      <c r="L28" s="153">
        <f>SUM(L23:L27)</f>
        <v>54.007301410574399</v>
      </c>
      <c r="M28" s="28"/>
      <c r="N28" s="156">
        <f t="shared" si="2"/>
        <v>10.037301410574401</v>
      </c>
      <c r="O28" s="157">
        <f t="shared" si="3"/>
        <v>0.22827612941947692</v>
      </c>
    </row>
    <row r="29" spans="1:15" ht="38.25">
      <c r="A29" s="158"/>
      <c r="B29" s="159" t="s">
        <v>78</v>
      </c>
      <c r="C29" s="20"/>
      <c r="D29" s="160" t="s">
        <v>22</v>
      </c>
      <c r="E29" s="20"/>
      <c r="F29" s="161"/>
      <c r="G29" s="21">
        <f t="shared" ref="G29:G35" si="5">$F$18</f>
        <v>2000</v>
      </c>
      <c r="H29" s="22">
        <f t="shared" ref="H29:H37" si="6">G29*F29</f>
        <v>0</v>
      </c>
      <c r="I29" s="162"/>
      <c r="J29" s="161">
        <v>-8.3436113445685444E-4</v>
      </c>
      <c r="K29" s="21">
        <f t="shared" ref="K29:K35" si="7">$F$18</f>
        <v>2000</v>
      </c>
      <c r="L29" s="22">
        <f t="shared" ref="L29:L35" si="8">K29*J29</f>
        <v>-1.6687222689137089</v>
      </c>
      <c r="M29" s="162"/>
      <c r="N29" s="163">
        <f t="shared" si="2"/>
        <v>-1.6687222689137089</v>
      </c>
      <c r="O29" s="24" t="str">
        <f>IF((H29)=0,"",(N29/H29))</f>
        <v/>
      </c>
    </row>
    <row r="30" spans="1:15" ht="63.75">
      <c r="A30" s="164"/>
      <c r="B30" s="159" t="s">
        <v>80</v>
      </c>
      <c r="C30" s="20"/>
      <c r="D30" s="160" t="s">
        <v>22</v>
      </c>
      <c r="E30" s="20"/>
      <c r="F30" s="161"/>
      <c r="G30" s="21">
        <f t="shared" si="5"/>
        <v>2000</v>
      </c>
      <c r="H30" s="22">
        <f t="shared" si="6"/>
        <v>0</v>
      </c>
      <c r="I30" s="162"/>
      <c r="J30" s="161">
        <v>-2.6878065725373349E-3</v>
      </c>
      <c r="K30" s="21">
        <f t="shared" si="7"/>
        <v>2000</v>
      </c>
      <c r="L30" s="22">
        <f t="shared" si="8"/>
        <v>-5.37561314507467</v>
      </c>
      <c r="M30" s="162"/>
      <c r="N30" s="163">
        <f t="shared" si="2"/>
        <v>-5.37561314507467</v>
      </c>
      <c r="O30" s="24" t="str">
        <f>IF((H30)=0,"",(N30/H30))</f>
        <v/>
      </c>
    </row>
    <row r="31" spans="1:15" ht="51">
      <c r="A31" s="164"/>
      <c r="B31" s="159" t="s">
        <v>81</v>
      </c>
      <c r="C31" s="20"/>
      <c r="D31" s="160"/>
      <c r="E31" s="20"/>
      <c r="F31" s="161"/>
      <c r="G31" s="21">
        <f t="shared" si="5"/>
        <v>2000</v>
      </c>
      <c r="H31" s="22"/>
      <c r="I31" s="162"/>
      <c r="J31" s="161">
        <v>6.1999999999999998E-3</v>
      </c>
      <c r="K31" s="21">
        <f t="shared" si="7"/>
        <v>2000</v>
      </c>
      <c r="L31" s="22">
        <f t="shared" si="8"/>
        <v>12.4</v>
      </c>
      <c r="M31" s="162"/>
      <c r="N31" s="163">
        <f t="shared" si="2"/>
        <v>12.4</v>
      </c>
      <c r="O31" s="24"/>
    </row>
    <row r="32" spans="1:15" ht="38.25">
      <c r="A32" s="164"/>
      <c r="B32" s="159" t="s">
        <v>73</v>
      </c>
      <c r="C32" s="20"/>
      <c r="D32" s="160"/>
      <c r="E32" s="20"/>
      <c r="F32" s="161"/>
      <c r="G32" s="21">
        <f t="shared" si="5"/>
        <v>2000</v>
      </c>
      <c r="H32" s="22"/>
      <c r="I32" s="162"/>
      <c r="J32" s="161">
        <v>2.0000000000000001E-4</v>
      </c>
      <c r="K32" s="21">
        <f t="shared" si="7"/>
        <v>2000</v>
      </c>
      <c r="L32" s="22">
        <f t="shared" si="8"/>
        <v>0.4</v>
      </c>
      <c r="M32" s="162"/>
      <c r="N32" s="163">
        <f t="shared" si="2"/>
        <v>0.4</v>
      </c>
      <c r="O32" s="24"/>
    </row>
    <row r="33" spans="1:19" ht="25.5">
      <c r="A33" s="158"/>
      <c r="B33" s="159" t="s">
        <v>76</v>
      </c>
      <c r="C33" s="20"/>
      <c r="D33" s="160" t="s">
        <v>22</v>
      </c>
      <c r="E33" s="20"/>
      <c r="F33" s="161"/>
      <c r="G33" s="21">
        <f t="shared" si="5"/>
        <v>2000</v>
      </c>
      <c r="H33" s="22">
        <f t="shared" si="6"/>
        <v>0</v>
      </c>
      <c r="I33" s="162"/>
      <c r="J33" s="161">
        <v>-3.9452380925434662E-4</v>
      </c>
      <c r="K33" s="21">
        <f t="shared" si="7"/>
        <v>2000</v>
      </c>
      <c r="L33" s="22">
        <f t="shared" si="8"/>
        <v>-0.7890476185086932</v>
      </c>
      <c r="M33" s="162"/>
      <c r="N33" s="163">
        <f t="shared" si="2"/>
        <v>-0.7890476185086932</v>
      </c>
      <c r="O33" s="24" t="str">
        <f>IF((H33)=0,"",(N33/H33))</f>
        <v/>
      </c>
    </row>
    <row r="34" spans="1:19" ht="51">
      <c r="A34" s="158"/>
      <c r="B34" s="159" t="s">
        <v>77</v>
      </c>
      <c r="C34" s="20"/>
      <c r="D34" s="160" t="s">
        <v>22</v>
      </c>
      <c r="E34" s="20"/>
      <c r="F34" s="161"/>
      <c r="G34" s="21">
        <f t="shared" si="5"/>
        <v>2000</v>
      </c>
      <c r="H34" s="22">
        <f t="shared" si="6"/>
        <v>0</v>
      </c>
      <c r="I34" s="162"/>
      <c r="J34" s="161">
        <v>3.3020595175903348E-4</v>
      </c>
      <c r="K34" s="21">
        <f t="shared" si="7"/>
        <v>2000</v>
      </c>
      <c r="L34" s="22">
        <f t="shared" si="8"/>
        <v>0.660411903518067</v>
      </c>
      <c r="M34" s="162"/>
      <c r="N34" s="163">
        <f t="shared" si="2"/>
        <v>0.660411903518067</v>
      </c>
      <c r="O34" s="24" t="str">
        <f>IF((H34)=0,"",(N34/H34))</f>
        <v/>
      </c>
    </row>
    <row r="35" spans="1:19">
      <c r="A35" s="158" t="s">
        <v>60</v>
      </c>
      <c r="B35" s="159" t="s">
        <v>24</v>
      </c>
      <c r="C35" s="20"/>
      <c r="D35" s="160" t="s">
        <v>22</v>
      </c>
      <c r="E35" s="20"/>
      <c r="F35" s="161">
        <v>1E-3</v>
      </c>
      <c r="G35" s="21">
        <f t="shared" si="5"/>
        <v>2000</v>
      </c>
      <c r="H35" s="22">
        <f t="shared" si="6"/>
        <v>2</v>
      </c>
      <c r="I35" s="162"/>
      <c r="J35" s="161">
        <v>6.9999999999999999E-4</v>
      </c>
      <c r="K35" s="21">
        <f t="shared" si="7"/>
        <v>2000</v>
      </c>
      <c r="L35" s="22">
        <f t="shared" si="8"/>
        <v>1.4</v>
      </c>
      <c r="M35" s="162"/>
      <c r="N35" s="163">
        <f t="shared" si="2"/>
        <v>-0.60000000000000009</v>
      </c>
      <c r="O35" s="24">
        <f>IF((H35)=0,"",(N35/H35))</f>
        <v>-0.30000000000000004</v>
      </c>
    </row>
    <row r="36" spans="1:19">
      <c r="A36" s="19"/>
      <c r="B36" s="141" t="s">
        <v>25</v>
      </c>
      <c r="C36" s="20"/>
      <c r="D36" s="160" t="s">
        <v>22</v>
      </c>
      <c r="E36" s="20"/>
      <c r="F36" s="161">
        <f>IF(ISBLANK(D16)=1, 0, IF(D16="TOU", 0.64*$F$46+0.18*$F$47+0.18*$F$48, IF(AND(D16="non-TOU", G50&gt;0), F50,F49)))</f>
        <v>0.10766000000000001</v>
      </c>
      <c r="G36" s="21">
        <f>$F$18*(1+$F$65)-$F$18</f>
        <v>78</v>
      </c>
      <c r="H36" s="22">
        <f t="shared" si="6"/>
        <v>8.3974799999999998</v>
      </c>
      <c r="I36" s="162"/>
      <c r="J36" s="161">
        <f>0.64*$F$46+0.18*$F$47+0.18*$F$48</f>
        <v>0.10766000000000001</v>
      </c>
      <c r="K36" s="21">
        <f>$F$18*(1+$J$65)-$F$18</f>
        <v>91.400000000000091</v>
      </c>
      <c r="L36" s="22">
        <f>K36*J36</f>
        <v>9.8401240000000101</v>
      </c>
      <c r="M36" s="162"/>
      <c r="N36" s="163">
        <f t="shared" si="2"/>
        <v>1.4426440000000103</v>
      </c>
      <c r="O36" s="24">
        <f t="shared" si="3"/>
        <v>0.17179487179487302</v>
      </c>
    </row>
    <row r="37" spans="1:19">
      <c r="A37" s="19"/>
      <c r="B37" s="165" t="s">
        <v>26</v>
      </c>
      <c r="C37" s="20"/>
      <c r="D37" s="166" t="s">
        <v>22</v>
      </c>
      <c r="E37" s="14"/>
      <c r="F37" s="167">
        <v>0.79</v>
      </c>
      <c r="G37" s="25">
        <v>1</v>
      </c>
      <c r="H37" s="26">
        <f t="shared" si="6"/>
        <v>0.79</v>
      </c>
      <c r="I37" s="168"/>
      <c r="J37" s="167">
        <v>0.79</v>
      </c>
      <c r="K37" s="25">
        <v>1</v>
      </c>
      <c r="L37" s="26">
        <f>K37*J37</f>
        <v>0.79</v>
      </c>
      <c r="M37" s="168"/>
      <c r="N37" s="169">
        <f t="shared" si="2"/>
        <v>0</v>
      </c>
      <c r="O37" s="27"/>
    </row>
    <row r="38" spans="1:19" ht="25.5">
      <c r="B38" s="170" t="s">
        <v>27</v>
      </c>
      <c r="C38" s="171"/>
      <c r="D38" s="171"/>
      <c r="E38" s="171"/>
      <c r="F38" s="172"/>
      <c r="G38" s="173"/>
      <c r="H38" s="174">
        <f>SUM(H29:H37)+H28</f>
        <v>55.15748</v>
      </c>
      <c r="I38" s="28"/>
      <c r="J38" s="173"/>
      <c r="K38" s="175"/>
      <c r="L38" s="174">
        <f>SUM(L29:L37)+L28</f>
        <v>71.664454281595397</v>
      </c>
      <c r="M38" s="28"/>
      <c r="N38" s="156">
        <f t="shared" si="2"/>
        <v>16.506974281595397</v>
      </c>
      <c r="O38" s="157">
        <f t="shared" ref="O38:O56" si="9">IF((H38)=0,"",(N38/H38))</f>
        <v>0.29926991373781758</v>
      </c>
    </row>
    <row r="39" spans="1:19">
      <c r="B39" s="176" t="s">
        <v>28</v>
      </c>
      <c r="C39" s="28"/>
      <c r="D39" s="177" t="s">
        <v>22</v>
      </c>
      <c r="E39" s="28"/>
      <c r="F39" s="31">
        <v>5.7999999999999996E-3</v>
      </c>
      <c r="G39" s="29">
        <f>F18*(1+F65)</f>
        <v>2078</v>
      </c>
      <c r="H39" s="16">
        <f>G39*F39</f>
        <v>12.052399999999999</v>
      </c>
      <c r="I39" s="28"/>
      <c r="J39" s="31">
        <v>5.4394427051232775E-3</v>
      </c>
      <c r="K39" s="30">
        <f>F18*(1+J65)</f>
        <v>2091.4</v>
      </c>
      <c r="L39" s="16">
        <f>K39*J39</f>
        <v>11.376050473494823</v>
      </c>
      <c r="M39" s="28"/>
      <c r="N39" s="145">
        <f t="shared" si="2"/>
        <v>-0.67634952650517555</v>
      </c>
      <c r="O39" s="18">
        <f t="shared" si="9"/>
        <v>-5.61174144987866E-2</v>
      </c>
    </row>
    <row r="40" spans="1:19" ht="25.5">
      <c r="B40" s="178" t="s">
        <v>29</v>
      </c>
      <c r="C40" s="28"/>
      <c r="D40" s="177" t="s">
        <v>22</v>
      </c>
      <c r="E40" s="28"/>
      <c r="F40" s="31">
        <v>4.0000000000000001E-3</v>
      </c>
      <c r="G40" s="29">
        <f>G39</f>
        <v>2078</v>
      </c>
      <c r="H40" s="16">
        <f>G40*F40</f>
        <v>8.3119999999999994</v>
      </c>
      <c r="I40" s="28"/>
      <c r="J40" s="31">
        <v>4.0259412268579828E-3</v>
      </c>
      <c r="K40" s="30">
        <f>K39</f>
        <v>2091.4</v>
      </c>
      <c r="L40" s="16">
        <f>K40*J40</f>
        <v>8.4198534818507849</v>
      </c>
      <c r="M40" s="28"/>
      <c r="N40" s="145">
        <f t="shared" si="2"/>
        <v>0.10785348185078547</v>
      </c>
      <c r="O40" s="18">
        <f t="shared" si="9"/>
        <v>1.2975635448843297E-2</v>
      </c>
    </row>
    <row r="41" spans="1:19" ht="25.5">
      <c r="B41" s="170" t="s">
        <v>30</v>
      </c>
      <c r="C41" s="149"/>
      <c r="D41" s="149"/>
      <c r="E41" s="149"/>
      <c r="F41" s="179"/>
      <c r="G41" s="173"/>
      <c r="H41" s="174">
        <f>SUM(H38:H40)</f>
        <v>75.521879999999996</v>
      </c>
      <c r="I41" s="180"/>
      <c r="J41" s="181"/>
      <c r="K41" s="182"/>
      <c r="L41" s="174">
        <f>SUM(L38:L40)</f>
        <v>91.460358236941005</v>
      </c>
      <c r="M41" s="180"/>
      <c r="N41" s="156">
        <f t="shared" si="2"/>
        <v>15.938478236941009</v>
      </c>
      <c r="O41" s="157">
        <f t="shared" si="9"/>
        <v>0.211044511033637</v>
      </c>
    </row>
    <row r="42" spans="1:19" ht="25.5">
      <c r="B42" s="141" t="s">
        <v>31</v>
      </c>
      <c r="C42" s="20"/>
      <c r="D42" s="183" t="s">
        <v>22</v>
      </c>
      <c r="E42" s="14"/>
      <c r="F42" s="31">
        <v>3.5999999999999999E-3</v>
      </c>
      <c r="G42" s="79">
        <f>G40</f>
        <v>2078</v>
      </c>
      <c r="H42" s="75">
        <f t="shared" ref="H42:H48" si="10">G42*F42</f>
        <v>7.4807999999999995</v>
      </c>
      <c r="I42" s="275"/>
      <c r="J42" s="31">
        <v>3.5999999999999999E-3</v>
      </c>
      <c r="K42" s="80">
        <f>K40</f>
        <v>2091.4</v>
      </c>
      <c r="L42" s="75">
        <f t="shared" ref="L42:L48" si="11">K42*J42</f>
        <v>7.5290400000000002</v>
      </c>
      <c r="M42" s="275"/>
      <c r="N42" s="276">
        <f t="shared" si="2"/>
        <v>4.8240000000000727E-2</v>
      </c>
      <c r="O42" s="76">
        <f t="shared" si="9"/>
        <v>6.4485081809433119E-3</v>
      </c>
    </row>
    <row r="43" spans="1:19" ht="25.5">
      <c r="B43" s="141" t="s">
        <v>32</v>
      </c>
      <c r="C43" s="20"/>
      <c r="D43" s="183" t="s">
        <v>22</v>
      </c>
      <c r="E43" s="14"/>
      <c r="F43" s="31">
        <v>1.2999999999999999E-3</v>
      </c>
      <c r="G43" s="79">
        <f>G40</f>
        <v>2078</v>
      </c>
      <c r="H43" s="75">
        <f t="shared" si="10"/>
        <v>2.7014</v>
      </c>
      <c r="I43" s="275"/>
      <c r="J43" s="31">
        <v>1.2999999999999999E-3</v>
      </c>
      <c r="K43" s="80">
        <f>K40</f>
        <v>2091.4</v>
      </c>
      <c r="L43" s="75">
        <f t="shared" si="11"/>
        <v>2.71882</v>
      </c>
      <c r="M43" s="275"/>
      <c r="N43" s="276">
        <f t="shared" si="2"/>
        <v>1.7419999999999991E-2</v>
      </c>
      <c r="O43" s="76">
        <f t="shared" si="9"/>
        <v>6.4485081809432113E-3</v>
      </c>
    </row>
    <row r="44" spans="1:19" ht="25.5">
      <c r="B44" s="141" t="s">
        <v>33</v>
      </c>
      <c r="C44" s="20"/>
      <c r="D44" s="183" t="s">
        <v>19</v>
      </c>
      <c r="E44" s="14"/>
      <c r="F44" s="81">
        <v>0.25</v>
      </c>
      <c r="G44" s="77">
        <v>1</v>
      </c>
      <c r="H44" s="75">
        <f t="shared" si="10"/>
        <v>0.25</v>
      </c>
      <c r="I44" s="275"/>
      <c r="J44" s="81">
        <v>0.25</v>
      </c>
      <c r="K44" s="78">
        <v>1</v>
      </c>
      <c r="L44" s="75">
        <f t="shared" si="11"/>
        <v>0.25</v>
      </c>
      <c r="M44" s="275"/>
      <c r="N44" s="276">
        <f t="shared" si="2"/>
        <v>0</v>
      </c>
      <c r="O44" s="76">
        <f t="shared" si="9"/>
        <v>0</v>
      </c>
    </row>
    <row r="45" spans="1:19">
      <c r="B45" s="141" t="s">
        <v>34</v>
      </c>
      <c r="C45" s="20"/>
      <c r="D45" s="183" t="s">
        <v>22</v>
      </c>
      <c r="E45" s="14"/>
      <c r="F45" s="31">
        <v>1.1000000000000001E-3</v>
      </c>
      <c r="G45" s="79">
        <f>F18</f>
        <v>2000</v>
      </c>
      <c r="H45" s="75">
        <f t="shared" si="10"/>
        <v>2.2000000000000002</v>
      </c>
      <c r="I45" s="275"/>
      <c r="J45" s="31">
        <v>1.1000000000000001E-3</v>
      </c>
      <c r="K45" s="80">
        <f>F18</f>
        <v>2000</v>
      </c>
      <c r="L45" s="75">
        <f t="shared" si="11"/>
        <v>2.2000000000000002</v>
      </c>
      <c r="M45" s="275"/>
      <c r="N45" s="276">
        <f t="shared" si="2"/>
        <v>0</v>
      </c>
      <c r="O45" s="76">
        <f t="shared" si="9"/>
        <v>0</v>
      </c>
    </row>
    <row r="46" spans="1:19">
      <c r="B46" s="165" t="s">
        <v>35</v>
      </c>
      <c r="C46" s="20"/>
      <c r="D46" s="183" t="s">
        <v>22</v>
      </c>
      <c r="E46" s="14"/>
      <c r="F46" s="81">
        <v>8.3000000000000004E-2</v>
      </c>
      <c r="G46" s="277">
        <f>0.64*$F$18</f>
        <v>1280</v>
      </c>
      <c r="H46" s="75">
        <f t="shared" si="10"/>
        <v>106.24000000000001</v>
      </c>
      <c r="I46" s="275"/>
      <c r="J46" s="81">
        <v>8.3000000000000004E-2</v>
      </c>
      <c r="K46" s="277">
        <f>G46</f>
        <v>1280</v>
      </c>
      <c r="L46" s="75">
        <f t="shared" si="11"/>
        <v>106.24000000000001</v>
      </c>
      <c r="M46" s="275"/>
      <c r="N46" s="276">
        <f t="shared" si="2"/>
        <v>0</v>
      </c>
      <c r="O46" s="76">
        <f t="shared" si="9"/>
        <v>0</v>
      </c>
      <c r="S46" s="185"/>
    </row>
    <row r="47" spans="1:19">
      <c r="B47" s="165" t="s">
        <v>36</v>
      </c>
      <c r="C47" s="20"/>
      <c r="D47" s="183" t="s">
        <v>22</v>
      </c>
      <c r="E47" s="14"/>
      <c r="F47" s="81">
        <v>0.128</v>
      </c>
      <c r="G47" s="277">
        <f>0.18*$F$18</f>
        <v>360</v>
      </c>
      <c r="H47" s="75">
        <f t="shared" si="10"/>
        <v>46.08</v>
      </c>
      <c r="I47" s="275"/>
      <c r="J47" s="81">
        <v>0.128</v>
      </c>
      <c r="K47" s="277">
        <f>G47</f>
        <v>360</v>
      </c>
      <c r="L47" s="75">
        <f t="shared" si="11"/>
        <v>46.08</v>
      </c>
      <c r="M47" s="275"/>
      <c r="N47" s="276">
        <f t="shared" si="2"/>
        <v>0</v>
      </c>
      <c r="O47" s="76">
        <f t="shared" si="9"/>
        <v>0</v>
      </c>
      <c r="S47" s="185"/>
    </row>
    <row r="48" spans="1:19">
      <c r="B48" s="131" t="s">
        <v>37</v>
      </c>
      <c r="C48" s="20"/>
      <c r="D48" s="183" t="s">
        <v>22</v>
      </c>
      <c r="E48" s="14"/>
      <c r="F48" s="81">
        <v>0.17499999999999999</v>
      </c>
      <c r="G48" s="277">
        <f>0.18*$F$18</f>
        <v>360</v>
      </c>
      <c r="H48" s="75">
        <f t="shared" si="10"/>
        <v>62.999999999999993</v>
      </c>
      <c r="I48" s="275"/>
      <c r="J48" s="81">
        <v>0.17499999999999999</v>
      </c>
      <c r="K48" s="277">
        <f>G48</f>
        <v>360</v>
      </c>
      <c r="L48" s="75">
        <f t="shared" si="11"/>
        <v>62.999999999999993</v>
      </c>
      <c r="M48" s="275"/>
      <c r="N48" s="276">
        <f t="shared" si="2"/>
        <v>0</v>
      </c>
      <c r="O48" s="76">
        <f t="shared" si="9"/>
        <v>0</v>
      </c>
      <c r="S48" s="185"/>
    </row>
    <row r="49" spans="2:19" s="190" customFormat="1">
      <c r="B49" s="186" t="s">
        <v>38</v>
      </c>
      <c r="C49" s="32"/>
      <c r="D49" s="183" t="s">
        <v>22</v>
      </c>
      <c r="E49" s="32"/>
      <c r="F49" s="81">
        <v>9.9000000000000005E-2</v>
      </c>
      <c r="G49" s="278">
        <f>IF(AND($T$1=1, F18&gt;=600), 600, IF(AND($T$1=1, AND(F18&lt;600, F18&gt;=0)), F18, IF(AND($T$1=2, F18&gt;=1000), 1000, IF(AND($T$1=2, AND(F18&lt;1000, F18&gt;=0)), F18))))</f>
        <v>600</v>
      </c>
      <c r="H49" s="75">
        <f>G49*F49</f>
        <v>59.400000000000006</v>
      </c>
      <c r="I49" s="279"/>
      <c r="J49" s="81">
        <v>9.9000000000000005E-2</v>
      </c>
      <c r="K49" s="278">
        <f>G49</f>
        <v>600</v>
      </c>
      <c r="L49" s="75">
        <f>K49*J49</f>
        <v>59.400000000000006</v>
      </c>
      <c r="M49" s="279"/>
      <c r="N49" s="280">
        <f t="shared" si="2"/>
        <v>0</v>
      </c>
      <c r="O49" s="76">
        <f t="shared" si="9"/>
        <v>0</v>
      </c>
    </row>
    <row r="50" spans="2:19" s="190" customFormat="1" ht="13.5" thickBot="1">
      <c r="B50" s="186" t="s">
        <v>39</v>
      </c>
      <c r="C50" s="32"/>
      <c r="D50" s="183" t="s">
        <v>22</v>
      </c>
      <c r="E50" s="32"/>
      <c r="F50" s="81">
        <v>0.11600000000000001</v>
      </c>
      <c r="G50" s="278">
        <f>IF(AND($T$1=1, F18&gt;=600), F18-600, IF(AND($T$1=1, AND(F18&lt;600, F18&gt;=0)), 0, IF(AND($T$1=2, F18&gt;=1000), F18-1000, IF(AND($T$1=2, AND(F18&lt;1000, F18&gt;=0)), 0))))</f>
        <v>1400</v>
      </c>
      <c r="H50" s="75">
        <f>G50*F50</f>
        <v>162.4</v>
      </c>
      <c r="I50" s="279"/>
      <c r="J50" s="81">
        <v>0.11600000000000001</v>
      </c>
      <c r="K50" s="278">
        <f>G50</f>
        <v>1400</v>
      </c>
      <c r="L50" s="75">
        <f>K50*J50</f>
        <v>162.4</v>
      </c>
      <c r="M50" s="279"/>
      <c r="N50" s="280">
        <f t="shared" si="2"/>
        <v>0</v>
      </c>
      <c r="O50" s="76">
        <f t="shared" si="9"/>
        <v>0</v>
      </c>
    </row>
    <row r="51" spans="2:19" ht="13.5" thickBot="1">
      <c r="B51" s="191"/>
      <c r="C51" s="192"/>
      <c r="D51" s="193"/>
      <c r="E51" s="192"/>
      <c r="F51" s="194"/>
      <c r="G51" s="195"/>
      <c r="H51" s="196"/>
      <c r="I51" s="197"/>
      <c r="J51" s="194"/>
      <c r="K51" s="198"/>
      <c r="L51" s="196"/>
      <c r="M51" s="197"/>
      <c r="N51" s="199"/>
      <c r="O51" s="200"/>
    </row>
    <row r="52" spans="2:19">
      <c r="B52" s="298" t="s">
        <v>40</v>
      </c>
      <c r="C52" s="290"/>
      <c r="D52" s="290"/>
      <c r="E52" s="20"/>
      <c r="F52" s="33"/>
      <c r="G52" s="34"/>
      <c r="H52" s="35">
        <f>SUM(H42:H48,H41)</f>
        <v>303.47408000000001</v>
      </c>
      <c r="I52" s="36"/>
      <c r="J52" s="37"/>
      <c r="K52" s="37"/>
      <c r="L52" s="35">
        <f>SUM(L42:L48,L41)</f>
        <v>319.47821823694096</v>
      </c>
      <c r="M52" s="38"/>
      <c r="N52" s="39">
        <f>L52-H52</f>
        <v>16.004138236940946</v>
      </c>
      <c r="O52" s="40">
        <f>IF((H52)=0,"",(N52/H52))</f>
        <v>5.273642558514699E-2</v>
      </c>
      <c r="S52" s="185"/>
    </row>
    <row r="53" spans="2:19">
      <c r="B53" s="299" t="s">
        <v>41</v>
      </c>
      <c r="C53" s="290"/>
      <c r="D53" s="290"/>
      <c r="E53" s="20"/>
      <c r="F53" s="41">
        <v>0.13</v>
      </c>
      <c r="G53" s="42"/>
      <c r="H53" s="43">
        <f>H52*F53</f>
        <v>39.451630400000006</v>
      </c>
      <c r="I53" s="44"/>
      <c r="J53" s="45">
        <v>0.13</v>
      </c>
      <c r="K53" s="44"/>
      <c r="L53" s="46">
        <f>L52*J53</f>
        <v>41.532168370802324</v>
      </c>
      <c r="M53" s="47"/>
      <c r="N53" s="48">
        <f t="shared" si="2"/>
        <v>2.0805379708023182</v>
      </c>
      <c r="O53" s="18">
        <f t="shared" si="9"/>
        <v>5.2736425585146865E-2</v>
      </c>
      <c r="S53" s="185"/>
    </row>
    <row r="54" spans="2:19">
      <c r="B54" s="300" t="s">
        <v>42</v>
      </c>
      <c r="C54" s="290"/>
      <c r="D54" s="290"/>
      <c r="E54" s="20"/>
      <c r="F54" s="49"/>
      <c r="G54" s="42"/>
      <c r="H54" s="43">
        <f>H52+H53</f>
        <v>342.92571040000001</v>
      </c>
      <c r="I54" s="44"/>
      <c r="J54" s="44"/>
      <c r="K54" s="44"/>
      <c r="L54" s="46">
        <f>L52+L53</f>
        <v>361.01038660774327</v>
      </c>
      <c r="M54" s="47"/>
      <c r="N54" s="48">
        <f t="shared" si="2"/>
        <v>18.084676207743257</v>
      </c>
      <c r="O54" s="18">
        <f t="shared" si="9"/>
        <v>5.2736425585146962E-2</v>
      </c>
      <c r="S54" s="185"/>
    </row>
    <row r="55" spans="2:19">
      <c r="B55" s="301" t="s">
        <v>43</v>
      </c>
      <c r="C55" s="301"/>
      <c r="D55" s="301"/>
      <c r="E55" s="20"/>
      <c r="F55" s="49"/>
      <c r="G55" s="42"/>
      <c r="H55" s="50">
        <f>ROUND(-H54*0.1,2)</f>
        <v>-34.29</v>
      </c>
      <c r="I55" s="44"/>
      <c r="J55" s="44"/>
      <c r="K55" s="44"/>
      <c r="L55" s="51">
        <f>ROUND(-L54*0.1,2)</f>
        <v>-36.1</v>
      </c>
      <c r="M55" s="47"/>
      <c r="N55" s="52">
        <f t="shared" si="2"/>
        <v>-1.8100000000000023</v>
      </c>
      <c r="O55" s="53">
        <f t="shared" si="9"/>
        <v>5.2785068533100096E-2</v>
      </c>
    </row>
    <row r="56" spans="2:19" ht="13.5" thickBot="1">
      <c r="B56" s="302" t="s">
        <v>44</v>
      </c>
      <c r="C56" s="302"/>
      <c r="D56" s="302"/>
      <c r="E56" s="14"/>
      <c r="F56" s="201"/>
      <c r="G56" s="202"/>
      <c r="H56" s="203">
        <f>H54+H55</f>
        <v>308.63571039999999</v>
      </c>
      <c r="I56" s="204"/>
      <c r="J56" s="204"/>
      <c r="K56" s="204"/>
      <c r="L56" s="205">
        <f>L54+L55</f>
        <v>324.91038660774325</v>
      </c>
      <c r="M56" s="206"/>
      <c r="N56" s="207">
        <f t="shared" si="2"/>
        <v>16.274676207743255</v>
      </c>
      <c r="O56" s="208">
        <f t="shared" si="9"/>
        <v>5.2731021263387981E-2</v>
      </c>
    </row>
    <row r="57" spans="2:19" s="190" customFormat="1" ht="13.5" thickBot="1">
      <c r="B57" s="209"/>
      <c r="C57" s="210"/>
      <c r="D57" s="211"/>
      <c r="E57" s="210"/>
      <c r="F57" s="194"/>
      <c r="G57" s="212"/>
      <c r="H57" s="196"/>
      <c r="I57" s="213"/>
      <c r="J57" s="194"/>
      <c r="K57" s="214"/>
      <c r="L57" s="196"/>
      <c r="M57" s="213"/>
      <c r="N57" s="215"/>
      <c r="O57" s="200"/>
    </row>
    <row r="58" spans="2:19" s="190" customFormat="1">
      <c r="B58" s="293" t="s">
        <v>45</v>
      </c>
      <c r="C58" s="188"/>
      <c r="D58" s="188"/>
      <c r="E58" s="32"/>
      <c r="F58" s="55"/>
      <c r="G58" s="56"/>
      <c r="H58" s="57">
        <f>SUM(H49:H50,H41,H42:H45)</f>
        <v>309.95407999999998</v>
      </c>
      <c r="I58" s="58"/>
      <c r="J58" s="59"/>
      <c r="K58" s="59"/>
      <c r="L58" s="57">
        <f>SUM(L49:L50,L41,L42:L45)</f>
        <v>325.95821823694098</v>
      </c>
      <c r="M58" s="60"/>
      <c r="N58" s="61">
        <f>L58-H58</f>
        <v>16.004138236941003</v>
      </c>
      <c r="O58" s="40">
        <f>IF((H58)=0,"",(N58/H58))</f>
        <v>5.1633900856994701E-2</v>
      </c>
    </row>
    <row r="59" spans="2:19" s="190" customFormat="1">
      <c r="B59" s="294" t="s">
        <v>41</v>
      </c>
      <c r="C59" s="188"/>
      <c r="D59" s="188"/>
      <c r="E59" s="32"/>
      <c r="F59" s="62">
        <v>0.13</v>
      </c>
      <c r="G59" s="56"/>
      <c r="H59" s="63">
        <f>H58*F59</f>
        <v>40.294030399999997</v>
      </c>
      <c r="I59" s="64"/>
      <c r="J59" s="65">
        <v>0.13</v>
      </c>
      <c r="K59" s="66"/>
      <c r="L59" s="67">
        <f>L58*J59</f>
        <v>42.374568370802329</v>
      </c>
      <c r="M59" s="68"/>
      <c r="N59" s="69">
        <f>L59-H59</f>
        <v>2.0805379708023324</v>
      </c>
      <c r="O59" s="18">
        <f>IF((H59)=0,"",(N59/H59))</f>
        <v>5.1633900856994749E-2</v>
      </c>
    </row>
    <row r="60" spans="2:19" s="190" customFormat="1">
      <c r="B60" s="295" t="s">
        <v>42</v>
      </c>
      <c r="C60" s="188"/>
      <c r="D60" s="188"/>
      <c r="E60" s="32"/>
      <c r="F60" s="70"/>
      <c r="G60" s="71"/>
      <c r="H60" s="63">
        <f>H58+H59</f>
        <v>350.24811039999997</v>
      </c>
      <c r="I60" s="64"/>
      <c r="J60" s="64"/>
      <c r="K60" s="64"/>
      <c r="L60" s="67">
        <f>L58+L59</f>
        <v>368.33278660774329</v>
      </c>
      <c r="M60" s="68"/>
      <c r="N60" s="69">
        <f>L60-H60</f>
        <v>18.084676207743314</v>
      </c>
      <c r="O60" s="18">
        <f>IF((H60)=0,"",(N60/H60))</f>
        <v>5.1633900856994645E-2</v>
      </c>
    </row>
    <row r="61" spans="2:19" s="190" customFormat="1">
      <c r="B61" s="296" t="s">
        <v>43</v>
      </c>
      <c r="C61" s="296"/>
      <c r="D61" s="296"/>
      <c r="E61" s="32"/>
      <c r="F61" s="70"/>
      <c r="G61" s="71"/>
      <c r="H61" s="72">
        <f>ROUND(-H60*0.1,2)</f>
        <v>-35.020000000000003</v>
      </c>
      <c r="I61" s="64"/>
      <c r="J61" s="64"/>
      <c r="K61" s="64"/>
      <c r="L61" s="73">
        <f>ROUND(-L60*0.1,2)</f>
        <v>-36.83</v>
      </c>
      <c r="M61" s="68"/>
      <c r="N61" s="74">
        <f>L61-H61</f>
        <v>-1.8099999999999952</v>
      </c>
      <c r="O61" s="53">
        <f>IF((H61)=0,"",(N61/H61))</f>
        <v>5.1684751570530985E-2</v>
      </c>
    </row>
    <row r="62" spans="2:19" s="190" customFormat="1" ht="13.5" thickBot="1">
      <c r="B62" s="297" t="s">
        <v>46</v>
      </c>
      <c r="C62" s="297"/>
      <c r="D62" s="297"/>
      <c r="E62" s="32"/>
      <c r="F62" s="70"/>
      <c r="G62" s="71"/>
      <c r="H62" s="57">
        <f>SUM(H60:H61)</f>
        <v>315.22811039999999</v>
      </c>
      <c r="I62" s="58"/>
      <c r="J62" s="58"/>
      <c r="K62" s="58"/>
      <c r="L62" s="216">
        <f>SUM(L60:L61)</f>
        <v>331.5027866077433</v>
      </c>
      <c r="M62" s="60"/>
      <c r="N62" s="61">
        <f>L62-H62</f>
        <v>16.274676207743312</v>
      </c>
      <c r="O62" s="40">
        <f>IF((H62)=0,"",(N62/H62))</f>
        <v>5.1628251640033027E-2</v>
      </c>
    </row>
    <row r="63" spans="2:19" s="190" customFormat="1" ht="13.5" thickBot="1">
      <c r="B63" s="209"/>
      <c r="C63" s="210"/>
      <c r="D63" s="211"/>
      <c r="E63" s="210"/>
      <c r="F63" s="217"/>
      <c r="G63" s="218"/>
      <c r="H63" s="219"/>
      <c r="I63" s="220"/>
      <c r="J63" s="217"/>
      <c r="K63" s="212"/>
      <c r="L63" s="221"/>
      <c r="M63" s="213"/>
      <c r="N63" s="222"/>
      <c r="O63" s="200"/>
    </row>
    <row r="64" spans="2:19">
      <c r="L64" s="185"/>
    </row>
    <row r="65" spans="1:10">
      <c r="B65" s="223" t="s">
        <v>47</v>
      </c>
      <c r="F65" s="224">
        <v>3.9E-2</v>
      </c>
      <c r="J65" s="224">
        <v>4.5699999999999998E-2</v>
      </c>
    </row>
    <row r="67" spans="1:10" ht="14.25">
      <c r="A67" s="225" t="s">
        <v>48</v>
      </c>
    </row>
    <row r="69" spans="1:10">
      <c r="A69" s="12" t="s">
        <v>49</v>
      </c>
    </row>
    <row r="70" spans="1:10">
      <c r="A70" s="12" t="s">
        <v>50</v>
      </c>
    </row>
    <row r="72" spans="1:10">
      <c r="A72" s="226" t="s">
        <v>51</v>
      </c>
    </row>
    <row r="73" spans="1:10">
      <c r="A73" s="226" t="s">
        <v>52</v>
      </c>
    </row>
    <row r="75" spans="1:10">
      <c r="A75" s="12" t="s">
        <v>53</v>
      </c>
    </row>
    <row r="76" spans="1:10">
      <c r="A76" s="12" t="s">
        <v>54</v>
      </c>
    </row>
    <row r="77" spans="1:10">
      <c r="A77" s="12" t="s">
        <v>55</v>
      </c>
    </row>
    <row r="78" spans="1:10">
      <c r="A78" s="12" t="s">
        <v>56</v>
      </c>
    </row>
    <row r="79" spans="1:10">
      <c r="A79" s="12" t="s">
        <v>57</v>
      </c>
    </row>
    <row r="81" spans="2:2" ht="51">
      <c r="B81" s="13" t="s">
        <v>58</v>
      </c>
    </row>
  </sheetData>
  <mergeCells count="14">
    <mergeCell ref="B62:D62"/>
    <mergeCell ref="D21:D22"/>
    <mergeCell ref="N21:N22"/>
    <mergeCell ref="O21:O22"/>
    <mergeCell ref="B55:D55"/>
    <mergeCell ref="B56:D56"/>
    <mergeCell ref="B61:D61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3 E39:E40 E42:E51 E57 E29:E37 E23:E27">
      <formula1>"#REF!"</formula1>
      <formula2>0</formula2>
    </dataValidation>
    <dataValidation type="list" allowBlank="1" showInputMessage="1" showErrorMessage="1" prompt="Select Charge Unit - monthly, per kWh, per kW" sqref="D63 D39:D40 D57 D42:D51 D29:D37 D23:D27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61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9">
    <pageSetUpPr fitToPage="1"/>
  </sheetPr>
  <dimension ref="A1:T78"/>
  <sheetViews>
    <sheetView showGridLines="0" workbookViewId="0">
      <selection activeCell="B55" sqref="B55:D59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61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100</v>
      </c>
      <c r="G18" s="132" t="s">
        <v>7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136" t="s">
        <v>13</v>
      </c>
      <c r="H21" s="137" t="s">
        <v>14</v>
      </c>
      <c r="J21" s="136" t="s">
        <v>12</v>
      </c>
      <c r="K21" s="138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139"/>
      <c r="H22" s="140" t="s">
        <v>17</v>
      </c>
      <c r="J22" s="139" t="s">
        <v>17</v>
      </c>
      <c r="K22" s="140"/>
      <c r="L22" s="140" t="s">
        <v>17</v>
      </c>
      <c r="N22" s="287"/>
      <c r="O22" s="288"/>
    </row>
    <row r="23" spans="1:15">
      <c r="B23" s="141" t="s">
        <v>18</v>
      </c>
      <c r="C23" s="20"/>
      <c r="D23" s="142" t="s">
        <v>19</v>
      </c>
      <c r="E23" s="14"/>
      <c r="F23" s="143">
        <v>378.72</v>
      </c>
      <c r="G23" s="15">
        <v>1</v>
      </c>
      <c r="H23" s="16">
        <f>G23*F23</f>
        <v>378.72</v>
      </c>
      <c r="I23" s="28"/>
      <c r="J23" s="144">
        <v>82.85</v>
      </c>
      <c r="K23" s="17">
        <v>1</v>
      </c>
      <c r="L23" s="16">
        <f>K23*J23</f>
        <v>82.85</v>
      </c>
      <c r="M23" s="28"/>
      <c r="N23" s="145">
        <f>L23-H23</f>
        <v>-295.87</v>
      </c>
      <c r="O23" s="18">
        <f>IF((H23)=0,"",(N23/H23))</f>
        <v>-0.781236797634136</v>
      </c>
    </row>
    <row r="24" spans="1:15">
      <c r="A24" s="19"/>
      <c r="B24" s="141" t="s">
        <v>21</v>
      </c>
      <c r="C24" s="20"/>
      <c r="D24" s="142" t="s">
        <v>62</v>
      </c>
      <c r="E24" s="14"/>
      <c r="F24" s="146">
        <v>0.64890000000000003</v>
      </c>
      <c r="G24" s="15">
        <f t="shared" ref="G24" si="0">$F$18</f>
        <v>100</v>
      </c>
      <c r="H24" s="16">
        <f t="shared" ref="H24" si="1">G24*F24</f>
        <v>64.89</v>
      </c>
      <c r="I24" s="28"/>
      <c r="J24" s="31">
        <v>3.4316</v>
      </c>
      <c r="K24" s="15">
        <f>$F$18</f>
        <v>100</v>
      </c>
      <c r="L24" s="16">
        <f t="shared" ref="L24" si="2">K24*J24</f>
        <v>343.16</v>
      </c>
      <c r="M24" s="28"/>
      <c r="N24" s="145">
        <f t="shared" ref="N24:N53" si="3">L24-H24</f>
        <v>278.27000000000004</v>
      </c>
      <c r="O24" s="18">
        <f t="shared" ref="O24:O33" si="4">IF((H24)=0,"",(N24/H24))</f>
        <v>4.2883341038680847</v>
      </c>
    </row>
    <row r="25" spans="1:15">
      <c r="A25" s="19"/>
      <c r="B25" s="148" t="s">
        <v>23</v>
      </c>
      <c r="C25" s="149"/>
      <c r="D25" s="150"/>
      <c r="E25" s="149"/>
      <c r="F25" s="151"/>
      <c r="G25" s="152"/>
      <c r="H25" s="153">
        <f>SUM(H23:H24)</f>
        <v>443.61</v>
      </c>
      <c r="I25" s="28"/>
      <c r="J25" s="154"/>
      <c r="K25" s="155"/>
      <c r="L25" s="153">
        <f>SUM(L23:L24)</f>
        <v>426.01</v>
      </c>
      <c r="M25" s="28"/>
      <c r="N25" s="156">
        <f t="shared" si="3"/>
        <v>-17.600000000000023</v>
      </c>
      <c r="O25" s="157">
        <f t="shared" si="4"/>
        <v>-3.9674488852821224E-2</v>
      </c>
    </row>
    <row r="26" spans="1:15" ht="38.25">
      <c r="A26" s="158"/>
      <c r="B26" s="159" t="s">
        <v>69</v>
      </c>
      <c r="C26" s="20"/>
      <c r="D26" s="160" t="s">
        <v>62</v>
      </c>
      <c r="E26" s="20"/>
      <c r="F26" s="161"/>
      <c r="G26" s="21">
        <f t="shared" ref="G26:G32" si="5">$F$18</f>
        <v>100</v>
      </c>
      <c r="H26" s="22">
        <f t="shared" ref="H26:H34" si="6">G26*F26</f>
        <v>0</v>
      </c>
      <c r="I26" s="162"/>
      <c r="J26" s="161">
        <v>-0.29049999999999998</v>
      </c>
      <c r="K26" s="21">
        <f t="shared" ref="K26:K32" si="7">$F$18</f>
        <v>100</v>
      </c>
      <c r="L26" s="22">
        <f t="shared" ref="L26:L34" si="8">K26*J26</f>
        <v>-29.049999999999997</v>
      </c>
      <c r="M26" s="162"/>
      <c r="N26" s="163">
        <f t="shared" si="3"/>
        <v>-29.049999999999997</v>
      </c>
      <c r="O26" s="24" t="str">
        <f t="shared" si="4"/>
        <v/>
      </c>
    </row>
    <row r="27" spans="1:15" ht="63.75">
      <c r="A27" s="164"/>
      <c r="B27" s="159" t="s">
        <v>82</v>
      </c>
      <c r="C27" s="20"/>
      <c r="D27" s="160" t="s">
        <v>62</v>
      </c>
      <c r="E27" s="20"/>
      <c r="F27" s="161"/>
      <c r="G27" s="21">
        <f t="shared" si="5"/>
        <v>100</v>
      </c>
      <c r="H27" s="22">
        <f t="shared" si="6"/>
        <v>0</v>
      </c>
      <c r="I27" s="162"/>
      <c r="J27" s="161">
        <v>-0.94099999999999995</v>
      </c>
      <c r="K27" s="21">
        <f t="shared" si="7"/>
        <v>100</v>
      </c>
      <c r="L27" s="22">
        <f t="shared" si="8"/>
        <v>-94.1</v>
      </c>
      <c r="M27" s="162"/>
      <c r="N27" s="163">
        <f t="shared" si="3"/>
        <v>-94.1</v>
      </c>
      <c r="O27" s="24" t="str">
        <f t="shared" si="4"/>
        <v/>
      </c>
    </row>
    <row r="28" spans="1:15" ht="51">
      <c r="A28" s="164"/>
      <c r="B28" s="159" t="s">
        <v>75</v>
      </c>
      <c r="C28" s="20"/>
      <c r="D28" s="160" t="s">
        <v>22</v>
      </c>
      <c r="E28" s="20"/>
      <c r="F28" s="161"/>
      <c r="G28" s="21">
        <f t="shared" si="5"/>
        <v>100</v>
      </c>
      <c r="H28" s="22"/>
      <c r="I28" s="162"/>
      <c r="J28" s="161">
        <v>2.1615000000000002</v>
      </c>
      <c r="K28" s="21">
        <f t="shared" si="7"/>
        <v>100</v>
      </c>
      <c r="L28" s="22">
        <f t="shared" si="8"/>
        <v>216.15000000000003</v>
      </c>
      <c r="M28" s="162"/>
      <c r="N28" s="163">
        <f t="shared" si="3"/>
        <v>216.15000000000003</v>
      </c>
      <c r="O28" s="24" t="str">
        <f t="shared" si="4"/>
        <v/>
      </c>
    </row>
    <row r="29" spans="1:15" ht="38.25">
      <c r="A29" s="164"/>
      <c r="B29" s="159" t="s">
        <v>73</v>
      </c>
      <c r="C29" s="20"/>
      <c r="D29" s="160" t="s">
        <v>22</v>
      </c>
      <c r="E29" s="20"/>
      <c r="F29" s="161"/>
      <c r="G29" s="21">
        <f t="shared" si="5"/>
        <v>100</v>
      </c>
      <c r="H29" s="22"/>
      <c r="I29" s="162"/>
      <c r="J29" s="161">
        <v>5.8700000000000002E-2</v>
      </c>
      <c r="K29" s="21">
        <f t="shared" si="7"/>
        <v>100</v>
      </c>
      <c r="L29" s="22">
        <f t="shared" si="8"/>
        <v>5.87</v>
      </c>
      <c r="M29" s="162"/>
      <c r="N29" s="163">
        <f t="shared" si="3"/>
        <v>5.87</v>
      </c>
      <c r="O29" s="24" t="str">
        <f t="shared" si="4"/>
        <v/>
      </c>
    </row>
    <row r="30" spans="1:15" ht="25.5">
      <c r="A30" s="158"/>
      <c r="B30" s="159" t="s">
        <v>76</v>
      </c>
      <c r="C30" s="20"/>
      <c r="D30" s="160" t="s">
        <v>62</v>
      </c>
      <c r="E30" s="20"/>
      <c r="F30" s="161"/>
      <c r="G30" s="21">
        <f t="shared" si="5"/>
        <v>100</v>
      </c>
      <c r="H30" s="22">
        <f t="shared" si="6"/>
        <v>0</v>
      </c>
      <c r="I30" s="162"/>
      <c r="J30" s="161">
        <v>-0.1381</v>
      </c>
      <c r="K30" s="21">
        <f t="shared" si="7"/>
        <v>100</v>
      </c>
      <c r="L30" s="22">
        <f t="shared" si="8"/>
        <v>-13.81</v>
      </c>
      <c r="M30" s="162"/>
      <c r="N30" s="163">
        <f t="shared" si="3"/>
        <v>-13.81</v>
      </c>
      <c r="O30" s="24" t="str">
        <f t="shared" si="4"/>
        <v/>
      </c>
    </row>
    <row r="31" spans="1:15" ht="51">
      <c r="A31" s="158"/>
      <c r="B31" s="159" t="s">
        <v>77</v>
      </c>
      <c r="C31" s="20"/>
      <c r="D31" s="160" t="s">
        <v>62</v>
      </c>
      <c r="E31" s="20"/>
      <c r="F31" s="161"/>
      <c r="G31" s="21">
        <f t="shared" si="5"/>
        <v>100</v>
      </c>
      <c r="H31" s="22">
        <f t="shared" si="6"/>
        <v>0</v>
      </c>
      <c r="I31" s="162"/>
      <c r="J31" s="161">
        <v>0.10780000000000001</v>
      </c>
      <c r="K31" s="21">
        <f t="shared" si="7"/>
        <v>100</v>
      </c>
      <c r="L31" s="22">
        <f t="shared" si="8"/>
        <v>10.780000000000001</v>
      </c>
      <c r="M31" s="162"/>
      <c r="N31" s="163">
        <f t="shared" si="3"/>
        <v>10.780000000000001</v>
      </c>
      <c r="O31" s="24" t="str">
        <f t="shared" si="4"/>
        <v/>
      </c>
    </row>
    <row r="32" spans="1:15">
      <c r="A32" s="158"/>
      <c r="B32" s="159" t="s">
        <v>24</v>
      </c>
      <c r="C32" s="20"/>
      <c r="D32" s="160" t="s">
        <v>62</v>
      </c>
      <c r="E32" s="20"/>
      <c r="F32" s="161">
        <v>0.39539999999999997</v>
      </c>
      <c r="G32" s="21">
        <f t="shared" si="5"/>
        <v>100</v>
      </c>
      <c r="H32" s="22">
        <f t="shared" si="6"/>
        <v>39.54</v>
      </c>
      <c r="I32" s="162"/>
      <c r="J32" s="161">
        <v>0.2787</v>
      </c>
      <c r="K32" s="21">
        <f t="shared" si="7"/>
        <v>100</v>
      </c>
      <c r="L32" s="22">
        <f t="shared" si="8"/>
        <v>27.87</v>
      </c>
      <c r="M32" s="162"/>
      <c r="N32" s="163">
        <f t="shared" si="3"/>
        <v>-11.669999999999998</v>
      </c>
      <c r="O32" s="24">
        <f t="shared" si="4"/>
        <v>-0.29514415781487097</v>
      </c>
    </row>
    <row r="33" spans="1:19">
      <c r="A33" s="19"/>
      <c r="B33" s="141" t="s">
        <v>25</v>
      </c>
      <c r="C33" s="20"/>
      <c r="D33" s="160" t="s">
        <v>62</v>
      </c>
      <c r="E33" s="20"/>
      <c r="F33" s="161">
        <f>IF(ISBLANK(D16)=1, 0, IF(D16="TOU", 0.64*$F$43+0.18*$F$44+0.18*$F$45, IF(AND(D16="non-TOU", G47&gt;0), F47,F46)))</f>
        <v>0.10766000000000001</v>
      </c>
      <c r="G33" s="21">
        <f>$F$18*(1+$F$62)-$F$18</f>
        <v>3.8999999999999915</v>
      </c>
      <c r="H33" s="22">
        <f t="shared" si="6"/>
        <v>0.41987399999999908</v>
      </c>
      <c r="I33" s="162"/>
      <c r="J33" s="161">
        <f>0.64*$F$43+0.18*$F$44+0.18*$F$45</f>
        <v>0.10766000000000001</v>
      </c>
      <c r="K33" s="21">
        <f>$F$18*(1+$J$62)-$F$18</f>
        <v>4.5700000000000074</v>
      </c>
      <c r="L33" s="22">
        <f t="shared" si="8"/>
        <v>0.49200620000000084</v>
      </c>
      <c r="M33" s="162"/>
      <c r="N33" s="163">
        <f t="shared" si="3"/>
        <v>7.2132200000001756E-2</v>
      </c>
      <c r="O33" s="24">
        <f t="shared" si="4"/>
        <v>0.17179487179487635</v>
      </c>
    </row>
    <row r="34" spans="1:19">
      <c r="A34" s="19"/>
      <c r="B34" s="141" t="s">
        <v>26</v>
      </c>
      <c r="C34" s="20"/>
      <c r="D34" s="160" t="s">
        <v>62</v>
      </c>
      <c r="E34" s="20"/>
      <c r="F34" s="161">
        <v>0</v>
      </c>
      <c r="G34" s="21">
        <v>1</v>
      </c>
      <c r="H34" s="22">
        <f t="shared" si="6"/>
        <v>0</v>
      </c>
      <c r="I34" s="162"/>
      <c r="J34" s="161">
        <v>0</v>
      </c>
      <c r="K34" s="21">
        <v>1</v>
      </c>
      <c r="L34" s="22">
        <f t="shared" si="8"/>
        <v>0</v>
      </c>
      <c r="M34" s="162"/>
      <c r="N34" s="163">
        <f t="shared" si="3"/>
        <v>0</v>
      </c>
      <c r="O34" s="24"/>
    </row>
    <row r="35" spans="1:19" ht="25.5">
      <c r="B35" s="170" t="s">
        <v>27</v>
      </c>
      <c r="C35" s="171"/>
      <c r="D35" s="171"/>
      <c r="E35" s="171"/>
      <c r="F35" s="172"/>
      <c r="G35" s="173"/>
      <c r="H35" s="174">
        <f>SUM(H26:H34)+H25</f>
        <v>483.56987400000003</v>
      </c>
      <c r="I35" s="28"/>
      <c r="J35" s="173"/>
      <c r="K35" s="175"/>
      <c r="L35" s="174">
        <f>SUM(L26:L34)+L25</f>
        <v>550.21200620000002</v>
      </c>
      <c r="M35" s="28"/>
      <c r="N35" s="156">
        <f t="shared" si="3"/>
        <v>66.642132199999992</v>
      </c>
      <c r="O35" s="157">
        <f t="shared" ref="O35:O53" si="9">IF((H35)=0,"",(N35/H35))</f>
        <v>0.13781282867923239</v>
      </c>
    </row>
    <row r="36" spans="1:19">
      <c r="B36" s="176" t="s">
        <v>28</v>
      </c>
      <c r="C36" s="28"/>
      <c r="D36" s="142" t="s">
        <v>62</v>
      </c>
      <c r="E36" s="28"/>
      <c r="F36" s="31">
        <v>2.3683000000000001</v>
      </c>
      <c r="G36" s="29">
        <f>F18*(1+F62)</f>
        <v>103.89999999999999</v>
      </c>
      <c r="H36" s="16">
        <f>G36*F36</f>
        <v>246.06636999999998</v>
      </c>
      <c r="I36" s="28"/>
      <c r="J36" s="31">
        <v>2.221074480589547</v>
      </c>
      <c r="K36" s="30">
        <f>F18*(1+J62)</f>
        <v>104.57000000000001</v>
      </c>
      <c r="L36" s="16">
        <f>K36*J36</f>
        <v>232.25775843524895</v>
      </c>
      <c r="M36" s="28"/>
      <c r="N36" s="145">
        <f t="shared" si="3"/>
        <v>-13.808611564751033</v>
      </c>
      <c r="O36" s="18">
        <f t="shared" si="9"/>
        <v>-5.6117427037067416E-2</v>
      </c>
    </row>
    <row r="37" spans="1:19" ht="25.5">
      <c r="B37" s="178" t="s">
        <v>29</v>
      </c>
      <c r="C37" s="28"/>
      <c r="D37" s="142" t="s">
        <v>62</v>
      </c>
      <c r="E37" s="28"/>
      <c r="F37" s="31">
        <v>1.5959000000000001</v>
      </c>
      <c r="G37" s="29">
        <f>G36</f>
        <v>103.89999999999999</v>
      </c>
      <c r="H37" s="16">
        <f>G37*F37</f>
        <v>165.81401</v>
      </c>
      <c r="I37" s="28"/>
      <c r="J37" s="31">
        <v>1.6062498283035462</v>
      </c>
      <c r="K37" s="30">
        <f>K36</f>
        <v>104.57000000000001</v>
      </c>
      <c r="L37" s="16">
        <f>K37*J37</f>
        <v>167.96554454570185</v>
      </c>
      <c r="M37" s="28"/>
      <c r="N37" s="145">
        <f t="shared" si="3"/>
        <v>2.1515345457018498</v>
      </c>
      <c r="O37" s="18">
        <f t="shared" si="9"/>
        <v>1.2975589612131386E-2</v>
      </c>
    </row>
    <row r="38" spans="1:19" ht="25.5">
      <c r="B38" s="170" t="s">
        <v>30</v>
      </c>
      <c r="C38" s="149"/>
      <c r="D38" s="149"/>
      <c r="E38" s="149"/>
      <c r="F38" s="179"/>
      <c r="G38" s="173"/>
      <c r="H38" s="174">
        <f>SUM(H35:H37)</f>
        <v>895.45025400000009</v>
      </c>
      <c r="I38" s="180"/>
      <c r="J38" s="181"/>
      <c r="K38" s="182"/>
      <c r="L38" s="174">
        <f>SUM(L35:L37)</f>
        <v>950.43530918095087</v>
      </c>
      <c r="M38" s="180"/>
      <c r="N38" s="156">
        <f t="shared" si="3"/>
        <v>54.985055180950781</v>
      </c>
      <c r="O38" s="157">
        <f t="shared" si="9"/>
        <v>6.1404924433636682E-2</v>
      </c>
    </row>
    <row r="39" spans="1:19" ht="25.5">
      <c r="B39" s="141" t="s">
        <v>31</v>
      </c>
      <c r="C39" s="20"/>
      <c r="D39" s="183" t="s">
        <v>22</v>
      </c>
      <c r="E39" s="14"/>
      <c r="F39" s="31">
        <v>3.5999999999999999E-3</v>
      </c>
      <c r="G39" s="29">
        <f>G37</f>
        <v>103.89999999999999</v>
      </c>
      <c r="H39" s="16">
        <f t="shared" ref="H39:H45" si="10">G39*F39</f>
        <v>0.37403999999999998</v>
      </c>
      <c r="I39" s="28"/>
      <c r="J39" s="31">
        <v>3.5999999999999999E-3</v>
      </c>
      <c r="K39" s="30">
        <f>K37</f>
        <v>104.57000000000001</v>
      </c>
      <c r="L39" s="16">
        <f t="shared" ref="L39:L45" si="11">K39*J39</f>
        <v>0.37645200000000001</v>
      </c>
      <c r="M39" s="28"/>
      <c r="N39" s="145">
        <f t="shared" si="3"/>
        <v>2.4120000000000252E-3</v>
      </c>
      <c r="O39" s="18">
        <f t="shared" si="9"/>
        <v>6.4485081809432824E-3</v>
      </c>
    </row>
    <row r="40" spans="1:19" ht="25.5">
      <c r="B40" s="141" t="s">
        <v>32</v>
      </c>
      <c r="C40" s="20"/>
      <c r="D40" s="183" t="s">
        <v>22</v>
      </c>
      <c r="E40" s="14"/>
      <c r="F40" s="31">
        <v>1.2999999999999999E-3</v>
      </c>
      <c r="G40" s="29">
        <f>G37</f>
        <v>103.89999999999999</v>
      </c>
      <c r="H40" s="16">
        <f t="shared" si="10"/>
        <v>0.13507</v>
      </c>
      <c r="I40" s="28"/>
      <c r="J40" s="31">
        <v>1.2999999999999999E-3</v>
      </c>
      <c r="K40" s="30">
        <f>K37</f>
        <v>104.57000000000001</v>
      </c>
      <c r="L40" s="16">
        <f t="shared" si="11"/>
        <v>0.13594100000000001</v>
      </c>
      <c r="M40" s="28"/>
      <c r="N40" s="145">
        <f t="shared" si="3"/>
        <v>8.7100000000001065E-4</v>
      </c>
      <c r="O40" s="18">
        <f t="shared" si="9"/>
        <v>6.4485081809432937E-3</v>
      </c>
    </row>
    <row r="41" spans="1:19" ht="25.5">
      <c r="B41" s="141" t="s">
        <v>33</v>
      </c>
      <c r="C41" s="20"/>
      <c r="D41" s="183" t="s">
        <v>19</v>
      </c>
      <c r="E41" s="14"/>
      <c r="F41" s="31">
        <v>0.25</v>
      </c>
      <c r="G41" s="15">
        <v>1</v>
      </c>
      <c r="H41" s="16">
        <f t="shared" si="10"/>
        <v>0.25</v>
      </c>
      <c r="I41" s="28"/>
      <c r="J41" s="31">
        <v>0.25</v>
      </c>
      <c r="K41" s="17">
        <v>1</v>
      </c>
      <c r="L41" s="16">
        <f t="shared" si="11"/>
        <v>0.25</v>
      </c>
      <c r="M41" s="28"/>
      <c r="N41" s="145">
        <f t="shared" si="3"/>
        <v>0</v>
      </c>
      <c r="O41" s="18">
        <f t="shared" si="9"/>
        <v>0</v>
      </c>
    </row>
    <row r="42" spans="1:19">
      <c r="B42" s="141" t="s">
        <v>34</v>
      </c>
      <c r="C42" s="20"/>
      <c r="D42" s="183" t="s">
        <v>22</v>
      </c>
      <c r="E42" s="14"/>
      <c r="F42" s="31">
        <v>1.1000000000000001E-3</v>
      </c>
      <c r="G42" s="29">
        <f>F18</f>
        <v>100</v>
      </c>
      <c r="H42" s="16">
        <f t="shared" si="10"/>
        <v>0.11</v>
      </c>
      <c r="I42" s="28"/>
      <c r="J42" s="31">
        <v>1.1000000000000001E-3</v>
      </c>
      <c r="K42" s="30">
        <f>F18</f>
        <v>100</v>
      </c>
      <c r="L42" s="16">
        <f t="shared" si="11"/>
        <v>0.11</v>
      </c>
      <c r="M42" s="28"/>
      <c r="N42" s="145">
        <f t="shared" si="3"/>
        <v>0</v>
      </c>
      <c r="O42" s="18">
        <f t="shared" si="9"/>
        <v>0</v>
      </c>
    </row>
    <row r="43" spans="1:19">
      <c r="B43" s="165" t="s">
        <v>35</v>
      </c>
      <c r="C43" s="20"/>
      <c r="D43" s="183" t="s">
        <v>22</v>
      </c>
      <c r="E43" s="14"/>
      <c r="F43" s="31">
        <v>8.3000000000000004E-2</v>
      </c>
      <c r="G43" s="184">
        <f>0.64*$F$18</f>
        <v>64</v>
      </c>
      <c r="H43" s="16">
        <f t="shared" si="10"/>
        <v>5.3120000000000003</v>
      </c>
      <c r="I43" s="28"/>
      <c r="J43" s="31">
        <v>8.3000000000000004E-2</v>
      </c>
      <c r="K43" s="184">
        <f>G43</f>
        <v>64</v>
      </c>
      <c r="L43" s="16">
        <f t="shared" si="11"/>
        <v>5.3120000000000003</v>
      </c>
      <c r="M43" s="28"/>
      <c r="N43" s="145">
        <f t="shared" si="3"/>
        <v>0</v>
      </c>
      <c r="O43" s="18">
        <f t="shared" si="9"/>
        <v>0</v>
      </c>
      <c r="S43" s="185"/>
    </row>
    <row r="44" spans="1:19">
      <c r="B44" s="165" t="s">
        <v>36</v>
      </c>
      <c r="C44" s="20"/>
      <c r="D44" s="183" t="s">
        <v>22</v>
      </c>
      <c r="E44" s="14"/>
      <c r="F44" s="31">
        <v>0.128</v>
      </c>
      <c r="G44" s="184">
        <f>0.18*$F$18</f>
        <v>18</v>
      </c>
      <c r="H44" s="16">
        <f t="shared" si="10"/>
        <v>2.3040000000000003</v>
      </c>
      <c r="I44" s="28"/>
      <c r="J44" s="31">
        <v>0.128</v>
      </c>
      <c r="K44" s="184">
        <f>G44</f>
        <v>18</v>
      </c>
      <c r="L44" s="16">
        <f t="shared" si="11"/>
        <v>2.3040000000000003</v>
      </c>
      <c r="M44" s="28"/>
      <c r="N44" s="145">
        <f t="shared" si="3"/>
        <v>0</v>
      </c>
      <c r="O44" s="18">
        <f t="shared" si="9"/>
        <v>0</v>
      </c>
      <c r="S44" s="185"/>
    </row>
    <row r="45" spans="1:19">
      <c r="B45" s="131" t="s">
        <v>37</v>
      </c>
      <c r="C45" s="20"/>
      <c r="D45" s="183" t="s">
        <v>22</v>
      </c>
      <c r="E45" s="14"/>
      <c r="F45" s="31">
        <v>0.17499999999999999</v>
      </c>
      <c r="G45" s="184">
        <f>0.18*$F$18</f>
        <v>18</v>
      </c>
      <c r="H45" s="16">
        <f t="shared" si="10"/>
        <v>3.15</v>
      </c>
      <c r="I45" s="28"/>
      <c r="J45" s="31">
        <v>0.17499999999999999</v>
      </c>
      <c r="K45" s="184">
        <f>G45</f>
        <v>18</v>
      </c>
      <c r="L45" s="16">
        <f t="shared" si="11"/>
        <v>3.15</v>
      </c>
      <c r="M45" s="28"/>
      <c r="N45" s="145">
        <f t="shared" si="3"/>
        <v>0</v>
      </c>
      <c r="O45" s="18">
        <f t="shared" si="9"/>
        <v>0</v>
      </c>
      <c r="S45" s="185"/>
    </row>
    <row r="46" spans="1:19" s="190" customFormat="1">
      <c r="B46" s="186" t="s">
        <v>38</v>
      </c>
      <c r="C46" s="32"/>
      <c r="D46" s="183" t="s">
        <v>22</v>
      </c>
      <c r="E46" s="32"/>
      <c r="F46" s="31">
        <v>9.9000000000000005E-2</v>
      </c>
      <c r="G46" s="187">
        <f>IF(AND($T$1=1, F18&gt;=600), 600, IF(AND($T$1=1, AND(F18&lt;600, F18&gt;=0)), F18, IF(AND($T$1=2, F18&gt;=1000), 1000, IF(AND($T$1=2, AND(F18&lt;1000, F18&gt;=0)), F18))))</f>
        <v>100</v>
      </c>
      <c r="H46" s="16">
        <f>G46*F46</f>
        <v>9.9</v>
      </c>
      <c r="I46" s="188"/>
      <c r="J46" s="31">
        <v>9.9000000000000005E-2</v>
      </c>
      <c r="K46" s="187">
        <f>G46</f>
        <v>100</v>
      </c>
      <c r="L46" s="16">
        <f>K46*J46</f>
        <v>9.9</v>
      </c>
      <c r="M46" s="188"/>
      <c r="N46" s="189">
        <f t="shared" si="3"/>
        <v>0</v>
      </c>
      <c r="O46" s="18">
        <f t="shared" si="9"/>
        <v>0</v>
      </c>
    </row>
    <row r="47" spans="1:19" s="190" customFormat="1" ht="13.5" thickBot="1">
      <c r="B47" s="186" t="s">
        <v>39</v>
      </c>
      <c r="C47" s="32"/>
      <c r="D47" s="183" t="s">
        <v>22</v>
      </c>
      <c r="E47" s="32"/>
      <c r="F47" s="31">
        <v>0.11600000000000001</v>
      </c>
      <c r="G47" s="187">
        <f>IF(AND($T$1=1, F18&gt;=600), F18-600, IF(AND($T$1=1, AND(F18&lt;600, F18&gt;=0)), 0, IF(AND($T$1=2, F18&gt;=1000), F18-1000, IF(AND($T$1=2, AND(F18&lt;1000, F18&gt;=0)), 0))))</f>
        <v>0</v>
      </c>
      <c r="H47" s="16">
        <f>G47*F47</f>
        <v>0</v>
      </c>
      <c r="I47" s="188"/>
      <c r="J47" s="31">
        <v>0.11600000000000001</v>
      </c>
      <c r="K47" s="187">
        <f>G47</f>
        <v>0</v>
      </c>
      <c r="L47" s="16">
        <f>K47*J47</f>
        <v>0</v>
      </c>
      <c r="M47" s="188"/>
      <c r="N47" s="189">
        <f t="shared" si="3"/>
        <v>0</v>
      </c>
      <c r="O47" s="18" t="str">
        <f t="shared" si="9"/>
        <v/>
      </c>
    </row>
    <row r="48" spans="1:19" ht="13.5" thickBot="1">
      <c r="B48" s="191"/>
      <c r="C48" s="192"/>
      <c r="D48" s="193"/>
      <c r="E48" s="192"/>
      <c r="F48" s="194"/>
      <c r="G48" s="195"/>
      <c r="H48" s="196"/>
      <c r="I48" s="197"/>
      <c r="J48" s="194"/>
      <c r="K48" s="198"/>
      <c r="L48" s="196"/>
      <c r="M48" s="197"/>
      <c r="N48" s="199"/>
      <c r="O48" s="200"/>
    </row>
    <row r="49" spans="1:19">
      <c r="B49" s="298" t="s">
        <v>40</v>
      </c>
      <c r="C49" s="290"/>
      <c r="D49" s="290"/>
      <c r="E49" s="20"/>
      <c r="F49" s="33"/>
      <c r="G49" s="34"/>
      <c r="H49" s="35">
        <f>SUM(H39:H45,H38)</f>
        <v>907.08536400000014</v>
      </c>
      <c r="I49" s="36"/>
      <c r="J49" s="37"/>
      <c r="K49" s="37"/>
      <c r="L49" s="35">
        <f>SUM(L39:L45,L38)</f>
        <v>962.07370218095082</v>
      </c>
      <c r="M49" s="38"/>
      <c r="N49" s="39">
        <f>L49-H49</f>
        <v>54.988338180950677</v>
      </c>
      <c r="O49" s="40">
        <f>IF((H49)=0,"",(N49/H49))</f>
        <v>6.0620907759405394E-2</v>
      </c>
      <c r="S49" s="185"/>
    </row>
    <row r="50" spans="1:19">
      <c r="B50" s="299" t="s">
        <v>41</v>
      </c>
      <c r="C50" s="290"/>
      <c r="D50" s="290"/>
      <c r="E50" s="20"/>
      <c r="F50" s="41">
        <v>0.13</v>
      </c>
      <c r="G50" s="42"/>
      <c r="H50" s="43">
        <f>H49*F50</f>
        <v>117.92109732000002</v>
      </c>
      <c r="I50" s="44"/>
      <c r="J50" s="45">
        <v>0.13</v>
      </c>
      <c r="K50" s="44"/>
      <c r="L50" s="46">
        <f>L49*J50</f>
        <v>125.0695812835236</v>
      </c>
      <c r="M50" s="47"/>
      <c r="N50" s="48">
        <f t="shared" si="3"/>
        <v>7.1484839635235886</v>
      </c>
      <c r="O50" s="18">
        <f t="shared" si="9"/>
        <v>6.0620907759405401E-2</v>
      </c>
      <c r="S50" s="185"/>
    </row>
    <row r="51" spans="1:19">
      <c r="B51" s="300" t="s">
        <v>42</v>
      </c>
      <c r="C51" s="290"/>
      <c r="D51" s="290"/>
      <c r="E51" s="20"/>
      <c r="F51" s="49"/>
      <c r="G51" s="42"/>
      <c r="H51" s="43">
        <f>H49+H50</f>
        <v>1025.0064613200002</v>
      </c>
      <c r="I51" s="44"/>
      <c r="J51" s="44"/>
      <c r="K51" s="44"/>
      <c r="L51" s="46">
        <f>L49+L50</f>
        <v>1087.1432834644745</v>
      </c>
      <c r="M51" s="47"/>
      <c r="N51" s="48">
        <f t="shared" si="3"/>
        <v>62.136822144474309</v>
      </c>
      <c r="O51" s="18">
        <f t="shared" si="9"/>
        <v>6.0620907759405436E-2</v>
      </c>
      <c r="S51" s="185"/>
    </row>
    <row r="52" spans="1:19">
      <c r="B52" s="301" t="s">
        <v>43</v>
      </c>
      <c r="C52" s="301"/>
      <c r="D52" s="301"/>
      <c r="E52" s="20"/>
      <c r="F52" s="49"/>
      <c r="G52" s="42"/>
      <c r="H52" s="50">
        <f>ROUND(-H51*0.1,2)</f>
        <v>-102.5</v>
      </c>
      <c r="I52" s="44"/>
      <c r="J52" s="44"/>
      <c r="K52" s="44"/>
      <c r="L52" s="51">
        <f>ROUND(-L51*0.1,2)</f>
        <v>-108.71</v>
      </c>
      <c r="M52" s="47"/>
      <c r="N52" s="52">
        <f t="shared" si="3"/>
        <v>-6.2099999999999937</v>
      </c>
      <c r="O52" s="53">
        <f t="shared" si="9"/>
        <v>6.0585365853658472E-2</v>
      </c>
    </row>
    <row r="53" spans="1:19" ht="13.5" thickBot="1">
      <c r="B53" s="302" t="s">
        <v>44</v>
      </c>
      <c r="C53" s="302"/>
      <c r="D53" s="302"/>
      <c r="E53" s="14"/>
      <c r="F53" s="201"/>
      <c r="G53" s="202"/>
      <c r="H53" s="203">
        <f>H51+H52</f>
        <v>922.5064613200002</v>
      </c>
      <c r="I53" s="204"/>
      <c r="J53" s="204"/>
      <c r="K53" s="204"/>
      <c r="L53" s="205">
        <f>L51+L52</f>
        <v>978.43328346447447</v>
      </c>
      <c r="M53" s="206"/>
      <c r="N53" s="207">
        <f t="shared" si="3"/>
        <v>55.926822144474272</v>
      </c>
      <c r="O53" s="208">
        <f t="shared" si="9"/>
        <v>6.0624856832384076E-2</v>
      </c>
    </row>
    <row r="54" spans="1:19" s="190" customFormat="1" ht="13.5" thickBot="1">
      <c r="B54" s="209"/>
      <c r="C54" s="210"/>
      <c r="D54" s="211"/>
      <c r="E54" s="210"/>
      <c r="F54" s="194"/>
      <c r="G54" s="212"/>
      <c r="H54" s="196"/>
      <c r="I54" s="213"/>
      <c r="J54" s="194"/>
      <c r="K54" s="214"/>
      <c r="L54" s="196"/>
      <c r="M54" s="213"/>
      <c r="N54" s="215"/>
      <c r="O54" s="200"/>
    </row>
    <row r="55" spans="1:19" s="190" customFormat="1">
      <c r="B55" s="293" t="s">
        <v>45</v>
      </c>
      <c r="C55" s="188"/>
      <c r="D55" s="188"/>
      <c r="E55" s="32"/>
      <c r="F55" s="55"/>
      <c r="G55" s="56"/>
      <c r="H55" s="57">
        <f>SUM(H46:H47,H38,H39:H42)</f>
        <v>906.21936400000016</v>
      </c>
      <c r="I55" s="58"/>
      <c r="J55" s="59"/>
      <c r="K55" s="59"/>
      <c r="L55" s="57">
        <f>SUM(L46:L47,L38,L39:L42)</f>
        <v>961.20770218095083</v>
      </c>
      <c r="M55" s="60"/>
      <c r="N55" s="61">
        <f>L55-H55</f>
        <v>54.988338180950677</v>
      </c>
      <c r="O55" s="40">
        <f>IF((H55)=0,"",(N55/H55))</f>
        <v>6.0678838221063069E-2</v>
      </c>
    </row>
    <row r="56" spans="1:19" s="190" customFormat="1">
      <c r="B56" s="294" t="s">
        <v>41</v>
      </c>
      <c r="C56" s="188"/>
      <c r="D56" s="188"/>
      <c r="E56" s="32"/>
      <c r="F56" s="62">
        <v>0.13</v>
      </c>
      <c r="G56" s="56"/>
      <c r="H56" s="63">
        <f>H55*F56</f>
        <v>117.80851732000002</v>
      </c>
      <c r="I56" s="64"/>
      <c r="J56" s="65">
        <v>0.13</v>
      </c>
      <c r="K56" s="66"/>
      <c r="L56" s="67">
        <f>L55*J56</f>
        <v>124.95700128352361</v>
      </c>
      <c r="M56" s="68"/>
      <c r="N56" s="69">
        <f>L56-H56</f>
        <v>7.1484839635235886</v>
      </c>
      <c r="O56" s="18">
        <f>IF((H56)=0,"",(N56/H56))</f>
        <v>6.0678838221063076E-2</v>
      </c>
    </row>
    <row r="57" spans="1:19" s="190" customFormat="1">
      <c r="B57" s="295" t="s">
        <v>42</v>
      </c>
      <c r="C57" s="188"/>
      <c r="D57" s="188"/>
      <c r="E57" s="32"/>
      <c r="F57" s="70"/>
      <c r="G57" s="71"/>
      <c r="H57" s="63">
        <f>H55+H56</f>
        <v>1024.0278813200002</v>
      </c>
      <c r="I57" s="64"/>
      <c r="J57" s="64"/>
      <c r="K57" s="64"/>
      <c r="L57" s="67">
        <f>L55+L56</f>
        <v>1086.1647034644745</v>
      </c>
      <c r="M57" s="68"/>
      <c r="N57" s="69">
        <f>L57-H57</f>
        <v>62.136822144474309</v>
      </c>
      <c r="O57" s="18">
        <f>IF((H57)=0,"",(N57/H57))</f>
        <v>6.0678838221063111E-2</v>
      </c>
    </row>
    <row r="58" spans="1:19" s="190" customFormat="1">
      <c r="B58" s="296" t="s">
        <v>43</v>
      </c>
      <c r="C58" s="296"/>
      <c r="D58" s="296"/>
      <c r="E58" s="32"/>
      <c r="F58" s="70"/>
      <c r="G58" s="71"/>
      <c r="H58" s="72">
        <f>ROUND(-H57*0.1,2)</f>
        <v>-102.4</v>
      </c>
      <c r="I58" s="64"/>
      <c r="J58" s="64"/>
      <c r="K58" s="64"/>
      <c r="L58" s="73">
        <f>ROUND(-L57*0.1,2)</f>
        <v>-108.62</v>
      </c>
      <c r="M58" s="68"/>
      <c r="N58" s="74">
        <f>L58-H58</f>
        <v>-6.2199999999999989</v>
      </c>
      <c r="O58" s="53">
        <f>IF((H58)=0,"",(N58/H58))</f>
        <v>6.0742187499999989E-2</v>
      </c>
    </row>
    <row r="59" spans="1:19" s="190" customFormat="1" ht="13.5" thickBot="1">
      <c r="B59" s="297" t="s">
        <v>46</v>
      </c>
      <c r="C59" s="297"/>
      <c r="D59" s="297"/>
      <c r="E59" s="32"/>
      <c r="F59" s="70"/>
      <c r="G59" s="71"/>
      <c r="H59" s="57">
        <f>SUM(H57:H58)</f>
        <v>921.62788132000026</v>
      </c>
      <c r="I59" s="58"/>
      <c r="J59" s="58"/>
      <c r="K59" s="58"/>
      <c r="L59" s="216">
        <f>SUM(L57:L58)</f>
        <v>977.54470346447454</v>
      </c>
      <c r="M59" s="60"/>
      <c r="N59" s="61">
        <f>L59-H59</f>
        <v>55.916822144474281</v>
      </c>
      <c r="O59" s="40">
        <f>IF((H59)=0,"",(N59/H59))</f>
        <v>6.0671799625232135E-2</v>
      </c>
    </row>
    <row r="60" spans="1:19" s="190" customFormat="1" ht="13.5" thickBot="1">
      <c r="B60" s="209"/>
      <c r="C60" s="210"/>
      <c r="D60" s="211"/>
      <c r="E60" s="210"/>
      <c r="F60" s="217"/>
      <c r="G60" s="218"/>
      <c r="H60" s="219"/>
      <c r="I60" s="220"/>
      <c r="J60" s="217"/>
      <c r="K60" s="212"/>
      <c r="L60" s="221"/>
      <c r="M60" s="213"/>
      <c r="N60" s="222"/>
      <c r="O60" s="200"/>
    </row>
    <row r="61" spans="1:19">
      <c r="L61" s="185"/>
    </row>
    <row r="62" spans="1:19">
      <c r="B62" s="223" t="s">
        <v>47</v>
      </c>
      <c r="F62" s="224">
        <v>3.9E-2</v>
      </c>
      <c r="J62" s="224">
        <v>4.5699999999999998E-2</v>
      </c>
    </row>
    <row r="64" spans="1:19" ht="14.25">
      <c r="A64" s="225" t="s">
        <v>48</v>
      </c>
    </row>
    <row r="66" spans="1:2">
      <c r="A66" s="12" t="s">
        <v>49</v>
      </c>
    </row>
    <row r="67" spans="1:2">
      <c r="A67" s="12" t="s">
        <v>50</v>
      </c>
    </row>
    <row r="69" spans="1:2">
      <c r="A69" s="226" t="s">
        <v>51</v>
      </c>
    </row>
    <row r="70" spans="1:2">
      <c r="A70" s="226" t="s">
        <v>52</v>
      </c>
    </row>
    <row r="72" spans="1:2">
      <c r="A72" s="12" t="s">
        <v>53</v>
      </c>
    </row>
    <row r="73" spans="1:2">
      <c r="A73" s="12" t="s">
        <v>54</v>
      </c>
    </row>
    <row r="74" spans="1:2">
      <c r="A74" s="12" t="s">
        <v>55</v>
      </c>
    </row>
    <row r="75" spans="1:2">
      <c r="A75" s="12" t="s">
        <v>56</v>
      </c>
    </row>
    <row r="76" spans="1:2">
      <c r="A76" s="12" t="s">
        <v>57</v>
      </c>
    </row>
    <row r="78" spans="1:2" ht="51">
      <c r="B78" s="13" t="s">
        <v>58</v>
      </c>
    </row>
  </sheetData>
  <mergeCells count="14">
    <mergeCell ref="B59:D59"/>
    <mergeCell ref="D21:D22"/>
    <mergeCell ref="N21:N22"/>
    <mergeCell ref="O21:O22"/>
    <mergeCell ref="B52:D52"/>
    <mergeCell ref="B53:D53"/>
    <mergeCell ref="B58:D58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0 E36:E37 E39:E48 E54 E26:E34 E23:E24">
      <formula1>"#REF!"</formula1>
      <formula2>0</formula2>
    </dataValidation>
    <dataValidation type="list" allowBlank="1" showInputMessage="1" showErrorMessage="1" prompt="Select Charge Unit - monthly, per kWh, per kW" sqref="D60 D36:D37 D54 D39:D48 D26:D34 D23:D2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0">
    <pageSetUpPr fitToPage="1"/>
  </sheetPr>
  <dimension ref="A1:T78"/>
  <sheetViews>
    <sheetView showGridLines="0" topLeftCell="A34" workbookViewId="0">
      <selection activeCell="B55" sqref="B55:D59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89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0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2"/>
      <c r="H1" s="1"/>
      <c r="I1" s="1"/>
      <c r="J1" s="1"/>
      <c r="K1" s="83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4"/>
      <c r="H2" s="5"/>
      <c r="I2" s="5"/>
      <c r="J2" s="5"/>
      <c r="K2" s="85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4"/>
      <c r="H4" s="5"/>
      <c r="I4" s="8"/>
      <c r="J4" s="8"/>
      <c r="K4" s="86"/>
      <c r="N4" s="3"/>
      <c r="O4" s="7"/>
    </row>
    <row r="5" spans="1:20" s="2" customFormat="1" ht="12.75" customHeight="1">
      <c r="B5" s="9"/>
      <c r="C5" s="10"/>
      <c r="D5" s="10"/>
      <c r="E5" s="10"/>
      <c r="G5" s="87"/>
      <c r="K5" s="88"/>
      <c r="N5" s="3"/>
      <c r="O5" s="4"/>
    </row>
    <row r="6" spans="1:20" s="2" customFormat="1" ht="12.75" customHeight="1">
      <c r="B6" s="9"/>
      <c r="G6" s="87"/>
      <c r="K6" s="88"/>
      <c r="N6" s="3"/>
      <c r="O6" s="11"/>
    </row>
    <row r="7" spans="1:20" s="2" customFormat="1" ht="12.75" customHeight="1">
      <c r="B7" s="9"/>
      <c r="G7" s="87"/>
      <c r="K7" s="88"/>
      <c r="N7" s="3"/>
      <c r="O7" s="4"/>
    </row>
    <row r="8" spans="1:20" s="2" customFormat="1" ht="12.75" customHeight="1">
      <c r="B8" s="9"/>
      <c r="G8" s="87"/>
      <c r="K8" s="88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63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227"/>
      <c r="H15" s="129"/>
      <c r="I15" s="129"/>
      <c r="J15" s="129"/>
      <c r="K15" s="261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227"/>
      <c r="H16" s="129"/>
      <c r="I16" s="129"/>
      <c r="J16" s="129"/>
      <c r="K16" s="261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227"/>
      <c r="H17" s="129"/>
      <c r="I17" s="129"/>
      <c r="J17" s="129"/>
      <c r="K17" s="261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1</v>
      </c>
      <c r="G18" s="228" t="s">
        <v>64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229" t="s">
        <v>13</v>
      </c>
      <c r="H21" s="137" t="s">
        <v>14</v>
      </c>
      <c r="J21" s="136" t="s">
        <v>12</v>
      </c>
      <c r="K21" s="262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231"/>
      <c r="H22" s="140" t="s">
        <v>17</v>
      </c>
      <c r="J22" s="139" t="s">
        <v>17</v>
      </c>
      <c r="K22" s="263"/>
      <c r="L22" s="140" t="s">
        <v>17</v>
      </c>
      <c r="N22" s="287"/>
      <c r="O22" s="288"/>
    </row>
    <row r="23" spans="1:15">
      <c r="B23" s="141" t="s">
        <v>18</v>
      </c>
      <c r="C23" s="20"/>
      <c r="D23" s="142" t="s">
        <v>19</v>
      </c>
      <c r="E23" s="14"/>
      <c r="F23" s="143">
        <v>2.6</v>
      </c>
      <c r="G23" s="25">
        <v>1</v>
      </c>
      <c r="H23" s="16">
        <f>G23*F23</f>
        <v>2.6</v>
      </c>
      <c r="I23" s="28"/>
      <c r="J23" s="144">
        <v>2.87</v>
      </c>
      <c r="K23" s="91">
        <v>1</v>
      </c>
      <c r="L23" s="16">
        <f>K23*J23</f>
        <v>2.87</v>
      </c>
      <c r="M23" s="28"/>
      <c r="N23" s="145">
        <f>L23-H23</f>
        <v>0.27</v>
      </c>
      <c r="O23" s="18">
        <f>IF((H23)=0,"",(N23/H23))</f>
        <v>0.10384615384615385</v>
      </c>
    </row>
    <row r="24" spans="1:15">
      <c r="A24" s="19"/>
      <c r="B24" s="141" t="s">
        <v>21</v>
      </c>
      <c r="C24" s="20"/>
      <c r="D24" s="142" t="s">
        <v>62</v>
      </c>
      <c r="E24" s="14"/>
      <c r="F24" s="146">
        <v>7.8817000000000004</v>
      </c>
      <c r="G24" s="25">
        <f t="shared" ref="G24" si="0">$F$18</f>
        <v>1</v>
      </c>
      <c r="H24" s="16">
        <f t="shared" ref="H24" si="1">G24*F24</f>
        <v>7.8817000000000004</v>
      </c>
      <c r="I24" s="28"/>
      <c r="J24" s="144">
        <v>8.9053000000000004</v>
      </c>
      <c r="K24" s="92">
        <f>$F$18</f>
        <v>1</v>
      </c>
      <c r="L24" s="16">
        <f t="shared" ref="L24" si="2">K24*J24</f>
        <v>8.9053000000000004</v>
      </c>
      <c r="M24" s="28"/>
      <c r="N24" s="145">
        <f t="shared" ref="N24:N53" si="3">L24-H24</f>
        <v>1.0236000000000001</v>
      </c>
      <c r="O24" s="18">
        <f t="shared" ref="O24:O33" si="4">IF((H24)=0,"",(N24/H24))</f>
        <v>0.12987045941865333</v>
      </c>
    </row>
    <row r="25" spans="1:15">
      <c r="A25" s="19"/>
      <c r="B25" s="148" t="s">
        <v>23</v>
      </c>
      <c r="C25" s="149"/>
      <c r="D25" s="150"/>
      <c r="E25" s="149"/>
      <c r="F25" s="151"/>
      <c r="G25" s="233"/>
      <c r="H25" s="153">
        <f>SUM(H23:H24)</f>
        <v>10.4817</v>
      </c>
      <c r="I25" s="28"/>
      <c r="J25" s="154"/>
      <c r="K25" s="264"/>
      <c r="L25" s="153">
        <f>SUM(L23:L24)</f>
        <v>11.775300000000001</v>
      </c>
      <c r="M25" s="28"/>
      <c r="N25" s="156">
        <f t="shared" si="3"/>
        <v>1.2936000000000014</v>
      </c>
      <c r="O25" s="157">
        <f t="shared" si="4"/>
        <v>0.12341509487964752</v>
      </c>
    </row>
    <row r="26" spans="1:15" ht="38.25">
      <c r="A26" s="158"/>
      <c r="B26" s="159" t="s">
        <v>69</v>
      </c>
      <c r="C26" s="20"/>
      <c r="D26" s="235" t="s">
        <v>62</v>
      </c>
      <c r="E26" s="20"/>
      <c r="F26" s="161"/>
      <c r="G26" s="21">
        <f t="shared" ref="G26:G32" si="5">$F$18</f>
        <v>1</v>
      </c>
      <c r="H26" s="22">
        <f t="shared" ref="H26:H34" si="6">G26*F26</f>
        <v>0</v>
      </c>
      <c r="I26" s="162"/>
      <c r="J26" s="161">
        <v>-0.29010000000000002</v>
      </c>
      <c r="K26" s="93">
        <f t="shared" ref="K26:K32" si="7">$F$18</f>
        <v>1</v>
      </c>
      <c r="L26" s="22">
        <f t="shared" ref="L26:L34" si="8">K26*J26</f>
        <v>-0.29010000000000002</v>
      </c>
      <c r="M26" s="162"/>
      <c r="N26" s="163">
        <f t="shared" si="3"/>
        <v>-0.29010000000000002</v>
      </c>
      <c r="O26" s="24" t="str">
        <f>IF((H26)=0,"",(N26/H26))</f>
        <v/>
      </c>
    </row>
    <row r="27" spans="1:15" ht="63.75">
      <c r="A27" s="164"/>
      <c r="B27" s="159" t="s">
        <v>82</v>
      </c>
      <c r="C27" s="20"/>
      <c r="D27" s="235" t="s">
        <v>62</v>
      </c>
      <c r="E27" s="20"/>
      <c r="F27" s="161"/>
      <c r="G27" s="21">
        <f t="shared" si="5"/>
        <v>1</v>
      </c>
      <c r="H27" s="22">
        <f t="shared" si="6"/>
        <v>0</v>
      </c>
      <c r="I27" s="162"/>
      <c r="J27" s="161">
        <v>-0.93979999999999997</v>
      </c>
      <c r="K27" s="93">
        <f t="shared" si="7"/>
        <v>1</v>
      </c>
      <c r="L27" s="22">
        <f t="shared" si="8"/>
        <v>-0.93979999999999997</v>
      </c>
      <c r="M27" s="162"/>
      <c r="N27" s="163">
        <f t="shared" si="3"/>
        <v>-0.93979999999999997</v>
      </c>
      <c r="O27" s="24" t="str">
        <f>IF((H27)=0,"",(N27/H27))</f>
        <v/>
      </c>
    </row>
    <row r="28" spans="1:15" ht="51">
      <c r="A28" s="164"/>
      <c r="B28" s="159" t="s">
        <v>75</v>
      </c>
      <c r="C28" s="20"/>
      <c r="D28" s="235" t="s">
        <v>62</v>
      </c>
      <c r="E28" s="20"/>
      <c r="F28" s="161"/>
      <c r="G28" s="21">
        <f t="shared" si="5"/>
        <v>1</v>
      </c>
      <c r="H28" s="22">
        <f t="shared" si="6"/>
        <v>0</v>
      </c>
      <c r="I28" s="162"/>
      <c r="J28" s="161">
        <v>2.1587000000000001</v>
      </c>
      <c r="K28" s="93">
        <f t="shared" si="7"/>
        <v>1</v>
      </c>
      <c r="L28" s="22">
        <f t="shared" si="8"/>
        <v>2.1587000000000001</v>
      </c>
      <c r="M28" s="162"/>
      <c r="N28" s="163">
        <f t="shared" si="3"/>
        <v>2.1587000000000001</v>
      </c>
      <c r="O28" s="24"/>
    </row>
    <row r="29" spans="1:15" ht="38.25">
      <c r="A29" s="164"/>
      <c r="B29" s="159" t="s">
        <v>73</v>
      </c>
      <c r="C29" s="20"/>
      <c r="D29" s="235" t="s">
        <v>62</v>
      </c>
      <c r="E29" s="20"/>
      <c r="F29" s="161"/>
      <c r="G29" s="21">
        <f t="shared" si="5"/>
        <v>1</v>
      </c>
      <c r="H29" s="22">
        <f t="shared" si="6"/>
        <v>0</v>
      </c>
      <c r="I29" s="162"/>
      <c r="J29" s="161">
        <v>0.58599999999999997</v>
      </c>
      <c r="K29" s="93">
        <f t="shared" si="7"/>
        <v>1</v>
      </c>
      <c r="L29" s="22">
        <f t="shared" si="8"/>
        <v>0.58599999999999997</v>
      </c>
      <c r="M29" s="162"/>
      <c r="N29" s="163">
        <f t="shared" si="3"/>
        <v>0.58599999999999997</v>
      </c>
      <c r="O29" s="24"/>
    </row>
    <row r="30" spans="1:15" ht="25.5">
      <c r="A30" s="158"/>
      <c r="B30" s="159" t="s">
        <v>76</v>
      </c>
      <c r="C30" s="20"/>
      <c r="D30" s="235" t="s">
        <v>62</v>
      </c>
      <c r="E30" s="20"/>
      <c r="F30" s="161"/>
      <c r="G30" s="21">
        <f t="shared" si="5"/>
        <v>1</v>
      </c>
      <c r="H30" s="22">
        <f t="shared" si="6"/>
        <v>0</v>
      </c>
      <c r="I30" s="162"/>
      <c r="J30" s="161">
        <v>-1.1378999999999999</v>
      </c>
      <c r="K30" s="93">
        <f t="shared" si="7"/>
        <v>1</v>
      </c>
      <c r="L30" s="22">
        <f t="shared" si="8"/>
        <v>-1.1378999999999999</v>
      </c>
      <c r="M30" s="162"/>
      <c r="N30" s="163">
        <f t="shared" si="3"/>
        <v>-1.1378999999999999</v>
      </c>
      <c r="O30" s="24" t="str">
        <f>IF((H30)=0,"",(N30/H30))</f>
        <v/>
      </c>
    </row>
    <row r="31" spans="1:15" ht="51">
      <c r="A31" s="158"/>
      <c r="B31" s="159" t="s">
        <v>77</v>
      </c>
      <c r="C31" s="20"/>
      <c r="D31" s="235" t="s">
        <v>62</v>
      </c>
      <c r="E31" s="20"/>
      <c r="F31" s="161"/>
      <c r="G31" s="21">
        <f t="shared" si="5"/>
        <v>1</v>
      </c>
      <c r="H31" s="22">
        <f t="shared" si="6"/>
        <v>0</v>
      </c>
      <c r="I31" s="162"/>
      <c r="J31" s="161">
        <v>0.1077</v>
      </c>
      <c r="K31" s="93">
        <f t="shared" si="7"/>
        <v>1</v>
      </c>
      <c r="L31" s="22">
        <f t="shared" si="8"/>
        <v>0.1077</v>
      </c>
      <c r="M31" s="162"/>
      <c r="N31" s="163">
        <f t="shared" si="3"/>
        <v>0.1077</v>
      </c>
      <c r="O31" s="24" t="str">
        <f>IF((H31)=0,"",(N31/H31))</f>
        <v/>
      </c>
    </row>
    <row r="32" spans="1:15">
      <c r="A32" s="158"/>
      <c r="B32" s="159" t="s">
        <v>24</v>
      </c>
      <c r="C32" s="20"/>
      <c r="D32" s="235" t="s">
        <v>62</v>
      </c>
      <c r="E32" s="20"/>
      <c r="F32" s="161">
        <v>0.31209999999999999</v>
      </c>
      <c r="G32" s="21">
        <f t="shared" si="5"/>
        <v>1</v>
      </c>
      <c r="H32" s="22">
        <f t="shared" si="6"/>
        <v>0.31209999999999999</v>
      </c>
      <c r="I32" s="162"/>
      <c r="J32" s="161">
        <v>0.22</v>
      </c>
      <c r="K32" s="93">
        <f t="shared" si="7"/>
        <v>1</v>
      </c>
      <c r="L32" s="22">
        <f t="shared" si="8"/>
        <v>0.22</v>
      </c>
      <c r="M32" s="162"/>
      <c r="N32" s="163">
        <f t="shared" si="3"/>
        <v>-9.2099999999999987E-2</v>
      </c>
      <c r="O32" s="24">
        <f>IF((H32)=0,"",(N32/H32))</f>
        <v>-0.29509772508811277</v>
      </c>
    </row>
    <row r="33" spans="1:19">
      <c r="A33" s="19"/>
      <c r="B33" s="141" t="s">
        <v>25</v>
      </c>
      <c r="C33" s="20"/>
      <c r="D33" s="235" t="s">
        <v>62</v>
      </c>
      <c r="E33" s="20"/>
      <c r="F33" s="161">
        <f>IF(ISBLANK(D16)=1, 0, IF(D16="TOU", 0.64*$F$43+0.18*$F$44+0.18*$F$45, IF(AND(D16="non-TOU", G47&gt;0), F47,F46)))</f>
        <v>0.10766000000000001</v>
      </c>
      <c r="G33" s="21">
        <f>$F$18*(1+$F$62)-$F$18</f>
        <v>3.8999999999999924E-2</v>
      </c>
      <c r="H33" s="22">
        <f t="shared" si="6"/>
        <v>4.1987399999999916E-3</v>
      </c>
      <c r="I33" s="162"/>
      <c r="J33" s="161">
        <f>0.64*$F$43+0.18*$F$44+0.18*$F$45</f>
        <v>0.10766000000000001</v>
      </c>
      <c r="K33" s="93">
        <f>$F$18*(1+$J$62)-$F$18</f>
        <v>4.5700000000000074E-2</v>
      </c>
      <c r="L33" s="22">
        <f t="shared" si="8"/>
        <v>4.920062000000008E-3</v>
      </c>
      <c r="M33" s="162"/>
      <c r="N33" s="163">
        <f t="shared" si="3"/>
        <v>7.2132200000001642E-4</v>
      </c>
      <c r="O33" s="24">
        <f t="shared" si="4"/>
        <v>0.17179487179487604</v>
      </c>
    </row>
    <row r="34" spans="1:19">
      <c r="A34" s="19"/>
      <c r="B34" s="141" t="s">
        <v>26</v>
      </c>
      <c r="C34" s="20"/>
      <c r="D34" s="235" t="s">
        <v>62</v>
      </c>
      <c r="E34" s="20"/>
      <c r="F34" s="161">
        <v>0</v>
      </c>
      <c r="G34" s="21">
        <v>1</v>
      </c>
      <c r="H34" s="22">
        <f t="shared" si="6"/>
        <v>0</v>
      </c>
      <c r="I34" s="162"/>
      <c r="J34" s="161">
        <v>0</v>
      </c>
      <c r="K34" s="93">
        <v>1</v>
      </c>
      <c r="L34" s="22">
        <f t="shared" si="8"/>
        <v>0</v>
      </c>
      <c r="M34" s="162"/>
      <c r="N34" s="163">
        <f t="shared" si="3"/>
        <v>0</v>
      </c>
      <c r="O34" s="24"/>
    </row>
    <row r="35" spans="1:19" ht="25.5">
      <c r="B35" s="170" t="s">
        <v>27</v>
      </c>
      <c r="C35" s="171"/>
      <c r="D35" s="171"/>
      <c r="E35" s="171"/>
      <c r="F35" s="172"/>
      <c r="G35" s="236"/>
      <c r="H35" s="174">
        <f>SUM(H26:H34)+H25</f>
        <v>10.797998740000001</v>
      </c>
      <c r="I35" s="28"/>
      <c r="J35" s="173"/>
      <c r="K35" s="265"/>
      <c r="L35" s="174">
        <f>SUM(L26:L34)+L25</f>
        <v>12.484820062000002</v>
      </c>
      <c r="M35" s="28"/>
      <c r="N35" s="156">
        <f t="shared" si="3"/>
        <v>1.6868213220000019</v>
      </c>
      <c r="O35" s="157">
        <f t="shared" ref="O35:O53" si="9">IF((H35)=0,"",(N35/H35))</f>
        <v>0.15621610657828267</v>
      </c>
    </row>
    <row r="36" spans="1:19">
      <c r="B36" s="176" t="s">
        <v>28</v>
      </c>
      <c r="C36" s="28"/>
      <c r="D36" s="142" t="s">
        <v>62</v>
      </c>
      <c r="E36" s="28"/>
      <c r="F36" s="31">
        <v>1.7950999999999999</v>
      </c>
      <c r="G36" s="97">
        <f>F18*(1+F62)</f>
        <v>1.0389999999999999</v>
      </c>
      <c r="H36" s="16">
        <f>G36*F36</f>
        <v>1.8651088999999998</v>
      </c>
      <c r="I36" s="28"/>
      <c r="J36" s="31">
        <v>1.6835044305615157</v>
      </c>
      <c r="K36" s="98">
        <f>F18*(1+J62)</f>
        <v>1.0457000000000001</v>
      </c>
      <c r="L36" s="16">
        <f>K36*J36</f>
        <v>1.7604405830381771</v>
      </c>
      <c r="M36" s="28"/>
      <c r="N36" s="145">
        <f t="shared" si="3"/>
        <v>-0.10466831696182277</v>
      </c>
      <c r="O36" s="18">
        <f t="shared" si="9"/>
        <v>-5.6119145086821892E-2</v>
      </c>
    </row>
    <row r="37" spans="1:19" ht="25.5">
      <c r="B37" s="178" t="s">
        <v>29</v>
      </c>
      <c r="C37" s="28"/>
      <c r="D37" s="142" t="s">
        <v>62</v>
      </c>
      <c r="E37" s="28"/>
      <c r="F37" s="31">
        <v>1.2596000000000001</v>
      </c>
      <c r="G37" s="97">
        <f>G36</f>
        <v>1.0389999999999999</v>
      </c>
      <c r="H37" s="16">
        <f>G37*F37</f>
        <v>1.3087244</v>
      </c>
      <c r="I37" s="28"/>
      <c r="J37" s="31">
        <v>1.2677724745637995</v>
      </c>
      <c r="K37" s="98">
        <f>K36</f>
        <v>1.0457000000000001</v>
      </c>
      <c r="L37" s="16">
        <f>K37*J37</f>
        <v>1.3257096766513652</v>
      </c>
      <c r="M37" s="28"/>
      <c r="N37" s="145">
        <f t="shared" si="3"/>
        <v>1.6985276651365178E-2</v>
      </c>
      <c r="O37" s="18">
        <f t="shared" si="9"/>
        <v>1.2978497727531615E-2</v>
      </c>
    </row>
    <row r="38" spans="1:19" ht="25.5">
      <c r="B38" s="170" t="s">
        <v>30</v>
      </c>
      <c r="C38" s="149"/>
      <c r="D38" s="149"/>
      <c r="E38" s="149"/>
      <c r="F38" s="179"/>
      <c r="G38" s="236"/>
      <c r="H38" s="174">
        <f>SUM(H35:H37)</f>
        <v>13.971832039999999</v>
      </c>
      <c r="I38" s="180"/>
      <c r="J38" s="181"/>
      <c r="K38" s="266"/>
      <c r="L38" s="174">
        <f>SUM(L35:L37)</f>
        <v>15.570970321689545</v>
      </c>
      <c r="M38" s="180"/>
      <c r="N38" s="156">
        <f t="shared" si="3"/>
        <v>1.5991382816895463</v>
      </c>
      <c r="O38" s="157">
        <f t="shared" si="9"/>
        <v>0.11445444499414026</v>
      </c>
    </row>
    <row r="39" spans="1:19" ht="25.5">
      <c r="B39" s="141" t="s">
        <v>31</v>
      </c>
      <c r="C39" s="20"/>
      <c r="D39" s="183" t="s">
        <v>22</v>
      </c>
      <c r="E39" s="14"/>
      <c r="F39" s="31">
        <v>3.5999999999999999E-3</v>
      </c>
      <c r="G39" s="97">
        <v>10</v>
      </c>
      <c r="H39" s="94">
        <f t="shared" ref="H39:H45" si="10">G39*F39</f>
        <v>3.5999999999999997E-2</v>
      </c>
      <c r="I39" s="19"/>
      <c r="J39" s="31">
        <v>3.5999999999999999E-3</v>
      </c>
      <c r="K39" s="98">
        <v>10</v>
      </c>
      <c r="L39" s="95">
        <f>K39*J39</f>
        <v>3.5999999999999997E-2</v>
      </c>
      <c r="M39" s="28"/>
      <c r="N39" s="267">
        <f t="shared" si="3"/>
        <v>0</v>
      </c>
      <c r="O39" s="18">
        <f>IF((H39)=0,"",(N39/H39))</f>
        <v>0</v>
      </c>
    </row>
    <row r="40" spans="1:19" ht="25.5">
      <c r="B40" s="141" t="s">
        <v>32</v>
      </c>
      <c r="C40" s="20"/>
      <c r="D40" s="183" t="s">
        <v>22</v>
      </c>
      <c r="E40" s="14"/>
      <c r="F40" s="31">
        <v>1.2999999999999999E-3</v>
      </c>
      <c r="G40" s="97">
        <f>G37</f>
        <v>1.0389999999999999</v>
      </c>
      <c r="H40" s="96">
        <f t="shared" si="10"/>
        <v>1.3506999999999998E-3</v>
      </c>
      <c r="I40" s="19"/>
      <c r="J40" s="31">
        <v>1.2999999999999999E-3</v>
      </c>
      <c r="K40" s="98">
        <f>K37</f>
        <v>1.0457000000000001</v>
      </c>
      <c r="L40" s="16">
        <f t="shared" ref="L40:L45" si="11">K40*J40</f>
        <v>1.3594100000000001E-3</v>
      </c>
      <c r="M40" s="28"/>
      <c r="N40" s="145">
        <f t="shared" si="3"/>
        <v>8.7100000000003147E-6</v>
      </c>
      <c r="O40" s="18">
        <f t="shared" si="9"/>
        <v>6.4485081809434481E-3</v>
      </c>
    </row>
    <row r="41" spans="1:19">
      <c r="B41" s="141" t="s">
        <v>33</v>
      </c>
      <c r="C41" s="20"/>
      <c r="D41" s="183" t="s">
        <v>19</v>
      </c>
      <c r="E41" s="14"/>
      <c r="F41" s="99">
        <v>0.25</v>
      </c>
      <c r="G41" s="25">
        <v>1</v>
      </c>
      <c r="H41" s="96">
        <f t="shared" si="10"/>
        <v>0.25</v>
      </c>
      <c r="I41" s="19"/>
      <c r="J41" s="99">
        <v>0.25</v>
      </c>
      <c r="K41" s="91">
        <v>1</v>
      </c>
      <c r="L41" s="16">
        <f t="shared" si="11"/>
        <v>0.25</v>
      </c>
      <c r="M41" s="28"/>
      <c r="N41" s="145">
        <f t="shared" si="3"/>
        <v>0</v>
      </c>
      <c r="O41" s="18">
        <f t="shared" si="9"/>
        <v>0</v>
      </c>
    </row>
    <row r="42" spans="1:19">
      <c r="B42" s="141" t="s">
        <v>34</v>
      </c>
      <c r="C42" s="20"/>
      <c r="D42" s="183" t="s">
        <v>22</v>
      </c>
      <c r="E42" s="14"/>
      <c r="F42" s="31">
        <v>1.1000000000000001E-3</v>
      </c>
      <c r="G42" s="97">
        <f>F18</f>
        <v>1</v>
      </c>
      <c r="H42" s="96">
        <f t="shared" si="10"/>
        <v>1.1000000000000001E-3</v>
      </c>
      <c r="I42" s="19"/>
      <c r="J42" s="31">
        <v>1.1000000000000001E-3</v>
      </c>
      <c r="K42" s="98">
        <f>F18</f>
        <v>1</v>
      </c>
      <c r="L42" s="16">
        <f t="shared" si="11"/>
        <v>1.1000000000000001E-3</v>
      </c>
      <c r="M42" s="28"/>
      <c r="N42" s="145">
        <f t="shared" si="3"/>
        <v>0</v>
      </c>
      <c r="O42" s="18">
        <f t="shared" si="9"/>
        <v>0</v>
      </c>
    </row>
    <row r="43" spans="1:19">
      <c r="B43" s="165" t="s">
        <v>35</v>
      </c>
      <c r="C43" s="20"/>
      <c r="D43" s="183" t="s">
        <v>22</v>
      </c>
      <c r="E43" s="14"/>
      <c r="F43" s="99">
        <v>8.3000000000000004E-2</v>
      </c>
      <c r="G43" s="240">
        <f>0.64*$F$18</f>
        <v>0.64</v>
      </c>
      <c r="H43" s="96">
        <f t="shared" si="10"/>
        <v>5.3120000000000001E-2</v>
      </c>
      <c r="I43" s="19"/>
      <c r="J43" s="99">
        <v>8.3000000000000004E-2</v>
      </c>
      <c r="K43" s="268">
        <f>G43</f>
        <v>0.64</v>
      </c>
      <c r="L43" s="16">
        <f t="shared" si="11"/>
        <v>5.3120000000000001E-2</v>
      </c>
      <c r="M43" s="28"/>
      <c r="N43" s="145">
        <f t="shared" si="3"/>
        <v>0</v>
      </c>
      <c r="O43" s="18">
        <f t="shared" si="9"/>
        <v>0</v>
      </c>
      <c r="S43" s="185"/>
    </row>
    <row r="44" spans="1:19">
      <c r="B44" s="165" t="s">
        <v>36</v>
      </c>
      <c r="C44" s="20"/>
      <c r="D44" s="183" t="s">
        <v>22</v>
      </c>
      <c r="E44" s="14"/>
      <c r="F44" s="99">
        <v>0.128</v>
      </c>
      <c r="G44" s="240">
        <f>0.18*$F$18</f>
        <v>0.18</v>
      </c>
      <c r="H44" s="96">
        <f t="shared" si="10"/>
        <v>2.3039999999999998E-2</v>
      </c>
      <c r="I44" s="19"/>
      <c r="J44" s="99">
        <v>0.128</v>
      </c>
      <c r="K44" s="268">
        <f>G44</f>
        <v>0.18</v>
      </c>
      <c r="L44" s="16">
        <f t="shared" si="11"/>
        <v>2.3039999999999998E-2</v>
      </c>
      <c r="M44" s="28"/>
      <c r="N44" s="145">
        <f t="shared" si="3"/>
        <v>0</v>
      </c>
      <c r="O44" s="18">
        <f t="shared" si="9"/>
        <v>0</v>
      </c>
      <c r="S44" s="185"/>
    </row>
    <row r="45" spans="1:19">
      <c r="B45" s="131" t="s">
        <v>37</v>
      </c>
      <c r="C45" s="20"/>
      <c r="D45" s="183" t="s">
        <v>22</v>
      </c>
      <c r="E45" s="14"/>
      <c r="F45" s="99">
        <v>0.17499999999999999</v>
      </c>
      <c r="G45" s="240">
        <f>0.18*$F$18</f>
        <v>0.18</v>
      </c>
      <c r="H45" s="96">
        <f t="shared" si="10"/>
        <v>3.15E-2</v>
      </c>
      <c r="I45" s="19"/>
      <c r="J45" s="99">
        <v>0.17499999999999999</v>
      </c>
      <c r="K45" s="268">
        <f>G45</f>
        <v>0.18</v>
      </c>
      <c r="L45" s="16">
        <f t="shared" si="11"/>
        <v>3.15E-2</v>
      </c>
      <c r="M45" s="28"/>
      <c r="N45" s="145">
        <f t="shared" si="3"/>
        <v>0</v>
      </c>
      <c r="O45" s="18">
        <f t="shared" si="9"/>
        <v>0</v>
      </c>
      <c r="S45" s="185"/>
    </row>
    <row r="46" spans="1:19" s="190" customFormat="1">
      <c r="B46" s="186" t="s">
        <v>38</v>
      </c>
      <c r="C46" s="32"/>
      <c r="D46" s="183" t="s">
        <v>22</v>
      </c>
      <c r="E46" s="32"/>
      <c r="F46" s="99">
        <v>9.9000000000000005E-2</v>
      </c>
      <c r="G46" s="242">
        <f>IF(AND($T$1=1, F18&gt;=600), 600, IF(AND($T$1=1, AND(F18&lt;600, F18&gt;=0)), F18, IF(AND($T$1=2, F18&gt;=1000), 1000, IF(AND($T$1=2, AND(F18&lt;1000, F18&gt;=0)), F18))))</f>
        <v>1</v>
      </c>
      <c r="H46" s="96">
        <f>G46*F46</f>
        <v>9.9000000000000005E-2</v>
      </c>
      <c r="I46" s="243"/>
      <c r="J46" s="99">
        <v>9.9000000000000005E-2</v>
      </c>
      <c r="K46" s="269">
        <f>G46</f>
        <v>1</v>
      </c>
      <c r="L46" s="16">
        <f>K46*J46</f>
        <v>9.9000000000000005E-2</v>
      </c>
      <c r="M46" s="188"/>
      <c r="N46" s="189">
        <f t="shared" si="3"/>
        <v>0</v>
      </c>
      <c r="O46" s="18">
        <f t="shared" si="9"/>
        <v>0</v>
      </c>
    </row>
    <row r="47" spans="1:19" s="190" customFormat="1" ht="13.5" thickBot="1">
      <c r="B47" s="186" t="s">
        <v>39</v>
      </c>
      <c r="C47" s="32"/>
      <c r="D47" s="183" t="s">
        <v>22</v>
      </c>
      <c r="E47" s="32"/>
      <c r="F47" s="99">
        <v>0.11600000000000001</v>
      </c>
      <c r="G47" s="242">
        <f>IF(AND($T$1=1, F18&gt;=600), F18-600, IF(AND($T$1=1, AND(F18&lt;600, F18&gt;=0)), 0, IF(AND($T$1=2, F18&gt;=1000), F18-1000, IF(AND($T$1=2, AND(F18&lt;1000, F18&gt;=0)), 0))))</f>
        <v>0</v>
      </c>
      <c r="H47" s="96">
        <f>G47*F47</f>
        <v>0</v>
      </c>
      <c r="I47" s="243"/>
      <c r="J47" s="99">
        <v>0.11600000000000001</v>
      </c>
      <c r="K47" s="269">
        <f>G47</f>
        <v>0</v>
      </c>
      <c r="L47" s="16">
        <f>K47*J47</f>
        <v>0</v>
      </c>
      <c r="M47" s="188"/>
      <c r="N47" s="189">
        <f t="shared" si="3"/>
        <v>0</v>
      </c>
      <c r="O47" s="18" t="str">
        <f t="shared" si="9"/>
        <v/>
      </c>
    </row>
    <row r="48" spans="1:19" ht="13.5" thickBot="1">
      <c r="B48" s="191"/>
      <c r="C48" s="192"/>
      <c r="D48" s="193"/>
      <c r="E48" s="192"/>
      <c r="F48" s="194"/>
      <c r="G48" s="246"/>
      <c r="H48" s="196"/>
      <c r="I48" s="197"/>
      <c r="J48" s="194"/>
      <c r="K48" s="270"/>
      <c r="L48" s="196"/>
      <c r="M48" s="197"/>
      <c r="N48" s="199"/>
      <c r="O48" s="200"/>
    </row>
    <row r="49" spans="1:19">
      <c r="B49" s="298" t="s">
        <v>40</v>
      </c>
      <c r="C49" s="290"/>
      <c r="D49" s="290"/>
      <c r="E49" s="20"/>
      <c r="F49" s="33"/>
      <c r="G49" s="100"/>
      <c r="H49" s="35">
        <f>SUM(H39:H45,H38)</f>
        <v>14.367942739999998</v>
      </c>
      <c r="I49" s="36"/>
      <c r="J49" s="37"/>
      <c r="K49" s="101"/>
      <c r="L49" s="35">
        <f>SUM(L39:L45,L38)</f>
        <v>15.967089731689546</v>
      </c>
      <c r="M49" s="38"/>
      <c r="N49" s="39">
        <f>L49-H49</f>
        <v>1.5991469916895475</v>
      </c>
      <c r="O49" s="40">
        <f>IF((H49)=0,"",(N49/H49))</f>
        <v>0.11129964954812645</v>
      </c>
      <c r="S49" s="185"/>
    </row>
    <row r="50" spans="1:19">
      <c r="B50" s="299" t="s">
        <v>41</v>
      </c>
      <c r="C50" s="290"/>
      <c r="D50" s="290"/>
      <c r="E50" s="20"/>
      <c r="F50" s="41">
        <v>0.13</v>
      </c>
      <c r="G50" s="102"/>
      <c r="H50" s="43">
        <f>H49*F50</f>
        <v>1.8678325561999998</v>
      </c>
      <c r="I50" s="44"/>
      <c r="J50" s="45">
        <v>0.13</v>
      </c>
      <c r="K50" s="103"/>
      <c r="L50" s="46">
        <f>L49*J50</f>
        <v>2.0757216651196408</v>
      </c>
      <c r="M50" s="47"/>
      <c r="N50" s="48">
        <f t="shared" si="3"/>
        <v>0.20788910891964107</v>
      </c>
      <c r="O50" s="18">
        <f t="shared" si="9"/>
        <v>0.11129964954812639</v>
      </c>
      <c r="S50" s="185"/>
    </row>
    <row r="51" spans="1:19">
      <c r="B51" s="300" t="s">
        <v>42</v>
      </c>
      <c r="C51" s="290"/>
      <c r="D51" s="290"/>
      <c r="E51" s="20"/>
      <c r="F51" s="49"/>
      <c r="G51" s="102"/>
      <c r="H51" s="43">
        <f>H49+H50</f>
        <v>16.235775296199996</v>
      </c>
      <c r="I51" s="44"/>
      <c r="J51" s="44"/>
      <c r="K51" s="103"/>
      <c r="L51" s="46">
        <f>L49+L50</f>
        <v>18.042811396809185</v>
      </c>
      <c r="M51" s="47"/>
      <c r="N51" s="48">
        <f t="shared" si="3"/>
        <v>1.8070361006091886</v>
      </c>
      <c r="O51" s="18">
        <f t="shared" si="9"/>
        <v>0.11129964954812646</v>
      </c>
      <c r="S51" s="185"/>
    </row>
    <row r="52" spans="1:19">
      <c r="B52" s="301" t="s">
        <v>43</v>
      </c>
      <c r="C52" s="301"/>
      <c r="D52" s="301"/>
      <c r="E52" s="20"/>
      <c r="F52" s="49"/>
      <c r="G52" s="102"/>
      <c r="H52" s="50">
        <f>ROUND(-H51*0.1,2)</f>
        <v>-1.62</v>
      </c>
      <c r="I52" s="44"/>
      <c r="J52" s="44"/>
      <c r="K52" s="103"/>
      <c r="L52" s="51">
        <f>ROUND(-L51*0.1,2)</f>
        <v>-1.8</v>
      </c>
      <c r="M52" s="47"/>
      <c r="N52" s="52">
        <f t="shared" si="3"/>
        <v>-0.17999999999999994</v>
      </c>
      <c r="O52" s="53">
        <f t="shared" si="9"/>
        <v>0.11111111111111106</v>
      </c>
    </row>
    <row r="53" spans="1:19" ht="13.5" thickBot="1">
      <c r="B53" s="302" t="s">
        <v>44</v>
      </c>
      <c r="C53" s="302"/>
      <c r="D53" s="302"/>
      <c r="E53" s="14"/>
      <c r="F53" s="201"/>
      <c r="G53" s="248"/>
      <c r="H53" s="203">
        <f>H51+H52</f>
        <v>14.615775296199995</v>
      </c>
      <c r="I53" s="204"/>
      <c r="J53" s="204"/>
      <c r="K53" s="271"/>
      <c r="L53" s="205">
        <f>L51+L52</f>
        <v>16.242811396809184</v>
      </c>
      <c r="M53" s="206"/>
      <c r="N53" s="207">
        <f t="shared" si="3"/>
        <v>1.6270361006091889</v>
      </c>
      <c r="O53" s="208">
        <f t="shared" si="9"/>
        <v>0.11132054698680319</v>
      </c>
    </row>
    <row r="54" spans="1:19" s="190" customFormat="1" ht="13.5" thickBot="1">
      <c r="B54" s="209"/>
      <c r="C54" s="210"/>
      <c r="D54" s="211"/>
      <c r="E54" s="210"/>
      <c r="F54" s="194"/>
      <c r="G54" s="249"/>
      <c r="H54" s="196"/>
      <c r="I54" s="213"/>
      <c r="J54" s="194"/>
      <c r="K54" s="272"/>
      <c r="L54" s="196"/>
      <c r="M54" s="213"/>
      <c r="N54" s="215"/>
      <c r="O54" s="200"/>
    </row>
    <row r="55" spans="1:19" s="190" customFormat="1">
      <c r="B55" s="293" t="s">
        <v>45</v>
      </c>
      <c r="C55" s="188"/>
      <c r="D55" s="188"/>
      <c r="E55" s="32"/>
      <c r="F55" s="55"/>
      <c r="G55" s="104"/>
      <c r="H55" s="57">
        <f>SUM(H46:H47,H38,H39:H42)</f>
        <v>14.359282739999998</v>
      </c>
      <c r="I55" s="58"/>
      <c r="J55" s="59"/>
      <c r="K55" s="105"/>
      <c r="L55" s="57">
        <f>SUM(L46:L47,L38,L39:L42)</f>
        <v>15.958429731689543</v>
      </c>
      <c r="M55" s="60"/>
      <c r="N55" s="61">
        <f>L55-H55</f>
        <v>1.5991469916895458</v>
      </c>
      <c r="O55" s="40">
        <f>IF((H55)=0,"",(N55/H55))</f>
        <v>0.11136677372017163</v>
      </c>
    </row>
    <row r="56" spans="1:19" s="190" customFormat="1">
      <c r="B56" s="294" t="s">
        <v>41</v>
      </c>
      <c r="C56" s="188"/>
      <c r="D56" s="188"/>
      <c r="E56" s="32"/>
      <c r="F56" s="62">
        <v>0.13</v>
      </c>
      <c r="G56" s="104"/>
      <c r="H56" s="63">
        <f>H55*F56</f>
        <v>1.8667067561999997</v>
      </c>
      <c r="I56" s="64"/>
      <c r="J56" s="65">
        <v>0.13</v>
      </c>
      <c r="K56" s="106"/>
      <c r="L56" s="67">
        <f>L55*J56</f>
        <v>2.0745958651196408</v>
      </c>
      <c r="M56" s="68"/>
      <c r="N56" s="69">
        <f>L56-H56</f>
        <v>0.20788910891964107</v>
      </c>
      <c r="O56" s="18">
        <f>IF((H56)=0,"",(N56/H56))</f>
        <v>0.11136677372017169</v>
      </c>
    </row>
    <row r="57" spans="1:19" s="190" customFormat="1">
      <c r="B57" s="295" t="s">
        <v>42</v>
      </c>
      <c r="C57" s="188"/>
      <c r="D57" s="188"/>
      <c r="E57" s="32"/>
      <c r="F57" s="70"/>
      <c r="G57" s="107"/>
      <c r="H57" s="63">
        <f>H55+H56</f>
        <v>16.225989496199997</v>
      </c>
      <c r="I57" s="64"/>
      <c r="J57" s="64"/>
      <c r="K57" s="108"/>
      <c r="L57" s="67">
        <f>L55+L56</f>
        <v>18.033025596809185</v>
      </c>
      <c r="M57" s="68"/>
      <c r="N57" s="69">
        <f>L57-H57</f>
        <v>1.8070361006091886</v>
      </c>
      <c r="O57" s="18">
        <f>IF((H57)=0,"",(N57/H57))</f>
        <v>0.11136677372017174</v>
      </c>
    </row>
    <row r="58" spans="1:19" s="190" customFormat="1">
      <c r="B58" s="296" t="s">
        <v>43</v>
      </c>
      <c r="C58" s="296"/>
      <c r="D58" s="296"/>
      <c r="E58" s="32"/>
      <c r="F58" s="70"/>
      <c r="G58" s="107"/>
      <c r="H58" s="72">
        <f>ROUND(-H57*0.1,2)</f>
        <v>-1.62</v>
      </c>
      <c r="I58" s="64"/>
      <c r="J58" s="64"/>
      <c r="K58" s="108"/>
      <c r="L58" s="73">
        <f>ROUND(-L57*0.1,2)</f>
        <v>-1.8</v>
      </c>
      <c r="M58" s="68"/>
      <c r="N58" s="74">
        <f>L58-H58</f>
        <v>-0.17999999999999994</v>
      </c>
      <c r="O58" s="53">
        <f>IF((H58)=0,"",(N58/H58))</f>
        <v>0.11111111111111106</v>
      </c>
    </row>
    <row r="59" spans="1:19" s="190" customFormat="1" ht="13.5" thickBot="1">
      <c r="B59" s="297" t="s">
        <v>46</v>
      </c>
      <c r="C59" s="297"/>
      <c r="D59" s="297"/>
      <c r="E59" s="32"/>
      <c r="F59" s="70"/>
      <c r="G59" s="107"/>
      <c r="H59" s="57">
        <f>SUM(H57:H58)</f>
        <v>14.605989496199996</v>
      </c>
      <c r="I59" s="58"/>
      <c r="J59" s="58"/>
      <c r="K59" s="273"/>
      <c r="L59" s="216">
        <f>SUM(L57:L58)</f>
        <v>16.233025596809185</v>
      </c>
      <c r="M59" s="60"/>
      <c r="N59" s="61">
        <f>L59-H59</f>
        <v>1.6270361006091889</v>
      </c>
      <c r="O59" s="40">
        <f>IF((H59)=0,"",(N59/H59))</f>
        <v>0.11139513013017645</v>
      </c>
    </row>
    <row r="60" spans="1:19" s="190" customFormat="1" ht="13.5" thickBot="1">
      <c r="B60" s="209"/>
      <c r="C60" s="210"/>
      <c r="D60" s="211"/>
      <c r="E60" s="210"/>
      <c r="F60" s="217"/>
      <c r="G60" s="252"/>
      <c r="H60" s="219"/>
      <c r="I60" s="220"/>
      <c r="J60" s="217"/>
      <c r="K60" s="274"/>
      <c r="L60" s="221"/>
      <c r="M60" s="213"/>
      <c r="N60" s="222"/>
      <c r="O60" s="200"/>
    </row>
    <row r="61" spans="1:19">
      <c r="L61" s="185"/>
    </row>
    <row r="62" spans="1:19">
      <c r="B62" s="223" t="s">
        <v>47</v>
      </c>
      <c r="F62" s="224">
        <v>3.9E-2</v>
      </c>
      <c r="J62" s="224">
        <v>4.5699999999999998E-2</v>
      </c>
    </row>
    <row r="64" spans="1:19" ht="14.25">
      <c r="A64" s="225" t="s">
        <v>48</v>
      </c>
    </row>
    <row r="66" spans="1:2">
      <c r="A66" s="12" t="s">
        <v>49</v>
      </c>
    </row>
    <row r="67" spans="1:2">
      <c r="A67" s="12" t="s">
        <v>50</v>
      </c>
    </row>
    <row r="69" spans="1:2">
      <c r="A69" s="226" t="s">
        <v>51</v>
      </c>
    </row>
    <row r="70" spans="1:2">
      <c r="A70" s="226" t="s">
        <v>52</v>
      </c>
    </row>
    <row r="72" spans="1:2">
      <c r="A72" s="12" t="s">
        <v>53</v>
      </c>
    </row>
    <row r="73" spans="1:2">
      <c r="A73" s="12" t="s">
        <v>54</v>
      </c>
    </row>
    <row r="74" spans="1:2">
      <c r="A74" s="12" t="s">
        <v>55</v>
      </c>
    </row>
    <row r="75" spans="1:2">
      <c r="A75" s="12" t="s">
        <v>56</v>
      </c>
    </row>
    <row r="76" spans="1:2">
      <c r="A76" s="12" t="s">
        <v>57</v>
      </c>
    </row>
    <row r="78" spans="1:2" ht="51">
      <c r="B78" s="13" t="s">
        <v>58</v>
      </c>
    </row>
  </sheetData>
  <mergeCells count="14">
    <mergeCell ref="B59:D59"/>
    <mergeCell ref="D21:D22"/>
    <mergeCell ref="N21:N22"/>
    <mergeCell ref="O21:O22"/>
    <mergeCell ref="B52:D52"/>
    <mergeCell ref="B53:D53"/>
    <mergeCell ref="B58:D58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0 E36:E37 E39:E48 E54 E26:E34 E23:E24">
      <formula1>"#REF!"</formula1>
      <formula2>0</formula2>
    </dataValidation>
    <dataValidation type="list" allowBlank="1" showInputMessage="1" showErrorMessage="1" prompt="Select Charge Unit - monthly, per kWh, per kW" sqref="D60 D36:D37 D54 D39:D48 D26:D34 D23:D2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1">
    <pageSetUpPr fitToPage="1"/>
  </sheetPr>
  <dimension ref="A1:T78"/>
  <sheetViews>
    <sheetView showGridLines="0" topLeftCell="A28" workbookViewId="0">
      <selection activeCell="A41" sqref="A41:XFD41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89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89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2"/>
      <c r="H1" s="1"/>
      <c r="I1" s="1"/>
      <c r="J1" s="1"/>
      <c r="K1" s="82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4"/>
      <c r="H2" s="5"/>
      <c r="I2" s="5"/>
      <c r="J2" s="5"/>
      <c r="K2" s="84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4"/>
      <c r="H4" s="5"/>
      <c r="I4" s="8"/>
      <c r="J4" s="8"/>
      <c r="K4" s="88"/>
      <c r="N4" s="3"/>
      <c r="O4" s="7"/>
    </row>
    <row r="5" spans="1:20" s="2" customFormat="1" ht="12.75" customHeight="1">
      <c r="B5" s="9"/>
      <c r="C5" s="10"/>
      <c r="D5" s="10"/>
      <c r="E5" s="10"/>
      <c r="G5" s="87"/>
      <c r="K5" s="87"/>
      <c r="N5" s="3"/>
      <c r="O5" s="4"/>
    </row>
    <row r="6" spans="1:20" s="2" customFormat="1" ht="12.75" customHeight="1">
      <c r="B6" s="9"/>
      <c r="G6" s="87"/>
      <c r="K6" s="87"/>
      <c r="N6" s="3"/>
      <c r="O6" s="11"/>
    </row>
    <row r="7" spans="1:20" s="2" customFormat="1" ht="12.75" customHeight="1">
      <c r="B7" s="9"/>
      <c r="G7" s="87"/>
      <c r="K7" s="87"/>
      <c r="N7" s="3"/>
      <c r="O7" s="4"/>
    </row>
    <row r="8" spans="1:20" s="2" customFormat="1" ht="12.75" customHeight="1">
      <c r="B8" s="9"/>
      <c r="G8" s="87"/>
      <c r="K8" s="87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65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227"/>
      <c r="H15" s="129"/>
      <c r="I15" s="129"/>
      <c r="J15" s="129"/>
      <c r="K15" s="227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227"/>
      <c r="H16" s="129"/>
      <c r="I16" s="129"/>
      <c r="J16" s="129"/>
      <c r="K16" s="227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227"/>
      <c r="H17" s="129"/>
      <c r="I17" s="129"/>
      <c r="J17" s="129"/>
      <c r="K17" s="227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115</v>
      </c>
      <c r="G18" s="228" t="s">
        <v>64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229" t="s">
        <v>13</v>
      </c>
      <c r="H21" s="137" t="s">
        <v>14</v>
      </c>
      <c r="J21" s="136" t="s">
        <v>12</v>
      </c>
      <c r="K21" s="230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231"/>
      <c r="H22" s="140" t="s">
        <v>17</v>
      </c>
      <c r="J22" s="139" t="s">
        <v>17</v>
      </c>
      <c r="K22" s="232"/>
      <c r="L22" s="140" t="s">
        <v>17</v>
      </c>
      <c r="N22" s="287"/>
      <c r="O22" s="288"/>
    </row>
    <row r="23" spans="1:15">
      <c r="B23" s="141" t="s">
        <v>18</v>
      </c>
      <c r="C23" s="20"/>
      <c r="D23" s="142" t="s">
        <v>19</v>
      </c>
      <c r="E23" s="14"/>
      <c r="F23" s="143">
        <v>2.2200000000000002</v>
      </c>
      <c r="G23" s="25">
        <v>2300</v>
      </c>
      <c r="H23" s="16">
        <f>G23*F23</f>
        <v>5106</v>
      </c>
      <c r="I23" s="28"/>
      <c r="J23" s="144">
        <v>2.33</v>
      </c>
      <c r="K23" s="109">
        <v>2300</v>
      </c>
      <c r="L23" s="16">
        <f>K23*J23</f>
        <v>5359</v>
      </c>
      <c r="M23" s="28"/>
      <c r="N23" s="145">
        <f>L23-H23</f>
        <v>253</v>
      </c>
      <c r="O23" s="18">
        <f>IF((H23)=0,"",(N23/H23))</f>
        <v>4.954954954954955E-2</v>
      </c>
    </row>
    <row r="24" spans="1:15">
      <c r="A24" s="19"/>
      <c r="B24" s="141" t="s">
        <v>21</v>
      </c>
      <c r="C24" s="20"/>
      <c r="D24" s="142" t="s">
        <v>62</v>
      </c>
      <c r="E24" s="14"/>
      <c r="F24" s="146">
        <v>12.1768</v>
      </c>
      <c r="G24" s="25">
        <f t="shared" ref="G24" si="0">$F$18</f>
        <v>115</v>
      </c>
      <c r="H24" s="16">
        <f t="shared" ref="H24" si="1">G24*F24</f>
        <v>1400.3320000000001</v>
      </c>
      <c r="I24" s="28"/>
      <c r="J24" s="31">
        <v>12.7737</v>
      </c>
      <c r="K24" s="25">
        <f>$F$18</f>
        <v>115</v>
      </c>
      <c r="L24" s="16">
        <f t="shared" ref="L24" si="2">K24*J24</f>
        <v>1468.9755</v>
      </c>
      <c r="M24" s="28"/>
      <c r="N24" s="145">
        <f t="shared" ref="N24:N53" si="3">L24-H24</f>
        <v>68.643499999999904</v>
      </c>
      <c r="O24" s="18">
        <f t="shared" ref="O24:O33" si="4">IF((H24)=0,"",(N24/H24))</f>
        <v>4.9019446816897634E-2</v>
      </c>
    </row>
    <row r="25" spans="1:15">
      <c r="A25" s="19"/>
      <c r="B25" s="148" t="s">
        <v>23</v>
      </c>
      <c r="C25" s="149"/>
      <c r="D25" s="150"/>
      <c r="E25" s="149"/>
      <c r="F25" s="151"/>
      <c r="G25" s="233"/>
      <c r="H25" s="153">
        <f>SUM(H23:H24)</f>
        <v>6506.3320000000003</v>
      </c>
      <c r="I25" s="28"/>
      <c r="J25" s="154"/>
      <c r="K25" s="254"/>
      <c r="L25" s="153">
        <f>SUM(L23:L24)</f>
        <v>6827.9755000000005</v>
      </c>
      <c r="M25" s="28"/>
      <c r="N25" s="156">
        <f t="shared" si="3"/>
        <v>321.64350000000013</v>
      </c>
      <c r="O25" s="157">
        <f t="shared" si="4"/>
        <v>4.9435457643415691E-2</v>
      </c>
    </row>
    <row r="26" spans="1:15" ht="38.25">
      <c r="A26" s="158"/>
      <c r="B26" s="159" t="s">
        <v>69</v>
      </c>
      <c r="C26" s="20"/>
      <c r="D26" s="142" t="s">
        <v>62</v>
      </c>
      <c r="E26" s="14"/>
      <c r="F26" s="167"/>
      <c r="G26" s="25">
        <f t="shared" ref="G26:G32" si="5">$F$18</f>
        <v>115</v>
      </c>
      <c r="H26" s="26">
        <f t="shared" ref="H26:H34" si="6">G26*F26</f>
        <v>0</v>
      </c>
      <c r="I26" s="168"/>
      <c r="J26" s="167">
        <v>-0.29699999999999999</v>
      </c>
      <c r="K26" s="25">
        <f t="shared" ref="K26:K32" si="7">$F$18</f>
        <v>115</v>
      </c>
      <c r="L26" s="26">
        <f t="shared" ref="L26:L34" si="8">K26*J26</f>
        <v>-34.155000000000001</v>
      </c>
      <c r="M26" s="168"/>
      <c r="N26" s="169">
        <f t="shared" si="3"/>
        <v>-34.155000000000001</v>
      </c>
      <c r="O26" s="27" t="str">
        <f t="shared" si="4"/>
        <v/>
      </c>
    </row>
    <row r="27" spans="1:15" ht="63.75">
      <c r="A27" s="164"/>
      <c r="B27" s="159" t="s">
        <v>82</v>
      </c>
      <c r="C27" s="20"/>
      <c r="D27" s="235" t="s">
        <v>62</v>
      </c>
      <c r="E27" s="20"/>
      <c r="F27" s="161"/>
      <c r="G27" s="21">
        <f t="shared" si="5"/>
        <v>115</v>
      </c>
      <c r="H27" s="22">
        <f t="shared" si="6"/>
        <v>0</v>
      </c>
      <c r="I27" s="162"/>
      <c r="J27" s="161">
        <v>-0.96209999999999996</v>
      </c>
      <c r="K27" s="21">
        <f t="shared" si="7"/>
        <v>115</v>
      </c>
      <c r="L27" s="22">
        <f t="shared" si="8"/>
        <v>-110.64149999999999</v>
      </c>
      <c r="M27" s="162"/>
      <c r="N27" s="163">
        <f t="shared" si="3"/>
        <v>-110.64149999999999</v>
      </c>
      <c r="O27" s="24" t="str">
        <f t="shared" si="4"/>
        <v/>
      </c>
    </row>
    <row r="28" spans="1:15" ht="51">
      <c r="A28" s="164"/>
      <c r="B28" s="159" t="s">
        <v>75</v>
      </c>
      <c r="C28" s="20"/>
      <c r="D28" s="235" t="s">
        <v>62</v>
      </c>
      <c r="E28" s="20"/>
      <c r="F28" s="161"/>
      <c r="G28" s="21">
        <f t="shared" si="5"/>
        <v>115</v>
      </c>
      <c r="H28" s="22">
        <f t="shared" si="6"/>
        <v>0</v>
      </c>
      <c r="I28" s="162"/>
      <c r="J28" s="161">
        <v>2.2099000000000002</v>
      </c>
      <c r="K28" s="21">
        <f t="shared" si="7"/>
        <v>115</v>
      </c>
      <c r="L28" s="22">
        <f t="shared" si="8"/>
        <v>254.13850000000002</v>
      </c>
      <c r="M28" s="162"/>
      <c r="N28" s="163">
        <f t="shared" si="3"/>
        <v>254.13850000000002</v>
      </c>
      <c r="O28" s="24" t="str">
        <f t="shared" si="4"/>
        <v/>
      </c>
    </row>
    <row r="29" spans="1:15" ht="38.25">
      <c r="A29" s="164"/>
      <c r="B29" s="159" t="s">
        <v>73</v>
      </c>
      <c r="C29" s="20"/>
      <c r="D29" s="235" t="s">
        <v>62</v>
      </c>
      <c r="E29" s="20"/>
      <c r="F29" s="161"/>
      <c r="G29" s="21">
        <f t="shared" si="5"/>
        <v>115</v>
      </c>
      <c r="H29" s="22">
        <f t="shared" si="6"/>
        <v>0</v>
      </c>
      <c r="I29" s="162"/>
      <c r="J29" s="161">
        <v>0.06</v>
      </c>
      <c r="K29" s="21">
        <f t="shared" si="7"/>
        <v>115</v>
      </c>
      <c r="L29" s="22">
        <f t="shared" si="8"/>
        <v>6.8999999999999995</v>
      </c>
      <c r="M29" s="162"/>
      <c r="N29" s="163">
        <f t="shared" si="3"/>
        <v>6.8999999999999995</v>
      </c>
      <c r="O29" s="24" t="str">
        <f t="shared" si="4"/>
        <v/>
      </c>
    </row>
    <row r="30" spans="1:15" ht="25.5">
      <c r="A30" s="158"/>
      <c r="B30" s="159" t="s">
        <v>76</v>
      </c>
      <c r="C30" s="20"/>
      <c r="D30" s="235" t="s">
        <v>62</v>
      </c>
      <c r="E30" s="20"/>
      <c r="F30" s="161"/>
      <c r="G30" s="21">
        <f t="shared" si="5"/>
        <v>115</v>
      </c>
      <c r="H30" s="22">
        <f t="shared" si="6"/>
        <v>0</v>
      </c>
      <c r="I30" s="162"/>
      <c r="J30" s="161">
        <v>-0.14019167399188479</v>
      </c>
      <c r="K30" s="21">
        <f t="shared" si="7"/>
        <v>115</v>
      </c>
      <c r="L30" s="22">
        <f t="shared" si="8"/>
        <v>-16.122042509066752</v>
      </c>
      <c r="M30" s="162"/>
      <c r="N30" s="163">
        <f t="shared" si="3"/>
        <v>-16.122042509066752</v>
      </c>
      <c r="O30" s="24" t="str">
        <f t="shared" si="4"/>
        <v/>
      </c>
    </row>
    <row r="31" spans="1:15" ht="25.5">
      <c r="A31" s="158"/>
      <c r="B31" s="159" t="s">
        <v>68</v>
      </c>
      <c r="C31" s="20"/>
      <c r="D31" s="142" t="s">
        <v>62</v>
      </c>
      <c r="E31" s="14"/>
      <c r="F31" s="167"/>
      <c r="G31" s="25">
        <f t="shared" si="5"/>
        <v>115</v>
      </c>
      <c r="H31" s="26">
        <f t="shared" si="6"/>
        <v>0</v>
      </c>
      <c r="I31" s="168"/>
      <c r="J31" s="167">
        <v>6.0178622037680915E-2</v>
      </c>
      <c r="K31" s="25">
        <f t="shared" si="7"/>
        <v>115</v>
      </c>
      <c r="L31" s="22">
        <f t="shared" si="8"/>
        <v>6.9205415343333057</v>
      </c>
      <c r="M31" s="162"/>
      <c r="N31" s="163">
        <f t="shared" si="3"/>
        <v>6.9205415343333057</v>
      </c>
      <c r="O31" s="24" t="str">
        <f t="shared" si="4"/>
        <v/>
      </c>
    </row>
    <row r="32" spans="1:15">
      <c r="A32" s="158" t="s">
        <v>60</v>
      </c>
      <c r="B32" s="147" t="s">
        <v>24</v>
      </c>
      <c r="C32" s="20"/>
      <c r="D32" s="142" t="s">
        <v>62</v>
      </c>
      <c r="E32" s="14"/>
      <c r="F32" s="167">
        <v>0.30570000000000003</v>
      </c>
      <c r="G32" s="25">
        <f t="shared" si="5"/>
        <v>115</v>
      </c>
      <c r="H32" s="26">
        <f t="shared" si="6"/>
        <v>35.155500000000004</v>
      </c>
      <c r="I32" s="168"/>
      <c r="J32" s="167">
        <v>0.2155</v>
      </c>
      <c r="K32" s="25">
        <f t="shared" si="7"/>
        <v>115</v>
      </c>
      <c r="L32" s="26">
        <f t="shared" si="8"/>
        <v>24.782499999999999</v>
      </c>
      <c r="M32" s="168"/>
      <c r="N32" s="169">
        <f t="shared" si="3"/>
        <v>-10.373000000000005</v>
      </c>
      <c r="O32" s="27">
        <f t="shared" si="4"/>
        <v>-0.29506051684658174</v>
      </c>
    </row>
    <row r="33" spans="1:19">
      <c r="A33" s="19"/>
      <c r="B33" s="165" t="s">
        <v>25</v>
      </c>
      <c r="C33" s="20"/>
      <c r="D33" s="142" t="s">
        <v>62</v>
      </c>
      <c r="E33" s="14"/>
      <c r="F33" s="167">
        <f>IF(ISBLANK(D16)=1, 0, IF(D16="TOU", 0.64*$F$43+0.18*$F$44+0.18*$F$45, IF(AND(D16="non-TOU", G47&gt;0), F47,F46)))</f>
        <v>0.10766000000000001</v>
      </c>
      <c r="G33" s="25">
        <f>$F$18*(1+$F$62)-$F$18</f>
        <v>4.4849999999999852</v>
      </c>
      <c r="H33" s="26">
        <f t="shared" si="6"/>
        <v>0.48285509999999843</v>
      </c>
      <c r="I33" s="168"/>
      <c r="J33" s="167">
        <f>0.64*$F$43+0.18*$F$44+0.18*$F$45</f>
        <v>0.10766000000000001</v>
      </c>
      <c r="K33" s="25">
        <f>$F$18*(1+$J$62)-$F$18</f>
        <v>5.2555000000000121</v>
      </c>
      <c r="L33" s="26">
        <f t="shared" si="8"/>
        <v>0.56580713000000138</v>
      </c>
      <c r="M33" s="168"/>
      <c r="N33" s="169">
        <f t="shared" si="3"/>
        <v>8.2952030000002952E-2</v>
      </c>
      <c r="O33" s="27">
        <f t="shared" si="4"/>
        <v>0.17179487179487846</v>
      </c>
    </row>
    <row r="34" spans="1:19">
      <c r="A34" s="19"/>
      <c r="B34" s="165" t="s">
        <v>26</v>
      </c>
      <c r="C34" s="20"/>
      <c r="D34" s="142" t="s">
        <v>62</v>
      </c>
      <c r="E34" s="14"/>
      <c r="F34" s="167">
        <v>0</v>
      </c>
      <c r="G34" s="25">
        <v>1</v>
      </c>
      <c r="H34" s="26">
        <f t="shared" si="6"/>
        <v>0</v>
      </c>
      <c r="I34" s="168"/>
      <c r="J34" s="167">
        <v>0</v>
      </c>
      <c r="K34" s="25">
        <v>1</v>
      </c>
      <c r="L34" s="26">
        <f t="shared" si="8"/>
        <v>0</v>
      </c>
      <c r="M34" s="168"/>
      <c r="N34" s="169">
        <f t="shared" si="3"/>
        <v>0</v>
      </c>
      <c r="O34" s="27"/>
    </row>
    <row r="35" spans="1:19" ht="25.5">
      <c r="B35" s="170" t="s">
        <v>27</v>
      </c>
      <c r="C35" s="171"/>
      <c r="D35" s="171"/>
      <c r="E35" s="171"/>
      <c r="F35" s="172"/>
      <c r="G35" s="236"/>
      <c r="H35" s="174">
        <f>SUM(H26:H34)+H25</f>
        <v>6541.9703551000002</v>
      </c>
      <c r="I35" s="28"/>
      <c r="J35" s="173"/>
      <c r="K35" s="255"/>
      <c r="L35" s="174">
        <f>SUM(L26:L34)+L25</f>
        <v>6960.3643061552666</v>
      </c>
      <c r="M35" s="28"/>
      <c r="N35" s="156">
        <f t="shared" si="3"/>
        <v>418.39395105526637</v>
      </c>
      <c r="O35" s="157">
        <f t="shared" ref="O35:O53" si="9">IF((H35)=0,"",(N35/H35))</f>
        <v>6.3955341945121189E-2</v>
      </c>
    </row>
    <row r="36" spans="1:19">
      <c r="B36" s="176" t="s">
        <v>28</v>
      </c>
      <c r="C36" s="28"/>
      <c r="D36" s="142" t="s">
        <v>62</v>
      </c>
      <c r="E36" s="28"/>
      <c r="F36" s="31">
        <v>1.786</v>
      </c>
      <c r="G36" s="97">
        <f>F18*(1+F62)</f>
        <v>119.48499999999999</v>
      </c>
      <c r="H36" s="16">
        <f>G36*F36</f>
        <v>213.40020999999999</v>
      </c>
      <c r="I36" s="28"/>
      <c r="J36" s="31">
        <v>1.6749743229237766</v>
      </c>
      <c r="K36" s="110">
        <f>F18*(1+J62)</f>
        <v>120.25550000000001</v>
      </c>
      <c r="L36" s="16">
        <f>K36*J36</f>
        <v>201.42487469036024</v>
      </c>
      <c r="M36" s="28"/>
      <c r="N36" s="145">
        <f t="shared" si="3"/>
        <v>-11.975335309639746</v>
      </c>
      <c r="O36" s="18">
        <f t="shared" si="9"/>
        <v>-5.61167925263042E-2</v>
      </c>
    </row>
    <row r="37" spans="1:19" ht="25.5">
      <c r="B37" s="178" t="s">
        <v>29</v>
      </c>
      <c r="C37" s="28"/>
      <c r="D37" s="142" t="s">
        <v>62</v>
      </c>
      <c r="E37" s="28"/>
      <c r="F37" s="31">
        <v>1.2338</v>
      </c>
      <c r="G37" s="97">
        <f>G36</f>
        <v>119.48499999999999</v>
      </c>
      <c r="H37" s="16">
        <f>G37*F37</f>
        <v>147.420593</v>
      </c>
      <c r="I37" s="28"/>
      <c r="J37" s="31">
        <v>1.2418007380417413</v>
      </c>
      <c r="K37" s="110">
        <f>K36</f>
        <v>120.25550000000001</v>
      </c>
      <c r="L37" s="16">
        <f>K37*J37</f>
        <v>149.33336865357865</v>
      </c>
      <c r="M37" s="28"/>
      <c r="N37" s="145">
        <f t="shared" si="3"/>
        <v>1.9127756535786489</v>
      </c>
      <c r="O37" s="18">
        <f t="shared" si="9"/>
        <v>1.2974955633088852E-2</v>
      </c>
    </row>
    <row r="38" spans="1:19" ht="25.5">
      <c r="B38" s="170" t="s">
        <v>30</v>
      </c>
      <c r="C38" s="149"/>
      <c r="D38" s="149"/>
      <c r="E38" s="149"/>
      <c r="F38" s="179"/>
      <c r="G38" s="236"/>
      <c r="H38" s="174">
        <f>SUM(H35:H37)</f>
        <v>6902.7911580999998</v>
      </c>
      <c r="I38" s="180"/>
      <c r="J38" s="181"/>
      <c r="K38" s="256"/>
      <c r="L38" s="174">
        <f>SUM(L35:L37)</f>
        <v>7311.1225494992059</v>
      </c>
      <c r="M38" s="180"/>
      <c r="N38" s="156">
        <f t="shared" si="3"/>
        <v>408.33139139920604</v>
      </c>
      <c r="O38" s="157">
        <f t="shared" si="9"/>
        <v>5.9154533586034154E-2</v>
      </c>
    </row>
    <row r="39" spans="1:19" ht="25.5">
      <c r="B39" s="141" t="s">
        <v>31</v>
      </c>
      <c r="C39" s="20"/>
      <c r="D39" s="183" t="s">
        <v>22</v>
      </c>
      <c r="E39" s="14"/>
      <c r="F39" s="31">
        <v>3.5999999999999999E-3</v>
      </c>
      <c r="G39" s="97">
        <f>G37</f>
        <v>119.48499999999999</v>
      </c>
      <c r="H39" s="96">
        <f t="shared" ref="H39:H45" si="10">G39*F39</f>
        <v>0.43014599999999992</v>
      </c>
      <c r="I39" s="19"/>
      <c r="J39" s="31">
        <v>3.5999999999999999E-3</v>
      </c>
      <c r="K39" s="110">
        <f>K37</f>
        <v>120.25550000000001</v>
      </c>
      <c r="L39" s="16">
        <f t="shared" ref="L39:L45" si="11">K39*J39</f>
        <v>0.43291980000000002</v>
      </c>
      <c r="M39" s="28"/>
      <c r="N39" s="145">
        <f t="shared" si="3"/>
        <v>2.773800000000104E-3</v>
      </c>
      <c r="O39" s="18">
        <f t="shared" si="9"/>
        <v>6.4485081809434576E-3</v>
      </c>
    </row>
    <row r="40" spans="1:19" ht="25.5">
      <c r="B40" s="141" t="s">
        <v>32</v>
      </c>
      <c r="C40" s="20"/>
      <c r="D40" s="183" t="s">
        <v>22</v>
      </c>
      <c r="E40" s="14"/>
      <c r="F40" s="31">
        <v>1.2999999999999999E-3</v>
      </c>
      <c r="G40" s="97">
        <f>G37</f>
        <v>119.48499999999999</v>
      </c>
      <c r="H40" s="96">
        <f t="shared" si="10"/>
        <v>0.15533049999999998</v>
      </c>
      <c r="I40" s="19"/>
      <c r="J40" s="31">
        <v>1.2999999999999999E-3</v>
      </c>
      <c r="K40" s="110">
        <f>K37</f>
        <v>120.25550000000001</v>
      </c>
      <c r="L40" s="16">
        <f t="shared" si="11"/>
        <v>0.15633215</v>
      </c>
      <c r="M40" s="28"/>
      <c r="N40" s="145">
        <f t="shared" si="3"/>
        <v>1.0016500000000206E-3</v>
      </c>
      <c r="O40" s="18">
        <f t="shared" si="9"/>
        <v>6.4485081809433475E-3</v>
      </c>
    </row>
    <row r="41" spans="1:19">
      <c r="B41" s="141" t="s">
        <v>33</v>
      </c>
      <c r="C41" s="20"/>
      <c r="D41" s="183" t="s">
        <v>19</v>
      </c>
      <c r="E41" s="14"/>
      <c r="F41" s="99">
        <v>0.25</v>
      </c>
      <c r="G41" s="25">
        <v>1</v>
      </c>
      <c r="H41" s="96">
        <f t="shared" si="10"/>
        <v>0.25</v>
      </c>
      <c r="I41" s="19"/>
      <c r="J41" s="99">
        <v>0.25</v>
      </c>
      <c r="K41" s="109">
        <v>1</v>
      </c>
      <c r="L41" s="16">
        <f t="shared" si="11"/>
        <v>0.25</v>
      </c>
      <c r="M41" s="28"/>
      <c r="N41" s="145">
        <f t="shared" si="3"/>
        <v>0</v>
      </c>
      <c r="O41" s="18">
        <f t="shared" si="9"/>
        <v>0</v>
      </c>
    </row>
    <row r="42" spans="1:19">
      <c r="B42" s="141" t="s">
        <v>34</v>
      </c>
      <c r="C42" s="20"/>
      <c r="D42" s="183" t="s">
        <v>22</v>
      </c>
      <c r="E42" s="14"/>
      <c r="F42" s="31">
        <v>1.1000000000000001E-3</v>
      </c>
      <c r="G42" s="97">
        <f>F18</f>
        <v>115</v>
      </c>
      <c r="H42" s="96">
        <f t="shared" si="10"/>
        <v>0.1265</v>
      </c>
      <c r="I42" s="19"/>
      <c r="J42" s="31">
        <v>1.1000000000000001E-3</v>
      </c>
      <c r="K42" s="110">
        <f>F18</f>
        <v>115</v>
      </c>
      <c r="L42" s="16">
        <f t="shared" si="11"/>
        <v>0.1265</v>
      </c>
      <c r="M42" s="28"/>
      <c r="N42" s="145">
        <f t="shared" si="3"/>
        <v>0</v>
      </c>
      <c r="O42" s="18">
        <f t="shared" si="9"/>
        <v>0</v>
      </c>
    </row>
    <row r="43" spans="1:19">
      <c r="B43" s="165" t="s">
        <v>35</v>
      </c>
      <c r="C43" s="20"/>
      <c r="D43" s="183" t="s">
        <v>22</v>
      </c>
      <c r="E43" s="14"/>
      <c r="F43" s="99">
        <v>8.3000000000000004E-2</v>
      </c>
      <c r="G43" s="240">
        <f>0.64*$F$18</f>
        <v>73.600000000000009</v>
      </c>
      <c r="H43" s="96">
        <f t="shared" si="10"/>
        <v>6.1088000000000013</v>
      </c>
      <c r="I43" s="19"/>
      <c r="J43" s="99">
        <v>8.3000000000000004E-2</v>
      </c>
      <c r="K43" s="240">
        <f>G43</f>
        <v>73.600000000000009</v>
      </c>
      <c r="L43" s="16">
        <f t="shared" si="11"/>
        <v>6.1088000000000013</v>
      </c>
      <c r="M43" s="28"/>
      <c r="N43" s="145">
        <f t="shared" si="3"/>
        <v>0</v>
      </c>
      <c r="O43" s="18">
        <f t="shared" si="9"/>
        <v>0</v>
      </c>
      <c r="S43" s="185"/>
    </row>
    <row r="44" spans="1:19">
      <c r="B44" s="165" t="s">
        <v>36</v>
      </c>
      <c r="C44" s="20"/>
      <c r="D44" s="183" t="s">
        <v>22</v>
      </c>
      <c r="E44" s="14"/>
      <c r="F44" s="99">
        <v>0.128</v>
      </c>
      <c r="G44" s="240">
        <f>0.18*$F$18</f>
        <v>20.7</v>
      </c>
      <c r="H44" s="96">
        <f t="shared" si="10"/>
        <v>2.6496</v>
      </c>
      <c r="I44" s="19"/>
      <c r="J44" s="99">
        <v>0.128</v>
      </c>
      <c r="K44" s="240">
        <f>G44</f>
        <v>20.7</v>
      </c>
      <c r="L44" s="16">
        <f t="shared" si="11"/>
        <v>2.6496</v>
      </c>
      <c r="M44" s="28"/>
      <c r="N44" s="145">
        <f t="shared" si="3"/>
        <v>0</v>
      </c>
      <c r="O44" s="18">
        <f t="shared" si="9"/>
        <v>0</v>
      </c>
      <c r="S44" s="185"/>
    </row>
    <row r="45" spans="1:19">
      <c r="B45" s="131" t="s">
        <v>37</v>
      </c>
      <c r="C45" s="20"/>
      <c r="D45" s="183" t="s">
        <v>22</v>
      </c>
      <c r="E45" s="14"/>
      <c r="F45" s="99">
        <v>0.17499999999999999</v>
      </c>
      <c r="G45" s="240">
        <f>0.18*$F$18</f>
        <v>20.7</v>
      </c>
      <c r="H45" s="96">
        <f t="shared" si="10"/>
        <v>3.6224999999999996</v>
      </c>
      <c r="I45" s="19"/>
      <c r="J45" s="99">
        <v>0.17499999999999999</v>
      </c>
      <c r="K45" s="240">
        <f>G45</f>
        <v>20.7</v>
      </c>
      <c r="L45" s="16">
        <f t="shared" si="11"/>
        <v>3.6224999999999996</v>
      </c>
      <c r="M45" s="28"/>
      <c r="N45" s="145">
        <f t="shared" si="3"/>
        <v>0</v>
      </c>
      <c r="O45" s="18">
        <f t="shared" si="9"/>
        <v>0</v>
      </c>
      <c r="S45" s="185"/>
    </row>
    <row r="46" spans="1:19" s="190" customFormat="1">
      <c r="B46" s="186" t="s">
        <v>38</v>
      </c>
      <c r="C46" s="32"/>
      <c r="D46" s="183" t="s">
        <v>22</v>
      </c>
      <c r="E46" s="32"/>
      <c r="F46" s="99">
        <v>9.9000000000000005E-2</v>
      </c>
      <c r="G46" s="242">
        <f>IF(AND($T$1=1, F18&gt;=600), 600, IF(AND($T$1=1, AND(F18&lt;600, F18&gt;=0)), F18, IF(AND($T$1=2, F18&gt;=1000), 1000, IF(AND($T$1=2, AND(F18&lt;1000, F18&gt;=0)), F18))))</f>
        <v>115</v>
      </c>
      <c r="H46" s="96">
        <f>G46*F46</f>
        <v>11.385</v>
      </c>
      <c r="I46" s="243"/>
      <c r="J46" s="99">
        <v>9.9000000000000005E-2</v>
      </c>
      <c r="K46" s="242">
        <f>G46</f>
        <v>115</v>
      </c>
      <c r="L46" s="16">
        <f>K46*J46</f>
        <v>11.385</v>
      </c>
      <c r="M46" s="188"/>
      <c r="N46" s="189">
        <f t="shared" si="3"/>
        <v>0</v>
      </c>
      <c r="O46" s="18">
        <f t="shared" si="9"/>
        <v>0</v>
      </c>
    </row>
    <row r="47" spans="1:19" s="190" customFormat="1" ht="13.5" thickBot="1">
      <c r="B47" s="186" t="s">
        <v>39</v>
      </c>
      <c r="C47" s="32"/>
      <c r="D47" s="183" t="s">
        <v>22</v>
      </c>
      <c r="E47" s="32"/>
      <c r="F47" s="99">
        <v>0.11600000000000001</v>
      </c>
      <c r="G47" s="242">
        <f>IF(AND($T$1=1, F18&gt;=600), F18-600, IF(AND($T$1=1, AND(F18&lt;600, F18&gt;=0)), 0, IF(AND($T$1=2, F18&gt;=1000), F18-1000, IF(AND($T$1=2, AND(F18&lt;1000, F18&gt;=0)), 0))))</f>
        <v>0</v>
      </c>
      <c r="H47" s="96">
        <f>G47*F47</f>
        <v>0</v>
      </c>
      <c r="I47" s="243"/>
      <c r="J47" s="99">
        <v>0.11600000000000001</v>
      </c>
      <c r="K47" s="242">
        <f>G47</f>
        <v>0</v>
      </c>
      <c r="L47" s="16">
        <f>K47*J47</f>
        <v>0</v>
      </c>
      <c r="M47" s="188"/>
      <c r="N47" s="189">
        <f t="shared" si="3"/>
        <v>0</v>
      </c>
      <c r="O47" s="18" t="str">
        <f t="shared" si="9"/>
        <v/>
      </c>
    </row>
    <row r="48" spans="1:19" ht="13.5" thickBot="1">
      <c r="B48" s="191"/>
      <c r="C48" s="192"/>
      <c r="D48" s="193"/>
      <c r="E48" s="192"/>
      <c r="F48" s="194"/>
      <c r="G48" s="246"/>
      <c r="H48" s="196"/>
      <c r="I48" s="197"/>
      <c r="J48" s="194"/>
      <c r="K48" s="257"/>
      <c r="L48" s="196"/>
      <c r="M48" s="197"/>
      <c r="N48" s="199"/>
      <c r="O48" s="200"/>
    </row>
    <row r="49" spans="1:19">
      <c r="B49" s="298" t="s">
        <v>40</v>
      </c>
      <c r="C49" s="290"/>
      <c r="D49" s="290"/>
      <c r="E49" s="20"/>
      <c r="F49" s="33"/>
      <c r="G49" s="100"/>
      <c r="H49" s="35">
        <f>SUM(H39:H45,H38)</f>
        <v>6916.1340345999997</v>
      </c>
      <c r="I49" s="36"/>
      <c r="J49" s="37"/>
      <c r="K49" s="111"/>
      <c r="L49" s="35">
        <f>SUM(L39:L45,L38)</f>
        <v>7324.4692014492057</v>
      </c>
      <c r="M49" s="38"/>
      <c r="N49" s="39">
        <f>L49-H49</f>
        <v>408.33516684920596</v>
      </c>
      <c r="O49" s="40">
        <f>IF((H49)=0,"",(N49/H49))</f>
        <v>5.9040956234565276E-2</v>
      </c>
      <c r="S49" s="185"/>
    </row>
    <row r="50" spans="1:19">
      <c r="B50" s="299" t="s">
        <v>41</v>
      </c>
      <c r="C50" s="290"/>
      <c r="D50" s="290"/>
      <c r="E50" s="20"/>
      <c r="F50" s="41">
        <v>0.13</v>
      </c>
      <c r="G50" s="102"/>
      <c r="H50" s="43">
        <f>H49*F50</f>
        <v>899.09742449800001</v>
      </c>
      <c r="I50" s="44"/>
      <c r="J50" s="45">
        <v>0.13</v>
      </c>
      <c r="K50" s="112"/>
      <c r="L50" s="46">
        <f>L49*J50</f>
        <v>952.18099618839676</v>
      </c>
      <c r="M50" s="47"/>
      <c r="N50" s="48">
        <f t="shared" si="3"/>
        <v>53.083571690396752</v>
      </c>
      <c r="O50" s="18">
        <f t="shared" si="9"/>
        <v>5.9040956234565248E-2</v>
      </c>
      <c r="S50" s="185"/>
    </row>
    <row r="51" spans="1:19">
      <c r="B51" s="300" t="s">
        <v>42</v>
      </c>
      <c r="C51" s="290"/>
      <c r="D51" s="290"/>
      <c r="E51" s="20"/>
      <c r="F51" s="49"/>
      <c r="G51" s="102"/>
      <c r="H51" s="43">
        <f>H49+H50</f>
        <v>7815.2314590979995</v>
      </c>
      <c r="I51" s="44"/>
      <c r="J51" s="44"/>
      <c r="K51" s="112"/>
      <c r="L51" s="46">
        <f>L49+L50</f>
        <v>8276.6501976376021</v>
      </c>
      <c r="M51" s="47"/>
      <c r="N51" s="48">
        <f t="shared" si="3"/>
        <v>461.4187385396026</v>
      </c>
      <c r="O51" s="18">
        <f t="shared" si="9"/>
        <v>5.9040956234565262E-2</v>
      </c>
      <c r="S51" s="185"/>
    </row>
    <row r="52" spans="1:19">
      <c r="B52" s="301" t="s">
        <v>43</v>
      </c>
      <c r="C52" s="301"/>
      <c r="D52" s="301"/>
      <c r="E52" s="20"/>
      <c r="F52" s="49"/>
      <c r="G52" s="102"/>
      <c r="H52" s="50">
        <f>ROUND(-H51*0.1,2)</f>
        <v>-781.52</v>
      </c>
      <c r="I52" s="44"/>
      <c r="J52" s="44"/>
      <c r="K52" s="112"/>
      <c r="L52" s="51">
        <f>ROUND(-L51*0.1,2)</f>
        <v>-827.67</v>
      </c>
      <c r="M52" s="47"/>
      <c r="N52" s="52">
        <f t="shared" si="3"/>
        <v>-46.149999999999977</v>
      </c>
      <c r="O52" s="53">
        <f t="shared" si="9"/>
        <v>5.9051591769884303E-2</v>
      </c>
    </row>
    <row r="53" spans="1:19" ht="13.5" thickBot="1">
      <c r="B53" s="302" t="s">
        <v>44</v>
      </c>
      <c r="C53" s="302"/>
      <c r="D53" s="302"/>
      <c r="E53" s="14"/>
      <c r="F53" s="201"/>
      <c r="G53" s="248"/>
      <c r="H53" s="203">
        <f>H51+H52</f>
        <v>7033.711459098</v>
      </c>
      <c r="I53" s="204"/>
      <c r="J53" s="204"/>
      <c r="K53" s="258"/>
      <c r="L53" s="205">
        <f>L51+L52</f>
        <v>7448.980197637602</v>
      </c>
      <c r="M53" s="206"/>
      <c r="N53" s="207">
        <f t="shared" si="3"/>
        <v>415.26873853960205</v>
      </c>
      <c r="O53" s="208">
        <f t="shared" si="9"/>
        <v>5.9039774513704027E-2</v>
      </c>
    </row>
    <row r="54" spans="1:19" s="190" customFormat="1" ht="13.5" thickBot="1">
      <c r="B54" s="209"/>
      <c r="C54" s="210"/>
      <c r="D54" s="211"/>
      <c r="E54" s="210"/>
      <c r="F54" s="194"/>
      <c r="G54" s="249"/>
      <c r="H54" s="196"/>
      <c r="I54" s="213"/>
      <c r="J54" s="194"/>
      <c r="K54" s="259"/>
      <c r="L54" s="196"/>
      <c r="M54" s="213"/>
      <c r="N54" s="215"/>
      <c r="O54" s="200"/>
    </row>
    <row r="55" spans="1:19" s="190" customFormat="1">
      <c r="B55" s="293" t="s">
        <v>45</v>
      </c>
      <c r="C55" s="188"/>
      <c r="D55" s="188"/>
      <c r="E55" s="32"/>
      <c r="F55" s="55"/>
      <c r="G55" s="104"/>
      <c r="H55" s="57">
        <f>SUM(H46:H47,H38,H39:H42)</f>
        <v>6915.1381345999998</v>
      </c>
      <c r="I55" s="58"/>
      <c r="J55" s="59"/>
      <c r="K55" s="113"/>
      <c r="L55" s="57">
        <f>SUM(L46:L47,L38,L39:L42)</f>
        <v>7323.4733014492058</v>
      </c>
      <c r="M55" s="60"/>
      <c r="N55" s="61">
        <f>L55-H55</f>
        <v>408.33516684920596</v>
      </c>
      <c r="O55" s="40">
        <f>IF((H55)=0,"",(N55/H55))</f>
        <v>5.9049459157741867E-2</v>
      </c>
    </row>
    <row r="56" spans="1:19" s="190" customFormat="1">
      <c r="B56" s="294" t="s">
        <v>41</v>
      </c>
      <c r="C56" s="188"/>
      <c r="D56" s="188"/>
      <c r="E56" s="32"/>
      <c r="F56" s="62">
        <v>0.13</v>
      </c>
      <c r="G56" s="104"/>
      <c r="H56" s="63">
        <f>H55*F56</f>
        <v>898.96795749800003</v>
      </c>
      <c r="I56" s="64"/>
      <c r="J56" s="65">
        <v>0.13</v>
      </c>
      <c r="K56" s="114"/>
      <c r="L56" s="67">
        <f>L55*J56</f>
        <v>952.05152918839678</v>
      </c>
      <c r="M56" s="68"/>
      <c r="N56" s="69">
        <f>L56-H56</f>
        <v>53.083571690396752</v>
      </c>
      <c r="O56" s="18">
        <f>IF((H56)=0,"",(N56/H56))</f>
        <v>5.9049459157741839E-2</v>
      </c>
    </row>
    <row r="57" spans="1:19" s="190" customFormat="1">
      <c r="B57" s="295" t="s">
        <v>42</v>
      </c>
      <c r="C57" s="188"/>
      <c r="D57" s="188"/>
      <c r="E57" s="32"/>
      <c r="F57" s="70"/>
      <c r="G57" s="107"/>
      <c r="H57" s="63">
        <f>H55+H56</f>
        <v>7814.1060920979999</v>
      </c>
      <c r="I57" s="64"/>
      <c r="J57" s="64"/>
      <c r="K57" s="115"/>
      <c r="L57" s="67">
        <f>L55+L56</f>
        <v>8275.5248306376034</v>
      </c>
      <c r="M57" s="68"/>
      <c r="N57" s="69">
        <f>L57-H57</f>
        <v>461.41873853960351</v>
      </c>
      <c r="O57" s="18">
        <f>IF((H57)=0,"",(N57/H57))</f>
        <v>5.9049459157741964E-2</v>
      </c>
    </row>
    <row r="58" spans="1:19" s="190" customFormat="1">
      <c r="B58" s="296" t="s">
        <v>43</v>
      </c>
      <c r="C58" s="296"/>
      <c r="D58" s="296"/>
      <c r="E58" s="32"/>
      <c r="F58" s="70"/>
      <c r="G58" s="107"/>
      <c r="H58" s="72">
        <f>ROUND(-H57*0.1,2)</f>
        <v>-781.41</v>
      </c>
      <c r="I58" s="64"/>
      <c r="J58" s="64"/>
      <c r="K58" s="115"/>
      <c r="L58" s="73">
        <f>ROUND(-L57*0.1,2)</f>
        <v>-827.55</v>
      </c>
      <c r="M58" s="68"/>
      <c r="N58" s="74">
        <f>L58-H58</f>
        <v>-46.139999999999986</v>
      </c>
      <c r="O58" s="53">
        <f>IF((H58)=0,"",(N58/H58))</f>
        <v>5.9047107152455161E-2</v>
      </c>
    </row>
    <row r="59" spans="1:19" s="190" customFormat="1" ht="13.5" thickBot="1">
      <c r="B59" s="297" t="s">
        <v>46</v>
      </c>
      <c r="C59" s="297"/>
      <c r="D59" s="297"/>
      <c r="E59" s="32"/>
      <c r="F59" s="70"/>
      <c r="G59" s="107"/>
      <c r="H59" s="57">
        <f>SUM(H57:H58)</f>
        <v>7032.696092098</v>
      </c>
      <c r="I59" s="58"/>
      <c r="J59" s="58"/>
      <c r="K59" s="260"/>
      <c r="L59" s="216">
        <f>SUM(L57:L58)</f>
        <v>7447.9748306376032</v>
      </c>
      <c r="M59" s="60"/>
      <c r="N59" s="61">
        <f>L59-H59</f>
        <v>415.27873853960318</v>
      </c>
      <c r="O59" s="40">
        <f>IF((H59)=0,"",(N59/H59))</f>
        <v>5.9049720491436287E-2</v>
      </c>
    </row>
    <row r="60" spans="1:19" s="190" customFormat="1" ht="13.5" thickBot="1">
      <c r="B60" s="209"/>
      <c r="C60" s="210"/>
      <c r="D60" s="211"/>
      <c r="E60" s="210"/>
      <c r="F60" s="217"/>
      <c r="G60" s="252"/>
      <c r="H60" s="219"/>
      <c r="I60" s="220"/>
      <c r="J60" s="217"/>
      <c r="K60" s="249"/>
      <c r="L60" s="221"/>
      <c r="M60" s="213"/>
      <c r="N60" s="222"/>
      <c r="O60" s="200"/>
    </row>
    <row r="61" spans="1:19">
      <c r="L61" s="185"/>
    </row>
    <row r="62" spans="1:19">
      <c r="B62" s="223" t="s">
        <v>47</v>
      </c>
      <c r="F62" s="224">
        <v>3.9E-2</v>
      </c>
      <c r="J62" s="224">
        <v>4.5699999999999998E-2</v>
      </c>
    </row>
    <row r="64" spans="1:19" ht="14.25">
      <c r="A64" s="225" t="s">
        <v>48</v>
      </c>
    </row>
    <row r="66" spans="1:2">
      <c r="A66" s="12" t="s">
        <v>49</v>
      </c>
    </row>
    <row r="67" spans="1:2">
      <c r="A67" s="12" t="s">
        <v>50</v>
      </c>
    </row>
    <row r="69" spans="1:2">
      <c r="A69" s="226" t="s">
        <v>51</v>
      </c>
    </row>
    <row r="70" spans="1:2">
      <c r="A70" s="226" t="s">
        <v>52</v>
      </c>
    </row>
    <row r="72" spans="1:2">
      <c r="A72" s="12" t="s">
        <v>53</v>
      </c>
    </row>
    <row r="73" spans="1:2">
      <c r="A73" s="12" t="s">
        <v>54</v>
      </c>
    </row>
    <row r="74" spans="1:2">
      <c r="A74" s="12" t="s">
        <v>55</v>
      </c>
    </row>
    <row r="75" spans="1:2">
      <c r="A75" s="12" t="s">
        <v>56</v>
      </c>
    </row>
    <row r="76" spans="1:2">
      <c r="A76" s="12" t="s">
        <v>57</v>
      </c>
    </row>
    <row r="78" spans="1:2" ht="51">
      <c r="B78" s="13" t="s">
        <v>58</v>
      </c>
    </row>
  </sheetData>
  <mergeCells count="14">
    <mergeCell ref="B59:D59"/>
    <mergeCell ref="D21:D22"/>
    <mergeCell ref="N21:N22"/>
    <mergeCell ref="O21:O22"/>
    <mergeCell ref="B52:D52"/>
    <mergeCell ref="B53:D53"/>
    <mergeCell ref="B58:D58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0 E36:E37 E39:E48 E54 E26:E34 E23:E24">
      <formula1>"#REF!"</formula1>
      <formula2>0</formula2>
    </dataValidation>
    <dataValidation type="list" allowBlank="1" showInputMessage="1" showErrorMessage="1" prompt="Select Charge Unit - monthly, per kWh, per kW" sqref="D60 D36:D37 D54 D39:D48 D26:D34 D23:D2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2">
    <pageSetUpPr fitToPage="1"/>
  </sheetPr>
  <dimension ref="A1:T78"/>
  <sheetViews>
    <sheetView showGridLines="0" topLeftCell="A28" workbookViewId="0">
      <selection activeCell="B47" sqref="B39:B47"/>
    </sheetView>
  </sheetViews>
  <sheetFormatPr defaultRowHeight="12.75"/>
  <cols>
    <col min="1" max="1" width="11.28515625" style="12" customWidth="1"/>
    <col min="2" max="2" width="33.710937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89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89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2"/>
      <c r="H1" s="1"/>
      <c r="I1" s="1"/>
      <c r="J1" s="1"/>
      <c r="K1" s="11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4"/>
      <c r="H2" s="5"/>
      <c r="I2" s="5"/>
      <c r="J2" s="5"/>
      <c r="K2" s="84"/>
      <c r="N2" s="3"/>
      <c r="O2" s="7"/>
    </row>
    <row r="3" spans="1:20" s="2" customFormat="1" ht="12.7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4"/>
      <c r="H4" s="5"/>
      <c r="I4" s="8"/>
      <c r="J4" s="8"/>
      <c r="K4" s="87"/>
      <c r="N4" s="3"/>
      <c r="O4" s="7"/>
    </row>
    <row r="5" spans="1:20" s="2" customFormat="1" ht="12.75" customHeight="1">
      <c r="B5" s="9"/>
      <c r="C5" s="10"/>
      <c r="D5" s="10"/>
      <c r="E5" s="10"/>
      <c r="G5" s="87"/>
      <c r="K5" s="87"/>
      <c r="N5" s="3"/>
      <c r="O5" s="4"/>
    </row>
    <row r="6" spans="1:20" s="2" customFormat="1" ht="12.75" customHeight="1">
      <c r="B6" s="9"/>
      <c r="G6" s="87"/>
      <c r="K6" s="87"/>
      <c r="N6" s="3"/>
      <c r="O6" s="11"/>
    </row>
    <row r="7" spans="1:20" s="2" customFormat="1" ht="12.75" customHeight="1">
      <c r="B7" s="9"/>
      <c r="G7" s="87"/>
      <c r="K7" s="87"/>
      <c r="N7" s="3"/>
      <c r="O7" s="4"/>
    </row>
    <row r="8" spans="1:20" s="2" customFormat="1" ht="12.75" customHeight="1">
      <c r="B8" s="9"/>
      <c r="G8" s="87"/>
      <c r="K8" s="87"/>
    </row>
    <row r="9" spans="1:20" ht="12.75" customHeight="1"/>
    <row r="10" spans="1:20" s="126" customFormat="1" ht="18.75" customHeight="1">
      <c r="B10" s="282" t="s">
        <v>0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20" ht="18.75" customHeight="1">
      <c r="B11" s="283" t="s">
        <v>1</v>
      </c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</row>
    <row r="12" spans="1:20" ht="7.5" customHeight="1"/>
    <row r="13" spans="1:20" ht="7.5" customHeight="1"/>
    <row r="14" spans="1:20" ht="15.75">
      <c r="B14" s="127" t="s">
        <v>2</v>
      </c>
      <c r="D14" s="284" t="s">
        <v>66</v>
      </c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</row>
    <row r="15" spans="1:20" ht="7.5" customHeight="1">
      <c r="B15" s="128"/>
      <c r="D15" s="129"/>
      <c r="E15" s="129"/>
      <c r="F15" s="129"/>
      <c r="G15" s="227"/>
      <c r="H15" s="129"/>
      <c r="I15" s="129"/>
      <c r="J15" s="129"/>
      <c r="K15" s="227"/>
      <c r="L15" s="129"/>
      <c r="M15" s="129"/>
      <c r="N15" s="129"/>
      <c r="O15" s="129"/>
    </row>
    <row r="16" spans="1:20" ht="15.75">
      <c r="B16" s="127" t="s">
        <v>4</v>
      </c>
      <c r="D16" s="130" t="s">
        <v>5</v>
      </c>
      <c r="E16" s="129"/>
      <c r="F16" s="129"/>
      <c r="G16" s="227"/>
      <c r="H16" s="129"/>
      <c r="I16" s="129"/>
      <c r="J16" s="129"/>
      <c r="K16" s="227"/>
      <c r="L16" s="129"/>
      <c r="M16" s="129"/>
      <c r="N16" s="129"/>
      <c r="O16" s="129"/>
    </row>
    <row r="17" spans="1:15" ht="15.75">
      <c r="B17" s="128"/>
      <c r="D17" s="129"/>
      <c r="E17" s="129"/>
      <c r="F17" s="129"/>
      <c r="G17" s="227"/>
      <c r="H17" s="129"/>
      <c r="I17" s="129"/>
      <c r="J17" s="129"/>
      <c r="K17" s="227"/>
      <c r="L17" s="129"/>
      <c r="M17" s="129"/>
      <c r="N17" s="129"/>
      <c r="O17" s="129"/>
    </row>
    <row r="18" spans="1:15">
      <c r="B18" s="131"/>
      <c r="D18" s="132" t="s">
        <v>6</v>
      </c>
      <c r="E18" s="132"/>
      <c r="F18" s="133">
        <v>1800</v>
      </c>
      <c r="G18" s="228" t="s">
        <v>67</v>
      </c>
    </row>
    <row r="19" spans="1:15">
      <c r="B19" s="131"/>
    </row>
    <row r="20" spans="1:15">
      <c r="B20" s="131"/>
      <c r="D20" s="134"/>
      <c r="E20" s="134"/>
      <c r="F20" s="285" t="s">
        <v>8</v>
      </c>
      <c r="G20" s="285"/>
      <c r="H20" s="285"/>
      <c r="J20" s="285" t="s">
        <v>9</v>
      </c>
      <c r="K20" s="285"/>
      <c r="L20" s="285"/>
      <c r="N20" s="285" t="s">
        <v>10</v>
      </c>
      <c r="O20" s="285"/>
    </row>
    <row r="21" spans="1:15">
      <c r="B21" s="131"/>
      <c r="D21" s="286" t="s">
        <v>11</v>
      </c>
      <c r="E21" s="135"/>
      <c r="F21" s="136" t="s">
        <v>12</v>
      </c>
      <c r="G21" s="229" t="s">
        <v>13</v>
      </c>
      <c r="H21" s="137" t="s">
        <v>14</v>
      </c>
      <c r="J21" s="136" t="s">
        <v>12</v>
      </c>
      <c r="K21" s="230" t="s">
        <v>13</v>
      </c>
      <c r="L21" s="137" t="s">
        <v>14</v>
      </c>
      <c r="N21" s="287" t="s">
        <v>15</v>
      </c>
      <c r="O21" s="288" t="s">
        <v>16</v>
      </c>
    </row>
    <row r="22" spans="1:15">
      <c r="B22" s="131"/>
      <c r="D22" s="286"/>
      <c r="E22" s="135"/>
      <c r="F22" s="139" t="s">
        <v>17</v>
      </c>
      <c r="G22" s="231"/>
      <c r="H22" s="140" t="s">
        <v>17</v>
      </c>
      <c r="J22" s="139" t="s">
        <v>17</v>
      </c>
      <c r="K22" s="232"/>
      <c r="L22" s="140" t="s">
        <v>17</v>
      </c>
      <c r="N22" s="287"/>
      <c r="O22" s="288"/>
    </row>
    <row r="23" spans="1:15">
      <c r="B23" s="141" t="s">
        <v>18</v>
      </c>
      <c r="C23" s="20"/>
      <c r="D23" s="142" t="s">
        <v>19</v>
      </c>
      <c r="E23" s="14"/>
      <c r="F23" s="143">
        <v>6.25</v>
      </c>
      <c r="G23" s="25">
        <v>1</v>
      </c>
      <c r="H23" s="16">
        <f>G23*F23</f>
        <v>6.25</v>
      </c>
      <c r="I23" s="28"/>
      <c r="J23" s="144">
        <v>10.130000000000001</v>
      </c>
      <c r="K23" s="117">
        <v>1</v>
      </c>
      <c r="L23" s="16">
        <f>K23*J23</f>
        <v>10.130000000000001</v>
      </c>
      <c r="M23" s="28"/>
      <c r="N23" s="145">
        <f>L23-H23</f>
        <v>3.8800000000000008</v>
      </c>
      <c r="O23" s="18">
        <f>IF((H23)=0,"",(N23/H23))</f>
        <v>0.62080000000000013</v>
      </c>
    </row>
    <row r="24" spans="1:15">
      <c r="A24" s="19"/>
      <c r="B24" s="141" t="s">
        <v>21</v>
      </c>
      <c r="C24" s="20"/>
      <c r="D24" s="142" t="s">
        <v>22</v>
      </c>
      <c r="E24" s="14"/>
      <c r="F24" s="146">
        <v>2E-3</v>
      </c>
      <c r="G24" s="25">
        <f t="shared" ref="G24" si="0">$F$18</f>
        <v>1800</v>
      </c>
      <c r="H24" s="16">
        <f t="shared" ref="H24" si="1">G24*F24</f>
        <v>3.6</v>
      </c>
      <c r="I24" s="28"/>
      <c r="J24" s="31">
        <v>3.3999999999999998E-3</v>
      </c>
      <c r="K24" s="118">
        <f>$F$18</f>
        <v>1800</v>
      </c>
      <c r="L24" s="16">
        <f t="shared" ref="L24" si="2">K24*J24</f>
        <v>6.1199999999999992</v>
      </c>
      <c r="M24" s="28"/>
      <c r="N24" s="145">
        <f t="shared" ref="N24:N53" si="3">L24-H24</f>
        <v>2.5199999999999991</v>
      </c>
      <c r="O24" s="18">
        <f t="shared" ref="O24:O33" si="4">IF((H24)=0,"",(N24/H24))</f>
        <v>0.69999999999999973</v>
      </c>
    </row>
    <row r="25" spans="1:15">
      <c r="A25" s="19"/>
      <c r="B25" s="148" t="s">
        <v>23</v>
      </c>
      <c r="C25" s="149"/>
      <c r="D25" s="150"/>
      <c r="E25" s="149"/>
      <c r="F25" s="151"/>
      <c r="G25" s="233"/>
      <c r="H25" s="153">
        <f>SUM(H23:H24)</f>
        <v>9.85</v>
      </c>
      <c r="I25" s="28"/>
      <c r="J25" s="154"/>
      <c r="K25" s="234"/>
      <c r="L25" s="153">
        <f>SUM(L23:L24)</f>
        <v>16.25</v>
      </c>
      <c r="M25" s="28"/>
      <c r="N25" s="156">
        <f t="shared" si="3"/>
        <v>6.4</v>
      </c>
      <c r="O25" s="157">
        <f t="shared" si="4"/>
        <v>0.64974619289340108</v>
      </c>
    </row>
    <row r="26" spans="1:15" ht="38.25">
      <c r="A26" s="158"/>
      <c r="B26" s="289" t="s">
        <v>69</v>
      </c>
      <c r="C26" s="290"/>
      <c r="D26" s="160" t="s">
        <v>22</v>
      </c>
      <c r="E26" s="290"/>
      <c r="F26" s="161"/>
      <c r="G26" s="21">
        <f t="shared" ref="G26:G32" si="5">$F$18</f>
        <v>1800</v>
      </c>
      <c r="H26" s="22">
        <f t="shared" ref="H26:H34" si="6">G26*F26</f>
        <v>0</v>
      </c>
      <c r="I26" s="162"/>
      <c r="J26" s="161">
        <v>-8.0000000000000004E-4</v>
      </c>
      <c r="K26" s="21">
        <f t="shared" ref="K26:K32" si="7">$F$18</f>
        <v>1800</v>
      </c>
      <c r="L26" s="22">
        <f t="shared" ref="L26:L34" si="8">K26*J26</f>
        <v>-1.4400000000000002</v>
      </c>
      <c r="M26" s="162"/>
      <c r="N26" s="163">
        <f t="shared" si="3"/>
        <v>-1.4400000000000002</v>
      </c>
      <c r="O26" s="27" t="str">
        <f t="shared" si="4"/>
        <v/>
      </c>
    </row>
    <row r="27" spans="1:15" ht="63.75">
      <c r="A27" s="164"/>
      <c r="B27" s="289" t="s">
        <v>79</v>
      </c>
      <c r="C27" s="290"/>
      <c r="D27" s="160" t="s">
        <v>22</v>
      </c>
      <c r="E27" s="290"/>
      <c r="F27" s="161"/>
      <c r="G27" s="21">
        <f t="shared" si="5"/>
        <v>1800</v>
      </c>
      <c r="H27" s="22">
        <f t="shared" si="6"/>
        <v>0</v>
      </c>
      <c r="I27" s="162"/>
      <c r="J27" s="161">
        <v>-2.7000000000000001E-3</v>
      </c>
      <c r="K27" s="21">
        <f t="shared" si="7"/>
        <v>1800</v>
      </c>
      <c r="L27" s="22">
        <f t="shared" si="8"/>
        <v>-4.8600000000000003</v>
      </c>
      <c r="M27" s="162"/>
      <c r="N27" s="163">
        <f t="shared" si="3"/>
        <v>-4.8600000000000003</v>
      </c>
      <c r="O27" s="24" t="str">
        <f t="shared" si="4"/>
        <v/>
      </c>
    </row>
    <row r="28" spans="1:15" ht="63.75">
      <c r="A28" s="164"/>
      <c r="B28" s="289" t="s">
        <v>74</v>
      </c>
      <c r="C28" s="290"/>
      <c r="D28" s="160" t="s">
        <v>22</v>
      </c>
      <c r="E28" s="290"/>
      <c r="F28" s="161"/>
      <c r="G28" s="21">
        <f t="shared" si="5"/>
        <v>1800</v>
      </c>
      <c r="H28" s="22">
        <f t="shared" si="6"/>
        <v>0</v>
      </c>
      <c r="I28" s="162"/>
      <c r="J28" s="161">
        <v>6.1999999999999998E-3</v>
      </c>
      <c r="K28" s="21">
        <f t="shared" si="7"/>
        <v>1800</v>
      </c>
      <c r="L28" s="22">
        <f t="shared" si="8"/>
        <v>11.16</v>
      </c>
      <c r="M28" s="162"/>
      <c r="N28" s="163">
        <f t="shared" si="3"/>
        <v>11.16</v>
      </c>
      <c r="O28" s="24" t="str">
        <f t="shared" si="4"/>
        <v/>
      </c>
    </row>
    <row r="29" spans="1:15" ht="38.25">
      <c r="A29" s="164"/>
      <c r="B29" s="289" t="s">
        <v>73</v>
      </c>
      <c r="C29" s="290"/>
      <c r="D29" s="160" t="s">
        <v>22</v>
      </c>
      <c r="E29" s="290"/>
      <c r="F29" s="161"/>
      <c r="G29" s="21">
        <f t="shared" si="5"/>
        <v>1800</v>
      </c>
      <c r="H29" s="22">
        <f t="shared" si="6"/>
        <v>0</v>
      </c>
      <c r="I29" s="162"/>
      <c r="J29" s="161">
        <v>2.0000000000000001E-4</v>
      </c>
      <c r="K29" s="21">
        <f t="shared" si="7"/>
        <v>1800</v>
      </c>
      <c r="L29" s="22">
        <f t="shared" si="8"/>
        <v>0.36000000000000004</v>
      </c>
      <c r="M29" s="162"/>
      <c r="N29" s="163">
        <f t="shared" si="3"/>
        <v>0.36000000000000004</v>
      </c>
      <c r="O29" s="24" t="str">
        <f t="shared" si="4"/>
        <v/>
      </c>
    </row>
    <row r="30" spans="1:15" ht="25.5">
      <c r="A30" s="158"/>
      <c r="B30" s="289" t="s">
        <v>76</v>
      </c>
      <c r="C30" s="290"/>
      <c r="D30" s="160" t="s">
        <v>22</v>
      </c>
      <c r="E30" s="290"/>
      <c r="F30" s="161"/>
      <c r="G30" s="21">
        <f t="shared" si="5"/>
        <v>1800</v>
      </c>
      <c r="H30" s="22">
        <f t="shared" si="6"/>
        <v>0</v>
      </c>
      <c r="I30" s="162"/>
      <c r="J30" s="161">
        <v>-4.0000000000000002E-4</v>
      </c>
      <c r="K30" s="21">
        <f t="shared" si="7"/>
        <v>1800</v>
      </c>
      <c r="L30" s="22">
        <f t="shared" si="8"/>
        <v>-0.72000000000000008</v>
      </c>
      <c r="M30" s="162"/>
      <c r="N30" s="163">
        <f t="shared" si="3"/>
        <v>-0.72000000000000008</v>
      </c>
      <c r="O30" s="24" t="str">
        <f t="shared" si="4"/>
        <v/>
      </c>
    </row>
    <row r="31" spans="1:15" ht="51">
      <c r="A31" s="158"/>
      <c r="B31" s="289" t="s">
        <v>77</v>
      </c>
      <c r="C31" s="290"/>
      <c r="D31" s="160" t="s">
        <v>22</v>
      </c>
      <c r="E31" s="290"/>
      <c r="F31" s="161"/>
      <c r="G31" s="21">
        <f t="shared" si="5"/>
        <v>1800</v>
      </c>
      <c r="H31" s="22">
        <f t="shared" si="6"/>
        <v>0</v>
      </c>
      <c r="I31" s="162"/>
      <c r="J31" s="161">
        <v>2.9999999999999997E-4</v>
      </c>
      <c r="K31" s="21">
        <f t="shared" si="7"/>
        <v>1800</v>
      </c>
      <c r="L31" s="22">
        <f t="shared" si="8"/>
        <v>0.53999999999999992</v>
      </c>
      <c r="M31" s="162"/>
      <c r="N31" s="163">
        <f t="shared" si="3"/>
        <v>0.53999999999999992</v>
      </c>
      <c r="O31" s="24" t="str">
        <f t="shared" si="4"/>
        <v/>
      </c>
    </row>
    <row r="32" spans="1:15">
      <c r="A32" s="158"/>
      <c r="B32" s="291" t="s">
        <v>24</v>
      </c>
      <c r="C32" s="290"/>
      <c r="D32" s="166" t="s">
        <v>22</v>
      </c>
      <c r="E32" s="28"/>
      <c r="F32" s="167">
        <v>1E-3</v>
      </c>
      <c r="G32" s="25">
        <f t="shared" si="5"/>
        <v>1800</v>
      </c>
      <c r="H32" s="26">
        <f t="shared" si="6"/>
        <v>1.8</v>
      </c>
      <c r="I32" s="168"/>
      <c r="J32" s="167">
        <v>6.9999999999999999E-4</v>
      </c>
      <c r="K32" s="25">
        <f t="shared" si="7"/>
        <v>1800</v>
      </c>
      <c r="L32" s="26">
        <f t="shared" si="8"/>
        <v>1.26</v>
      </c>
      <c r="M32" s="168"/>
      <c r="N32" s="169">
        <f t="shared" si="3"/>
        <v>-0.54</v>
      </c>
      <c r="O32" s="27">
        <f t="shared" si="4"/>
        <v>-0.3</v>
      </c>
    </row>
    <row r="33" spans="1:19">
      <c r="A33" s="19"/>
      <c r="B33" s="292" t="s">
        <v>25</v>
      </c>
      <c r="C33" s="290"/>
      <c r="D33" s="166" t="s">
        <v>22</v>
      </c>
      <c r="E33" s="28"/>
      <c r="F33" s="167">
        <f>IF(ISBLANK(D16)=1, 0, IF(D16="TOU", 0.64*$F$43+0.18*$F$44+0.18*$F$45, IF(AND(D16="non-TOU", G47&gt;0), F47,F46)))</f>
        <v>0.10766000000000001</v>
      </c>
      <c r="G33" s="25">
        <f>$F$18*(1+$F$62)-$F$18</f>
        <v>70.199999999999818</v>
      </c>
      <c r="H33" s="26">
        <f t="shared" si="6"/>
        <v>7.557731999999981</v>
      </c>
      <c r="I33" s="168"/>
      <c r="J33" s="167">
        <f>0.64*$F$43+0.18*$F$44+0.18*$F$45</f>
        <v>0.10766000000000001</v>
      </c>
      <c r="K33" s="25">
        <f>$F$18*(1+$J$62)-$F$18</f>
        <v>82.260000000000218</v>
      </c>
      <c r="L33" s="26">
        <f t="shared" si="8"/>
        <v>8.8561116000000233</v>
      </c>
      <c r="M33" s="168"/>
      <c r="N33" s="169">
        <f t="shared" si="3"/>
        <v>1.2983796000000423</v>
      </c>
      <c r="O33" s="27">
        <f t="shared" si="4"/>
        <v>0.17179487179487782</v>
      </c>
    </row>
    <row r="34" spans="1:19">
      <c r="A34" s="19"/>
      <c r="B34" s="292" t="s">
        <v>26</v>
      </c>
      <c r="C34" s="290"/>
      <c r="D34" s="166" t="s">
        <v>22</v>
      </c>
      <c r="E34" s="28"/>
      <c r="F34" s="167">
        <v>0.79</v>
      </c>
      <c r="G34" s="25">
        <v>1</v>
      </c>
      <c r="H34" s="26">
        <f t="shared" si="6"/>
        <v>0.79</v>
      </c>
      <c r="I34" s="168"/>
      <c r="J34" s="167">
        <v>0.79</v>
      </c>
      <c r="K34" s="25">
        <v>1</v>
      </c>
      <c r="L34" s="26">
        <f t="shared" si="8"/>
        <v>0.79</v>
      </c>
      <c r="M34" s="168"/>
      <c r="N34" s="169">
        <f t="shared" si="3"/>
        <v>0</v>
      </c>
      <c r="O34" s="27"/>
    </row>
    <row r="35" spans="1:19" ht="25.5">
      <c r="B35" s="170" t="s">
        <v>27</v>
      </c>
      <c r="C35" s="171"/>
      <c r="D35" s="171"/>
      <c r="E35" s="171"/>
      <c r="F35" s="172"/>
      <c r="G35" s="236"/>
      <c r="H35" s="174">
        <f>SUM(H26:H34)+H25</f>
        <v>19.997731999999978</v>
      </c>
      <c r="I35" s="28"/>
      <c r="J35" s="173"/>
      <c r="K35" s="237"/>
      <c r="L35" s="174">
        <f>SUM(L26:L34)+L25</f>
        <v>32.196111600000023</v>
      </c>
      <c r="M35" s="28"/>
      <c r="N35" s="156">
        <f t="shared" si="3"/>
        <v>12.198379600000045</v>
      </c>
      <c r="O35" s="157">
        <f t="shared" ref="O35:O53" si="9">IF((H35)=0,"",(N35/H35))</f>
        <v>0.60998815265651418</v>
      </c>
    </row>
    <row r="36" spans="1:19">
      <c r="B36" s="176" t="s">
        <v>28</v>
      </c>
      <c r="C36" s="28"/>
      <c r="D36" s="142" t="s">
        <v>22</v>
      </c>
      <c r="E36" s="28"/>
      <c r="F36" s="31">
        <v>5.7999999999999996E-3</v>
      </c>
      <c r="G36" s="97">
        <f>F18*(1+F62)</f>
        <v>1870.1999999999998</v>
      </c>
      <c r="H36" s="16">
        <f>G36*F36</f>
        <v>10.847159999999999</v>
      </c>
      <c r="I36" s="28"/>
      <c r="J36" s="31">
        <v>5.4394385425159753E-3</v>
      </c>
      <c r="K36" s="120">
        <f>F18*(1+J62)</f>
        <v>1882.2600000000002</v>
      </c>
      <c r="L36" s="16">
        <f>K36*J36</f>
        <v>10.238437591036121</v>
      </c>
      <c r="M36" s="28"/>
      <c r="N36" s="145">
        <f t="shared" si="3"/>
        <v>-0.60872240896387808</v>
      </c>
      <c r="O36" s="18">
        <f t="shared" si="9"/>
        <v>-5.6118136817736454E-2</v>
      </c>
    </row>
    <row r="37" spans="1:19" ht="25.5">
      <c r="B37" s="178" t="s">
        <v>29</v>
      </c>
      <c r="C37" s="28"/>
      <c r="D37" s="142" t="s">
        <v>22</v>
      </c>
      <c r="E37" s="28"/>
      <c r="F37" s="31">
        <v>4.0000000000000001E-3</v>
      </c>
      <c r="G37" s="97">
        <f>G36</f>
        <v>1870.1999999999998</v>
      </c>
      <c r="H37" s="16">
        <f>G37*F37</f>
        <v>7.4807999999999995</v>
      </c>
      <c r="I37" s="28"/>
      <c r="J37" s="31">
        <v>4.0259349604509975E-3</v>
      </c>
      <c r="K37" s="120">
        <f>K36</f>
        <v>1882.2600000000002</v>
      </c>
      <c r="L37" s="16">
        <f>K37*J37</f>
        <v>7.5778563386584956</v>
      </c>
      <c r="M37" s="28"/>
      <c r="N37" s="145">
        <f t="shared" si="3"/>
        <v>9.7056338658496166E-2</v>
      </c>
      <c r="O37" s="18">
        <f t="shared" si="9"/>
        <v>1.297405874485298E-2</v>
      </c>
    </row>
    <row r="38" spans="1:19" ht="25.5">
      <c r="B38" s="170" t="s">
        <v>30</v>
      </c>
      <c r="C38" s="149"/>
      <c r="D38" s="149"/>
      <c r="E38" s="149"/>
      <c r="F38" s="179"/>
      <c r="G38" s="236"/>
      <c r="H38" s="174">
        <f>SUM(H35:H37)</f>
        <v>38.325691999999975</v>
      </c>
      <c r="I38" s="180"/>
      <c r="J38" s="181"/>
      <c r="K38" s="238"/>
      <c r="L38" s="174">
        <f>SUM(L35:L37)</f>
        <v>50.012405529694632</v>
      </c>
      <c r="M38" s="180"/>
      <c r="N38" s="156">
        <f t="shared" si="3"/>
        <v>11.686713529694657</v>
      </c>
      <c r="O38" s="157">
        <f t="shared" si="9"/>
        <v>0.30493157252567454</v>
      </c>
    </row>
    <row r="39" spans="1:19" ht="25.5">
      <c r="B39" s="141" t="s">
        <v>31</v>
      </c>
      <c r="C39" s="20"/>
      <c r="D39" s="183" t="s">
        <v>22</v>
      </c>
      <c r="E39" s="14"/>
      <c r="F39" s="31">
        <v>3.5999999999999999E-3</v>
      </c>
      <c r="G39" s="97">
        <f>G37</f>
        <v>1870.1999999999998</v>
      </c>
      <c r="H39" s="96">
        <f t="shared" ref="H39:H45" si="10">G39*F39</f>
        <v>6.7327199999999996</v>
      </c>
      <c r="I39" s="19"/>
      <c r="J39" s="31">
        <v>3.5999999999999999E-3</v>
      </c>
      <c r="K39" s="120">
        <f>K37</f>
        <v>1882.2600000000002</v>
      </c>
      <c r="L39" s="96">
        <f t="shared" ref="L39:L45" si="11">K39*J39</f>
        <v>6.7761360000000002</v>
      </c>
      <c r="M39" s="19"/>
      <c r="N39" s="239">
        <f t="shared" si="3"/>
        <v>4.3416000000000565E-2</v>
      </c>
      <c r="O39" s="119">
        <f t="shared" si="9"/>
        <v>6.4485081809432989E-3</v>
      </c>
    </row>
    <row r="40" spans="1:19" ht="25.5">
      <c r="B40" s="141" t="s">
        <v>32</v>
      </c>
      <c r="C40" s="20"/>
      <c r="D40" s="183" t="s">
        <v>22</v>
      </c>
      <c r="E40" s="14"/>
      <c r="F40" s="31">
        <v>1.2999999999999999E-3</v>
      </c>
      <c r="G40" s="97">
        <f>G37</f>
        <v>1870.1999999999998</v>
      </c>
      <c r="H40" s="96">
        <f t="shared" si="10"/>
        <v>2.4312599999999995</v>
      </c>
      <c r="I40" s="19"/>
      <c r="J40" s="31">
        <v>1.2999999999999999E-3</v>
      </c>
      <c r="K40" s="120">
        <f>K37</f>
        <v>1882.2600000000002</v>
      </c>
      <c r="L40" s="96">
        <f t="shared" si="11"/>
        <v>2.4469380000000003</v>
      </c>
      <c r="M40" s="19"/>
      <c r="N40" s="239">
        <f t="shared" si="3"/>
        <v>1.5678000000000747E-2</v>
      </c>
      <c r="O40" s="119">
        <f t="shared" si="9"/>
        <v>6.4485081809435227E-3</v>
      </c>
    </row>
    <row r="41" spans="1:19">
      <c r="B41" s="141" t="s">
        <v>33</v>
      </c>
      <c r="C41" s="20"/>
      <c r="D41" s="183" t="s">
        <v>19</v>
      </c>
      <c r="E41" s="14"/>
      <c r="F41" s="99">
        <v>0.25</v>
      </c>
      <c r="G41" s="25">
        <v>1</v>
      </c>
      <c r="H41" s="96">
        <f t="shared" si="10"/>
        <v>0.25</v>
      </c>
      <c r="I41" s="19"/>
      <c r="J41" s="99">
        <v>0.25</v>
      </c>
      <c r="K41" s="117">
        <v>1</v>
      </c>
      <c r="L41" s="96">
        <f t="shared" si="11"/>
        <v>0.25</v>
      </c>
      <c r="M41" s="19"/>
      <c r="N41" s="239">
        <f t="shared" si="3"/>
        <v>0</v>
      </c>
      <c r="O41" s="119">
        <f t="shared" si="9"/>
        <v>0</v>
      </c>
    </row>
    <row r="42" spans="1:19">
      <c r="B42" s="141" t="s">
        <v>34</v>
      </c>
      <c r="C42" s="20"/>
      <c r="D42" s="183" t="s">
        <v>22</v>
      </c>
      <c r="E42" s="14"/>
      <c r="F42" s="31">
        <v>1.1000000000000001E-3</v>
      </c>
      <c r="G42" s="97">
        <f>F18</f>
        <v>1800</v>
      </c>
      <c r="H42" s="96">
        <f t="shared" si="10"/>
        <v>1.9800000000000002</v>
      </c>
      <c r="I42" s="19"/>
      <c r="J42" s="31">
        <v>1.1000000000000001E-3</v>
      </c>
      <c r="K42" s="120">
        <f>F18</f>
        <v>1800</v>
      </c>
      <c r="L42" s="96">
        <f t="shared" si="11"/>
        <v>1.9800000000000002</v>
      </c>
      <c r="M42" s="19"/>
      <c r="N42" s="239">
        <f t="shared" si="3"/>
        <v>0</v>
      </c>
      <c r="O42" s="119">
        <f t="shared" si="9"/>
        <v>0</v>
      </c>
    </row>
    <row r="43" spans="1:19">
      <c r="B43" s="165" t="s">
        <v>35</v>
      </c>
      <c r="C43" s="20"/>
      <c r="D43" s="183" t="s">
        <v>22</v>
      </c>
      <c r="E43" s="14"/>
      <c r="F43" s="99">
        <v>8.3000000000000004E-2</v>
      </c>
      <c r="G43" s="240">
        <f>0.64*$F$18</f>
        <v>1152</v>
      </c>
      <c r="H43" s="96">
        <f t="shared" si="10"/>
        <v>95.616</v>
      </c>
      <c r="I43" s="19"/>
      <c r="J43" s="99">
        <v>8.3000000000000004E-2</v>
      </c>
      <c r="K43" s="241">
        <f>G43</f>
        <v>1152</v>
      </c>
      <c r="L43" s="96">
        <f t="shared" si="11"/>
        <v>95.616</v>
      </c>
      <c r="M43" s="19"/>
      <c r="N43" s="239">
        <f t="shared" si="3"/>
        <v>0</v>
      </c>
      <c r="O43" s="119">
        <f t="shared" si="9"/>
        <v>0</v>
      </c>
      <c r="S43" s="185"/>
    </row>
    <row r="44" spans="1:19">
      <c r="B44" s="165" t="s">
        <v>36</v>
      </c>
      <c r="C44" s="20"/>
      <c r="D44" s="183" t="s">
        <v>22</v>
      </c>
      <c r="E44" s="14"/>
      <c r="F44" s="99">
        <v>0.128</v>
      </c>
      <c r="G44" s="240">
        <f>0.18*$F$18</f>
        <v>324</v>
      </c>
      <c r="H44" s="96">
        <f t="shared" si="10"/>
        <v>41.472000000000001</v>
      </c>
      <c r="I44" s="19"/>
      <c r="J44" s="99">
        <v>0.128</v>
      </c>
      <c r="K44" s="241">
        <f>G44</f>
        <v>324</v>
      </c>
      <c r="L44" s="96">
        <f t="shared" si="11"/>
        <v>41.472000000000001</v>
      </c>
      <c r="M44" s="19"/>
      <c r="N44" s="239">
        <f t="shared" si="3"/>
        <v>0</v>
      </c>
      <c r="O44" s="119">
        <f t="shared" si="9"/>
        <v>0</v>
      </c>
      <c r="S44" s="185"/>
    </row>
    <row r="45" spans="1:19">
      <c r="B45" s="131" t="s">
        <v>37</v>
      </c>
      <c r="C45" s="20"/>
      <c r="D45" s="183" t="s">
        <v>22</v>
      </c>
      <c r="E45" s="14"/>
      <c r="F45" s="99">
        <v>0.17499999999999999</v>
      </c>
      <c r="G45" s="240">
        <f>0.18*$F$18</f>
        <v>324</v>
      </c>
      <c r="H45" s="96">
        <f t="shared" si="10"/>
        <v>56.699999999999996</v>
      </c>
      <c r="I45" s="19"/>
      <c r="J45" s="99">
        <v>0.17499999999999999</v>
      </c>
      <c r="K45" s="241">
        <f>G45</f>
        <v>324</v>
      </c>
      <c r="L45" s="96">
        <f t="shared" si="11"/>
        <v>56.699999999999996</v>
      </c>
      <c r="M45" s="19"/>
      <c r="N45" s="239">
        <f t="shared" si="3"/>
        <v>0</v>
      </c>
      <c r="O45" s="119">
        <f t="shared" si="9"/>
        <v>0</v>
      </c>
      <c r="S45" s="185"/>
    </row>
    <row r="46" spans="1:19" s="190" customFormat="1">
      <c r="B46" s="186" t="s">
        <v>38</v>
      </c>
      <c r="C46" s="32"/>
      <c r="D46" s="183" t="s">
        <v>22</v>
      </c>
      <c r="E46" s="32"/>
      <c r="F46" s="99">
        <v>9.9000000000000005E-2</v>
      </c>
      <c r="G46" s="242">
        <f>IF(AND($T$1=1, F18&gt;=600), 600, IF(AND($T$1=1, AND(F18&lt;600, F18&gt;=0)), F18, IF(AND($T$1=2, F18&gt;=1000), 1000, IF(AND($T$1=2, AND(F18&lt;1000, F18&gt;=0)), F18))))</f>
        <v>600</v>
      </c>
      <c r="H46" s="96">
        <f>G46*F46</f>
        <v>59.400000000000006</v>
      </c>
      <c r="I46" s="243"/>
      <c r="J46" s="99">
        <v>9.9000000000000005E-2</v>
      </c>
      <c r="K46" s="244">
        <f>G46</f>
        <v>600</v>
      </c>
      <c r="L46" s="96">
        <f>K46*J46</f>
        <v>59.400000000000006</v>
      </c>
      <c r="M46" s="243"/>
      <c r="N46" s="245">
        <f t="shared" si="3"/>
        <v>0</v>
      </c>
      <c r="O46" s="119">
        <f t="shared" si="9"/>
        <v>0</v>
      </c>
    </row>
    <row r="47" spans="1:19" s="190" customFormat="1" ht="13.5" thickBot="1">
      <c r="B47" s="186" t="s">
        <v>39</v>
      </c>
      <c r="C47" s="32"/>
      <c r="D47" s="183" t="s">
        <v>22</v>
      </c>
      <c r="E47" s="32"/>
      <c r="F47" s="99">
        <v>0.11600000000000001</v>
      </c>
      <c r="G47" s="242">
        <f>IF(AND($T$1=1, F18&gt;=600), F18-600, IF(AND($T$1=1, AND(F18&lt;600, F18&gt;=0)), 0, IF(AND($T$1=2, F18&gt;=1000), F18-1000, IF(AND($T$1=2, AND(F18&lt;1000, F18&gt;=0)), 0))))</f>
        <v>1200</v>
      </c>
      <c r="H47" s="96">
        <f>G47*F47</f>
        <v>139.20000000000002</v>
      </c>
      <c r="I47" s="243"/>
      <c r="J47" s="99">
        <v>0.11600000000000001</v>
      </c>
      <c r="K47" s="244">
        <f>G47</f>
        <v>1200</v>
      </c>
      <c r="L47" s="96">
        <f>K47*J47</f>
        <v>139.20000000000002</v>
      </c>
      <c r="M47" s="243"/>
      <c r="N47" s="245">
        <f t="shared" si="3"/>
        <v>0</v>
      </c>
      <c r="O47" s="119">
        <f t="shared" si="9"/>
        <v>0</v>
      </c>
    </row>
    <row r="48" spans="1:19" ht="13.5" thickBot="1">
      <c r="B48" s="191"/>
      <c r="C48" s="192"/>
      <c r="D48" s="193"/>
      <c r="E48" s="192"/>
      <c r="F48" s="194"/>
      <c r="G48" s="246"/>
      <c r="H48" s="196"/>
      <c r="I48" s="197"/>
      <c r="J48" s="194"/>
      <c r="K48" s="247"/>
      <c r="L48" s="196"/>
      <c r="M48" s="197"/>
      <c r="N48" s="199"/>
      <c r="O48" s="200"/>
    </row>
    <row r="49" spans="1:19">
      <c r="B49" s="298" t="s">
        <v>40</v>
      </c>
      <c r="C49" s="290"/>
      <c r="D49" s="290"/>
      <c r="E49" s="20"/>
      <c r="F49" s="33"/>
      <c r="G49" s="100"/>
      <c r="H49" s="35">
        <f>SUM(H39:H45,H38)</f>
        <v>243.50767199999996</v>
      </c>
      <c r="I49" s="36"/>
      <c r="J49" s="37"/>
      <c r="K49" s="121"/>
      <c r="L49" s="35">
        <f>SUM(L39:L45,L38)</f>
        <v>255.25347952969463</v>
      </c>
      <c r="M49" s="38"/>
      <c r="N49" s="39">
        <f>L49-H49</f>
        <v>11.745807529694673</v>
      </c>
      <c r="O49" s="40">
        <f>IF((H49)=0,"",(N49/H49))</f>
        <v>4.8235882809042153E-2</v>
      </c>
      <c r="S49" s="185"/>
    </row>
    <row r="50" spans="1:19">
      <c r="B50" s="299" t="s">
        <v>41</v>
      </c>
      <c r="C50" s="290"/>
      <c r="D50" s="290"/>
      <c r="E50" s="20"/>
      <c r="F50" s="41">
        <v>0.13</v>
      </c>
      <c r="G50" s="102"/>
      <c r="H50" s="43">
        <f>H49*F50</f>
        <v>31.655997359999997</v>
      </c>
      <c r="I50" s="44"/>
      <c r="J50" s="45">
        <v>0.13</v>
      </c>
      <c r="K50" s="122"/>
      <c r="L50" s="46">
        <f>L49*J50</f>
        <v>33.182952338860304</v>
      </c>
      <c r="M50" s="47"/>
      <c r="N50" s="48">
        <f t="shared" si="3"/>
        <v>1.5269549788603065</v>
      </c>
      <c r="O50" s="18">
        <f t="shared" si="9"/>
        <v>4.8235882809042119E-2</v>
      </c>
      <c r="S50" s="185"/>
    </row>
    <row r="51" spans="1:19">
      <c r="B51" s="300" t="s">
        <v>42</v>
      </c>
      <c r="C51" s="290"/>
      <c r="D51" s="290"/>
      <c r="E51" s="20"/>
      <c r="F51" s="49"/>
      <c r="G51" s="102"/>
      <c r="H51" s="43">
        <f>H49+H50</f>
        <v>275.16366935999997</v>
      </c>
      <c r="I51" s="44"/>
      <c r="J51" s="44"/>
      <c r="K51" s="122"/>
      <c r="L51" s="46">
        <f>L49+L50</f>
        <v>288.43643186855491</v>
      </c>
      <c r="M51" s="47"/>
      <c r="N51" s="48">
        <f t="shared" si="3"/>
        <v>13.272762508554933</v>
      </c>
      <c r="O51" s="18">
        <f t="shared" si="9"/>
        <v>4.823588280904198E-2</v>
      </c>
      <c r="S51" s="185"/>
    </row>
    <row r="52" spans="1:19">
      <c r="B52" s="301" t="s">
        <v>43</v>
      </c>
      <c r="C52" s="301"/>
      <c r="D52" s="301"/>
      <c r="E52" s="20"/>
      <c r="F52" s="49"/>
      <c r="G52" s="102"/>
      <c r="H52" s="50">
        <f>ROUND(-H51*0.1,2)</f>
        <v>-27.52</v>
      </c>
      <c r="I52" s="44"/>
      <c r="J52" s="44"/>
      <c r="K52" s="122"/>
      <c r="L52" s="51">
        <f>ROUND(-L51*0.1,2)</f>
        <v>-28.84</v>
      </c>
      <c r="M52" s="47"/>
      <c r="N52" s="52">
        <f t="shared" si="3"/>
        <v>-1.3200000000000003</v>
      </c>
      <c r="O52" s="53">
        <f t="shared" si="9"/>
        <v>4.7965116279069776E-2</v>
      </c>
    </row>
    <row r="53" spans="1:19" ht="13.5" thickBot="1">
      <c r="B53" s="302" t="s">
        <v>44</v>
      </c>
      <c r="C53" s="302"/>
      <c r="D53" s="302"/>
      <c r="E53" s="14"/>
      <c r="F53" s="201"/>
      <c r="G53" s="248"/>
      <c r="H53" s="203">
        <f>H51+H52</f>
        <v>247.64366935999996</v>
      </c>
      <c r="I53" s="204"/>
      <c r="J53" s="204"/>
      <c r="K53" s="231"/>
      <c r="L53" s="205">
        <f>L51+L52</f>
        <v>259.59643186855493</v>
      </c>
      <c r="M53" s="206"/>
      <c r="N53" s="207">
        <f t="shared" si="3"/>
        <v>11.952762508554969</v>
      </c>
      <c r="O53" s="208">
        <f t="shared" si="9"/>
        <v>4.826597239269307E-2</v>
      </c>
    </row>
    <row r="54" spans="1:19" s="190" customFormat="1" ht="13.5" thickBot="1">
      <c r="B54" s="209"/>
      <c r="C54" s="210"/>
      <c r="D54" s="211"/>
      <c r="E54" s="210"/>
      <c r="F54" s="194"/>
      <c r="G54" s="249"/>
      <c r="H54" s="196"/>
      <c r="I54" s="213"/>
      <c r="J54" s="194"/>
      <c r="K54" s="250"/>
      <c r="L54" s="196"/>
      <c r="M54" s="213"/>
      <c r="N54" s="215"/>
      <c r="O54" s="200"/>
    </row>
    <row r="55" spans="1:19" s="190" customFormat="1">
      <c r="B55" s="293" t="s">
        <v>45</v>
      </c>
      <c r="C55" s="188"/>
      <c r="D55" s="188"/>
      <c r="E55" s="32"/>
      <c r="F55" s="55"/>
      <c r="G55" s="104"/>
      <c r="H55" s="57">
        <f>SUM(H46:H47,H38,H39:H42)</f>
        <v>248.319672</v>
      </c>
      <c r="I55" s="58"/>
      <c r="J55" s="59"/>
      <c r="K55" s="123"/>
      <c r="L55" s="57">
        <f>SUM(L46:L47,L38,L39:L42)</f>
        <v>260.0654795296947</v>
      </c>
      <c r="M55" s="60"/>
      <c r="N55" s="61">
        <f>L55-H55</f>
        <v>11.745807529694702</v>
      </c>
      <c r="O55" s="40">
        <f>IF((H55)=0,"",(N55/H55))</f>
        <v>4.7301155945851527E-2</v>
      </c>
    </row>
    <row r="56" spans="1:19" s="190" customFormat="1">
      <c r="B56" s="294" t="s">
        <v>41</v>
      </c>
      <c r="C56" s="188"/>
      <c r="D56" s="188"/>
      <c r="E56" s="32"/>
      <c r="F56" s="62">
        <v>0.13</v>
      </c>
      <c r="G56" s="104"/>
      <c r="H56" s="63">
        <f>H55*F56</f>
        <v>32.281557360000001</v>
      </c>
      <c r="I56" s="64"/>
      <c r="J56" s="65">
        <v>0.13</v>
      </c>
      <c r="K56" s="124"/>
      <c r="L56" s="67">
        <f>L55*J56</f>
        <v>33.808512338860311</v>
      </c>
      <c r="M56" s="68"/>
      <c r="N56" s="69">
        <f>L56-H56</f>
        <v>1.5269549788603101</v>
      </c>
      <c r="O56" s="18">
        <f>IF((H56)=0,"",(N56/H56))</f>
        <v>4.7301155945851492E-2</v>
      </c>
    </row>
    <row r="57" spans="1:19" s="190" customFormat="1">
      <c r="B57" s="295" t="s">
        <v>42</v>
      </c>
      <c r="C57" s="188"/>
      <c r="D57" s="188"/>
      <c r="E57" s="32"/>
      <c r="F57" s="70"/>
      <c r="G57" s="107"/>
      <c r="H57" s="63">
        <f>H55+H56</f>
        <v>280.60122935999999</v>
      </c>
      <c r="I57" s="64"/>
      <c r="J57" s="64"/>
      <c r="K57" s="125"/>
      <c r="L57" s="67">
        <f>L55+L56</f>
        <v>293.87399186855498</v>
      </c>
      <c r="M57" s="68"/>
      <c r="N57" s="69">
        <f>L57-H57</f>
        <v>13.27276250855499</v>
      </c>
      <c r="O57" s="18">
        <f>IF((H57)=0,"",(N57/H57))</f>
        <v>4.730115594585145E-2</v>
      </c>
    </row>
    <row r="58" spans="1:19" s="190" customFormat="1">
      <c r="B58" s="296" t="s">
        <v>43</v>
      </c>
      <c r="C58" s="296"/>
      <c r="D58" s="296"/>
      <c r="E58" s="32"/>
      <c r="F58" s="70"/>
      <c r="G58" s="107"/>
      <c r="H58" s="72">
        <f>ROUND(-H57*0.1,2)</f>
        <v>-28.06</v>
      </c>
      <c r="I58" s="64"/>
      <c r="J58" s="64"/>
      <c r="K58" s="125"/>
      <c r="L58" s="73">
        <f>ROUND(-L57*0.1,2)</f>
        <v>-29.39</v>
      </c>
      <c r="M58" s="68"/>
      <c r="N58" s="74">
        <f>L58-H58</f>
        <v>-1.3300000000000018</v>
      </c>
      <c r="O58" s="53">
        <f>IF((H58)=0,"",(N58/H58))</f>
        <v>4.7398431931575266E-2</v>
      </c>
    </row>
    <row r="59" spans="1:19" s="190" customFormat="1" ht="13.5" thickBot="1">
      <c r="B59" s="297" t="s">
        <v>46</v>
      </c>
      <c r="C59" s="297"/>
      <c r="D59" s="297"/>
      <c r="E59" s="32"/>
      <c r="F59" s="70"/>
      <c r="G59" s="107"/>
      <c r="H59" s="57">
        <f>SUM(H57:H58)</f>
        <v>252.54122935999999</v>
      </c>
      <c r="I59" s="58"/>
      <c r="J59" s="58"/>
      <c r="K59" s="251"/>
      <c r="L59" s="216">
        <f>SUM(L57:L58)</f>
        <v>264.48399186855499</v>
      </c>
      <c r="M59" s="60"/>
      <c r="N59" s="61">
        <f>L59-H59</f>
        <v>11.942762508555006</v>
      </c>
      <c r="O59" s="40">
        <f>IF((H59)=0,"",(N59/H59))</f>
        <v>4.7290347555608361E-2</v>
      </c>
    </row>
    <row r="60" spans="1:19" s="190" customFormat="1" ht="13.5" thickBot="1">
      <c r="B60" s="209"/>
      <c r="C60" s="210"/>
      <c r="D60" s="211"/>
      <c r="E60" s="210"/>
      <c r="F60" s="217"/>
      <c r="G60" s="252"/>
      <c r="H60" s="219"/>
      <c r="I60" s="220"/>
      <c r="J60" s="217"/>
      <c r="K60" s="253"/>
      <c r="L60" s="221"/>
      <c r="M60" s="213"/>
      <c r="N60" s="222"/>
      <c r="O60" s="200"/>
    </row>
    <row r="61" spans="1:19">
      <c r="L61" s="185"/>
    </row>
    <row r="62" spans="1:19">
      <c r="B62" s="223" t="s">
        <v>47</v>
      </c>
      <c r="F62" s="224">
        <v>3.9E-2</v>
      </c>
      <c r="J62" s="224">
        <v>4.5699999999999998E-2</v>
      </c>
    </row>
    <row r="64" spans="1:19" ht="14.25">
      <c r="A64" s="225" t="s">
        <v>48</v>
      </c>
    </row>
    <row r="66" spans="1:2">
      <c r="A66" s="12" t="s">
        <v>49</v>
      </c>
    </row>
    <row r="67" spans="1:2">
      <c r="A67" s="12" t="s">
        <v>50</v>
      </c>
    </row>
    <row r="69" spans="1:2">
      <c r="A69" s="226" t="s">
        <v>51</v>
      </c>
    </row>
    <row r="70" spans="1:2">
      <c r="A70" s="226" t="s">
        <v>52</v>
      </c>
    </row>
    <row r="72" spans="1:2">
      <c r="A72" s="12" t="s">
        <v>53</v>
      </c>
    </row>
    <row r="73" spans="1:2">
      <c r="A73" s="12" t="s">
        <v>54</v>
      </c>
    </row>
    <row r="74" spans="1:2">
      <c r="A74" s="12" t="s">
        <v>55</v>
      </c>
    </row>
    <row r="75" spans="1:2">
      <c r="A75" s="12" t="s">
        <v>56</v>
      </c>
    </row>
    <row r="76" spans="1:2">
      <c r="A76" s="12" t="s">
        <v>57</v>
      </c>
    </row>
    <row r="78" spans="1:2" ht="51">
      <c r="B78" s="13" t="s">
        <v>58</v>
      </c>
    </row>
  </sheetData>
  <mergeCells count="14">
    <mergeCell ref="B59:D59"/>
    <mergeCell ref="D21:D22"/>
    <mergeCell ref="N21:N22"/>
    <mergeCell ref="O21:O22"/>
    <mergeCell ref="B52:D52"/>
    <mergeCell ref="B53:D53"/>
    <mergeCell ref="B58:D58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60 E36:E37 E39:E48 E54 E26:E34 E23:E24">
      <formula1>"#REF!"</formula1>
      <formula2>0</formula2>
    </dataValidation>
    <dataValidation type="list" allowBlank="1" showInputMessage="1" showErrorMessage="1" prompt="Select Charge Unit - monthly, per kWh, per kW" sqref="D60 D36:D37 D54 D39:D48 D26:D34 D23:D24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25" right="0.25" top="0.75" bottom="0.75" header="0.3" footer="0.3"/>
  <pageSetup paperSize="9" scale="59" orientation="portrait" horizontalDpi="4294967292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Bill Impact - Res 10% 206kWh</vt:lpstr>
      <vt:lpstr>Bill Impact - Res 750kWh</vt:lpstr>
      <vt:lpstr>Bill Impact - GS&lt;50</vt:lpstr>
      <vt:lpstr>Bill Impact - GS&gt;50</vt:lpstr>
      <vt:lpstr>Bill Impact - Sentinel</vt:lpstr>
      <vt:lpstr>Bill Impact - StreetLight</vt:lpstr>
      <vt:lpstr>Bill Impact - USL</vt:lpstr>
      <vt:lpstr>'Bill Impact - GS&lt;50'!Print_Area</vt:lpstr>
      <vt:lpstr>'Bill Impact - GS&gt;50'!Print_Area</vt:lpstr>
      <vt:lpstr>'Bill Impact - Res 10% 206kWh'!Print_Area</vt:lpstr>
      <vt:lpstr>'Bill Impact - Res 750kWh'!Print_Area</vt:lpstr>
      <vt:lpstr>'Bill Impact - Sentinel'!Print_Area</vt:lpstr>
      <vt:lpstr>'Bill Impact - StreetLight'!Print_Area</vt:lpstr>
      <vt:lpstr>'Bill Impact - USL'!Print_Area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2016-06-28T00:53:25Z</cp:lastPrinted>
  <dcterms:created xsi:type="dcterms:W3CDTF">2016-02-19T02:36:04Z</dcterms:created>
  <dcterms:modified xsi:type="dcterms:W3CDTF">2016-06-28T00:54:03Z</dcterms:modified>
</cp:coreProperties>
</file>