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wilkinson\Desktop\"/>
    </mc:Choice>
  </mc:AlternateContent>
  <bookViews>
    <workbookView xWindow="0" yWindow="0" windowWidth="19200" windowHeight="8235"/>
  </bookViews>
  <sheets>
    <sheet name="I. SMRR" sheetId="1" r:id="rId1"/>
    <sheet name="4.12 PowerSupplExp" sheetId="2" r:id="rId2"/>
  </sheets>
  <externalReferences>
    <externalReference r:id="rId3"/>
    <externalReference r:id="rId4"/>
  </externalReferences>
  <definedNames>
    <definedName name="Bridge_Year">'[2]0.1 LDC Info'!$E$23</definedName>
    <definedName name="ggg">'[2]0.1 LDC Info'!$E$25</definedName>
    <definedName name="Last_Rebasing_Year">'[2]0.1 LDC Info'!$E$27</definedName>
    <definedName name="_xlnm.Print_Area" localSheetId="1">'4.12 PowerSupplExp'!$A$10:$O$185</definedName>
    <definedName name="_xlnm.Print_Area" localSheetId="0">'I. SMRR'!$A$1:$G$23</definedName>
    <definedName name="RebaseYear">'[1]LDC Info'!$E$28</definedName>
    <definedName name="Test_Year">'[2]0.1 LDC Info'!$E$25</definedName>
    <definedName name="TestYear">'[1]LDC Info'!$E$24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79" i="2" l="1"/>
  <c r="H179" i="2" s="1"/>
  <c r="H178" i="2"/>
  <c r="E178" i="2"/>
  <c r="G178" i="2" s="1"/>
  <c r="B178" i="2"/>
  <c r="B177" i="2"/>
  <c r="E176" i="2"/>
  <c r="G176" i="2" s="1"/>
  <c r="B176" i="2"/>
  <c r="B175" i="2"/>
  <c r="E175" i="2" s="1"/>
  <c r="G175" i="2" s="1"/>
  <c r="E174" i="2"/>
  <c r="G174" i="2" s="1"/>
  <c r="B174" i="2"/>
  <c r="B173" i="2"/>
  <c r="E173" i="2" s="1"/>
  <c r="G173" i="2" s="1"/>
  <c r="E172" i="2"/>
  <c r="G172" i="2" s="1"/>
  <c r="B172" i="2"/>
  <c r="G171" i="2"/>
  <c r="B171" i="2"/>
  <c r="E171" i="2" s="1"/>
  <c r="H169" i="2"/>
  <c r="E169" i="2"/>
  <c r="E164" i="2"/>
  <c r="H163" i="2"/>
  <c r="H162" i="2"/>
  <c r="H161" i="2"/>
  <c r="H160" i="2"/>
  <c r="H159" i="2"/>
  <c r="H158" i="2"/>
  <c r="H157" i="2"/>
  <c r="H156" i="2"/>
  <c r="H155" i="2"/>
  <c r="D147" i="2"/>
  <c r="C147" i="2"/>
  <c r="B147" i="2"/>
  <c r="D146" i="2"/>
  <c r="F162" i="2" s="1"/>
  <c r="C146" i="2"/>
  <c r="B146" i="2"/>
  <c r="C145" i="2"/>
  <c r="B145" i="2"/>
  <c r="D144" i="2"/>
  <c r="F160" i="2" s="1"/>
  <c r="H176" i="2" s="1"/>
  <c r="C144" i="2"/>
  <c r="B144" i="2"/>
  <c r="D143" i="2"/>
  <c r="C143" i="2"/>
  <c r="B143" i="2"/>
  <c r="D142" i="2"/>
  <c r="F158" i="2" s="1"/>
  <c r="H174" i="2" s="1"/>
  <c r="C142" i="2"/>
  <c r="B142" i="2"/>
  <c r="C141" i="2"/>
  <c r="B141" i="2"/>
  <c r="D140" i="2"/>
  <c r="F156" i="2" s="1"/>
  <c r="H172" i="2" s="1"/>
  <c r="C140" i="2"/>
  <c r="B140" i="2"/>
  <c r="C139" i="2"/>
  <c r="B139" i="2"/>
  <c r="I132" i="2"/>
  <c r="H132" i="2"/>
  <c r="G132" i="2"/>
  <c r="F132" i="2"/>
  <c r="E132" i="2"/>
  <c r="A132" i="2"/>
  <c r="K131" i="2"/>
  <c r="J131" i="2"/>
  <c r="H131" i="2"/>
  <c r="G131" i="2"/>
  <c r="F131" i="2"/>
  <c r="E131" i="2"/>
  <c r="A131" i="2"/>
  <c r="K129" i="2"/>
  <c r="J129" i="2"/>
  <c r="I129" i="2"/>
  <c r="H129" i="2"/>
  <c r="G129" i="2"/>
  <c r="F129" i="2"/>
  <c r="E129" i="2"/>
  <c r="I125" i="2"/>
  <c r="G125" i="2"/>
  <c r="F125" i="2"/>
  <c r="E125" i="2"/>
  <c r="B125" i="2"/>
  <c r="O124" i="2"/>
  <c r="M124" i="2"/>
  <c r="L124" i="2"/>
  <c r="J124" i="2"/>
  <c r="B124" i="2"/>
  <c r="O123" i="2"/>
  <c r="M123" i="2"/>
  <c r="L123" i="2"/>
  <c r="J123" i="2"/>
  <c r="H123" i="2"/>
  <c r="B123" i="2"/>
  <c r="M122" i="2"/>
  <c r="J122" i="2"/>
  <c r="I122" i="2"/>
  <c r="H122" i="2"/>
  <c r="H125" i="2" s="1"/>
  <c r="B122" i="2"/>
  <c r="M119" i="2"/>
  <c r="J119" i="2"/>
  <c r="I119" i="2"/>
  <c r="H119" i="2"/>
  <c r="G119" i="2"/>
  <c r="F119" i="2"/>
  <c r="E119" i="2"/>
  <c r="H115" i="2"/>
  <c r="G115" i="2"/>
  <c r="F115" i="2"/>
  <c r="E115" i="2"/>
  <c r="B115" i="2"/>
  <c r="B114" i="2"/>
  <c r="B113" i="2"/>
  <c r="B112" i="2"/>
  <c r="L111" i="2"/>
  <c r="J111" i="2"/>
  <c r="I111" i="2"/>
  <c r="B111" i="2"/>
  <c r="M111" i="2" s="1"/>
  <c r="O111" i="2" s="1"/>
  <c r="I110" i="2"/>
  <c r="B110" i="2"/>
  <c r="M110" i="2" s="1"/>
  <c r="O110" i="2" s="1"/>
  <c r="B109" i="2"/>
  <c r="L108" i="2"/>
  <c r="J108" i="2"/>
  <c r="I108" i="2"/>
  <c r="I92" i="2" s="1"/>
  <c r="B108" i="2"/>
  <c r="M108" i="2" s="1"/>
  <c r="O108" i="2" s="1"/>
  <c r="M107" i="2"/>
  <c r="O107" i="2" s="1"/>
  <c r="J107" i="2"/>
  <c r="L107" i="2" s="1"/>
  <c r="I107" i="2"/>
  <c r="I115" i="2" s="1"/>
  <c r="B107" i="2"/>
  <c r="I106" i="2"/>
  <c r="B106" i="2"/>
  <c r="M103" i="2"/>
  <c r="J103" i="2"/>
  <c r="I103" i="2"/>
  <c r="H103" i="2"/>
  <c r="G103" i="2"/>
  <c r="F103" i="2"/>
  <c r="E103" i="2"/>
  <c r="I99" i="2"/>
  <c r="H99" i="2"/>
  <c r="G99" i="2"/>
  <c r="F99" i="2"/>
  <c r="E99" i="2"/>
  <c r="B99" i="2"/>
  <c r="L98" i="2"/>
  <c r="B98" i="2"/>
  <c r="J98" i="2" s="1"/>
  <c r="L97" i="2"/>
  <c r="J97" i="2"/>
  <c r="B97" i="2"/>
  <c r="M97" i="2" s="1"/>
  <c r="O97" i="2" s="1"/>
  <c r="M96" i="2"/>
  <c r="O96" i="2" s="1"/>
  <c r="L96" i="2"/>
  <c r="B96" i="2"/>
  <c r="J96" i="2" s="1"/>
  <c r="L95" i="2"/>
  <c r="J95" i="2"/>
  <c r="I95" i="2"/>
  <c r="B95" i="2"/>
  <c r="M95" i="2" s="1"/>
  <c r="O95" i="2" s="1"/>
  <c r="J94" i="2"/>
  <c r="L94" i="2" s="1"/>
  <c r="I94" i="2"/>
  <c r="B94" i="2"/>
  <c r="M94" i="2" s="1"/>
  <c r="O94" i="2" s="1"/>
  <c r="M93" i="2"/>
  <c r="O93" i="2" s="1"/>
  <c r="L93" i="2"/>
  <c r="I93" i="2"/>
  <c r="B93" i="2"/>
  <c r="J93" i="2" s="1"/>
  <c r="A93" i="2"/>
  <c r="B92" i="2"/>
  <c r="J91" i="2"/>
  <c r="L91" i="2" s="1"/>
  <c r="I91" i="2"/>
  <c r="B91" i="2"/>
  <c r="M91" i="2" s="1"/>
  <c r="O91" i="2" s="1"/>
  <c r="I90" i="2"/>
  <c r="B90" i="2"/>
  <c r="M87" i="2"/>
  <c r="J87" i="2"/>
  <c r="I87" i="2"/>
  <c r="H87" i="2"/>
  <c r="G87" i="2"/>
  <c r="F87" i="2"/>
  <c r="E87" i="2"/>
  <c r="G83" i="2"/>
  <c r="E83" i="2"/>
  <c r="B83" i="2"/>
  <c r="O82" i="2"/>
  <c r="M82" i="2"/>
  <c r="J82" i="2"/>
  <c r="L82" i="2" s="1"/>
  <c r="B82" i="2"/>
  <c r="M81" i="2"/>
  <c r="O81" i="2" s="1"/>
  <c r="L81" i="2"/>
  <c r="J81" i="2"/>
  <c r="B81" i="2"/>
  <c r="J80" i="2"/>
  <c r="L80" i="2" s="1"/>
  <c r="B80" i="2"/>
  <c r="M80" i="2" s="1"/>
  <c r="O80" i="2" s="1"/>
  <c r="M79" i="2"/>
  <c r="O79" i="2" s="1"/>
  <c r="L79" i="2"/>
  <c r="J79" i="2"/>
  <c r="B79" i="2"/>
  <c r="O78" i="2"/>
  <c r="M78" i="2"/>
  <c r="J78" i="2"/>
  <c r="L78" i="2" s="1"/>
  <c r="B78" i="2"/>
  <c r="M77" i="2"/>
  <c r="O77" i="2" s="1"/>
  <c r="L77" i="2"/>
  <c r="J77" i="2"/>
  <c r="B77" i="2"/>
  <c r="A77" i="2"/>
  <c r="I76" i="2"/>
  <c r="I83" i="2" s="1"/>
  <c r="H76" i="2"/>
  <c r="H83" i="2" s="1"/>
  <c r="G76" i="2"/>
  <c r="F76" i="2"/>
  <c r="F83" i="2" s="1"/>
  <c r="B76" i="2"/>
  <c r="M76" i="2" s="1"/>
  <c r="O76" i="2" s="1"/>
  <c r="M75" i="2"/>
  <c r="O75" i="2" s="1"/>
  <c r="J75" i="2"/>
  <c r="L75" i="2" s="1"/>
  <c r="B75" i="2"/>
  <c r="M74" i="2"/>
  <c r="M83" i="2" s="1"/>
  <c r="J74" i="2"/>
  <c r="L74" i="2" s="1"/>
  <c r="B74" i="2"/>
  <c r="M71" i="2"/>
  <c r="J71" i="2"/>
  <c r="I71" i="2"/>
  <c r="H71" i="2"/>
  <c r="G71" i="2"/>
  <c r="F71" i="2"/>
  <c r="E71" i="2"/>
  <c r="G67" i="2"/>
  <c r="F67" i="2"/>
  <c r="E67" i="2"/>
  <c r="B67" i="2"/>
  <c r="M66" i="2"/>
  <c r="O66" i="2" s="1"/>
  <c r="L66" i="2"/>
  <c r="B66" i="2"/>
  <c r="J66" i="2" s="1"/>
  <c r="B65" i="2"/>
  <c r="B64" i="2"/>
  <c r="B63" i="2"/>
  <c r="M63" i="2" s="1"/>
  <c r="O63" i="2" s="1"/>
  <c r="J62" i="2"/>
  <c r="L62" i="2" s="1"/>
  <c r="B62" i="2"/>
  <c r="M62" i="2" s="1"/>
  <c r="O62" i="2" s="1"/>
  <c r="B61" i="2"/>
  <c r="J61" i="2" s="1"/>
  <c r="L61" i="2" s="1"/>
  <c r="A61" i="2"/>
  <c r="J60" i="2"/>
  <c r="L60" i="2" s="1"/>
  <c r="I60" i="2"/>
  <c r="I67" i="2" s="1"/>
  <c r="H60" i="2"/>
  <c r="H67" i="2" s="1"/>
  <c r="G60" i="2"/>
  <c r="F60" i="2"/>
  <c r="B60" i="2"/>
  <c r="M60" i="2" s="1"/>
  <c r="O60" i="2" s="1"/>
  <c r="B59" i="2"/>
  <c r="J59" i="2" s="1"/>
  <c r="L59" i="2" s="1"/>
  <c r="J58" i="2"/>
  <c r="B58" i="2"/>
  <c r="M58" i="2" s="1"/>
  <c r="M55" i="2"/>
  <c r="J55" i="2"/>
  <c r="I55" i="2"/>
  <c r="H55" i="2"/>
  <c r="G55" i="2"/>
  <c r="F55" i="2"/>
  <c r="E55" i="2"/>
  <c r="I51" i="2"/>
  <c r="H51" i="2"/>
  <c r="G51" i="2"/>
  <c r="F51" i="2"/>
  <c r="E51" i="2"/>
  <c r="M50" i="2"/>
  <c r="J50" i="2"/>
  <c r="L50" i="2" s="1"/>
  <c r="M49" i="2"/>
  <c r="L49" i="2"/>
  <c r="J49" i="2"/>
  <c r="M48" i="2"/>
  <c r="J48" i="2"/>
  <c r="L48" i="2" s="1"/>
  <c r="M47" i="2"/>
  <c r="L47" i="2"/>
  <c r="J47" i="2"/>
  <c r="M46" i="2"/>
  <c r="J46" i="2"/>
  <c r="L46" i="2" s="1"/>
  <c r="M45" i="2"/>
  <c r="J45" i="2"/>
  <c r="L45" i="2" s="1"/>
  <c r="M44" i="2"/>
  <c r="J44" i="2"/>
  <c r="L44" i="2" s="1"/>
  <c r="A44" i="2"/>
  <c r="M43" i="2"/>
  <c r="J43" i="2"/>
  <c r="L43" i="2" s="1"/>
  <c r="M42" i="2"/>
  <c r="M51" i="2" s="1"/>
  <c r="J42" i="2"/>
  <c r="L42" i="2" s="1"/>
  <c r="M39" i="2"/>
  <c r="J39" i="2"/>
  <c r="I39" i="2"/>
  <c r="H39" i="2"/>
  <c r="G39" i="2"/>
  <c r="F39" i="2"/>
  <c r="E39" i="2"/>
  <c r="F33" i="2"/>
  <c r="E32" i="2"/>
  <c r="E33" i="2" s="1"/>
  <c r="E24" i="2"/>
  <c r="E23" i="2"/>
  <c r="C23" i="2"/>
  <c r="A23" i="2"/>
  <c r="A66" i="2" s="1"/>
  <c r="C22" i="2"/>
  <c r="A22" i="2"/>
  <c r="C21" i="2"/>
  <c r="A21" i="2"/>
  <c r="C20" i="2"/>
  <c r="F20" i="2" s="1"/>
  <c r="A20" i="2"/>
  <c r="F19" i="2"/>
  <c r="C19" i="2"/>
  <c r="A19" i="2"/>
  <c r="C18" i="2"/>
  <c r="F18" i="2" s="1"/>
  <c r="A18" i="2"/>
  <c r="C17" i="2"/>
  <c r="F17" i="2" s="1"/>
  <c r="A17" i="2"/>
  <c r="C16" i="2"/>
  <c r="F16" i="2" s="1"/>
  <c r="A16" i="2"/>
  <c r="F15" i="2"/>
  <c r="C15" i="2"/>
  <c r="A15" i="2"/>
  <c r="A74" i="2" s="1"/>
  <c r="D21" i="1"/>
  <c r="D14" i="1" s="1"/>
  <c r="F14" i="1" s="1"/>
  <c r="G14" i="1" s="1"/>
  <c r="C17" i="1"/>
  <c r="B14" i="1"/>
  <c r="B13" i="1"/>
  <c r="L51" i="2" l="1"/>
  <c r="A145" i="2"/>
  <c r="A177" i="2"/>
  <c r="A112" i="2"/>
  <c r="A161" i="2"/>
  <c r="A80" i="2"/>
  <c r="A96" i="2"/>
  <c r="A64" i="2"/>
  <c r="A141" i="2"/>
  <c r="A124" i="2"/>
  <c r="A173" i="2"/>
  <c r="A157" i="2"/>
  <c r="A92" i="2"/>
  <c r="A108" i="2"/>
  <c r="A76" i="2"/>
  <c r="A60" i="2"/>
  <c r="A107" i="2"/>
  <c r="A140" i="2"/>
  <c r="A172" i="2"/>
  <c r="A156" i="2"/>
  <c r="A123" i="2"/>
  <c r="A91" i="2"/>
  <c r="A75" i="2"/>
  <c r="A43" i="2"/>
  <c r="A175" i="2"/>
  <c r="A143" i="2"/>
  <c r="A110" i="2"/>
  <c r="A94" i="2"/>
  <c r="A159" i="2"/>
  <c r="A62" i="2"/>
  <c r="A113" i="2"/>
  <c r="A97" i="2"/>
  <c r="A65" i="2"/>
  <c r="A146" i="2"/>
  <c r="A178" i="2"/>
  <c r="A81" i="2"/>
  <c r="A49" i="2"/>
  <c r="A162" i="2"/>
  <c r="F23" i="2"/>
  <c r="A42" i="2"/>
  <c r="A50" i="2"/>
  <c r="A59" i="2"/>
  <c r="J63" i="2"/>
  <c r="L63" i="2" s="1"/>
  <c r="M65" i="2"/>
  <c r="O65" i="2" s="1"/>
  <c r="J65" i="2"/>
  <c r="L65" i="2" s="1"/>
  <c r="O74" i="2"/>
  <c r="O83" i="2" s="1"/>
  <c r="A78" i="2"/>
  <c r="J106" i="2"/>
  <c r="M106" i="2"/>
  <c r="M113" i="2"/>
  <c r="O113" i="2" s="1"/>
  <c r="J113" i="2"/>
  <c r="L113" i="2" s="1"/>
  <c r="D139" i="2"/>
  <c r="F159" i="2"/>
  <c r="H175" i="2" s="1"/>
  <c r="F143" i="2"/>
  <c r="F163" i="2"/>
  <c r="F147" i="2"/>
  <c r="A171" i="2"/>
  <c r="A139" i="2"/>
  <c r="A90" i="2"/>
  <c r="A155" i="2"/>
  <c r="A106" i="2"/>
  <c r="A122" i="2"/>
  <c r="A58" i="2"/>
  <c r="F21" i="2"/>
  <c r="E22" i="2"/>
  <c r="F22" i="2" s="1"/>
  <c r="C24" i="2"/>
  <c r="A46" i="2"/>
  <c r="J51" i="2"/>
  <c r="L58" i="2"/>
  <c r="M61" i="2"/>
  <c r="O61" i="2" s="1"/>
  <c r="J64" i="2"/>
  <c r="L64" i="2" s="1"/>
  <c r="M64" i="2"/>
  <c r="O64" i="2" s="1"/>
  <c r="J76" i="2"/>
  <c r="L76" i="2" s="1"/>
  <c r="L83" i="2" s="1"/>
  <c r="D141" i="2"/>
  <c r="D145" i="2"/>
  <c r="M92" i="2"/>
  <c r="O92" i="2" s="1"/>
  <c r="J92" i="2"/>
  <c r="L92" i="2" s="1"/>
  <c r="A63" i="2"/>
  <c r="A144" i="2"/>
  <c r="A160" i="2"/>
  <c r="A111" i="2"/>
  <c r="A95" i="2"/>
  <c r="A176" i="2"/>
  <c r="A79" i="2"/>
  <c r="A47" i="2"/>
  <c r="E21" i="2"/>
  <c r="A179" i="2"/>
  <c r="A147" i="2"/>
  <c r="A114" i="2"/>
  <c r="A163" i="2"/>
  <c r="A98" i="2"/>
  <c r="A48" i="2"/>
  <c r="O58" i="2"/>
  <c r="M59" i="2"/>
  <c r="O59" i="2" s="1"/>
  <c r="A82" i="2"/>
  <c r="M90" i="2"/>
  <c r="J90" i="2"/>
  <c r="J109" i="2"/>
  <c r="L109" i="2" s="1"/>
  <c r="M109" i="2"/>
  <c r="O109" i="2" s="1"/>
  <c r="A142" i="2"/>
  <c r="A109" i="2"/>
  <c r="A174" i="2"/>
  <c r="A45" i="2"/>
  <c r="M98" i="2"/>
  <c r="O98" i="2" s="1"/>
  <c r="J110" i="2"/>
  <c r="L110" i="2" s="1"/>
  <c r="J112" i="2"/>
  <c r="L112" i="2" s="1"/>
  <c r="M112" i="2"/>
  <c r="O112" i="2" s="1"/>
  <c r="J125" i="2"/>
  <c r="L122" i="2"/>
  <c r="L125" i="2" s="1"/>
  <c r="J83" i="2"/>
  <c r="O122" i="2"/>
  <c r="O125" i="2" s="1"/>
  <c r="M125" i="2"/>
  <c r="E177" i="2"/>
  <c r="G177" i="2" s="1"/>
  <c r="G180" i="2" s="1"/>
  <c r="H177" i="2"/>
  <c r="J114" i="2"/>
  <c r="L114" i="2" s="1"/>
  <c r="M114" i="2"/>
  <c r="O114" i="2" s="1"/>
  <c r="F140" i="2"/>
  <c r="F142" i="2"/>
  <c r="F144" i="2"/>
  <c r="F146" i="2"/>
  <c r="A158" i="2"/>
  <c r="E179" i="2"/>
  <c r="G179" i="2" s="1"/>
  <c r="D13" i="1"/>
  <c r="F13" i="1" s="1"/>
  <c r="G13" i="1" s="1"/>
  <c r="E180" i="2" l="1"/>
  <c r="M99" i="2"/>
  <c r="O90" i="2"/>
  <c r="O99" i="2" s="1"/>
  <c r="L67" i="2"/>
  <c r="F155" i="2"/>
  <c r="F139" i="2"/>
  <c r="D148" i="2"/>
  <c r="J115" i="2"/>
  <c r="L106" i="2"/>
  <c r="L115" i="2" s="1"/>
  <c r="F161" i="2"/>
  <c r="F145" i="2"/>
  <c r="F157" i="2"/>
  <c r="H173" i="2" s="1"/>
  <c r="F141" i="2"/>
  <c r="L90" i="2"/>
  <c r="L99" i="2" s="1"/>
  <c r="J99" i="2"/>
  <c r="O67" i="2"/>
  <c r="C25" i="2"/>
  <c r="E25" i="2"/>
  <c r="E34" i="2" s="1"/>
  <c r="E35" i="2" s="1"/>
  <c r="F24" i="2"/>
  <c r="F25" i="2" s="1"/>
  <c r="F34" i="2" s="1"/>
  <c r="F35" i="2" s="1"/>
  <c r="J67" i="2"/>
  <c r="M115" i="2"/>
  <c r="O106" i="2"/>
  <c r="O115" i="2" s="1"/>
  <c r="M67" i="2"/>
  <c r="G183" i="2"/>
  <c r="H171" i="2" l="1"/>
  <c r="F164" i="2"/>
  <c r="G145" i="2"/>
  <c r="B161" i="2" s="1"/>
  <c r="E161" i="2" s="1"/>
  <c r="G161" i="2" s="1"/>
  <c r="I177" i="2" s="1"/>
  <c r="J177" i="2" s="1"/>
  <c r="C35" i="2"/>
  <c r="F148" i="2"/>
  <c r="G139" i="2"/>
  <c r="B155" i="2" l="1"/>
  <c r="G146" i="2"/>
  <c r="B162" i="2" s="1"/>
  <c r="E162" i="2" s="1"/>
  <c r="G162" i="2" s="1"/>
  <c r="I178" i="2" s="1"/>
  <c r="J178" i="2" s="1"/>
  <c r="G143" i="2"/>
  <c r="B159" i="2" s="1"/>
  <c r="E159" i="2" s="1"/>
  <c r="G159" i="2" s="1"/>
  <c r="I175" i="2" s="1"/>
  <c r="J175" i="2" s="1"/>
  <c r="G144" i="2"/>
  <c r="B160" i="2" s="1"/>
  <c r="E160" i="2" s="1"/>
  <c r="G160" i="2" s="1"/>
  <c r="I176" i="2" s="1"/>
  <c r="J176" i="2" s="1"/>
  <c r="G140" i="2"/>
  <c r="B156" i="2" s="1"/>
  <c r="E156" i="2" s="1"/>
  <c r="G156" i="2" s="1"/>
  <c r="I172" i="2" s="1"/>
  <c r="J172" i="2" s="1"/>
  <c r="G142" i="2"/>
  <c r="B158" i="2" s="1"/>
  <c r="E158" i="2" s="1"/>
  <c r="G158" i="2" s="1"/>
  <c r="I174" i="2" s="1"/>
  <c r="J174" i="2" s="1"/>
  <c r="G147" i="2"/>
  <c r="B163" i="2" s="1"/>
  <c r="E163" i="2" s="1"/>
  <c r="G163" i="2" s="1"/>
  <c r="I179" i="2" s="1"/>
  <c r="J179" i="2" s="1"/>
  <c r="G141" i="2"/>
  <c r="B157" i="2" s="1"/>
  <c r="E157" i="2" s="1"/>
  <c r="G157" i="2" s="1"/>
  <c r="I173" i="2" s="1"/>
  <c r="J173" i="2" s="1"/>
  <c r="N49" i="2"/>
  <c r="O49" i="2" s="1"/>
  <c r="N47" i="2"/>
  <c r="O47" i="2" s="1"/>
  <c r="N45" i="2"/>
  <c r="O45" i="2" s="1"/>
  <c r="N43" i="2"/>
  <c r="O43" i="2" s="1"/>
  <c r="N50" i="2"/>
  <c r="O50" i="2" s="1"/>
  <c r="N42" i="2"/>
  <c r="O42" i="2" s="1"/>
  <c r="N48" i="2"/>
  <c r="O48" i="2" s="1"/>
  <c r="N44" i="2"/>
  <c r="O44" i="2" s="1"/>
  <c r="N46" i="2"/>
  <c r="O46" i="2" s="1"/>
  <c r="H180" i="2"/>
  <c r="O51" i="2" l="1"/>
  <c r="B164" i="2"/>
  <c r="E155" i="2"/>
  <c r="G155" i="2" s="1"/>
  <c r="I171" i="2" s="1"/>
  <c r="J171" i="2" s="1"/>
  <c r="J180" i="2" s="1"/>
  <c r="G148" i="2"/>
  <c r="J183" i="2" l="1"/>
</calcChain>
</file>

<file path=xl/comments1.xml><?xml version="1.0" encoding="utf-8"?>
<comments xmlns="http://schemas.openxmlformats.org/spreadsheetml/2006/main">
  <authors>
    <author>Jane Wilkinson</author>
  </authors>
  <commentList>
    <comment ref="I131" authorId="0" shapeId="0">
      <text>
        <r>
          <rPr>
            <b/>
            <sz val="9"/>
            <color indexed="81"/>
            <rFont val="Tahoma"/>
            <family val="2"/>
          </rPr>
          <t>Jane Wilkinson:</t>
        </r>
        <r>
          <rPr>
            <sz val="9"/>
            <color indexed="81"/>
            <rFont val="Tahoma"/>
            <family val="2"/>
          </rPr>
          <t xml:space="preserve">
Manuela:
I overrode this formula to reflect actual billed.  This was decreased when recording variance at year end
</t>
        </r>
      </text>
    </comment>
  </commentList>
</comments>
</file>

<file path=xl/sharedStrings.xml><?xml version="1.0" encoding="utf-8"?>
<sst xmlns="http://schemas.openxmlformats.org/spreadsheetml/2006/main" count="209" uniqueCount="78">
  <si>
    <t xml:space="preserve">Rate Design Model version 1.0 © CHEC </t>
  </si>
  <si>
    <t>Ottawa River Power Corporation</t>
  </si>
  <si>
    <t>EB-2015-0105</t>
  </si>
  <si>
    <t xml:space="preserve"> </t>
  </si>
  <si>
    <t>Stranded Meter Rate Rider</t>
  </si>
  <si>
    <t>Customer Class Name</t>
  </si>
  <si>
    <t>Net Book Value</t>
  </si>
  <si>
    <t>% share</t>
  </si>
  <si>
    <t>Annual $</t>
  </si>
  <si>
    <t xml:space="preserve">Customer </t>
  </si>
  <si>
    <t xml:space="preserve">Rate </t>
  </si>
  <si>
    <t>per month</t>
  </si>
  <si>
    <t>Residential</t>
  </si>
  <si>
    <t>General Service &lt; 50 kW</t>
  </si>
  <si>
    <t>General Service &gt; 50 to 4999 kW</t>
  </si>
  <si>
    <t>TOTAL</t>
  </si>
  <si>
    <t>Total for Recovery</t>
  </si>
  <si>
    <t>Recovery Period (years)</t>
  </si>
  <si>
    <t>Annual Recovery</t>
  </si>
  <si>
    <t xml:space="preserve">(1) The utility used the 2010 Cost Allocation model - Meter Capital, as a basis for the allocation </t>
  </si>
  <si>
    <t xml:space="preserve">Data Storage Model version 1.0 © CHEC </t>
  </si>
  <si>
    <t>File Number:</t>
  </si>
  <si>
    <t>EB-2013-0000</t>
  </si>
  <si>
    <t>Exhibit:</t>
  </si>
  <si>
    <t>Tab:</t>
  </si>
  <si>
    <t>Schedule:</t>
  </si>
  <si>
    <t>Page:</t>
  </si>
  <si>
    <t>Date:</t>
  </si>
  <si>
    <t>Power Supply Expense</t>
  </si>
  <si>
    <t>Determination of Commodity</t>
  </si>
  <si>
    <t> </t>
  </si>
  <si>
    <t>Last Actual kWh's</t>
  </si>
  <si>
    <t>non-RPP</t>
  </si>
  <si>
    <t>RPP</t>
  </si>
  <si>
    <t>%</t>
  </si>
  <si>
    <t>Forecast Price</t>
  </si>
  <si>
    <t>HOEP ($/MWh)</t>
  </si>
  <si>
    <t>Note: Table ES-1 from current RPP report - Load Weighted price for RPP Consumers</t>
  </si>
  <si>
    <t>Global Adjustment ($/MWh)</t>
  </si>
  <si>
    <t>Note: Table ES-1 from current RPP report - Impact of Global Adjustment</t>
  </si>
  <si>
    <t>Adjustments</t>
  </si>
  <si>
    <t>TOTAL ($/MWh)</t>
  </si>
  <si>
    <t>Note: Table ES-1 from current RPP report - AVG supply cost for RPP Consumers</t>
  </si>
  <si>
    <t>$/kWh</t>
  </si>
  <si>
    <t>WEIGHTED AVERAGE PRICE</t>
  </si>
  <si>
    <t>Electricity Projections</t>
  </si>
  <si>
    <t>(volumes for the bridge and test year are automatically loss adjusted)</t>
  </si>
  <si>
    <t>Customer</t>
  </si>
  <si>
    <t>Revenue</t>
  </si>
  <si>
    <t>Expense</t>
  </si>
  <si>
    <t>Class Name</t>
  </si>
  <si>
    <t>USA #</t>
  </si>
  <si>
    <t>Volume</t>
  </si>
  <si>
    <t>rate ($/kWh):</t>
  </si>
  <si>
    <t>Amount</t>
  </si>
  <si>
    <t>kWh</t>
  </si>
  <si>
    <t>Transmission - Network</t>
  </si>
  <si>
    <t>Rate</t>
  </si>
  <si>
    <t>Transmission - Connection</t>
  </si>
  <si>
    <t>Wholesale Market Service</t>
  </si>
  <si>
    <t>Rural Rate Protection</t>
  </si>
  <si>
    <t>Smart Meter Entity Charge</t>
  </si>
  <si>
    <t>(per customer)</t>
  </si>
  <si>
    <t>Low Voltage Charges - Historical and Proposed LV Charges</t>
  </si>
  <si>
    <t>Low Voltage Charges - Allocation of LV Charges based on Transmission Connection Revenues</t>
  </si>
  <si>
    <t>(volumes are not loss adjusted)</t>
  </si>
  <si>
    <t>ALLOCATON BASED ON TRANSMISSION-CONNECTION REVENUE</t>
  </si>
  <si>
    <t>RTSR Rate</t>
  </si>
  <si>
    <t>Uplifted Volumes</t>
  </si>
  <si>
    <t>% Alloc</t>
  </si>
  <si>
    <t>Low Voltage Charges Rate Rider Calculations</t>
  </si>
  <si>
    <t>PROPOSED LOW VOLTAGE CHARGES &amp; RATES</t>
  </si>
  <si>
    <t>% Allocation</t>
  </si>
  <si>
    <t>Charges</t>
  </si>
  <si>
    <t>Not Uplifted Volumes</t>
  </si>
  <si>
    <t>per</t>
  </si>
  <si>
    <t>Low Voltage Charges to be added to power supply expense for bridge and test year.</t>
  </si>
  <si>
    <t>Projected Power Supply Expense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</si>
</sst>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3" formatCode="_(* #,##0.00_);_(* \(#,##0.00\);_(* &quot;-&quot;??_);_(@_)"/>
    <numFmt numFmtId="164" formatCode="\$#,##0.00_);&quot;($&quot;#,##0.00\)"/>
    <numFmt numFmtId="165" formatCode="_-\$* #,##0.00_-;&quot;-$&quot;* #,##0.00_-;_-\$* \-??_-;_-@_-"/>
    <numFmt numFmtId="166" formatCode="\$#,##0.00"/>
    <numFmt numFmtId="167" formatCode="_-* #,##0.00_-;\-* #,##0.00_-;_-* \-??_-;_-@_-"/>
    <numFmt numFmtId="168" formatCode="\$#,##0.0000_);&quot;($&quot;#,##0.0000\)"/>
    <numFmt numFmtId="169" formatCode="_-* #,##0_-;\-* #,##0_-;_-* \-??_-;_-@_-"/>
    <numFmt numFmtId="170" formatCode="\$#,##0.00000_);&quot;($&quot;#,##0.00000\)"/>
    <numFmt numFmtId="171" formatCode="\$#,##0"/>
    <numFmt numFmtId="172" formatCode="0.0000"/>
    <numFmt numFmtId="173" formatCode="0.00000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i/>
      <sz val="8"/>
      <color theme="0" tint="-0.14999847407452621"/>
      <name val="Arial"/>
      <family val="2"/>
      <charset val="1"/>
    </font>
    <font>
      <sz val="10"/>
      <name val="Arial"/>
      <family val="2"/>
      <charset val="1"/>
    </font>
    <font>
      <b/>
      <sz val="14"/>
      <name val="Arial"/>
      <family val="2"/>
      <charset val="1"/>
    </font>
    <font>
      <sz val="11"/>
      <name val="Arial"/>
      <family val="2"/>
      <charset val="1"/>
    </font>
    <font>
      <b/>
      <sz val="10"/>
      <name val="Arial"/>
      <family val="2"/>
      <charset val="1"/>
    </font>
    <font>
      <sz val="10"/>
      <name val="Mangal"/>
      <family val="2"/>
    </font>
    <font>
      <i/>
      <sz val="10"/>
      <name val="Arial"/>
      <family val="2"/>
      <charset val="1"/>
    </font>
    <font>
      <b/>
      <i/>
      <sz val="8"/>
      <color theme="0" tint="-0.14999847407452621"/>
      <name val="Arial"/>
      <family val="2"/>
    </font>
    <font>
      <sz val="8"/>
      <name val="Arial"/>
      <family val="2"/>
      <charset val="1"/>
    </font>
    <font>
      <b/>
      <u/>
      <sz val="10"/>
      <name val="Arial"/>
      <family val="2"/>
      <charset val="1"/>
    </font>
    <font>
      <sz val="10"/>
      <name val="Mangal"/>
      <family val="2"/>
      <charset val="1"/>
    </font>
    <font>
      <b/>
      <sz val="11"/>
      <name val="Arial"/>
      <family val="2"/>
      <charset val="1"/>
    </font>
    <font>
      <b/>
      <i/>
      <sz val="10"/>
      <name val="Arial"/>
      <family val="2"/>
      <charset val="1"/>
    </font>
    <font>
      <i/>
      <sz val="10"/>
      <color rgb="FFFF0000"/>
      <name val="Arial"/>
      <family val="2"/>
      <charset val="1"/>
    </font>
    <font>
      <b/>
      <sz val="10"/>
      <name val="Arial"/>
      <family val="2"/>
    </font>
    <font>
      <i/>
      <sz val="8.5"/>
      <name val="Arial"/>
      <family val="2"/>
      <charset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32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9"/>
        <bgColor indexed="58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6">
    <xf numFmtId="0" fontId="0" fillId="0" borderId="0"/>
    <xf numFmtId="9" fontId="7" fillId="0" borderId="0" applyFill="0" applyBorder="0" applyAlignment="0" applyProtection="0"/>
    <xf numFmtId="165" fontId="7" fillId="0" borderId="0" applyFill="0" applyBorder="0" applyAlignment="0" applyProtection="0"/>
    <xf numFmtId="0" fontId="1" fillId="0" borderId="0"/>
    <xf numFmtId="167" fontId="12" fillId="0" borderId="0" applyFill="0" applyBorder="0" applyAlignment="0" applyProtection="0"/>
    <xf numFmtId="9" fontId="12" fillId="0" borderId="0" applyFill="0" applyBorder="0" applyAlignment="0" applyProtection="0"/>
  </cellStyleXfs>
  <cellXfs count="190">
    <xf numFmtId="0" fontId="0" fillId="0" borderId="0" xfId="0"/>
    <xf numFmtId="0" fontId="2" fillId="0" borderId="0" xfId="0" applyFont="1" applyBorder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Border="1"/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 vertical="top"/>
    </xf>
    <xf numFmtId="0" fontId="4" fillId="0" borderId="0" xfId="0" applyFont="1" applyBorder="1" applyAlignment="1">
      <alignment horizontal="center" vertical="top"/>
    </xf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  <xf numFmtId="0" fontId="6" fillId="2" borderId="1" xfId="0" applyFont="1" applyFill="1" applyBorder="1" applyAlignment="1" applyProtection="1">
      <alignment vertical="top"/>
    </xf>
    <xf numFmtId="0" fontId="6" fillId="0" borderId="1" xfId="0" applyFont="1" applyFill="1" applyBorder="1" applyAlignment="1" applyProtection="1">
      <alignment horizontal="center" wrapText="1"/>
    </xf>
    <xf numFmtId="10" fontId="6" fillId="0" borderId="1" xfId="1" applyNumberFormat="1" applyFont="1" applyFill="1" applyBorder="1" applyAlignment="1" applyProtection="1">
      <alignment horizontal="center" wrapText="1"/>
    </xf>
    <xf numFmtId="37" fontId="3" fillId="0" borderId="0" xfId="0" applyNumberFormat="1" applyFont="1" applyFill="1" applyBorder="1"/>
    <xf numFmtId="0" fontId="3" fillId="0" borderId="1" xfId="0" applyFont="1" applyFill="1" applyBorder="1" applyAlignment="1" applyProtection="1">
      <alignment vertical="center"/>
    </xf>
    <xf numFmtId="164" fontId="3" fillId="0" borderId="1" xfId="0" applyNumberFormat="1" applyFont="1" applyFill="1" applyBorder="1" applyAlignment="1" applyProtection="1">
      <alignment horizontal="center"/>
    </xf>
    <xf numFmtId="10" fontId="3" fillId="3" borderId="1" xfId="0" applyNumberFormat="1" applyFont="1" applyFill="1" applyBorder="1" applyAlignment="1" applyProtection="1">
      <alignment horizontal="center"/>
    </xf>
    <xf numFmtId="2" fontId="3" fillId="0" borderId="1" xfId="0" applyNumberFormat="1" applyFont="1" applyFill="1" applyBorder="1" applyAlignment="1" applyProtection="1">
      <alignment horizontal="center"/>
    </xf>
    <xf numFmtId="1" fontId="3" fillId="3" borderId="1" xfId="0" applyNumberFormat="1" applyFont="1" applyFill="1" applyBorder="1" applyAlignment="1" applyProtection="1">
      <alignment horizontal="center"/>
    </xf>
    <xf numFmtId="166" fontId="3" fillId="0" borderId="1" xfId="2" applyNumberFormat="1" applyFont="1" applyFill="1" applyBorder="1" applyAlignment="1" applyProtection="1">
      <alignment horizontal="center"/>
    </xf>
    <xf numFmtId="9" fontId="3" fillId="0" borderId="0" xfId="1" applyFont="1" applyFill="1" applyBorder="1" applyAlignment="1" applyProtection="1"/>
    <xf numFmtId="10" fontId="3" fillId="0" borderId="1" xfId="0" applyNumberFormat="1" applyFont="1" applyFill="1" applyBorder="1" applyAlignment="1" applyProtection="1">
      <alignment horizontal="center"/>
    </xf>
    <xf numFmtId="164" fontId="3" fillId="0" borderId="1" xfId="0" applyNumberFormat="1" applyFont="1" applyBorder="1" applyAlignment="1" applyProtection="1">
      <alignment horizontal="center"/>
    </xf>
    <xf numFmtId="164" fontId="6" fillId="0" borderId="1" xfId="0" applyNumberFormat="1" applyFont="1" applyBorder="1" applyAlignment="1" applyProtection="1">
      <alignment horizontal="center"/>
    </xf>
    <xf numFmtId="10" fontId="3" fillId="0" borderId="1" xfId="0" applyNumberFormat="1" applyFont="1" applyBorder="1" applyAlignment="1" applyProtection="1">
      <alignment horizontal="center"/>
    </xf>
    <xf numFmtId="0" fontId="6" fillId="0" borderId="0" xfId="0" applyFont="1"/>
    <xf numFmtId="0" fontId="6" fillId="0" borderId="1" xfId="0" applyFont="1" applyFill="1" applyBorder="1" applyAlignment="1">
      <alignment horizontal="left" inden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/>
    <xf numFmtId="37" fontId="6" fillId="3" borderId="1" xfId="0" applyNumberFormat="1" applyFont="1" applyFill="1" applyBorder="1" applyAlignment="1"/>
    <xf numFmtId="37" fontId="0" fillId="0" borderId="1" xfId="0" applyNumberFormat="1" applyFill="1" applyBorder="1" applyAlignment="1"/>
    <xf numFmtId="0" fontId="8" fillId="0" borderId="0" xfId="0" applyFont="1"/>
    <xf numFmtId="37" fontId="6" fillId="0" borderId="1" xfId="0" applyNumberFormat="1" applyFont="1" applyFill="1" applyBorder="1" applyAlignment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6" fillId="5" borderId="1" xfId="0" applyFont="1" applyFill="1" applyBorder="1" applyAlignment="1" applyProtection="1">
      <alignment horizontal="center" vertical="center" wrapText="1"/>
    </xf>
    <xf numFmtId="0" fontId="9" fillId="0" borderId="0" xfId="3" applyFont="1"/>
    <xf numFmtId="0" fontId="0" fillId="0" borderId="0" xfId="0" applyBorder="1"/>
    <xf numFmtId="0" fontId="10" fillId="0" borderId="0" xfId="0" applyFont="1" applyAlignment="1">
      <alignment horizontal="center" vertical="top"/>
    </xf>
    <xf numFmtId="0" fontId="10" fillId="4" borderId="0" xfId="0" applyFont="1" applyFill="1" applyBorder="1" applyAlignment="1">
      <alignment horizontal="center" vertical="top"/>
    </xf>
    <xf numFmtId="0" fontId="10" fillId="4" borderId="0" xfId="0" applyFont="1" applyFill="1" applyAlignment="1">
      <alignment horizontal="center" vertical="top"/>
    </xf>
    <xf numFmtId="0" fontId="4" fillId="0" borderId="0" xfId="0" applyFont="1" applyBorder="1" applyAlignment="1">
      <alignment horizontal="center" vertical="top"/>
    </xf>
    <xf numFmtId="0" fontId="11" fillId="0" borderId="0" xfId="0" applyFont="1" applyBorder="1"/>
    <xf numFmtId="0" fontId="6" fillId="0" borderId="2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37" fontId="6" fillId="0" borderId="3" xfId="4" applyNumberFormat="1" applyFont="1" applyFill="1" applyBorder="1" applyAlignment="1" applyProtection="1">
      <alignment horizontal="center" vertical="center"/>
    </xf>
    <xf numFmtId="37" fontId="6" fillId="0" borderId="4" xfId="4" applyNumberFormat="1" applyFont="1" applyFill="1" applyBorder="1" applyAlignment="1" applyProtection="1">
      <alignment horizontal="center" vertical="center"/>
    </xf>
    <xf numFmtId="37" fontId="6" fillId="0" borderId="1" xfId="4" applyNumberFormat="1" applyFont="1" applyFill="1" applyBorder="1" applyAlignment="1" applyProtection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6" fillId="2" borderId="5" xfId="0" applyFont="1" applyFill="1" applyBorder="1" applyAlignment="1" applyProtection="1">
      <alignment vertical="center"/>
    </xf>
    <xf numFmtId="0" fontId="6" fillId="2" borderId="1" xfId="0" applyFont="1" applyFill="1" applyBorder="1" applyAlignment="1">
      <alignment vertical="center"/>
    </xf>
    <xf numFmtId="168" fontId="6" fillId="0" borderId="3" xfId="4" applyNumberFormat="1" applyFont="1" applyFill="1" applyBorder="1" applyAlignment="1" applyProtection="1">
      <alignment horizontal="center" vertical="center" wrapText="1"/>
    </xf>
    <xf numFmtId="168" fontId="6" fillId="0" borderId="4" xfId="4" applyNumberFormat="1" applyFont="1" applyFill="1" applyBorder="1" applyAlignment="1" applyProtection="1">
      <alignment horizontal="center" vertical="center" wrapText="1"/>
    </xf>
    <xf numFmtId="167" fontId="6" fillId="0" borderId="1" xfId="4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top"/>
    </xf>
    <xf numFmtId="0" fontId="3" fillId="0" borderId="1" xfId="0" applyFont="1" applyFill="1" applyBorder="1" applyAlignment="1">
      <alignment vertical="center"/>
    </xf>
    <xf numFmtId="169" fontId="3" fillId="0" borderId="1" xfId="4" applyNumberFormat="1" applyFont="1" applyFill="1" applyBorder="1" applyAlignment="1" applyProtection="1">
      <alignment horizontal="center" vertical="center" wrapText="1"/>
    </xf>
    <xf numFmtId="169" fontId="3" fillId="4" borderId="1" xfId="4" applyNumberFormat="1" applyFont="1" applyFill="1" applyBorder="1" applyAlignment="1" applyProtection="1">
      <alignment vertical="center"/>
    </xf>
    <xf numFmtId="37" fontId="3" fillId="0" borderId="1" xfId="4" applyNumberFormat="1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horizontal="left" vertical="center" indent="1"/>
    </xf>
    <xf numFmtId="0" fontId="6" fillId="0" borderId="1" xfId="0" applyFont="1" applyFill="1" applyBorder="1" applyAlignment="1">
      <alignment vertical="center"/>
    </xf>
    <xf numFmtId="169" fontId="6" fillId="0" borderId="1" xfId="4" applyNumberFormat="1" applyFont="1" applyFill="1" applyBorder="1" applyAlignment="1" applyProtection="1">
      <alignment horizontal="center" vertical="center" wrapText="1"/>
    </xf>
    <xf numFmtId="37" fontId="6" fillId="0" borderId="1" xfId="4" applyNumberFormat="1" applyFont="1" applyFill="1" applyBorder="1" applyAlignment="1" applyProtection="1">
      <alignment vertical="center"/>
    </xf>
    <xf numFmtId="0" fontId="8" fillId="0" borderId="1" xfId="0" applyFont="1" applyFill="1" applyBorder="1" applyAlignment="1">
      <alignment horizontal="left" indent="1"/>
    </xf>
    <xf numFmtId="0" fontId="8" fillId="0" borderId="1" xfId="0" applyFont="1" applyFill="1" applyBorder="1"/>
    <xf numFmtId="10" fontId="8" fillId="0" borderId="1" xfId="5" applyNumberFormat="1" applyFont="1" applyFill="1" applyBorder="1" applyAlignment="1" applyProtection="1">
      <alignment horizontal="right"/>
    </xf>
    <xf numFmtId="10" fontId="8" fillId="0" borderId="1" xfId="5" applyNumberFormat="1" applyFont="1" applyFill="1" applyBorder="1" applyAlignment="1" applyProtection="1">
      <alignment horizontal="right"/>
    </xf>
    <xf numFmtId="0" fontId="5" fillId="0" borderId="0" xfId="0" applyFont="1" applyFill="1" applyBorder="1"/>
    <xf numFmtId="0" fontId="13" fillId="0" borderId="0" xfId="0" applyFont="1" applyBorder="1" applyAlignment="1">
      <alignment horizontal="center" vertical="top"/>
    </xf>
    <xf numFmtId="0" fontId="11" fillId="0" borderId="0" xfId="0" applyFont="1" applyFill="1" applyBorder="1"/>
    <xf numFmtId="0" fontId="5" fillId="0" borderId="1" xfId="0" applyFont="1" applyFill="1" applyBorder="1"/>
    <xf numFmtId="164" fontId="3" fillId="4" borderId="1" xfId="0" applyNumberFormat="1" applyFont="1" applyFill="1" applyBorder="1" applyProtection="1"/>
    <xf numFmtId="164" fontId="5" fillId="0" borderId="1" xfId="0" applyNumberFormat="1" applyFont="1" applyFill="1" applyBorder="1"/>
    <xf numFmtId="0" fontId="3" fillId="0" borderId="0" xfId="0" applyFont="1" applyBorder="1" applyAlignment="1">
      <alignment horizontal="left" vertical="top"/>
    </xf>
    <xf numFmtId="0" fontId="3" fillId="0" borderId="1" xfId="0" applyFont="1" applyFill="1" applyBorder="1"/>
    <xf numFmtId="164" fontId="5" fillId="4" borderId="1" xfId="0" applyNumberFormat="1" applyFont="1" applyFill="1" applyBorder="1" applyProtection="1"/>
    <xf numFmtId="0" fontId="6" fillId="0" borderId="1" xfId="0" applyFont="1" applyFill="1" applyBorder="1"/>
    <xf numFmtId="164" fontId="6" fillId="0" borderId="1" xfId="0" applyNumberFormat="1" applyFont="1" applyFill="1" applyBorder="1"/>
    <xf numFmtId="164" fontId="6" fillId="4" borderId="1" xfId="0" applyNumberFormat="1" applyFont="1" applyFill="1" applyBorder="1" applyProtection="1"/>
    <xf numFmtId="0" fontId="14" fillId="0" borderId="1" xfId="0" applyFont="1" applyFill="1" applyBorder="1" applyAlignment="1">
      <alignment horizontal="left" indent="1"/>
    </xf>
    <xf numFmtId="0" fontId="14" fillId="0" borderId="1" xfId="0" applyFont="1" applyFill="1" applyBorder="1"/>
    <xf numFmtId="170" fontId="14" fillId="0" borderId="1" xfId="0" applyNumberFormat="1" applyFont="1" applyFill="1" applyBorder="1"/>
    <xf numFmtId="10" fontId="5" fillId="0" borderId="1" xfId="0" applyNumberFormat="1" applyFont="1" applyFill="1" applyBorder="1"/>
    <xf numFmtId="168" fontId="6" fillId="0" borderId="1" xfId="0" applyNumberFormat="1" applyFont="1" applyFill="1" applyBorder="1"/>
    <xf numFmtId="0" fontId="15" fillId="0" borderId="0" xfId="0" applyFont="1" applyBorder="1"/>
    <xf numFmtId="1" fontId="16" fillId="6" borderId="6" xfId="0" applyNumberFormat="1" applyFont="1" applyFill="1" applyBorder="1" applyAlignment="1">
      <alignment horizontal="center"/>
    </xf>
    <xf numFmtId="1" fontId="6" fillId="6" borderId="4" xfId="0" applyNumberFormat="1" applyFont="1" applyFill="1" applyBorder="1" applyAlignment="1">
      <alignment horizontal="center"/>
    </xf>
    <xf numFmtId="0" fontId="6" fillId="6" borderId="1" xfId="0" applyFont="1" applyFill="1" applyBorder="1" applyAlignment="1">
      <alignment horizontal="center"/>
    </xf>
    <xf numFmtId="1" fontId="6" fillId="6" borderId="1" xfId="0" applyNumberFormat="1" applyFont="1" applyFill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0" fillId="0" borderId="1" xfId="0" applyFont="1" applyBorder="1"/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3" borderId="1" xfId="0" applyFill="1" applyBorder="1" applyAlignment="1">
      <alignment horizontal="center"/>
    </xf>
    <xf numFmtId="37" fontId="0" fillId="0" borderId="1" xfId="0" quotePrefix="1" applyNumberFormat="1" applyFill="1" applyBorder="1" applyAlignment="1">
      <alignment horizontal="right"/>
    </xf>
    <xf numFmtId="0" fontId="0" fillId="4" borderId="1" xfId="0" applyFill="1" applyBorder="1" applyAlignment="1">
      <alignment horizontal="right"/>
    </xf>
    <xf numFmtId="171" fontId="0" fillId="0" borderId="1" xfId="0" applyNumberFormat="1" applyFill="1" applyBorder="1" applyAlignment="1">
      <alignment horizontal="right"/>
    </xf>
    <xf numFmtId="170" fontId="0" fillId="0" borderId="1" xfId="0" applyNumberFormat="1" applyFill="1" applyBorder="1" applyAlignment="1">
      <alignment horizontal="right"/>
    </xf>
    <xf numFmtId="0" fontId="0" fillId="0" borderId="0" xfId="0" quotePrefix="1"/>
    <xf numFmtId="49" fontId="0" fillId="0" borderId="1" xfId="0" applyNumberFormat="1" applyBorder="1" applyAlignment="1">
      <alignment horizontal="center"/>
    </xf>
    <xf numFmtId="37" fontId="6" fillId="0" borderId="1" xfId="0" applyNumberFormat="1" applyFont="1" applyBorder="1" applyAlignment="1">
      <alignment horizontal="right"/>
    </xf>
    <xf numFmtId="171" fontId="6" fillId="0" borderId="1" xfId="0" applyNumberFormat="1" applyFont="1" applyBorder="1" applyAlignment="1">
      <alignment horizontal="right"/>
    </xf>
    <xf numFmtId="0" fontId="6" fillId="0" borderId="1" xfId="0" applyFont="1" applyFill="1" applyBorder="1" applyAlignment="1">
      <alignment horizontal="right"/>
    </xf>
    <xf numFmtId="168" fontId="6" fillId="0" borderId="1" xfId="0" applyNumberFormat="1" applyFont="1" applyFill="1" applyBorder="1" applyAlignment="1">
      <alignment horizontal="right"/>
    </xf>
    <xf numFmtId="0" fontId="0" fillId="0" borderId="0" xfId="0" applyBorder="1" applyAlignment="1">
      <alignment horizontal="center"/>
    </xf>
    <xf numFmtId="43" fontId="0" fillId="3" borderId="1" xfId="0" applyNumberFormat="1" applyFill="1" applyBorder="1" applyAlignment="1">
      <alignment horizontal="center"/>
    </xf>
    <xf numFmtId="172" fontId="0" fillId="4" borderId="1" xfId="0" applyNumberFormat="1" applyFill="1" applyBorder="1" applyAlignment="1">
      <alignment horizontal="right"/>
    </xf>
    <xf numFmtId="0" fontId="0" fillId="0" borderId="0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right"/>
    </xf>
    <xf numFmtId="173" fontId="0" fillId="4" borderId="1" xfId="0" applyNumberFormat="1" applyFill="1" applyBorder="1" applyAlignment="1">
      <alignment horizontal="right"/>
    </xf>
    <xf numFmtId="37" fontId="0" fillId="0" borderId="1" xfId="0" applyNumberFormat="1" applyFill="1" applyBorder="1" applyAlignment="1">
      <alignment horizontal="right"/>
    </xf>
    <xf numFmtId="171" fontId="6" fillId="0" borderId="1" xfId="0" applyNumberFormat="1" applyFont="1" applyFill="1" applyBorder="1" applyAlignment="1">
      <alignment horizontal="right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37" fontId="6" fillId="0" borderId="0" xfId="0" applyNumberFormat="1" applyFont="1" applyBorder="1" applyAlignment="1">
      <alignment horizontal="right"/>
    </xf>
    <xf numFmtId="0" fontId="6" fillId="0" borderId="0" xfId="0" applyFont="1" applyBorder="1" applyAlignment="1">
      <alignment horizontal="right"/>
    </xf>
    <xf numFmtId="171" fontId="6" fillId="0" borderId="0" xfId="0" applyNumberFormat="1" applyFont="1" applyBorder="1" applyAlignment="1">
      <alignment horizontal="right"/>
    </xf>
    <xf numFmtId="0" fontId="8" fillId="0" borderId="0" xfId="0" applyFont="1" applyBorder="1"/>
    <xf numFmtId="0" fontId="0" fillId="0" borderId="6" xfId="0" applyBorder="1"/>
    <xf numFmtId="0" fontId="6" fillId="2" borderId="3" xfId="0" applyFont="1" applyFill="1" applyBorder="1" applyAlignment="1" applyProtection="1">
      <alignment vertical="center"/>
    </xf>
    <xf numFmtId="168" fontId="6" fillId="0" borderId="6" xfId="4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vertical="center"/>
    </xf>
    <xf numFmtId="0" fontId="0" fillId="0" borderId="6" xfId="0" applyFill="1" applyBorder="1" applyAlignment="1">
      <alignment horizontal="center"/>
    </xf>
    <xf numFmtId="168" fontId="3" fillId="0" borderId="6" xfId="4" applyNumberFormat="1" applyFont="1" applyFill="1" applyBorder="1" applyAlignment="1" applyProtection="1">
      <alignment horizontal="center" vertical="center" wrapText="1"/>
    </xf>
    <xf numFmtId="3" fontId="0" fillId="0" borderId="6" xfId="0" applyNumberFormat="1" applyFill="1" applyBorder="1" applyAlignment="1">
      <alignment horizontal="center"/>
    </xf>
    <xf numFmtId="3" fontId="0" fillId="5" borderId="6" xfId="0" applyNumberFormat="1" applyFill="1" applyBorder="1" applyAlignment="1">
      <alignment horizontal="center"/>
    </xf>
    <xf numFmtId="3" fontId="3" fillId="0" borderId="6" xfId="4" applyNumberFormat="1" applyFont="1" applyFill="1" applyBorder="1" applyAlignment="1" applyProtection="1">
      <alignment horizontal="center" vertical="center" wrapText="1"/>
    </xf>
    <xf numFmtId="3" fontId="3" fillId="4" borderId="6" xfId="4" applyNumberFormat="1" applyFont="1" applyFill="1" applyBorder="1" applyAlignment="1" applyProtection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171" fontId="6" fillId="0" borderId="0" xfId="0" applyNumberFormat="1" applyFont="1" applyBorder="1" applyAlignment="1">
      <alignment horizontal="center"/>
    </xf>
    <xf numFmtId="9" fontId="6" fillId="0" borderId="0" xfId="5" applyFont="1" applyFill="1" applyBorder="1" applyAlignment="1" applyProtection="1">
      <alignment horizontal="right"/>
    </xf>
    <xf numFmtId="1" fontId="6" fillId="6" borderId="6" xfId="0" applyNumberFormat="1" applyFont="1" applyFill="1" applyBorder="1" applyAlignment="1">
      <alignment horizontal="center"/>
    </xf>
    <xf numFmtId="1" fontId="6" fillId="0" borderId="0" xfId="0" applyNumberFormat="1" applyFont="1" applyFill="1" applyBorder="1" applyAlignment="1">
      <alignment horizontal="center"/>
    </xf>
    <xf numFmtId="0" fontId="6" fillId="2" borderId="1" xfId="0" applyFont="1" applyFill="1" applyBorder="1" applyAlignment="1" applyProtection="1">
      <alignment vertical="center"/>
    </xf>
    <xf numFmtId="168" fontId="6" fillId="0" borderId="7" xfId="4" applyNumberFormat="1" applyFont="1" applyFill="1" applyBorder="1" applyAlignment="1" applyProtection="1">
      <alignment vertical="center" wrapText="1"/>
    </xf>
    <xf numFmtId="168" fontId="6" fillId="0" borderId="5" xfId="4" applyNumberFormat="1" applyFont="1" applyFill="1" applyBorder="1" applyAlignment="1" applyProtection="1">
      <alignment horizontal="center" vertical="center" wrapText="1"/>
    </xf>
    <xf numFmtId="37" fontId="6" fillId="0" borderId="7" xfId="4" applyNumberFormat="1" applyFont="1" applyFill="1" applyBorder="1" applyAlignment="1" applyProtection="1">
      <alignment horizontal="center" vertical="center" wrapText="1"/>
    </xf>
    <xf numFmtId="37" fontId="6" fillId="0" borderId="8" xfId="4" applyNumberFormat="1" applyFont="1" applyFill="1" applyBorder="1" applyAlignment="1" applyProtection="1">
      <alignment horizontal="center" vertical="center" wrapText="1"/>
    </xf>
    <xf numFmtId="37" fontId="6" fillId="0" borderId="5" xfId="4" applyNumberFormat="1" applyFont="1" applyFill="1" applyBorder="1" applyAlignment="1" applyProtection="1">
      <alignment horizontal="center" vertical="center" wrapText="1"/>
    </xf>
    <xf numFmtId="37" fontId="6" fillId="0" borderId="0" xfId="4" applyNumberFormat="1" applyFont="1" applyFill="1" applyBorder="1" applyAlignment="1" applyProtection="1">
      <alignment horizontal="center" vertical="center" wrapText="1"/>
    </xf>
    <xf numFmtId="168" fontId="6" fillId="0" borderId="1" xfId="4" applyNumberFormat="1" applyFont="1" applyFill="1" applyBorder="1" applyAlignment="1" applyProtection="1">
      <alignment vertical="center" wrapText="1"/>
    </xf>
    <xf numFmtId="37" fontId="0" fillId="0" borderId="3" xfId="0" quotePrefix="1" applyNumberFormat="1" applyFill="1" applyBorder="1" applyAlignment="1">
      <alignment horizontal="center"/>
    </xf>
    <xf numFmtId="37" fontId="0" fillId="0" borderId="4" xfId="0" quotePrefix="1" applyNumberFormat="1" applyFill="1" applyBorder="1" applyAlignment="1">
      <alignment horizontal="center"/>
    </xf>
    <xf numFmtId="171" fontId="12" fillId="0" borderId="1" xfId="4" applyNumberFormat="1" applyFill="1" applyBorder="1" applyAlignment="1" applyProtection="1">
      <alignment vertical="center"/>
    </xf>
    <xf numFmtId="10" fontId="12" fillId="0" borderId="1" xfId="4" applyNumberFormat="1" applyFill="1" applyBorder="1" applyAlignment="1" applyProtection="1">
      <alignment vertical="center"/>
    </xf>
    <xf numFmtId="10" fontId="12" fillId="0" borderId="0" xfId="4" applyNumberFormat="1" applyFill="1" applyBorder="1" applyAlignment="1" applyProtection="1">
      <alignment vertical="center"/>
    </xf>
    <xf numFmtId="0" fontId="6" fillId="0" borderId="3" xfId="0" applyFont="1" applyBorder="1" applyAlignment="1">
      <alignment horizontal="center"/>
    </xf>
    <xf numFmtId="0" fontId="6" fillId="0" borderId="3" xfId="0" applyFont="1" applyBorder="1" applyAlignment="1"/>
    <xf numFmtId="37" fontId="6" fillId="0" borderId="6" xfId="0" applyNumberFormat="1" applyFont="1" applyBorder="1" applyAlignment="1">
      <alignment horizontal="center"/>
    </xf>
    <xf numFmtId="0" fontId="6" fillId="0" borderId="6" xfId="0" applyNumberFormat="1" applyFont="1" applyBorder="1" applyAlignment="1">
      <alignment horizontal="center"/>
    </xf>
    <xf numFmtId="171" fontId="6" fillId="0" borderId="4" xfId="0" applyNumberFormat="1" applyFont="1" applyBorder="1" applyAlignment="1"/>
    <xf numFmtId="9" fontId="6" fillId="0" borderId="1" xfId="5" applyFont="1" applyFill="1" applyBorder="1" applyAlignment="1" applyProtection="1"/>
    <xf numFmtId="9" fontId="6" fillId="0" borderId="0" xfId="5" applyFont="1" applyFill="1" applyBorder="1" applyAlignment="1" applyProtection="1"/>
    <xf numFmtId="168" fontId="6" fillId="0" borderId="0" xfId="4" applyNumberFormat="1" applyFont="1" applyFill="1" applyBorder="1" applyAlignment="1" applyProtection="1">
      <alignment horizontal="center" vertical="center" wrapText="1"/>
    </xf>
    <xf numFmtId="168" fontId="12" fillId="0" borderId="0" xfId="4" applyNumberFormat="1" applyFill="1" applyBorder="1" applyAlignment="1" applyProtection="1">
      <alignment horizontal="center" vertical="center"/>
    </xf>
    <xf numFmtId="37" fontId="12" fillId="0" borderId="0" xfId="4" applyNumberFormat="1" applyFill="1" applyBorder="1" applyAlignment="1" applyProtection="1">
      <alignment horizontal="center" vertical="center"/>
    </xf>
    <xf numFmtId="10" fontId="12" fillId="0" borderId="0" xfId="4" applyNumberFormat="1" applyFill="1" applyBorder="1" applyAlignment="1" applyProtection="1">
      <alignment horizontal="center" vertical="center"/>
    </xf>
    <xf numFmtId="37" fontId="3" fillId="0" borderId="0" xfId="4" applyNumberFormat="1" applyFont="1" applyFill="1" applyBorder="1" applyAlignment="1" applyProtection="1">
      <alignment vertical="center" wrapText="1"/>
    </xf>
    <xf numFmtId="37" fontId="3" fillId="0" borderId="0" xfId="0" applyNumberFormat="1" applyFont="1" applyFill="1" applyBorder="1" applyAlignment="1" applyProtection="1">
      <alignment vertical="center"/>
    </xf>
    <xf numFmtId="1" fontId="6" fillId="6" borderId="9" xfId="0" applyNumberFormat="1" applyFont="1" applyFill="1" applyBorder="1" applyAlignment="1">
      <alignment horizontal="center"/>
    </xf>
    <xf numFmtId="1" fontId="6" fillId="6" borderId="10" xfId="0" applyNumberFormat="1" applyFont="1" applyFill="1" applyBorder="1" applyAlignment="1">
      <alignment horizontal="center"/>
    </xf>
    <xf numFmtId="1" fontId="6" fillId="6" borderId="11" xfId="0" applyNumberFormat="1" applyFont="1" applyFill="1" applyBorder="1" applyAlignment="1">
      <alignment horizontal="center"/>
    </xf>
    <xf numFmtId="37" fontId="6" fillId="0" borderId="0" xfId="4" applyNumberFormat="1" applyFont="1" applyFill="1" applyBorder="1" applyAlignment="1" applyProtection="1">
      <alignment horizontal="center" vertical="center"/>
    </xf>
    <xf numFmtId="167" fontId="6" fillId="0" borderId="5" xfId="4" applyFont="1" applyFill="1" applyBorder="1" applyAlignment="1" applyProtection="1">
      <alignment horizontal="center" vertical="center" wrapText="1"/>
    </xf>
    <xf numFmtId="167" fontId="6" fillId="0" borderId="5" xfId="4" applyFont="1" applyFill="1" applyBorder="1" applyAlignment="1" applyProtection="1">
      <alignment horizontal="center" vertical="center" wrapText="1"/>
    </xf>
    <xf numFmtId="10" fontId="3" fillId="0" borderId="1" xfId="4" applyNumberFormat="1" applyFont="1" applyFill="1" applyBorder="1" applyAlignment="1" applyProtection="1">
      <alignment horizontal="center" vertical="center" wrapText="1"/>
    </xf>
    <xf numFmtId="37" fontId="12" fillId="0" borderId="1" xfId="4" applyNumberFormat="1" applyFill="1" applyBorder="1" applyAlignment="1" applyProtection="1">
      <alignment horizontal="right" vertical="center"/>
    </xf>
    <xf numFmtId="168" fontId="12" fillId="0" borderId="1" xfId="4" applyNumberFormat="1" applyFont="1" applyFill="1" applyBorder="1" applyAlignment="1" applyProtection="1">
      <alignment horizontal="right" vertical="center"/>
    </xf>
    <xf numFmtId="0" fontId="6" fillId="0" borderId="12" xfId="0" applyFont="1" applyFill="1" applyBorder="1" applyAlignment="1" applyProtection="1">
      <alignment horizontal="left" vertical="center" indent="1"/>
    </xf>
    <xf numFmtId="10" fontId="6" fillId="0" borderId="3" xfId="4" applyNumberFormat="1" applyFont="1" applyFill="1" applyBorder="1" applyAlignment="1" applyProtection="1">
      <alignment horizontal="center" vertical="center" wrapText="1"/>
    </xf>
    <xf numFmtId="10" fontId="6" fillId="0" borderId="12" xfId="4" applyNumberFormat="1" applyFont="1" applyFill="1" applyBorder="1" applyAlignment="1" applyProtection="1">
      <alignment horizontal="center" vertical="center" wrapText="1"/>
    </xf>
    <xf numFmtId="10" fontId="6" fillId="0" borderId="4" xfId="4" applyNumberFormat="1" applyFont="1" applyFill="1" applyBorder="1" applyAlignment="1" applyProtection="1">
      <alignment horizontal="center" vertical="center" wrapText="1"/>
    </xf>
    <xf numFmtId="37" fontId="6" fillId="0" borderId="1" xfId="4" applyNumberFormat="1" applyFont="1" applyFill="1" applyBorder="1" applyAlignment="1" applyProtection="1">
      <alignment horizontal="right" vertical="center"/>
    </xf>
    <xf numFmtId="0" fontId="17" fillId="0" borderId="0" xfId="0" applyFont="1" applyFill="1" applyBorder="1" applyAlignment="1" applyProtection="1"/>
    <xf numFmtId="37" fontId="17" fillId="0" borderId="0" xfId="4" applyNumberFormat="1" applyFont="1" applyFill="1" applyBorder="1" applyAlignment="1" applyProtection="1">
      <alignment vertical="center" wrapText="1"/>
    </xf>
    <xf numFmtId="37" fontId="17" fillId="0" borderId="0" xfId="0" applyNumberFormat="1" applyFont="1" applyFill="1" applyBorder="1" applyAlignment="1" applyProtection="1">
      <alignment vertical="center"/>
    </xf>
    <xf numFmtId="0" fontId="6" fillId="6" borderId="6" xfId="0" applyFont="1" applyFill="1" applyBorder="1" applyAlignment="1">
      <alignment horizontal="center"/>
    </xf>
    <xf numFmtId="168" fontId="0" fillId="3" borderId="1" xfId="0" applyNumberFormat="1" applyFill="1" applyBorder="1" applyAlignment="1">
      <alignment horizontal="right"/>
    </xf>
    <xf numFmtId="168" fontId="0" fillId="0" borderId="1" xfId="0" applyNumberFormat="1" applyFill="1" applyBorder="1" applyAlignment="1">
      <alignment horizontal="right"/>
    </xf>
    <xf numFmtId="166" fontId="0" fillId="0" borderId="1" xfId="0" applyNumberFormat="1" applyBorder="1" applyAlignment="1">
      <alignment horizontal="right"/>
    </xf>
    <xf numFmtId="166" fontId="6" fillId="0" borderId="1" xfId="0" applyNumberFormat="1" applyFont="1" applyBorder="1" applyAlignment="1">
      <alignment horizontal="right"/>
    </xf>
    <xf numFmtId="171" fontId="6" fillId="0" borderId="1" xfId="0" applyNumberFormat="1" applyFont="1" applyBorder="1" applyAlignment="1">
      <alignment horizontal="center"/>
    </xf>
  </cellXfs>
  <cellStyles count="6">
    <cellStyle name="Comma 2" xfId="4"/>
    <cellStyle name="Currency 5" xfId="2"/>
    <cellStyle name="Normal" xfId="0" builtinId="0"/>
    <cellStyle name="Normal 12" xfId="3"/>
    <cellStyle name="Percent 2" xfId="5"/>
    <cellStyle name="Percent 3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412102</xdr:colOff>
      <xdr:row>35</xdr:row>
      <xdr:rowOff>55886</xdr:rowOff>
    </xdr:from>
    <xdr:to>
      <xdr:col>2</xdr:col>
      <xdr:colOff>414291</xdr:colOff>
      <xdr:row>36</xdr:row>
      <xdr:rowOff>104241</xdr:rowOff>
    </xdr:to>
    <xdr:cxnSp macro="">
      <xdr:nvCxnSpPr>
        <xdr:cNvPr id="2" name="Straight Connector 1"/>
        <xdr:cNvCxnSpPr/>
      </xdr:nvCxnSpPr>
      <xdr:spPr bwMode="auto">
        <a:xfrm>
          <a:off x="2964802" y="6009011"/>
          <a:ext cx="2189" cy="229330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409888</xdr:colOff>
      <xdr:row>36</xdr:row>
      <xdr:rowOff>105400</xdr:rowOff>
    </xdr:from>
    <xdr:to>
      <xdr:col>13</xdr:col>
      <xdr:colOff>486833</xdr:colOff>
      <xdr:row>36</xdr:row>
      <xdr:rowOff>105833</xdr:rowOff>
    </xdr:to>
    <xdr:cxnSp macro="">
      <xdr:nvCxnSpPr>
        <xdr:cNvPr id="3" name="Straight Connector 2"/>
        <xdr:cNvCxnSpPr/>
      </xdr:nvCxnSpPr>
      <xdr:spPr bwMode="auto">
        <a:xfrm>
          <a:off x="2962588" y="6239500"/>
          <a:ext cx="8858995" cy="433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13</xdr:col>
      <xdr:colOff>482517</xdr:colOff>
      <xdr:row>36</xdr:row>
      <xdr:rowOff>103397</xdr:rowOff>
    </xdr:from>
    <xdr:to>
      <xdr:col>13</xdr:col>
      <xdr:colOff>483707</xdr:colOff>
      <xdr:row>37</xdr:row>
      <xdr:rowOff>168330</xdr:rowOff>
    </xdr:to>
    <xdr:cxnSp macro="">
      <xdr:nvCxnSpPr>
        <xdr:cNvPr id="4" name="Straight Arrow Connector 3"/>
        <xdr:cNvCxnSpPr/>
      </xdr:nvCxnSpPr>
      <xdr:spPr bwMode="auto">
        <a:xfrm>
          <a:off x="11817267" y="6237497"/>
          <a:ext cx="1190" cy="245908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6</xdr:col>
      <xdr:colOff>514182</xdr:colOff>
      <xdr:row>148</xdr:row>
      <xdr:rowOff>66675</xdr:rowOff>
    </xdr:from>
    <xdr:to>
      <xdr:col>6</xdr:col>
      <xdr:colOff>514350</xdr:colOff>
      <xdr:row>149</xdr:row>
      <xdr:rowOff>147511</xdr:rowOff>
    </xdr:to>
    <xdr:cxnSp macro="">
      <xdr:nvCxnSpPr>
        <xdr:cNvPr id="5" name="Straight Connector 4"/>
        <xdr:cNvCxnSpPr/>
      </xdr:nvCxnSpPr>
      <xdr:spPr bwMode="auto">
        <a:xfrm flipH="1">
          <a:off x="5981532" y="24669750"/>
          <a:ext cx="168" cy="242761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379314</xdr:colOff>
      <xdr:row>149</xdr:row>
      <xdr:rowOff>151726</xdr:rowOff>
    </xdr:from>
    <xdr:to>
      <xdr:col>6</xdr:col>
      <xdr:colOff>518396</xdr:colOff>
      <xdr:row>149</xdr:row>
      <xdr:rowOff>155941</xdr:rowOff>
    </xdr:to>
    <xdr:cxnSp macro="">
      <xdr:nvCxnSpPr>
        <xdr:cNvPr id="6" name="Straight Connector 5"/>
        <xdr:cNvCxnSpPr/>
      </xdr:nvCxnSpPr>
      <xdr:spPr bwMode="auto">
        <a:xfrm flipH="1">
          <a:off x="2932014" y="24916726"/>
          <a:ext cx="3053732" cy="421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2</xdr:col>
      <xdr:colOff>375099</xdr:colOff>
      <xdr:row>149</xdr:row>
      <xdr:rowOff>155941</xdr:rowOff>
    </xdr:from>
    <xdr:to>
      <xdr:col>2</xdr:col>
      <xdr:colOff>375099</xdr:colOff>
      <xdr:row>150</xdr:row>
      <xdr:rowOff>155941</xdr:rowOff>
    </xdr:to>
    <xdr:cxnSp macro="">
      <xdr:nvCxnSpPr>
        <xdr:cNvPr id="7" name="Straight Arrow Connector 6"/>
        <xdr:cNvCxnSpPr/>
      </xdr:nvCxnSpPr>
      <xdr:spPr bwMode="auto">
        <a:xfrm>
          <a:off x="2927799" y="24920941"/>
          <a:ext cx="0" cy="266700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10</xdr:col>
      <xdr:colOff>352425</xdr:colOff>
      <xdr:row>132</xdr:row>
      <xdr:rowOff>66675</xdr:rowOff>
    </xdr:from>
    <xdr:to>
      <xdr:col>10</xdr:col>
      <xdr:colOff>371475</xdr:colOff>
      <xdr:row>165</xdr:row>
      <xdr:rowOff>9525</xdr:rowOff>
    </xdr:to>
    <xdr:cxnSp macro="">
      <xdr:nvCxnSpPr>
        <xdr:cNvPr id="8" name="Straight Connector 7"/>
        <xdr:cNvCxnSpPr/>
      </xdr:nvCxnSpPr>
      <xdr:spPr bwMode="auto">
        <a:xfrm>
          <a:off x="9172575" y="21783675"/>
          <a:ext cx="19050" cy="5934075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4</xdr:col>
      <xdr:colOff>334086</xdr:colOff>
      <xdr:row>165</xdr:row>
      <xdr:rowOff>9526</xdr:rowOff>
    </xdr:from>
    <xdr:to>
      <xdr:col>10</xdr:col>
      <xdr:colOff>371476</xdr:colOff>
      <xdr:row>165</xdr:row>
      <xdr:rowOff>10662</xdr:rowOff>
    </xdr:to>
    <xdr:cxnSp macro="">
      <xdr:nvCxnSpPr>
        <xdr:cNvPr id="9" name="Straight Connector 8"/>
        <xdr:cNvCxnSpPr/>
      </xdr:nvCxnSpPr>
      <xdr:spPr bwMode="auto">
        <a:xfrm flipH="1">
          <a:off x="4125036" y="27717751"/>
          <a:ext cx="5066590" cy="1136"/>
        </a:xfrm>
        <a:prstGeom prst="line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>
    <xdr:from>
      <xdr:col>4</xdr:col>
      <xdr:colOff>333375</xdr:colOff>
      <xdr:row>164</xdr:row>
      <xdr:rowOff>9525</xdr:rowOff>
    </xdr:from>
    <xdr:to>
      <xdr:col>4</xdr:col>
      <xdr:colOff>333375</xdr:colOff>
      <xdr:row>165</xdr:row>
      <xdr:rowOff>9525</xdr:rowOff>
    </xdr:to>
    <xdr:cxnSp macro="">
      <xdr:nvCxnSpPr>
        <xdr:cNvPr id="10" name="Straight Arrow Connector 9"/>
        <xdr:cNvCxnSpPr/>
      </xdr:nvCxnSpPr>
      <xdr:spPr bwMode="auto">
        <a:xfrm flipV="1">
          <a:off x="4124325" y="27555825"/>
          <a:ext cx="0" cy="161925"/>
        </a:xfrm>
        <a:prstGeom prst="straightConnector1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triangle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cxnSp>
    <xdr:clientData/>
  </xdr:twoCellAnchor>
  <xdr:twoCellAnchor editAs="oneCell">
    <xdr:from>
      <xdr:col>0</xdr:col>
      <xdr:colOff>0</xdr:colOff>
      <xdr:row>1</xdr:row>
      <xdr:rowOff>85725</xdr:rowOff>
    </xdr:from>
    <xdr:to>
      <xdr:col>0</xdr:col>
      <xdr:colOff>1428750</xdr:colOff>
      <xdr:row>8</xdr:row>
      <xdr:rowOff>7938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47650"/>
          <a:ext cx="1428750" cy="1055688"/>
        </a:xfrm>
        <a:prstGeom prst="rect">
          <a:avLst/>
        </a:prstGeom>
      </xdr:spPr>
    </xdr:pic>
    <xdr:clientData/>
  </xdr:twoCellAnchor>
  <xdr:twoCellAnchor editAs="oneCell">
    <xdr:from>
      <xdr:col>0</xdr:col>
      <xdr:colOff>1828800</xdr:colOff>
      <xdr:row>9</xdr:row>
      <xdr:rowOff>180975</xdr:rowOff>
    </xdr:from>
    <xdr:to>
      <xdr:col>1</xdr:col>
      <xdr:colOff>238125</xdr:colOff>
      <xdr:row>11</xdr:row>
      <xdr:rowOff>133350</xdr:rowOff>
    </xdr:to>
    <xdr:pic macro="[0]!PowerSupplyCommodity"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28800" y="1704975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0</xdr:col>
      <xdr:colOff>1447800</xdr:colOff>
      <xdr:row>35</xdr:row>
      <xdr:rowOff>47625</xdr:rowOff>
    </xdr:from>
    <xdr:to>
      <xdr:col>0</xdr:col>
      <xdr:colOff>1790700</xdr:colOff>
      <xdr:row>37</xdr:row>
      <xdr:rowOff>28575</xdr:rowOff>
    </xdr:to>
    <xdr:pic macro="[0]!PowerSupplyCommodityProj"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447800" y="6000750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0</xdr:col>
      <xdr:colOff>1504950</xdr:colOff>
      <xdr:row>51</xdr:row>
      <xdr:rowOff>28575</xdr:rowOff>
    </xdr:from>
    <xdr:to>
      <xdr:col>0</xdr:col>
      <xdr:colOff>1847850</xdr:colOff>
      <xdr:row>53</xdr:row>
      <xdr:rowOff>47625</xdr:rowOff>
    </xdr:to>
    <xdr:pic macro="[0]!PSTransmissionNetwork"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504950" y="8629650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0</xdr:col>
      <xdr:colOff>1724025</xdr:colOff>
      <xdr:row>67</xdr:row>
      <xdr:rowOff>28575</xdr:rowOff>
    </xdr:from>
    <xdr:to>
      <xdr:col>1</xdr:col>
      <xdr:colOff>133350</xdr:colOff>
      <xdr:row>69</xdr:row>
      <xdr:rowOff>47625</xdr:rowOff>
    </xdr:to>
    <xdr:pic macro="[0]!PSTransmissionNetwork"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24025" y="11220450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3</xdr:col>
      <xdr:colOff>514350</xdr:colOff>
      <xdr:row>125</xdr:row>
      <xdr:rowOff>76200</xdr:rowOff>
    </xdr:from>
    <xdr:to>
      <xdr:col>4</xdr:col>
      <xdr:colOff>238125</xdr:colOff>
      <xdr:row>127</xdr:row>
      <xdr:rowOff>95250</xdr:rowOff>
    </xdr:to>
    <xdr:pic macro="[0]!PSLVProj"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686175" y="20659725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0</xdr:col>
      <xdr:colOff>1838325</xdr:colOff>
      <xdr:row>134</xdr:row>
      <xdr:rowOff>9525</xdr:rowOff>
    </xdr:from>
    <xdr:to>
      <xdr:col>1</xdr:col>
      <xdr:colOff>247650</xdr:colOff>
      <xdr:row>135</xdr:row>
      <xdr:rowOff>133350</xdr:rowOff>
    </xdr:to>
    <xdr:pic macro="[0]!PSLVAlloc"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838325" y="22050375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1</xdr:col>
      <xdr:colOff>466725</xdr:colOff>
      <xdr:row>150</xdr:row>
      <xdr:rowOff>9525</xdr:rowOff>
    </xdr:from>
    <xdr:to>
      <xdr:col>2</xdr:col>
      <xdr:colOff>190500</xdr:colOff>
      <xdr:row>151</xdr:row>
      <xdr:rowOff>190500</xdr:rowOff>
    </xdr:to>
    <xdr:pic macro="[0]!PSLVRateRider"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2400300" y="25041225"/>
          <a:ext cx="342900" cy="342900"/>
        </a:xfrm>
        <a:prstGeom prst="rect">
          <a:avLst/>
        </a:prstGeom>
      </xdr:spPr>
    </xdr:pic>
    <xdr:clientData/>
  </xdr:twoCellAnchor>
  <xdr:twoCellAnchor editAs="oneCell">
    <xdr:from>
      <xdr:col>5</xdr:col>
      <xdr:colOff>581025</xdr:colOff>
      <xdr:row>165</xdr:row>
      <xdr:rowOff>66675</xdr:rowOff>
    </xdr:from>
    <xdr:to>
      <xdr:col>6</xdr:col>
      <xdr:colOff>85725</xdr:colOff>
      <xdr:row>167</xdr:row>
      <xdr:rowOff>85725</xdr:rowOff>
    </xdr:to>
    <xdr:pic macro="[0]!PSLVadded"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210175" y="27774900"/>
          <a:ext cx="342900" cy="3429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5.%20TESI%20UTILITIES\ORPC\Application\Models\FInal%20Models\EB-2014-0105%202016%20ORPC%20Filing_Requirements_Chapter2_Appendices_Aug%2028%202015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Rates%202016/EB-2014-0105%202016%20ORPC%20Data%20Storage_2016051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Index"/>
      <sheetName val="COS Flowchart"/>
      <sheetName val="List of Key References"/>
      <sheetName val="App.2-AA_Capital Projects 2010"/>
      <sheetName val="App.2-AA_Capital Projects 2011"/>
      <sheetName val="App.2-AA_Capital Projects 2012"/>
      <sheetName val="App.2-AA_Capital Projects 2013"/>
      <sheetName val="App.2-AA_Capital Projects 2014"/>
      <sheetName val="App.2-AA_Capital Projects 2015"/>
      <sheetName val="App.2-AA_Capital Projects 2016"/>
      <sheetName val="App.2-AB_Capital Expenditures"/>
      <sheetName val="App. 2-AC_Customer Engagement"/>
      <sheetName val="App.2-B_Acct Instructions"/>
      <sheetName val="App.2-BA_Fixed Asset Cont"/>
      <sheetName val="Appendix 2-BB Service Life  "/>
      <sheetName val="App.2-CA_OldCGAAP_DepExp_2012"/>
      <sheetName val="App.2-CB_NewCGAAP_DepExp_2012"/>
      <sheetName val="App.2-CC_NewCGAAP_DepExp_2013"/>
      <sheetName val="App.2-CD_MIFRS_DepExp_2014"/>
      <sheetName val="App.2-CE_MIFRS_DepExp_2015"/>
      <sheetName val="App.2-CF_MIFRS_DepExp_2016"/>
      <sheetName val="App.2-CG_OldCGAAP_DepExp_2013"/>
      <sheetName val="App.2-CH_NewCGAAP_DepExp_2013"/>
      <sheetName val="App.2-CI_MIFRS_DepExp_2014"/>
      <sheetName val="App.2-CJ MIFRS_DepExp_2015"/>
      <sheetName val="App.2-CK MIFRS_DepExp_2016"/>
      <sheetName val="App.2-D_Overhead"/>
      <sheetName val="App.2-EA_Account 1575 (2015)"/>
      <sheetName val="App.2-EB_Account 1576 (2012)"/>
      <sheetName val="App.2-EC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_2-I LF_CDM"/>
      <sheetName val="App.2-IA_Act_Frcst_Data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ation"/>
      <sheetName val="App.2-OA Capital Structure"/>
      <sheetName val="App.2-OB_Debt Instruments"/>
      <sheetName val="App.2-P_Cost_Allocation"/>
      <sheetName val="App.2-PA_Res_Rate_Design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onciliation"/>
      <sheetName val="App.2-W_Bill Impacts"/>
      <sheetName val="App.2-W_Bill Impacts_hidden"/>
      <sheetName val="App.2-Y_MIFRS Summary Impacts"/>
      <sheetName val="App. 2-Z_Tariff"/>
      <sheetName val="lists"/>
      <sheetName val="lists2"/>
      <sheetName val="Sheet19"/>
    </sheetNames>
    <sheetDataSet>
      <sheetData sheetId="0">
        <row r="24">
          <cell r="E24">
            <v>2016</v>
          </cell>
        </row>
        <row r="28">
          <cell r="E28">
            <v>2010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"/>
      <sheetName val="0.1 LDC Info"/>
      <sheetName val="0.2 Customer Classes"/>
      <sheetName val="0.3 Templ Event Log"/>
      <sheetName val="Exhibit 1 -&gt;"/>
      <sheetName val="1.1 Trial Balance Summary"/>
      <sheetName val="1.2.TB Historical Balances"/>
      <sheetName val="1.3 TB Projected Balances"/>
      <sheetName val="1.4 TB Variance Analysis"/>
      <sheetName val="1.5 Organizational Structure"/>
      <sheetName val="Exhibit 2 -&gt;"/>
      <sheetName val="2.1. Rate Base Trend "/>
      <sheetName val="2.2 RateBase VarAnalysis"/>
      <sheetName val="2.3 Summary of Capital Projects"/>
      <sheetName val="2.4 Var Capital Expenditures"/>
      <sheetName val="FIXED ASSET CONTINUITY STMT -&gt;"/>
      <sheetName val="2.5 Service Life Comp"/>
      <sheetName val="2.6 Fixed Asset Cont Stmt"/>
      <sheetName val="2.7 Overhead"/>
      <sheetName val="2.8 Stranded Meters"/>
      <sheetName val="DEPRECIATION EXPENSES -&gt;"/>
      <sheetName val="2.9 Depreciation Expenses"/>
      <sheetName val="2.10 DeprExp Bridge NewGAAP"/>
      <sheetName val="2.11 DeprExp Test NewGAAP"/>
      <sheetName val="2.12 Proposed REG Invest."/>
      <sheetName val="2.13 SQI"/>
      <sheetName val="Exhibit 3 -&gt;"/>
      <sheetName val="OPERATING REVENUES -&gt;"/>
      <sheetName val="3.1 Other Oper Rev Detail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. PILs.Final PILs"/>
      <sheetName val="LOAD FORECAST -&gt;"/>
      <sheetName val="3.10 LoadForecast"/>
      <sheetName val="Exhibit 4 -&gt;"/>
      <sheetName val="OM&amp;A -&gt;"/>
      <sheetName val="4.1 OM&amp;A_Detailed_Analysis"/>
      <sheetName val="4.2 OM&amp;A_Summary_Analys"/>
      <sheetName val="4.3 OMA Programs Final"/>
      <sheetName val="4.3 OMA Programs"/>
      <sheetName val="4.4 OM&amp;A_Cost _Drivers"/>
      <sheetName val="4.5 Monthly Staff Lvl"/>
      <sheetName val="4.6 Yearly Staff Turnover"/>
      <sheetName val="4.7 Employee Costs"/>
      <sheetName val="4.8. Charitable Donations"/>
      <sheetName val="4.9 OM&amp;A_per_Cust_FTEE"/>
      <sheetName val="4.10 Regulatory_Costs"/>
      <sheetName val="4.11 Supplier Purchases"/>
      <sheetName val="4.12 PowerSupplExp"/>
      <sheetName val="4.13 Corp_Cost_Allocation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ncy"/>
      <sheetName val="6.4 Calc of ROE on Deemed Basis"/>
      <sheetName val="Exhibit 8 -&gt;"/>
      <sheetName val="8.1 Loss Factors"/>
      <sheetName val="8.2 IFRS Transition Costs"/>
      <sheetName val="8.3 Integrity Check"/>
    </sheetNames>
    <sheetDataSet>
      <sheetData sheetId="0"/>
      <sheetData sheetId="1">
        <row r="23">
          <cell r="E23">
            <v>2015</v>
          </cell>
        </row>
        <row r="25">
          <cell r="E25">
            <v>2016</v>
          </cell>
        </row>
        <row r="27">
          <cell r="E27">
            <v>2010</v>
          </cell>
        </row>
      </sheetData>
      <sheetData sheetId="2">
        <row r="13">
          <cell r="A13" t="str">
            <v>Residential</v>
          </cell>
          <cell r="D13" t="str">
            <v>kWh</v>
          </cell>
        </row>
        <row r="14">
          <cell r="A14" t="str">
            <v>General Service &lt; 50 kW</v>
          </cell>
          <cell r="D14" t="str">
            <v>kWh</v>
          </cell>
        </row>
        <row r="15">
          <cell r="A15" t="str">
            <v>General Service &gt; 50 to 4999 kW</v>
          </cell>
          <cell r="D15" t="str">
            <v>kW</v>
          </cell>
        </row>
        <row r="16">
          <cell r="A16" t="str">
            <v>Sentinel Lighting</v>
          </cell>
          <cell r="D16" t="str">
            <v>kWh</v>
          </cell>
        </row>
        <row r="17">
          <cell r="A17" t="str">
            <v>Streetlighting</v>
          </cell>
          <cell r="D17" t="str">
            <v>kW</v>
          </cell>
        </row>
        <row r="18">
          <cell r="A18" t="str">
            <v>Unmetered Scattered Load</v>
          </cell>
          <cell r="D18" t="str">
            <v>kWh</v>
          </cell>
        </row>
        <row r="19">
          <cell r="A19" t="str">
            <v>other</v>
          </cell>
        </row>
        <row r="20">
          <cell r="A20" t="str">
            <v>other</v>
          </cell>
        </row>
        <row r="21">
          <cell r="A21" t="str">
            <v>other</v>
          </cell>
        </row>
      </sheetData>
      <sheetData sheetId="3"/>
      <sheetData sheetId="4"/>
      <sheetData sheetId="5"/>
      <sheetData sheetId="6">
        <row r="303">
          <cell r="B303" t="str">
            <v xml:space="preserve">4075-Billed - LV
</v>
          </cell>
          <cell r="J303">
            <v>-189060.28</v>
          </cell>
          <cell r="M303">
            <v>-205209.87</v>
          </cell>
          <cell r="P303">
            <v>-202887.14</v>
          </cell>
          <cell r="S303">
            <v>-206776.08</v>
          </cell>
        </row>
        <row r="393">
          <cell r="B393" t="str">
            <v xml:space="preserve">4750-Charges - LV
</v>
          </cell>
          <cell r="J393">
            <v>0</v>
          </cell>
          <cell r="M393">
            <v>0</v>
          </cell>
          <cell r="P393">
            <v>0</v>
          </cell>
          <cell r="S393">
            <v>65790.8</v>
          </cell>
          <cell r="V393">
            <v>167194.67000000001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14">
          <cell r="I14">
            <v>9383.7903594694271</v>
          </cell>
          <cell r="J14">
            <v>9463</v>
          </cell>
        </row>
        <row r="15">
          <cell r="I15">
            <v>1299.5784496245794</v>
          </cell>
          <cell r="J15">
            <v>1281</v>
          </cell>
        </row>
        <row r="16">
          <cell r="I16">
            <v>146</v>
          </cell>
          <cell r="J16">
            <v>148</v>
          </cell>
        </row>
        <row r="28">
          <cell r="G28">
            <v>79483998.230000004</v>
          </cell>
        </row>
        <row r="29">
          <cell r="G29">
            <v>31649726.120000001</v>
          </cell>
        </row>
        <row r="30">
          <cell r="G30">
            <v>72512848.979999989</v>
          </cell>
        </row>
        <row r="31">
          <cell r="G31">
            <v>245570.47</v>
          </cell>
        </row>
        <row r="32">
          <cell r="G32">
            <v>2439791.5699999998</v>
          </cell>
        </row>
        <row r="33">
          <cell r="G33">
            <v>454406.25</v>
          </cell>
        </row>
        <row r="34">
          <cell r="G34">
            <v>0</v>
          </cell>
        </row>
        <row r="35">
          <cell r="G35">
            <v>0</v>
          </cell>
        </row>
        <row r="36">
          <cell r="G36">
            <v>0</v>
          </cell>
        </row>
        <row r="43">
          <cell r="I43">
            <v>78438793.189758629</v>
          </cell>
          <cell r="J43">
            <v>76966388.54895407</v>
          </cell>
        </row>
        <row r="44">
          <cell r="I44">
            <v>34953791.572912797</v>
          </cell>
          <cell r="J44">
            <v>34297660.558745287</v>
          </cell>
        </row>
        <row r="45">
          <cell r="I45">
            <v>72294221.463539079</v>
          </cell>
          <cell r="J45">
            <v>74077571.369279549</v>
          </cell>
        </row>
        <row r="46">
          <cell r="I46">
            <v>244830.07070901303</v>
          </cell>
          <cell r="J46">
            <v>250869.52551857277</v>
          </cell>
        </row>
        <row r="47">
          <cell r="I47">
            <v>2432435.555457274</v>
          </cell>
          <cell r="J47">
            <v>1379312.6173961633</v>
          </cell>
        </row>
        <row r="48">
          <cell r="I48">
            <v>453036.20715519035</v>
          </cell>
          <cell r="J48">
            <v>464211.67956462339</v>
          </cell>
        </row>
        <row r="49">
          <cell r="I49">
            <v>0</v>
          </cell>
          <cell r="J49">
            <v>0</v>
          </cell>
        </row>
        <row r="50">
          <cell r="I50">
            <v>0</v>
          </cell>
          <cell r="J50">
            <v>0</v>
          </cell>
        </row>
        <row r="51">
          <cell r="I51">
            <v>0</v>
          </cell>
          <cell r="J51">
            <v>0</v>
          </cell>
        </row>
        <row r="73">
          <cell r="I73">
            <v>0</v>
          </cell>
          <cell r="J73">
            <v>0</v>
          </cell>
        </row>
        <row r="74">
          <cell r="I74">
            <v>0</v>
          </cell>
          <cell r="J74">
            <v>0</v>
          </cell>
        </row>
        <row r="75">
          <cell r="I75">
            <v>198903.90576628249</v>
          </cell>
          <cell r="J75">
            <v>210852.79185851585</v>
          </cell>
        </row>
        <row r="76">
          <cell r="I76">
            <v>697.66573773827554</v>
          </cell>
          <cell r="J76">
            <v>714.8757180443971</v>
          </cell>
        </row>
        <row r="77">
          <cell r="I77">
            <v>6772.1454156893096</v>
          </cell>
          <cell r="J77">
            <v>3840.1451572869528</v>
          </cell>
        </row>
        <row r="78">
          <cell r="I78">
            <v>0</v>
          </cell>
          <cell r="J78">
            <v>0</v>
          </cell>
        </row>
        <row r="79">
          <cell r="I79">
            <v>0</v>
          </cell>
          <cell r="J79">
            <v>0</v>
          </cell>
        </row>
        <row r="80">
          <cell r="I80">
            <v>0</v>
          </cell>
          <cell r="J80">
            <v>0</v>
          </cell>
        </row>
        <row r="81">
          <cell r="I81">
            <v>0</v>
          </cell>
          <cell r="J81">
            <v>0</v>
          </cell>
        </row>
        <row r="87">
          <cell r="B87">
            <v>1.0389999999999999</v>
          </cell>
        </row>
        <row r="88">
          <cell r="B88">
            <v>1.0389999999999999</v>
          </cell>
        </row>
        <row r="89">
          <cell r="B89">
            <v>1.0389999999999999</v>
          </cell>
        </row>
        <row r="90">
          <cell r="B90">
            <v>1.0389999999999999</v>
          </cell>
        </row>
        <row r="91">
          <cell r="B91">
            <v>1.0389999999999999</v>
          </cell>
        </row>
        <row r="92">
          <cell r="B92">
            <v>1.0389999999999999</v>
          </cell>
        </row>
        <row r="93">
          <cell r="B93">
            <v>1.0389999999999999</v>
          </cell>
        </row>
        <row r="94">
          <cell r="B94">
            <v>1.0389999999999999</v>
          </cell>
        </row>
        <row r="95">
          <cell r="B95">
            <v>1.0389999999999999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4"/>
  <dimension ref="A1:M23"/>
  <sheetViews>
    <sheetView showGridLines="0" tabSelected="1" zoomScaleNormal="100" workbookViewId="0">
      <selection activeCell="C20" sqref="C20"/>
    </sheetView>
  </sheetViews>
  <sheetFormatPr defaultColWidth="8.7109375" defaultRowHeight="12.75" x14ac:dyDescent="0.2"/>
  <cols>
    <col min="1" max="1" width="29" customWidth="1"/>
    <col min="2" max="2" width="13.42578125" customWidth="1"/>
    <col min="3" max="3" width="15" style="36" customWidth="1"/>
    <col min="4" max="4" width="8.5703125" bestFit="1" customWidth="1"/>
    <col min="5" max="5" width="10.5703125" customWidth="1"/>
    <col min="6" max="6" width="9.85546875" customWidth="1"/>
    <col min="7" max="7" width="7.5703125" customWidth="1"/>
    <col min="8" max="8" width="11.5703125" customWidth="1"/>
    <col min="9" max="9" width="12.140625" customWidth="1"/>
  </cols>
  <sheetData>
    <row r="1" spans="1:13" ht="12" customHeight="1" x14ac:dyDescent="0.2">
      <c r="A1" s="1" t="s">
        <v>0</v>
      </c>
      <c r="B1" s="2"/>
      <c r="C1" s="3"/>
      <c r="D1" s="2"/>
      <c r="E1" s="2"/>
      <c r="F1" s="4"/>
      <c r="G1" s="2"/>
      <c r="H1" s="5"/>
      <c r="I1" s="6"/>
    </row>
    <row r="2" spans="1:13" x14ac:dyDescent="0.2">
      <c r="A2" s="3"/>
      <c r="B2" s="2"/>
      <c r="C2" s="3"/>
      <c r="D2" s="2"/>
      <c r="E2" s="2"/>
      <c r="F2" s="4"/>
      <c r="G2" s="2"/>
      <c r="H2" s="5"/>
      <c r="I2" s="6"/>
    </row>
    <row r="3" spans="1:13" x14ac:dyDescent="0.2">
      <c r="A3" s="3"/>
      <c r="B3" s="2"/>
      <c r="C3" s="3"/>
      <c r="D3" s="2"/>
      <c r="E3" s="2"/>
      <c r="F3" s="4"/>
      <c r="G3" s="2"/>
      <c r="H3" s="5"/>
      <c r="I3" s="6"/>
    </row>
    <row r="4" spans="1:13" x14ac:dyDescent="0.2">
      <c r="A4" s="3"/>
      <c r="B4" s="2"/>
      <c r="C4" s="3"/>
      <c r="D4" s="2"/>
      <c r="E4" s="2"/>
      <c r="F4" s="4"/>
      <c r="G4" s="2"/>
      <c r="H4" s="5"/>
      <c r="I4" s="6"/>
    </row>
    <row r="5" spans="1:13" x14ac:dyDescent="0.2">
      <c r="A5" s="3"/>
      <c r="B5" s="2"/>
      <c r="C5" s="3" t="s">
        <v>1</v>
      </c>
      <c r="D5" s="2"/>
      <c r="E5" s="2"/>
      <c r="F5" s="4"/>
      <c r="G5" s="2"/>
      <c r="H5" s="5"/>
      <c r="I5" s="6"/>
    </row>
    <row r="6" spans="1:13" x14ac:dyDescent="0.2">
      <c r="A6" s="3"/>
      <c r="B6" s="2"/>
      <c r="C6" s="3" t="s">
        <v>2</v>
      </c>
      <c r="D6" s="2"/>
      <c r="E6" s="2"/>
      <c r="F6" s="4"/>
      <c r="G6" s="2"/>
      <c r="H6" s="5"/>
      <c r="I6" s="6"/>
    </row>
    <row r="7" spans="1:13" x14ac:dyDescent="0.2">
      <c r="A7" s="3"/>
      <c r="B7" s="2"/>
      <c r="C7" s="3"/>
      <c r="D7" s="2"/>
      <c r="E7" s="2"/>
      <c r="F7" s="4"/>
      <c r="G7" s="2"/>
      <c r="H7" s="5"/>
      <c r="I7" s="6"/>
    </row>
    <row r="8" spans="1:13" x14ac:dyDescent="0.2">
      <c r="A8" s="3"/>
      <c r="B8" s="2"/>
      <c r="C8" s="3"/>
      <c r="D8" s="2"/>
      <c r="E8" s="2"/>
      <c r="F8" s="4"/>
      <c r="G8" s="2"/>
      <c r="H8" s="4"/>
      <c r="I8" s="2"/>
    </row>
    <row r="9" spans="1:13" ht="18" x14ac:dyDescent="0.2">
      <c r="A9" s="7" t="s">
        <v>3</v>
      </c>
      <c r="B9" s="7"/>
      <c r="C9" s="7"/>
      <c r="D9" s="7"/>
      <c r="E9" s="7"/>
      <c r="F9" s="7"/>
      <c r="G9" s="7"/>
      <c r="H9" s="7"/>
      <c r="I9" s="7"/>
    </row>
    <row r="10" spans="1:13" ht="18" x14ac:dyDescent="0.2">
      <c r="A10" s="7" t="s">
        <v>4</v>
      </c>
      <c r="B10" s="7"/>
      <c r="C10" s="7"/>
      <c r="D10" s="7"/>
      <c r="E10" s="7"/>
      <c r="F10" s="7"/>
      <c r="G10" s="7"/>
      <c r="H10" s="7"/>
      <c r="I10" s="7"/>
    </row>
    <row r="11" spans="1:13" ht="14.25" x14ac:dyDescent="0.2">
      <c r="A11" s="8"/>
      <c r="B11" s="8"/>
      <c r="C11" s="9"/>
      <c r="D11" s="8"/>
      <c r="E11" s="8"/>
      <c r="F11" s="10"/>
      <c r="G11" s="8"/>
      <c r="H11" s="8"/>
      <c r="I11" s="8"/>
    </row>
    <row r="12" spans="1:13" ht="25.5" x14ac:dyDescent="0.2">
      <c r="A12" s="11" t="s">
        <v>5</v>
      </c>
      <c r="B12" s="12" t="s">
        <v>6</v>
      </c>
      <c r="C12" s="12" t="s">
        <v>7</v>
      </c>
      <c r="D12" s="13" t="s">
        <v>8</v>
      </c>
      <c r="E12" s="12" t="s">
        <v>9</v>
      </c>
      <c r="F12" s="12" t="s">
        <v>10</v>
      </c>
      <c r="G12" s="13" t="s">
        <v>11</v>
      </c>
      <c r="H12" s="14"/>
    </row>
    <row r="13" spans="1:13" x14ac:dyDescent="0.2">
      <c r="A13" s="15" t="s">
        <v>12</v>
      </c>
      <c r="B13" s="16">
        <f>$D$19*C13</f>
        <v>150373.94354559729</v>
      </c>
      <c r="C13" s="17">
        <v>0.66190000000000004</v>
      </c>
      <c r="D13" s="18">
        <f>$D$21*C13</f>
        <v>75186.971772798643</v>
      </c>
      <c r="E13" s="19">
        <v>9463</v>
      </c>
      <c r="F13" s="20">
        <f>D13/E13</f>
        <v>7.9453631800484672</v>
      </c>
      <c r="G13" s="20">
        <f>F13/12</f>
        <v>0.66211359833737227</v>
      </c>
      <c r="K13" s="21"/>
      <c r="M13" s="21"/>
    </row>
    <row r="14" spans="1:13" x14ac:dyDescent="0.2">
      <c r="A14" s="15" t="s">
        <v>13</v>
      </c>
      <c r="B14" s="16">
        <f>$D$19*C14</f>
        <v>76811.346597320502</v>
      </c>
      <c r="C14" s="17">
        <v>0.33810000000000001</v>
      </c>
      <c r="D14" s="18">
        <f>$D$21*C14</f>
        <v>38405.673298660251</v>
      </c>
      <c r="E14" s="19">
        <v>1281</v>
      </c>
      <c r="F14" s="20">
        <f>D14/E14</f>
        <v>29.981009600827676</v>
      </c>
      <c r="G14" s="20">
        <f>F14/12</f>
        <v>2.4984174667356398</v>
      </c>
      <c r="K14" s="21"/>
      <c r="M14" s="21"/>
    </row>
    <row r="15" spans="1:13" x14ac:dyDescent="0.2">
      <c r="A15" s="15" t="s">
        <v>14</v>
      </c>
      <c r="B15" s="16"/>
      <c r="C15" s="17"/>
      <c r="D15" s="18"/>
      <c r="E15" s="19"/>
      <c r="F15" s="20"/>
      <c r="G15" s="20"/>
      <c r="K15" s="21"/>
      <c r="M15" s="21"/>
    </row>
    <row r="16" spans="1:13" x14ac:dyDescent="0.2">
      <c r="A16" s="15"/>
      <c r="B16" s="16"/>
      <c r="C16" s="22"/>
      <c r="D16" s="22"/>
      <c r="E16" s="23"/>
      <c r="F16" s="22"/>
      <c r="G16" s="22"/>
    </row>
    <row r="17" spans="1:8" x14ac:dyDescent="0.2">
      <c r="A17" s="15"/>
      <c r="B17" s="24" t="s">
        <v>15</v>
      </c>
      <c r="C17" s="25">
        <f>SUM(C13:C16)</f>
        <v>1</v>
      </c>
      <c r="D17" s="25"/>
      <c r="E17" s="23"/>
      <c r="F17" s="25"/>
      <c r="G17" s="25"/>
    </row>
    <row r="18" spans="1:8" x14ac:dyDescent="0.2">
      <c r="A18" s="26"/>
      <c r="C18"/>
    </row>
    <row r="19" spans="1:8" x14ac:dyDescent="0.2">
      <c r="A19" s="27" t="s">
        <v>16</v>
      </c>
      <c r="B19" s="28"/>
      <c r="C19" s="29"/>
      <c r="D19" s="30">
        <v>227185.29014291777</v>
      </c>
    </row>
    <row r="20" spans="1:8" x14ac:dyDescent="0.2">
      <c r="A20" s="29" t="s">
        <v>17</v>
      </c>
      <c r="B20" s="28"/>
      <c r="C20" s="37">
        <v>2</v>
      </c>
      <c r="D20" s="31"/>
      <c r="E20" s="32"/>
      <c r="F20" s="32"/>
      <c r="G20" s="32"/>
    </row>
    <row r="21" spans="1:8" x14ac:dyDescent="0.2">
      <c r="A21" s="27" t="s">
        <v>18</v>
      </c>
      <c r="B21" s="28"/>
      <c r="C21" s="29"/>
      <c r="D21" s="33">
        <f>D19/C20</f>
        <v>113592.64507145889</v>
      </c>
    </row>
    <row r="22" spans="1:8" x14ac:dyDescent="0.2">
      <c r="A22" s="34"/>
      <c r="B22" s="34"/>
      <c r="C22" s="35"/>
      <c r="D22" s="34"/>
      <c r="E22" s="34"/>
      <c r="F22" s="34"/>
      <c r="G22" s="34"/>
      <c r="H22" s="34"/>
    </row>
    <row r="23" spans="1:8" x14ac:dyDescent="0.2">
      <c r="A23" t="s">
        <v>19</v>
      </c>
    </row>
  </sheetData>
  <sheetProtection selectLockedCells="1" selectUnlockedCells="1"/>
  <mergeCells count="2">
    <mergeCell ref="A9:I9"/>
    <mergeCell ref="A10:I10"/>
  </mergeCells>
  <pageMargins left="0.7" right="0.7" top="0.75" bottom="0.75" header="0.51180555555555551" footer="0.51180555555555551"/>
  <pageSetup scale="98" firstPageNumber="0" orientation="portrait" horizontalDpi="300" verticalDpi="300" r:id="rId1"/>
  <headerFooter alignWithMargins="0"/>
  <colBreaks count="1" manualBreakCount="1">
    <brk id="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34">
    <tabColor rgb="FFFFC000"/>
    <pageSetUpPr fitToPage="1"/>
  </sheetPr>
  <dimension ref="A1:U183"/>
  <sheetViews>
    <sheetView showGridLines="0" topLeftCell="A151" zoomScaleNormal="100" workbookViewId="0">
      <selection activeCell="E179" sqref="E179"/>
    </sheetView>
  </sheetViews>
  <sheetFormatPr defaultColWidth="8.7109375" defaultRowHeight="12.75" x14ac:dyDescent="0.2"/>
  <cols>
    <col min="1" max="1" width="29" customWidth="1"/>
    <col min="2" max="4" width="9.28515625" customWidth="1"/>
    <col min="5" max="14" width="12.5703125" customWidth="1"/>
    <col min="15" max="15" width="13.85546875" bestFit="1" customWidth="1"/>
  </cols>
  <sheetData>
    <row r="1" spans="1:17" x14ac:dyDescent="0.2">
      <c r="A1" s="38" t="s">
        <v>20</v>
      </c>
      <c r="K1" s="39"/>
      <c r="N1" s="26" t="s">
        <v>21</v>
      </c>
      <c r="O1" s="40" t="s">
        <v>22</v>
      </c>
    </row>
    <row r="2" spans="1:17" x14ac:dyDescent="0.2">
      <c r="A2" s="36"/>
      <c r="K2" s="39"/>
      <c r="N2" s="26" t="s">
        <v>23</v>
      </c>
      <c r="O2" s="41"/>
    </row>
    <row r="3" spans="1:17" x14ac:dyDescent="0.2">
      <c r="A3" s="36"/>
      <c r="K3" s="39"/>
      <c r="N3" s="26" t="s">
        <v>24</v>
      </c>
      <c r="O3" s="41"/>
    </row>
    <row r="4" spans="1:17" x14ac:dyDescent="0.2">
      <c r="A4" s="36"/>
      <c r="K4" s="39"/>
      <c r="N4" s="26" t="s">
        <v>25</v>
      </c>
      <c r="O4" s="41"/>
    </row>
    <row r="5" spans="1:17" x14ac:dyDescent="0.2">
      <c r="A5" s="36"/>
      <c r="K5" s="39"/>
      <c r="N5" s="26" t="s">
        <v>26</v>
      </c>
      <c r="O5" s="42"/>
    </row>
    <row r="6" spans="1:17" x14ac:dyDescent="0.2">
      <c r="A6" s="36"/>
      <c r="K6" s="39"/>
      <c r="N6" s="26"/>
    </row>
    <row r="7" spans="1:17" x14ac:dyDescent="0.2">
      <c r="A7" s="36"/>
      <c r="K7" s="39"/>
      <c r="N7" s="26" t="s">
        <v>27</v>
      </c>
      <c r="O7" s="42"/>
    </row>
    <row r="8" spans="1:17" x14ac:dyDescent="0.2">
      <c r="A8" s="36"/>
      <c r="K8" s="39"/>
      <c r="M8" s="39"/>
    </row>
    <row r="9" spans="1:17" ht="18" x14ac:dyDescent="0.2">
      <c r="A9" s="7" t="s">
        <v>3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17" ht="18" x14ac:dyDescent="0.2">
      <c r="B10" s="43"/>
      <c r="C10" s="43"/>
      <c r="D10" s="43"/>
      <c r="E10" s="43"/>
      <c r="F10" s="43"/>
      <c r="G10" s="43" t="s">
        <v>28</v>
      </c>
      <c r="H10" s="43"/>
      <c r="I10" s="43"/>
      <c r="J10" s="43"/>
      <c r="K10" s="43"/>
      <c r="L10" s="43"/>
      <c r="M10" s="43"/>
      <c r="N10" s="43"/>
      <c r="O10" s="43"/>
      <c r="P10" s="43"/>
      <c r="Q10" s="43"/>
    </row>
    <row r="11" spans="1:17" x14ac:dyDescent="0.2">
      <c r="A11" s="44" t="s">
        <v>29</v>
      </c>
    </row>
    <row r="12" spans="1:17" x14ac:dyDescent="0.2">
      <c r="A12" s="44"/>
    </row>
    <row r="13" spans="1:17" s="51" customFormat="1" ht="18" x14ac:dyDescent="0.2">
      <c r="A13" s="45" t="s">
        <v>3</v>
      </c>
      <c r="B13" s="46" t="s">
        <v>30</v>
      </c>
      <c r="C13" s="47" t="s">
        <v>31</v>
      </c>
      <c r="D13" s="48"/>
      <c r="E13" s="49"/>
      <c r="F13" s="49"/>
      <c r="G13" s="50"/>
      <c r="H13" s="50"/>
      <c r="I13" s="50"/>
      <c r="J13" s="50"/>
      <c r="K13" s="50"/>
      <c r="L13" s="50"/>
    </row>
    <row r="14" spans="1:17" s="8" customFormat="1" ht="15" customHeight="1" x14ac:dyDescent="0.2">
      <c r="A14" s="52" t="s">
        <v>5</v>
      </c>
      <c r="B14" s="53"/>
      <c r="C14" s="54" t="s">
        <v>31</v>
      </c>
      <c r="D14" s="55"/>
      <c r="E14" s="56" t="s">
        <v>32</v>
      </c>
      <c r="F14" s="56" t="s">
        <v>33</v>
      </c>
      <c r="G14" s="57"/>
      <c r="H14" s="57"/>
      <c r="I14" s="57"/>
      <c r="J14" s="57"/>
      <c r="K14" s="57"/>
      <c r="L14" s="57"/>
    </row>
    <row r="15" spans="1:17" s="8" customFormat="1" ht="15" customHeight="1" x14ac:dyDescent="0.2">
      <c r="A15" s="15" t="str">
        <f>'[2]0.2 Customer Classes'!A13</f>
        <v>Residential</v>
      </c>
      <c r="B15" s="58"/>
      <c r="C15" s="59">
        <f>'[2]3.10 LoadForecast'!G28</f>
        <v>79483998.230000004</v>
      </c>
      <c r="D15" s="59"/>
      <c r="E15" s="60">
        <v>3415188</v>
      </c>
      <c r="F15" s="61">
        <f t="shared" ref="F15:F24" si="0">C15-E15</f>
        <v>76068810.230000004</v>
      </c>
      <c r="G15" s="57"/>
      <c r="H15" s="57"/>
      <c r="I15" s="57"/>
      <c r="J15" s="57"/>
      <c r="K15" s="57"/>
      <c r="L15" s="57"/>
    </row>
    <row r="16" spans="1:17" s="8" customFormat="1" ht="15" x14ac:dyDescent="0.2">
      <c r="A16" s="15" t="str">
        <f>'[2]0.2 Customer Classes'!A14</f>
        <v>General Service &lt; 50 kW</v>
      </c>
      <c r="B16" s="58"/>
      <c r="C16" s="59">
        <f>'[2]3.10 LoadForecast'!G29</f>
        <v>31649726.120000001</v>
      </c>
      <c r="D16" s="59"/>
      <c r="E16" s="60">
        <v>2656020</v>
      </c>
      <c r="F16" s="61">
        <f t="shared" si="0"/>
        <v>28993706.120000001</v>
      </c>
      <c r="G16" s="57"/>
      <c r="H16" s="57"/>
      <c r="I16" s="57"/>
      <c r="J16" s="57"/>
      <c r="K16" s="57"/>
      <c r="L16" s="57"/>
    </row>
    <row r="17" spans="1:21" s="8" customFormat="1" ht="12.75" customHeight="1" x14ac:dyDescent="0.2">
      <c r="A17" s="15" t="str">
        <f>'[2]0.2 Customer Classes'!A15</f>
        <v>General Service &gt; 50 to 4999 kW</v>
      </c>
      <c r="B17" s="58"/>
      <c r="C17" s="59">
        <f>'[2]3.10 LoadForecast'!G30</f>
        <v>72512848.979999989</v>
      </c>
      <c r="D17" s="59"/>
      <c r="E17" s="60">
        <v>62009680</v>
      </c>
      <c r="F17" s="61">
        <f t="shared" si="0"/>
        <v>10503168.979999989</v>
      </c>
      <c r="G17" s="57"/>
      <c r="H17" s="57"/>
      <c r="I17" s="57"/>
      <c r="J17" s="57"/>
      <c r="K17" s="57"/>
      <c r="L17" s="57"/>
    </row>
    <row r="18" spans="1:21" s="8" customFormat="1" ht="12.75" customHeight="1" x14ac:dyDescent="0.2">
      <c r="A18" s="15" t="str">
        <f>'[2]0.2 Customer Classes'!A16</f>
        <v>Sentinel Lighting</v>
      </c>
      <c r="B18" s="58"/>
      <c r="C18" s="59">
        <f>'[2]3.10 LoadForecast'!G31</f>
        <v>245570.47</v>
      </c>
      <c r="D18" s="59"/>
      <c r="E18" s="60">
        <v>5184</v>
      </c>
      <c r="F18" s="61">
        <f t="shared" si="0"/>
        <v>240386.47</v>
      </c>
      <c r="G18" s="57"/>
      <c r="H18" s="57"/>
      <c r="I18" s="57"/>
      <c r="J18" s="57"/>
      <c r="K18" s="57"/>
      <c r="L18" s="57"/>
    </row>
    <row r="19" spans="1:21" s="8" customFormat="1" ht="12.75" customHeight="1" x14ac:dyDescent="0.2">
      <c r="A19" s="15" t="str">
        <f>'[2]0.2 Customer Classes'!A17</f>
        <v>Streetlighting</v>
      </c>
      <c r="B19" s="58"/>
      <c r="C19" s="59">
        <f>'[2]3.10 LoadForecast'!G32</f>
        <v>2439791.5699999998</v>
      </c>
      <c r="D19" s="59"/>
      <c r="E19" s="60">
        <v>2377067</v>
      </c>
      <c r="F19" s="61">
        <f t="shared" si="0"/>
        <v>62724.569999999832</v>
      </c>
      <c r="G19" s="57"/>
      <c r="H19" s="57"/>
      <c r="I19" s="57"/>
      <c r="J19" s="57"/>
      <c r="K19" s="57"/>
      <c r="L19" s="57"/>
    </row>
    <row r="20" spans="1:21" s="8" customFormat="1" ht="12.75" customHeight="1" x14ac:dyDescent="0.2">
      <c r="A20" s="15" t="str">
        <f>'[2]0.2 Customer Classes'!A18</f>
        <v>Unmetered Scattered Load</v>
      </c>
      <c r="B20" s="58"/>
      <c r="C20" s="59">
        <f>'[2]3.10 LoadForecast'!G33</f>
        <v>454406.25</v>
      </c>
      <c r="D20" s="59"/>
      <c r="E20" s="60">
        <v>25008</v>
      </c>
      <c r="F20" s="61">
        <f t="shared" si="0"/>
        <v>429398.25</v>
      </c>
      <c r="G20" s="57"/>
      <c r="H20" s="57"/>
      <c r="I20" s="57"/>
      <c r="J20" s="57"/>
      <c r="K20" s="57"/>
      <c r="L20" s="57"/>
    </row>
    <row r="21" spans="1:21" s="8" customFormat="1" ht="12.75" customHeight="1" x14ac:dyDescent="0.2">
      <c r="A21" s="15" t="str">
        <f>'[2]0.2 Customer Classes'!A19</f>
        <v>other</v>
      </c>
      <c r="B21" s="58"/>
      <c r="C21" s="59">
        <f>'[2]3.10 LoadForecast'!G34</f>
        <v>0</v>
      </c>
      <c r="D21" s="59"/>
      <c r="E21" s="60">
        <f>C21*0.25</f>
        <v>0</v>
      </c>
      <c r="F21" s="61">
        <f t="shared" si="0"/>
        <v>0</v>
      </c>
      <c r="G21" s="57"/>
      <c r="H21" s="57"/>
      <c r="I21" s="57"/>
      <c r="J21" s="57"/>
      <c r="K21" s="57"/>
      <c r="L21" s="57"/>
    </row>
    <row r="22" spans="1:21" s="8" customFormat="1" ht="12.75" customHeight="1" x14ac:dyDescent="0.2">
      <c r="A22" s="15" t="str">
        <f>'[2]0.2 Customer Classes'!A20</f>
        <v>other</v>
      </c>
      <c r="B22" s="58"/>
      <c r="C22" s="59">
        <f>'[2]3.10 LoadForecast'!G35</f>
        <v>0</v>
      </c>
      <c r="D22" s="59"/>
      <c r="E22" s="60">
        <f>C22*0.25</f>
        <v>0</v>
      </c>
      <c r="F22" s="61">
        <f t="shared" si="0"/>
        <v>0</v>
      </c>
      <c r="G22" s="57"/>
      <c r="H22" s="57"/>
      <c r="I22" s="57"/>
      <c r="J22" s="57"/>
      <c r="K22" s="57"/>
      <c r="L22" s="57"/>
    </row>
    <row r="23" spans="1:21" s="8" customFormat="1" ht="12.75" customHeight="1" x14ac:dyDescent="0.2">
      <c r="A23" s="15" t="str">
        <f>'[2]0.2 Customer Classes'!A21</f>
        <v>other</v>
      </c>
      <c r="B23" s="58"/>
      <c r="C23" s="59">
        <f>'[2]3.10 LoadForecast'!G36</f>
        <v>0</v>
      </c>
      <c r="D23" s="59"/>
      <c r="E23" s="60">
        <f>C23*0.25</f>
        <v>0</v>
      </c>
      <c r="F23" s="61">
        <f t="shared" si="0"/>
        <v>0</v>
      </c>
      <c r="G23" s="57"/>
      <c r="H23" s="57"/>
      <c r="I23" s="57"/>
      <c r="J23" s="57"/>
      <c r="K23" s="57"/>
      <c r="L23" s="57"/>
    </row>
    <row r="24" spans="1:21" s="8" customFormat="1" ht="12.75" customHeight="1" x14ac:dyDescent="0.2">
      <c r="A24" s="62" t="s">
        <v>15</v>
      </c>
      <c r="B24" s="63" t="s">
        <v>30</v>
      </c>
      <c r="C24" s="64">
        <f>SUM(C15:D20)</f>
        <v>186786341.61999997</v>
      </c>
      <c r="D24" s="64"/>
      <c r="E24" s="65">
        <f>SUM(E15:E20)</f>
        <v>70488147</v>
      </c>
      <c r="F24" s="49">
        <f t="shared" si="0"/>
        <v>116298194.61999997</v>
      </c>
      <c r="G24" s="57"/>
      <c r="H24" s="57"/>
      <c r="I24" s="57"/>
      <c r="J24" s="57"/>
      <c r="K24" s="57" t="s">
        <v>3</v>
      </c>
      <c r="L24" s="57"/>
    </row>
    <row r="25" spans="1:21" s="8" customFormat="1" ht="12.75" customHeight="1" x14ac:dyDescent="0.2">
      <c r="A25" s="66" t="s">
        <v>34</v>
      </c>
      <c r="B25" s="67" t="s">
        <v>30</v>
      </c>
      <c r="C25" s="68">
        <f>$C$24/$C$24</f>
        <v>1</v>
      </c>
      <c r="D25" s="68"/>
      <c r="E25" s="69">
        <f>$E$24/$C$24</f>
        <v>0.37737313332792716</v>
      </c>
      <c r="F25" s="69">
        <f>$F$24/$C$24</f>
        <v>0.6226268666720729</v>
      </c>
      <c r="G25" s="57"/>
      <c r="H25" s="57"/>
      <c r="I25" s="57"/>
      <c r="J25" s="57"/>
      <c r="K25" s="57"/>
      <c r="L25" s="57"/>
    </row>
    <row r="26" spans="1:21" s="8" customFormat="1" ht="12.75" customHeight="1" x14ac:dyDescent="0.2">
      <c r="A26" s="70" t="s">
        <v>30</v>
      </c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1"/>
      <c r="M26" s="57"/>
      <c r="N26" s="57"/>
      <c r="O26" s="57"/>
      <c r="P26" s="57"/>
    </row>
    <row r="27" spans="1:21" s="8" customFormat="1" ht="12.75" customHeight="1" x14ac:dyDescent="0.2">
      <c r="A27" s="72" t="s">
        <v>35</v>
      </c>
      <c r="B27" s="70"/>
      <c r="C27" s="70"/>
      <c r="D27" s="70"/>
      <c r="E27" s="70"/>
      <c r="F27" s="70"/>
      <c r="G27" s="70"/>
      <c r="H27" s="70"/>
      <c r="I27" s="70"/>
      <c r="J27" s="70"/>
      <c r="K27" s="70"/>
      <c r="L27" s="71"/>
      <c r="M27" s="57"/>
      <c r="N27" s="57"/>
      <c r="O27" s="57"/>
      <c r="P27" s="57"/>
    </row>
    <row r="28" spans="1:21" s="8" customFormat="1" ht="12.75" customHeight="1" x14ac:dyDescent="0.2">
      <c r="A28" s="72"/>
      <c r="B28" s="70"/>
      <c r="C28" s="70"/>
      <c r="D28" s="70"/>
      <c r="E28" s="70"/>
      <c r="F28" s="70"/>
      <c r="G28" s="70"/>
      <c r="H28" s="70"/>
      <c r="I28" s="70"/>
      <c r="J28" s="70"/>
      <c r="K28" s="70"/>
      <c r="L28" s="71"/>
      <c r="M28" s="57"/>
      <c r="N28" s="57"/>
      <c r="O28" s="57"/>
      <c r="P28" s="57"/>
    </row>
    <row r="29" spans="1:21" s="8" customFormat="1" ht="12.75" customHeight="1" x14ac:dyDescent="0.2">
      <c r="A29" s="73" t="s">
        <v>36</v>
      </c>
      <c r="B29" s="73"/>
      <c r="C29" s="73"/>
      <c r="D29" s="73"/>
      <c r="E29" s="74">
        <v>20.57</v>
      </c>
      <c r="F29" s="75"/>
      <c r="G29" s="76" t="s">
        <v>37</v>
      </c>
      <c r="H29" s="76"/>
      <c r="I29" s="76"/>
      <c r="J29" s="57"/>
      <c r="K29" s="57"/>
      <c r="L29" s="57"/>
      <c r="M29" s="57"/>
    </row>
    <row r="30" spans="1:21" s="8" customFormat="1" ht="12.75" customHeight="1" x14ac:dyDescent="0.2">
      <c r="A30" s="73" t="s">
        <v>38</v>
      </c>
      <c r="B30" s="73"/>
      <c r="C30" s="73"/>
      <c r="D30" s="73"/>
      <c r="E30" s="74">
        <v>87.92</v>
      </c>
      <c r="F30" s="75"/>
      <c r="G30" s="76" t="s">
        <v>39</v>
      </c>
      <c r="H30" s="76"/>
      <c r="I30" s="76"/>
      <c r="J30" s="57"/>
      <c r="K30" s="57"/>
      <c r="L30" s="57"/>
      <c r="M30" s="57"/>
    </row>
    <row r="31" spans="1:21" s="8" customFormat="1" ht="12.75" customHeight="1" x14ac:dyDescent="0.2">
      <c r="A31" s="77" t="s">
        <v>40</v>
      </c>
      <c r="B31" s="73"/>
      <c r="C31" s="73"/>
      <c r="D31" s="73"/>
      <c r="E31" s="78"/>
      <c r="F31" s="75"/>
    </row>
    <row r="32" spans="1:21" s="8" customFormat="1" ht="12.75" customHeight="1" x14ac:dyDescent="0.2">
      <c r="A32" s="27" t="s">
        <v>41</v>
      </c>
      <c r="B32" s="79"/>
      <c r="C32" s="79"/>
      <c r="D32" s="79"/>
      <c r="E32" s="80">
        <f>SUM(E29:E31)</f>
        <v>108.49000000000001</v>
      </c>
      <c r="F32" s="81">
        <v>107.28</v>
      </c>
      <c r="G32" s="76" t="s">
        <v>42</v>
      </c>
      <c r="H32" s="76"/>
      <c r="I32" s="76"/>
      <c r="J32" s="57"/>
      <c r="K32" s="57"/>
      <c r="L32" s="57"/>
      <c r="M32" s="57"/>
      <c r="U32" s="8" t="s">
        <v>3</v>
      </c>
    </row>
    <row r="33" spans="1:15" s="8" customFormat="1" ht="12.75" customHeight="1" x14ac:dyDescent="0.2">
      <c r="A33" s="82" t="s">
        <v>43</v>
      </c>
      <c r="B33" s="83"/>
      <c r="C33" s="83"/>
      <c r="D33" s="83"/>
      <c r="E33" s="84">
        <f>E32/1000</f>
        <v>0.10849</v>
      </c>
      <c r="F33" s="84">
        <f>F32/1000</f>
        <v>0.10728</v>
      </c>
      <c r="G33" s="57"/>
      <c r="H33" s="57"/>
      <c r="I33" s="57"/>
      <c r="J33" s="57"/>
      <c r="K33" s="57"/>
      <c r="L33" s="57"/>
      <c r="M33" s="57"/>
    </row>
    <row r="34" spans="1:15" s="8" customFormat="1" ht="12.75" customHeight="1" x14ac:dyDescent="0.2">
      <c r="A34" s="73" t="s">
        <v>34</v>
      </c>
      <c r="B34" s="73"/>
      <c r="C34" s="73"/>
      <c r="D34" s="73"/>
      <c r="E34" s="85">
        <f>E25</f>
        <v>0.37737313332792716</v>
      </c>
      <c r="F34" s="85">
        <f>F25</f>
        <v>0.6226268666720729</v>
      </c>
      <c r="G34" s="57"/>
      <c r="H34" s="57"/>
      <c r="I34" s="57"/>
      <c r="J34" s="57"/>
      <c r="K34" s="57"/>
      <c r="L34" s="57"/>
      <c r="M34" s="57"/>
    </row>
    <row r="35" spans="1:15" s="8" customFormat="1" ht="12.75" customHeight="1" x14ac:dyDescent="0.2">
      <c r="A35" s="27" t="s">
        <v>44</v>
      </c>
      <c r="B35" s="86"/>
      <c r="C35" s="86">
        <f>SUM(E35:F35)</f>
        <v>0.10773662149132679</v>
      </c>
      <c r="D35" s="86"/>
      <c r="E35" s="86">
        <f>E33*E34</f>
        <v>4.0941211234746817E-2</v>
      </c>
      <c r="F35" s="86">
        <f>F33*F34</f>
        <v>6.6795410256579979E-2</v>
      </c>
      <c r="G35" s="57"/>
      <c r="H35" s="57"/>
      <c r="I35" s="57"/>
      <c r="J35" s="57"/>
      <c r="K35" s="57"/>
      <c r="L35" s="57"/>
      <c r="M35" s="57"/>
    </row>
    <row r="36" spans="1:15" s="8" customFormat="1" ht="14.25" x14ac:dyDescent="0.2"/>
    <row r="37" spans="1:15" s="8" customFormat="1" ht="14.25" x14ac:dyDescent="0.2">
      <c r="A37" s="44" t="s">
        <v>45</v>
      </c>
    </row>
    <row r="38" spans="1:15" s="8" customFormat="1" ht="14.25" x14ac:dyDescent="0.2">
      <c r="A38" s="87" t="s">
        <v>46</v>
      </c>
    </row>
    <row r="39" spans="1:15" x14ac:dyDescent="0.2">
      <c r="E39" s="88">
        <f>'[2]0.1 LDC Info'!$E$27</f>
        <v>2010</v>
      </c>
      <c r="F39" s="88">
        <f>'[2]0.1 LDC Info'!$E$27+1</f>
        <v>2011</v>
      </c>
      <c r="G39" s="88">
        <f>'[2]0.1 LDC Info'!$E$27+2</f>
        <v>2012</v>
      </c>
      <c r="H39" s="88">
        <f>'[2]0.1 LDC Info'!$E$27+3</f>
        <v>2013</v>
      </c>
      <c r="I39" s="88">
        <f>'[2]0.1 LDC Info'!$E$27+4</f>
        <v>2014</v>
      </c>
      <c r="J39" s="89">
        <f>'[2]0.1 LDC Info'!$E$23</f>
        <v>2015</v>
      </c>
      <c r="K39" s="90"/>
      <c r="L39" s="90"/>
      <c r="M39" s="91">
        <f>'[2]0.1 LDC Info'!$E$25</f>
        <v>2016</v>
      </c>
      <c r="N39" s="90"/>
      <c r="O39" s="90"/>
    </row>
    <row r="40" spans="1:15" s="26" customFormat="1" x14ac:dyDescent="0.2">
      <c r="A40" s="92" t="s">
        <v>47</v>
      </c>
      <c r="B40" s="93"/>
      <c r="C40" s="93" t="s">
        <v>48</v>
      </c>
      <c r="D40" s="93" t="s">
        <v>49</v>
      </c>
      <c r="E40" s="94"/>
      <c r="F40" s="94"/>
      <c r="G40" s="94"/>
      <c r="H40" s="94"/>
      <c r="I40" s="94"/>
      <c r="J40" s="93" t="s">
        <v>3</v>
      </c>
      <c r="K40" s="93"/>
      <c r="L40" s="93"/>
      <c r="M40" s="93"/>
      <c r="N40" s="93"/>
      <c r="O40" s="93"/>
    </row>
    <row r="41" spans="1:15" x14ac:dyDescent="0.2">
      <c r="A41" s="95" t="s">
        <v>50</v>
      </c>
      <c r="B41" s="96"/>
      <c r="C41" s="96" t="s">
        <v>51</v>
      </c>
      <c r="D41" s="96" t="s">
        <v>51</v>
      </c>
      <c r="E41" s="96"/>
      <c r="F41" s="96"/>
      <c r="G41" s="96"/>
      <c r="H41" s="96"/>
      <c r="I41" s="96"/>
      <c r="J41" s="96" t="s">
        <v>52</v>
      </c>
      <c r="K41" s="97" t="s">
        <v>53</v>
      </c>
      <c r="L41" s="97" t="s">
        <v>54</v>
      </c>
      <c r="M41" s="97" t="s">
        <v>52</v>
      </c>
      <c r="N41" s="97" t="s">
        <v>53</v>
      </c>
      <c r="O41" s="96" t="s">
        <v>54</v>
      </c>
    </row>
    <row r="42" spans="1:15" x14ac:dyDescent="0.2">
      <c r="A42" s="15" t="str">
        <f>A15</f>
        <v>Residential</v>
      </c>
      <c r="B42" s="98" t="s">
        <v>55</v>
      </c>
      <c r="C42" s="98">
        <v>4006</v>
      </c>
      <c r="D42" s="98">
        <v>4705</v>
      </c>
      <c r="E42" s="98"/>
      <c r="F42" s="98"/>
      <c r="G42" s="98"/>
      <c r="H42" s="98"/>
      <c r="I42" s="98"/>
      <c r="J42" s="99">
        <f>CHOOSE(MATCH(B42,{0,"kWh","kW"},0),1,'[2]3.10 LoadForecast'!$I43*'[2]3.10 LoadForecast'!B87,'[2]3.10 LoadForecast'!$I73)</f>
        <v>81497906.124159202</v>
      </c>
      <c r="K42" s="100">
        <v>7.9600000000000004E-2</v>
      </c>
      <c r="L42" s="101">
        <f t="shared" ref="L42:L50" si="1">J42*K42</f>
        <v>6487233.3274830729</v>
      </c>
      <c r="M42" s="99">
        <f>CHOOSE(MATCH(B42,{0,"kWh","kW"},0),1,'[2]3.10 LoadForecast'!$J43*'[2]3.10 LoadForecast'!B87,'[2]3.10 LoadForecast'!$J73)</f>
        <v>79968077.702363268</v>
      </c>
      <c r="N42" s="102">
        <f t="shared" ref="N42:N50" si="2">$C$35</f>
        <v>0.10773662149132679</v>
      </c>
      <c r="O42" s="101">
        <f>ROUND(M42*N42,0)</f>
        <v>8615491</v>
      </c>
    </row>
    <row r="43" spans="1:15" x14ac:dyDescent="0.2">
      <c r="A43" s="15" t="str">
        <f t="shared" ref="A43:A50" si="3">A16</f>
        <v>General Service &lt; 50 kW</v>
      </c>
      <c r="B43" s="98" t="s">
        <v>55</v>
      </c>
      <c r="C43" s="98">
        <v>4010</v>
      </c>
      <c r="D43" s="98">
        <v>4705</v>
      </c>
      <c r="E43" s="98"/>
      <c r="F43" s="98"/>
      <c r="G43" s="98"/>
      <c r="H43" s="98"/>
      <c r="I43" s="98"/>
      <c r="J43" s="99">
        <f>CHOOSE(MATCH(B43,{0,"kWh","kW"},0),1,'[2]3.10 LoadForecast'!$I44*'[2]3.10 LoadForecast'!B88,'[2]3.10 LoadForecast'!$I74)</f>
        <v>36316989.444256395</v>
      </c>
      <c r="K43" s="100">
        <v>7.9600000000000004E-2</v>
      </c>
      <c r="L43" s="101">
        <f t="shared" si="1"/>
        <v>2890832.3597628092</v>
      </c>
      <c r="M43" s="99">
        <f>CHOOSE(MATCH(B43,{0,"kWh","kW"},0),1,'[2]3.10 LoadForecast'!$J44*'[2]3.10 LoadForecast'!B88,'[2]3.10 LoadForecast'!$J74)</f>
        <v>35635269.320536353</v>
      </c>
      <c r="N43" s="102">
        <f t="shared" si="2"/>
        <v>0.10773662149132679</v>
      </c>
      <c r="O43" s="101">
        <f t="shared" ref="O43:O50" si="4">ROUND(M43*N43,0)</f>
        <v>3839224</v>
      </c>
    </row>
    <row r="44" spans="1:15" x14ac:dyDescent="0.2">
      <c r="A44" s="15" t="str">
        <f t="shared" si="3"/>
        <v>General Service &gt; 50 to 4999 kW</v>
      </c>
      <c r="B44" s="98" t="s">
        <v>55</v>
      </c>
      <c r="C44" s="98">
        <v>4035</v>
      </c>
      <c r="D44" s="98">
        <v>4705</v>
      </c>
      <c r="E44" s="98"/>
      <c r="F44" s="98"/>
      <c r="G44" s="98"/>
      <c r="H44" s="98"/>
      <c r="I44" s="98"/>
      <c r="J44" s="99">
        <f>CHOOSE(MATCH(B44,{0,"kWh","kW"},0),1,'[2]3.10 LoadForecast'!$I45*'[2]3.10 LoadForecast'!B89,'[2]3.10 LoadForecast'!$I75)</f>
        <v>75113696.100617096</v>
      </c>
      <c r="K44" s="100">
        <v>7.9600000000000004E-2</v>
      </c>
      <c r="L44" s="101">
        <f t="shared" si="1"/>
        <v>5979050.2096091211</v>
      </c>
      <c r="M44" s="99">
        <f>CHOOSE(MATCH(B44,{0,"kWh","kW"},0),1,'[2]3.10 LoadForecast'!$J45*'[2]3.10 LoadForecast'!B89,'[2]3.10 LoadForecast'!$J75)</f>
        <v>76966596.65268144</v>
      </c>
      <c r="N44" s="102">
        <f t="shared" si="2"/>
        <v>0.10773662149132679</v>
      </c>
      <c r="O44" s="101">
        <f t="shared" si="4"/>
        <v>8292121</v>
      </c>
    </row>
    <row r="45" spans="1:15" x14ac:dyDescent="0.2">
      <c r="A45" s="15" t="str">
        <f t="shared" si="3"/>
        <v>Sentinel Lighting</v>
      </c>
      <c r="B45" s="98" t="s">
        <v>55</v>
      </c>
      <c r="C45" s="98">
        <v>4010</v>
      </c>
      <c r="D45" s="98">
        <v>4705</v>
      </c>
      <c r="E45" s="98"/>
      <c r="F45" s="98"/>
      <c r="G45" s="98"/>
      <c r="H45" s="98"/>
      <c r="I45" s="98"/>
      <c r="J45" s="99">
        <f>CHOOSE(MATCH(B45,{0,"kWh","kW"},0),1,'[2]3.10 LoadForecast'!$I46*'[2]3.10 LoadForecast'!B90,'[2]3.10 LoadForecast'!$I76)</f>
        <v>254378.44346666452</v>
      </c>
      <c r="K45" s="100">
        <v>7.9600000000000004E-2</v>
      </c>
      <c r="L45" s="101">
        <f t="shared" si="1"/>
        <v>20248.524099946499</v>
      </c>
      <c r="M45" s="99">
        <f>CHOOSE(MATCH(B45,{0,"kWh","kW"},0),1,'[2]3.10 LoadForecast'!$J46*'[2]3.10 LoadForecast'!B90,'[2]3.10 LoadForecast'!$J76)</f>
        <v>260653.43701379708</v>
      </c>
      <c r="N45" s="102">
        <f t="shared" si="2"/>
        <v>0.10773662149132679</v>
      </c>
      <c r="O45" s="101">
        <f t="shared" si="4"/>
        <v>28082</v>
      </c>
    </row>
    <row r="46" spans="1:15" x14ac:dyDescent="0.2">
      <c r="A46" s="15" t="str">
        <f t="shared" si="3"/>
        <v>Streetlighting</v>
      </c>
      <c r="B46" s="98" t="s">
        <v>55</v>
      </c>
      <c r="C46" s="98">
        <v>4025</v>
      </c>
      <c r="D46" s="98">
        <v>4705</v>
      </c>
      <c r="E46" s="98"/>
      <c r="F46" s="98"/>
      <c r="G46" s="98"/>
      <c r="H46" s="98"/>
      <c r="I46" s="98"/>
      <c r="J46" s="99">
        <f>CHOOSE(MATCH(B46,{0,"kWh","kW"},0),1,'[2]3.10 LoadForecast'!$I47*'[2]3.10 LoadForecast'!B91,'[2]3.10 LoadForecast'!$I77)</f>
        <v>2527300.5421201074</v>
      </c>
      <c r="K46" s="100">
        <v>7.9600000000000004E-2</v>
      </c>
      <c r="L46" s="101">
        <f t="shared" si="1"/>
        <v>201173.12315276056</v>
      </c>
      <c r="M46" s="99">
        <f>CHOOSE(MATCH(B46,{0,"kWh","kW"},0),1,'[2]3.10 LoadForecast'!$J47*'[2]3.10 LoadForecast'!B91,'[2]3.10 LoadForecast'!$J77)</f>
        <v>1433105.8094746135</v>
      </c>
      <c r="N46" s="102">
        <f t="shared" si="2"/>
        <v>0.10773662149132679</v>
      </c>
      <c r="O46" s="101">
        <f t="shared" si="4"/>
        <v>154398</v>
      </c>
    </row>
    <row r="47" spans="1:15" x14ac:dyDescent="0.2">
      <c r="A47" s="15" t="str">
        <f t="shared" si="3"/>
        <v>Unmetered Scattered Load</v>
      </c>
      <c r="B47" s="98" t="s">
        <v>55</v>
      </c>
      <c r="C47" s="98">
        <v>4025</v>
      </c>
      <c r="D47" s="98">
        <v>4705</v>
      </c>
      <c r="E47" s="98"/>
      <c r="F47" s="98"/>
      <c r="G47" s="98"/>
      <c r="H47" s="98"/>
      <c r="I47" s="98"/>
      <c r="J47" s="99">
        <f>CHOOSE(MATCH(B47,{0,"kWh","kW"},0),1,'[2]3.10 LoadForecast'!$I48*'[2]3.10 LoadForecast'!B92,'[2]3.10 LoadForecast'!$I78)</f>
        <v>470704.61923424277</v>
      </c>
      <c r="K47" s="100">
        <v>7.9600000000000004E-2</v>
      </c>
      <c r="L47" s="101">
        <f t="shared" si="1"/>
        <v>37468.087691045723</v>
      </c>
      <c r="M47" s="99">
        <f>CHOOSE(MATCH(B47,{0,"kWh","kW"},0),1,'[2]3.10 LoadForecast'!$J48*'[2]3.10 LoadForecast'!B92,'[2]3.10 LoadForecast'!$J78)</f>
        <v>482315.93506764364</v>
      </c>
      <c r="N47" s="102">
        <f t="shared" si="2"/>
        <v>0.10773662149132679</v>
      </c>
      <c r="O47" s="101">
        <f t="shared" si="4"/>
        <v>51963</v>
      </c>
    </row>
    <row r="48" spans="1:15" x14ac:dyDescent="0.2">
      <c r="A48" s="15" t="str">
        <f t="shared" si="3"/>
        <v>other</v>
      </c>
      <c r="B48" s="98" t="s">
        <v>55</v>
      </c>
      <c r="C48" s="98">
        <v>4025</v>
      </c>
      <c r="D48" s="98">
        <v>4705</v>
      </c>
      <c r="E48" s="98"/>
      <c r="F48" s="98"/>
      <c r="G48" s="98"/>
      <c r="H48" s="98"/>
      <c r="I48" s="98"/>
      <c r="J48" s="99">
        <f>CHOOSE(MATCH(B48,{0,"kWh","kW"},0),1,'[2]3.10 LoadForecast'!$I49*'[2]3.10 LoadForecast'!B93,'[2]3.10 LoadForecast'!$I79)</f>
        <v>0</v>
      </c>
      <c r="K48" s="100">
        <v>7.9600000000000004E-2</v>
      </c>
      <c r="L48" s="101">
        <f t="shared" si="1"/>
        <v>0</v>
      </c>
      <c r="M48" s="99">
        <f>CHOOSE(MATCH(B48,{0,"kWh","kW"},0),1,'[2]3.10 LoadForecast'!$J49*'[2]3.10 LoadForecast'!B93,'[2]3.10 LoadForecast'!$J79)</f>
        <v>0</v>
      </c>
      <c r="N48" s="102">
        <f t="shared" si="2"/>
        <v>0.10773662149132679</v>
      </c>
      <c r="O48" s="101">
        <f t="shared" si="4"/>
        <v>0</v>
      </c>
    </row>
    <row r="49" spans="1:17" x14ac:dyDescent="0.2">
      <c r="A49" s="15" t="str">
        <f t="shared" si="3"/>
        <v>other</v>
      </c>
      <c r="B49" s="98" t="s">
        <v>55</v>
      </c>
      <c r="C49" s="98">
        <v>4025</v>
      </c>
      <c r="D49" s="98">
        <v>4705</v>
      </c>
      <c r="E49" s="98"/>
      <c r="F49" s="98"/>
      <c r="G49" s="98"/>
      <c r="H49" s="98"/>
      <c r="I49" s="98"/>
      <c r="J49" s="99">
        <f>CHOOSE(MATCH(B49,{0,"kWh","kW"},0),1,'[2]3.10 LoadForecast'!$I50*'[2]3.10 LoadForecast'!B94,'[2]3.10 LoadForecast'!$I80)</f>
        <v>0</v>
      </c>
      <c r="K49" s="100">
        <v>7.9600000000000004E-2</v>
      </c>
      <c r="L49" s="101">
        <f t="shared" si="1"/>
        <v>0</v>
      </c>
      <c r="M49" s="99">
        <f>CHOOSE(MATCH(B49,{0,"kWh","kW"},0),1,'[2]3.10 LoadForecast'!$J50*'[2]3.10 LoadForecast'!B94,'[2]3.10 LoadForecast'!$J80)</f>
        <v>0</v>
      </c>
      <c r="N49" s="102">
        <f t="shared" si="2"/>
        <v>0.10773662149132679</v>
      </c>
      <c r="O49" s="101">
        <f t="shared" si="4"/>
        <v>0</v>
      </c>
    </row>
    <row r="50" spans="1:17" x14ac:dyDescent="0.2">
      <c r="A50" s="15" t="str">
        <f t="shared" si="3"/>
        <v>other</v>
      </c>
      <c r="B50" s="98" t="s">
        <v>55</v>
      </c>
      <c r="C50" s="98">
        <v>4025</v>
      </c>
      <c r="D50" s="98">
        <v>4705</v>
      </c>
      <c r="E50" s="98"/>
      <c r="F50" s="98"/>
      <c r="G50" s="98"/>
      <c r="H50" s="98"/>
      <c r="I50" s="98"/>
      <c r="J50" s="99">
        <f>CHOOSE(MATCH(B50,{0,"kWh","kW"},0),1,'[2]3.10 LoadForecast'!$I51*'[2]3.10 LoadForecast'!B95,'[2]3.10 LoadForecast'!$I81)</f>
        <v>0</v>
      </c>
      <c r="K50" s="100">
        <v>7.9600000000000004E-2</v>
      </c>
      <c r="L50" s="101">
        <f t="shared" si="1"/>
        <v>0</v>
      </c>
      <c r="M50" s="99">
        <f>CHOOSE(MATCH(B50,{0,"kWh","kW"},0),1,'[2]3.10 LoadForecast'!$J51*'[2]3.10 LoadForecast'!B95,'[2]3.10 LoadForecast'!$J81)</f>
        <v>0</v>
      </c>
      <c r="N50" s="102">
        <f t="shared" si="2"/>
        <v>0.10773662149132679</v>
      </c>
      <c r="O50" s="101">
        <f t="shared" si="4"/>
        <v>0</v>
      </c>
      <c r="Q50" s="103"/>
    </row>
    <row r="51" spans="1:17" x14ac:dyDescent="0.2">
      <c r="A51" s="92" t="s">
        <v>15</v>
      </c>
      <c r="B51" s="104"/>
      <c r="C51" s="93"/>
      <c r="D51" s="93"/>
      <c r="E51" s="105">
        <f>SUM(E42:E46)</f>
        <v>0</v>
      </c>
      <c r="F51" s="105">
        <f>SUM(F42:F46)</f>
        <v>0</v>
      </c>
      <c r="G51" s="105">
        <f>SUM(G42:G46)</f>
        <v>0</v>
      </c>
      <c r="H51" s="105">
        <f>SUM(H42:H46)</f>
        <v>0</v>
      </c>
      <c r="I51" s="105">
        <f>SUM(I42:I46)</f>
        <v>0</v>
      </c>
      <c r="J51" s="106">
        <f>SUM(J42:J50)</f>
        <v>196180975.27385369</v>
      </c>
      <c r="K51" s="107"/>
      <c r="L51" s="106">
        <f>SUM(L42:L50)</f>
        <v>15616005.631798757</v>
      </c>
      <c r="M51" s="106">
        <f>SUM(M42:M50)</f>
        <v>194746018.85713714</v>
      </c>
      <c r="N51" s="108"/>
      <c r="O51" s="106">
        <f>SUM(O42:O50)</f>
        <v>20981279</v>
      </c>
    </row>
    <row r="52" spans="1:17" x14ac:dyDescent="0.2">
      <c r="A52" s="39"/>
      <c r="B52" s="109"/>
      <c r="C52" s="109"/>
      <c r="D52" s="109"/>
      <c r="E52" s="109"/>
      <c r="F52" s="109"/>
      <c r="G52" s="109"/>
      <c r="H52" s="109"/>
      <c r="I52" s="109"/>
      <c r="J52" s="109"/>
      <c r="K52" s="109"/>
      <c r="L52" s="109"/>
      <c r="M52" s="109"/>
      <c r="N52" s="109"/>
      <c r="O52" s="109"/>
    </row>
    <row r="53" spans="1:17" x14ac:dyDescent="0.2">
      <c r="A53" s="44" t="s">
        <v>56</v>
      </c>
      <c r="B53" s="109"/>
      <c r="C53" s="109"/>
      <c r="D53" s="109"/>
      <c r="E53" s="109"/>
      <c r="F53" s="109"/>
      <c r="G53" s="109"/>
      <c r="H53" s="109"/>
      <c r="I53" s="109"/>
      <c r="J53" s="109"/>
      <c r="K53" s="109"/>
      <c r="L53" s="109"/>
      <c r="M53" s="109"/>
      <c r="N53" s="109"/>
      <c r="O53" s="109"/>
    </row>
    <row r="54" spans="1:17" x14ac:dyDescent="0.2">
      <c r="A54" s="87" t="s">
        <v>46</v>
      </c>
      <c r="B54" s="109"/>
      <c r="C54" s="109"/>
      <c r="D54" s="109"/>
      <c r="E54" s="109"/>
      <c r="F54" s="109"/>
      <c r="G54" s="109"/>
      <c r="H54" s="109"/>
      <c r="I54" s="109"/>
      <c r="J54" s="109"/>
      <c r="K54" s="109"/>
      <c r="L54" s="109"/>
      <c r="M54" s="109"/>
      <c r="N54" s="109"/>
      <c r="O54" s="109"/>
    </row>
    <row r="55" spans="1:17" x14ac:dyDescent="0.2">
      <c r="B55" s="109"/>
      <c r="C55" s="109"/>
      <c r="D55" s="109"/>
      <c r="E55" s="88">
        <f>'[2]0.1 LDC Info'!$E$27</f>
        <v>2010</v>
      </c>
      <c r="F55" s="88">
        <f>'[2]0.1 LDC Info'!$E$27+1</f>
        <v>2011</v>
      </c>
      <c r="G55" s="88">
        <f>'[2]0.1 LDC Info'!$E$27+2</f>
        <v>2012</v>
      </c>
      <c r="H55" s="88">
        <f>'[2]0.1 LDC Info'!$E$27+3</f>
        <v>2013</v>
      </c>
      <c r="I55" s="88">
        <f>'[2]0.1 LDC Info'!$E$27+4</f>
        <v>2014</v>
      </c>
      <c r="J55" s="89">
        <f>'[2]0.1 LDC Info'!$E$23</f>
        <v>2015</v>
      </c>
      <c r="K55" s="90"/>
      <c r="L55" s="90"/>
      <c r="M55" s="91">
        <f>'[2]0.1 LDC Info'!$E$25</f>
        <v>2016</v>
      </c>
      <c r="N55" s="90"/>
      <c r="O55" s="90"/>
    </row>
    <row r="56" spans="1:17" s="26" customFormat="1" x14ac:dyDescent="0.2">
      <c r="A56" s="92" t="s">
        <v>47</v>
      </c>
      <c r="B56" s="93"/>
      <c r="C56" s="93" t="s">
        <v>48</v>
      </c>
      <c r="D56" s="93" t="s">
        <v>49</v>
      </c>
      <c r="E56" s="94"/>
      <c r="F56" s="94"/>
      <c r="G56" s="94"/>
      <c r="H56" s="94"/>
      <c r="I56" s="94"/>
      <c r="J56" s="93"/>
      <c r="K56" s="93" t="s">
        <v>3</v>
      </c>
      <c r="L56" s="93"/>
      <c r="M56" s="93"/>
      <c r="N56" s="93" t="s">
        <v>3</v>
      </c>
      <c r="O56" s="93"/>
    </row>
    <row r="57" spans="1:17" x14ac:dyDescent="0.2">
      <c r="A57" s="95" t="s">
        <v>50</v>
      </c>
      <c r="B57" s="96"/>
      <c r="C57" s="96" t="s">
        <v>51</v>
      </c>
      <c r="D57" s="96" t="s">
        <v>51</v>
      </c>
      <c r="E57" s="96"/>
      <c r="F57" s="96"/>
      <c r="G57" s="96"/>
      <c r="H57" s="96"/>
      <c r="I57" s="96"/>
      <c r="J57" s="96" t="s">
        <v>52</v>
      </c>
      <c r="K57" s="96" t="s">
        <v>57</v>
      </c>
      <c r="L57" s="96" t="s">
        <v>54</v>
      </c>
      <c r="M57" s="96" t="s">
        <v>52</v>
      </c>
      <c r="N57" s="96" t="s">
        <v>57</v>
      </c>
      <c r="O57" s="96" t="s">
        <v>54</v>
      </c>
    </row>
    <row r="58" spans="1:17" x14ac:dyDescent="0.2">
      <c r="A58" s="15" t="str">
        <f>A15</f>
        <v>Residential</v>
      </c>
      <c r="B58" s="96" t="str">
        <f>'[2]0.2 Customer Classes'!$D$13</f>
        <v>kWh</v>
      </c>
      <c r="C58" s="98">
        <v>4066</v>
      </c>
      <c r="D58" s="98">
        <v>4714</v>
      </c>
      <c r="E58" s="98"/>
      <c r="F58" s="110">
        <v>394623.29</v>
      </c>
      <c r="G58" s="110">
        <v>407316.86</v>
      </c>
      <c r="H58" s="110">
        <v>471197.75</v>
      </c>
      <c r="I58" s="110">
        <v>510251.38</v>
      </c>
      <c r="J58" s="99">
        <f>CHOOSE(MATCH(B58,{0,"kWh","kW"},0),1,'[2]3.10 LoadForecast'!$I43*'[2]3.10 LoadForecast'!B87,'[2]3.10 LoadForecast'!$I73)</f>
        <v>81497906.124159202</v>
      </c>
      <c r="K58" s="111">
        <v>6.3E-3</v>
      </c>
      <c r="L58" s="101">
        <f t="shared" ref="L58:L66" si="5">J58*K58</f>
        <v>513436.808582203</v>
      </c>
      <c r="M58" s="99">
        <f>CHOOSE(MATCH(B58,{0,"kWh","kW"},0),1,'[2]3.10 LoadForecast'!$J43*'[2]3.10 LoadForecast'!B87,'[2]3.10 LoadForecast'!$J73)</f>
        <v>79968077.702363268</v>
      </c>
      <c r="N58" s="111">
        <v>5.9083602245513928E-3</v>
      </c>
      <c r="O58" s="101">
        <f>ROUND(M58*N58,0)</f>
        <v>472480</v>
      </c>
    </row>
    <row r="59" spans="1:17" x14ac:dyDescent="0.2">
      <c r="A59" s="15" t="str">
        <f t="shared" ref="A59:A66" si="6">A16</f>
        <v>General Service &lt; 50 kW</v>
      </c>
      <c r="B59" s="96" t="str">
        <f>'[2]0.2 Customer Classes'!$D$14</f>
        <v>kWh</v>
      </c>
      <c r="C59" s="98">
        <v>4066</v>
      </c>
      <c r="D59" s="98">
        <v>4714</v>
      </c>
      <c r="E59" s="98"/>
      <c r="F59" s="110">
        <v>147335.56</v>
      </c>
      <c r="G59" s="110">
        <v>152509.18</v>
      </c>
      <c r="H59" s="110">
        <v>171444.58</v>
      </c>
      <c r="I59" s="110">
        <v>186107.98</v>
      </c>
      <c r="J59" s="99">
        <f>CHOOSE(MATCH(B59,{0,"kWh","kW"},0),1,'[2]3.10 LoadForecast'!$I44*'[2]3.10 LoadForecast'!B88,'[2]3.10 LoadForecast'!$I74)</f>
        <v>36316989.444256395</v>
      </c>
      <c r="K59" s="111">
        <v>5.7999999999999996E-3</v>
      </c>
      <c r="L59" s="101">
        <f t="shared" si="5"/>
        <v>210638.53877668708</v>
      </c>
      <c r="M59" s="99">
        <f>CHOOSE(MATCH(B59,{0,"kWh","kW"},0),1,'[2]3.10 LoadForecast'!$J44*'[2]3.10 LoadForecast'!B88,'[2]3.10 LoadForecast'!$J74)</f>
        <v>35635269.320536353</v>
      </c>
      <c r="N59" s="111">
        <v>5.4394427051232775E-3</v>
      </c>
      <c r="O59" s="101">
        <f t="shared" ref="O59:O66" si="7">ROUND(M59*N59,0)</f>
        <v>193836</v>
      </c>
    </row>
    <row r="60" spans="1:17" x14ac:dyDescent="0.2">
      <c r="A60" s="15" t="str">
        <f t="shared" si="6"/>
        <v>General Service &gt; 50 to 4999 kW</v>
      </c>
      <c r="B60" s="96" t="str">
        <f>'[2]0.2 Customer Classes'!$D$15</f>
        <v>kW</v>
      </c>
      <c r="C60" s="98">
        <v>4066</v>
      </c>
      <c r="D60" s="98">
        <v>4714</v>
      </c>
      <c r="E60" s="98"/>
      <c r="F60" s="110">
        <f>237419.22+116592.81</f>
        <v>354012.03</v>
      </c>
      <c r="G60" s="110">
        <f>244966.32+133528.13</f>
        <v>378494.45</v>
      </c>
      <c r="H60" s="110">
        <f>274314.22+168691.8</f>
        <v>443006.01999999996</v>
      </c>
      <c r="I60" s="110">
        <f>303435.1+163337.51</f>
        <v>466772.61</v>
      </c>
      <c r="J60" s="99">
        <f>CHOOSE(MATCH(B60,{0,"kWh","kW"},0),1,'[2]3.10 LoadForecast'!$I45*'[2]3.10 LoadForecast'!B89,'[2]3.10 LoadForecast'!$I75)</f>
        <v>198903.90576628249</v>
      </c>
      <c r="K60" s="111">
        <v>2.3683000000000001</v>
      </c>
      <c r="L60" s="101">
        <f t="shared" si="5"/>
        <v>471064.12002628687</v>
      </c>
      <c r="M60" s="99">
        <f>CHOOSE(MATCH(B60,{0,"kWh","kW"},0),1,'[2]3.10 LoadForecast'!$J45*'[2]3.10 LoadForecast'!B89,'[2]3.10 LoadForecast'!$J75)</f>
        <v>210852.79185851585</v>
      </c>
      <c r="N60" s="111">
        <v>2.221074480589547</v>
      </c>
      <c r="O60" s="101">
        <f t="shared" si="7"/>
        <v>468320</v>
      </c>
    </row>
    <row r="61" spans="1:17" x14ac:dyDescent="0.2">
      <c r="A61" s="15" t="str">
        <f t="shared" si="6"/>
        <v>Sentinel Lighting</v>
      </c>
      <c r="B61" s="96" t="str">
        <f>'[2]0.2 Customer Classes'!$D$16</f>
        <v>kWh</v>
      </c>
      <c r="C61" s="98">
        <v>4066</v>
      </c>
      <c r="D61" s="98">
        <v>4714</v>
      </c>
      <c r="E61" s="98"/>
      <c r="F61" s="110">
        <v>994.4</v>
      </c>
      <c r="G61" s="110">
        <v>1014.46</v>
      </c>
      <c r="H61" s="110">
        <v>1124.3699999999999</v>
      </c>
      <c r="I61" s="110">
        <v>1206.25</v>
      </c>
      <c r="J61" s="99">
        <f>CHOOSE(MATCH(B61,{0,"kWh","kW"},0),1,'[2]3.10 LoadForecast'!$I46*'[2]3.10 LoadForecast'!B90,'[2]3.10 LoadForecast'!$I76)</f>
        <v>254378.44346666452</v>
      </c>
      <c r="K61" s="111">
        <v>1.7950999999999999</v>
      </c>
      <c r="L61" s="101">
        <f t="shared" si="5"/>
        <v>456634.74386700947</v>
      </c>
      <c r="M61" s="99">
        <f>CHOOSE(MATCH(B61,{0,"kWh","kW"},0),1,'[2]3.10 LoadForecast'!$J46*'[2]3.10 LoadForecast'!B90,'[2]3.10 LoadForecast'!$J76)</f>
        <v>260653.43701379708</v>
      </c>
      <c r="N61" s="111">
        <v>1.6835044305615157</v>
      </c>
      <c r="O61" s="101">
        <f t="shared" si="7"/>
        <v>438811</v>
      </c>
    </row>
    <row r="62" spans="1:17" x14ac:dyDescent="0.2">
      <c r="A62" s="15" t="str">
        <f t="shared" si="6"/>
        <v>Streetlighting</v>
      </c>
      <c r="B62" s="96" t="str">
        <f>'[2]0.2 Customer Classes'!$D$17</f>
        <v>kW</v>
      </c>
      <c r="C62" s="98">
        <v>4066</v>
      </c>
      <c r="D62" s="98">
        <v>4714</v>
      </c>
      <c r="E62" s="98"/>
      <c r="F62" s="110">
        <v>9248.4699999999993</v>
      </c>
      <c r="G62" s="110">
        <v>9580.76</v>
      </c>
      <c r="H62" s="110">
        <v>10909.59</v>
      </c>
      <c r="I62" s="110">
        <v>11915.74</v>
      </c>
      <c r="J62" s="99">
        <f>CHOOSE(MATCH(B62,{0,"kWh","kW"},0),1,'[2]3.10 LoadForecast'!$I47*'[2]3.10 LoadForecast'!B91,'[2]3.10 LoadForecast'!$I77)</f>
        <v>6772.1454156893096</v>
      </c>
      <c r="K62" s="111">
        <v>1.786</v>
      </c>
      <c r="L62" s="101">
        <f t="shared" si="5"/>
        <v>12095.051712421107</v>
      </c>
      <c r="M62" s="99">
        <f>CHOOSE(MATCH(B62,{0,"kWh","kW"},0),1,'[2]3.10 LoadForecast'!$J47*'[2]3.10 LoadForecast'!B91,'[2]3.10 LoadForecast'!$J77)</f>
        <v>3840.1451572869528</v>
      </c>
      <c r="N62" s="111">
        <v>1.6749743229237766</v>
      </c>
      <c r="O62" s="101">
        <f t="shared" si="7"/>
        <v>6432</v>
      </c>
    </row>
    <row r="63" spans="1:17" x14ac:dyDescent="0.2">
      <c r="A63" s="15" t="str">
        <f t="shared" si="6"/>
        <v>Unmetered Scattered Load</v>
      </c>
      <c r="B63" s="104" t="str">
        <f>'[2]0.2 Customer Classes'!$D$18</f>
        <v>kWh</v>
      </c>
      <c r="C63" s="98">
        <v>4066</v>
      </c>
      <c r="D63" s="98">
        <v>4714</v>
      </c>
      <c r="E63" s="98"/>
      <c r="F63" s="110">
        <v>2145.3200000000002</v>
      </c>
      <c r="G63" s="110">
        <v>2140.17</v>
      </c>
      <c r="H63" s="110">
        <v>2461.4699999999998</v>
      </c>
      <c r="I63" s="110">
        <v>2688.86</v>
      </c>
      <c r="J63" s="99">
        <f>CHOOSE(MATCH(B63,{0,"kWh","kW"},0),1,'[2]3.10 LoadForecast'!$I48*'[2]3.10 LoadForecast'!B92,'[2]3.10 LoadForecast'!$I78)</f>
        <v>470704.61923424277</v>
      </c>
      <c r="K63" s="111">
        <v>5.7999999999999996E-3</v>
      </c>
      <c r="L63" s="101">
        <f t="shared" si="5"/>
        <v>2730.0867915586077</v>
      </c>
      <c r="M63" s="99">
        <f>CHOOSE(MATCH(B63,{0,"kWh","kW"},0),1,'[2]3.10 LoadForecast'!$J48*'[2]3.10 LoadForecast'!B92,'[2]3.10 LoadForecast'!$J78)</f>
        <v>482315.93506764364</v>
      </c>
      <c r="N63" s="111">
        <v>5.4394385425159753E-3</v>
      </c>
      <c r="O63" s="101">
        <f t="shared" si="7"/>
        <v>2624</v>
      </c>
    </row>
    <row r="64" spans="1:17" x14ac:dyDescent="0.2">
      <c r="A64" s="15" t="str">
        <f t="shared" si="6"/>
        <v>other</v>
      </c>
      <c r="B64" s="104">
        <f>'[2]0.2 Customer Classes'!$D$19</f>
        <v>0</v>
      </c>
      <c r="C64" s="98">
        <v>4066</v>
      </c>
      <c r="D64" s="98">
        <v>4714</v>
      </c>
      <c r="E64" s="98"/>
      <c r="F64" s="98"/>
      <c r="G64" s="98"/>
      <c r="H64" s="98"/>
      <c r="I64" s="98"/>
      <c r="J64" s="99">
        <f>CHOOSE(MATCH(B64,{0,"kWh","kW"},0),1,'[2]3.10 LoadForecast'!$I49*'[2]3.10 LoadForecast'!B93,'[2]3.10 LoadForecast'!$I79)</f>
        <v>1</v>
      </c>
      <c r="K64" s="111">
        <v>0</v>
      </c>
      <c r="L64" s="101">
        <f t="shared" si="5"/>
        <v>0</v>
      </c>
      <c r="M64" s="99">
        <f>CHOOSE(MATCH(B64,{0,"kWh","kW"},0),1,'[2]3.10 LoadForecast'!$J49*'[2]3.10 LoadForecast'!B93,'[2]3.10 LoadForecast'!$J79)</f>
        <v>1</v>
      </c>
      <c r="N64" s="111">
        <v>0</v>
      </c>
      <c r="O64" s="101">
        <f t="shared" si="7"/>
        <v>0</v>
      </c>
    </row>
    <row r="65" spans="1:15" x14ac:dyDescent="0.2">
      <c r="A65" s="15" t="str">
        <f t="shared" si="6"/>
        <v>other</v>
      </c>
      <c r="B65" s="104">
        <f>'[2]0.2 Customer Classes'!$D$20</f>
        <v>0</v>
      </c>
      <c r="C65" s="98">
        <v>4066</v>
      </c>
      <c r="D65" s="98">
        <v>4714</v>
      </c>
      <c r="E65" s="98"/>
      <c r="F65" s="98"/>
      <c r="G65" s="98"/>
      <c r="H65" s="98"/>
      <c r="I65" s="98"/>
      <c r="J65" s="99">
        <f>CHOOSE(MATCH(B65,{0,"kWh","kW"},0),1,'[2]3.10 LoadForecast'!$I50*'[2]3.10 LoadForecast'!B94,'[2]3.10 LoadForecast'!$I80)</f>
        <v>1</v>
      </c>
      <c r="K65" s="111">
        <v>0</v>
      </c>
      <c r="L65" s="101">
        <f t="shared" si="5"/>
        <v>0</v>
      </c>
      <c r="M65" s="99">
        <f>CHOOSE(MATCH(B65,{0,"kWh","kW"},0),1,'[2]3.10 LoadForecast'!$J50*'[2]3.10 LoadForecast'!B94,'[2]3.10 LoadForecast'!$J80)</f>
        <v>1</v>
      </c>
      <c r="N65" s="111">
        <v>0</v>
      </c>
      <c r="O65" s="101">
        <f t="shared" si="7"/>
        <v>0</v>
      </c>
    </row>
    <row r="66" spans="1:15" x14ac:dyDescent="0.2">
      <c r="A66" s="15" t="str">
        <f t="shared" si="6"/>
        <v>other</v>
      </c>
      <c r="B66" s="104">
        <f>'[2]0.2 Customer Classes'!$D$21</f>
        <v>0</v>
      </c>
      <c r="C66" s="98">
        <v>4066</v>
      </c>
      <c r="D66" s="98">
        <v>4714</v>
      </c>
      <c r="E66" s="98"/>
      <c r="F66" s="98"/>
      <c r="G66" s="98"/>
      <c r="H66" s="98"/>
      <c r="I66" s="98"/>
      <c r="J66" s="99">
        <f>CHOOSE(MATCH(B66,{0,"kWh","kW"},0),1,'[2]3.10 LoadForecast'!$I51*'[2]3.10 LoadForecast'!B95,'[2]3.10 LoadForecast'!$I81)</f>
        <v>1</v>
      </c>
      <c r="K66" s="111">
        <v>0</v>
      </c>
      <c r="L66" s="101">
        <f t="shared" si="5"/>
        <v>0</v>
      </c>
      <c r="M66" s="99">
        <f>CHOOSE(MATCH(B66,{0,"kWh","kW"},0),1,'[2]3.10 LoadForecast'!$J51*'[2]3.10 LoadForecast'!B95,'[2]3.10 LoadForecast'!$J81)</f>
        <v>1</v>
      </c>
      <c r="N66" s="111">
        <v>0</v>
      </c>
      <c r="O66" s="101">
        <f t="shared" si="7"/>
        <v>0</v>
      </c>
    </row>
    <row r="67" spans="1:15" x14ac:dyDescent="0.2">
      <c r="A67" s="92" t="s">
        <v>15</v>
      </c>
      <c r="B67" s="104">
        <f>'[2]0.2 Customer Classes'!$D$22</f>
        <v>0</v>
      </c>
      <c r="C67" s="93"/>
      <c r="D67" s="93"/>
      <c r="E67" s="105">
        <f>SUM(E58:E62)</f>
        <v>0</v>
      </c>
      <c r="F67" s="105">
        <f>SUM(F58:F66)</f>
        <v>908359.07</v>
      </c>
      <c r="G67" s="105">
        <f>SUM(G58:G66)</f>
        <v>951055.88</v>
      </c>
      <c r="H67" s="105">
        <f>SUM(H58:H66)</f>
        <v>1100143.78</v>
      </c>
      <c r="I67" s="105">
        <f>SUM(I58:I66)</f>
        <v>1178942.82</v>
      </c>
      <c r="J67" s="105">
        <f>SUM(J58:J66)</f>
        <v>118745657.68229848</v>
      </c>
      <c r="K67" s="107"/>
      <c r="L67" s="105">
        <f>SUM(L58:L66)</f>
        <v>1666599.3497561661</v>
      </c>
      <c r="M67" s="105">
        <f>SUM(M58:M66)</f>
        <v>116561012.33199686</v>
      </c>
      <c r="N67" s="108"/>
      <c r="O67" s="105">
        <f>SUM(O58:O66)</f>
        <v>1582503</v>
      </c>
    </row>
    <row r="68" spans="1:15" x14ac:dyDescent="0.2">
      <c r="A68" s="39"/>
      <c r="B68" s="112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</row>
    <row r="69" spans="1:15" x14ac:dyDescent="0.2">
      <c r="A69" s="44" t="s">
        <v>58</v>
      </c>
      <c r="B69" s="112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</row>
    <row r="70" spans="1:15" x14ac:dyDescent="0.2">
      <c r="A70" s="87" t="s">
        <v>46</v>
      </c>
      <c r="B70" s="112"/>
      <c r="C70" s="109"/>
      <c r="D70" s="109"/>
      <c r="E70" s="109"/>
      <c r="F70" s="109"/>
      <c r="G70" s="109"/>
      <c r="H70" s="109"/>
      <c r="I70" s="109"/>
      <c r="J70" s="109"/>
      <c r="K70" s="109"/>
      <c r="L70" s="109"/>
      <c r="M70" s="109"/>
      <c r="N70" s="109"/>
      <c r="O70" s="109"/>
    </row>
    <row r="71" spans="1:15" x14ac:dyDescent="0.2">
      <c r="B71" s="113"/>
      <c r="C71" s="36"/>
      <c r="D71" s="36"/>
      <c r="E71" s="88">
        <f>'[2]0.1 LDC Info'!$E$27</f>
        <v>2010</v>
      </c>
      <c r="F71" s="88">
        <f>'[2]0.1 LDC Info'!$E$27+1</f>
        <v>2011</v>
      </c>
      <c r="G71" s="88">
        <f>'[2]0.1 LDC Info'!$E$27+2</f>
        <v>2012</v>
      </c>
      <c r="H71" s="88">
        <f>'[2]0.1 LDC Info'!$E$27+3</f>
        <v>2013</v>
      </c>
      <c r="I71" s="88">
        <f>'[2]0.1 LDC Info'!$E$27+4</f>
        <v>2014</v>
      </c>
      <c r="J71" s="89">
        <f>'[2]0.1 LDC Info'!$E$23</f>
        <v>2015</v>
      </c>
      <c r="K71" s="90"/>
      <c r="L71" s="90"/>
      <c r="M71" s="91">
        <f>'[2]0.1 LDC Info'!$E$25</f>
        <v>2016</v>
      </c>
      <c r="N71" s="90"/>
      <c r="O71" s="90"/>
    </row>
    <row r="72" spans="1:15" s="26" customFormat="1" x14ac:dyDescent="0.2">
      <c r="A72" s="92" t="s">
        <v>47</v>
      </c>
      <c r="B72" s="114"/>
      <c r="C72" s="93" t="s">
        <v>48</v>
      </c>
      <c r="D72" s="93" t="s">
        <v>49</v>
      </c>
      <c r="E72" s="94"/>
      <c r="F72" s="94"/>
      <c r="G72" s="94"/>
      <c r="H72" s="94"/>
      <c r="I72" s="94"/>
      <c r="J72" s="93"/>
      <c r="K72" s="93" t="s">
        <v>3</v>
      </c>
      <c r="L72" s="93"/>
      <c r="M72" s="93"/>
      <c r="N72" s="93" t="s">
        <v>3</v>
      </c>
      <c r="O72" s="93"/>
    </row>
    <row r="73" spans="1:15" x14ac:dyDescent="0.2">
      <c r="A73" s="95" t="s">
        <v>50</v>
      </c>
      <c r="B73" s="115"/>
      <c r="C73" s="96" t="s">
        <v>51</v>
      </c>
      <c r="D73" s="96" t="s">
        <v>51</v>
      </c>
      <c r="E73" s="96"/>
      <c r="F73" s="96"/>
      <c r="G73" s="96"/>
      <c r="H73" s="96"/>
      <c r="I73" s="96"/>
      <c r="J73" s="96" t="s">
        <v>52</v>
      </c>
      <c r="K73" s="96" t="s">
        <v>57</v>
      </c>
      <c r="L73" s="96" t="s">
        <v>54</v>
      </c>
      <c r="M73" s="96" t="s">
        <v>52</v>
      </c>
      <c r="N73" s="96" t="s">
        <v>57</v>
      </c>
      <c r="O73" s="96" t="s">
        <v>54</v>
      </c>
    </row>
    <row r="74" spans="1:15" x14ac:dyDescent="0.2">
      <c r="A74" s="15" t="str">
        <f>A15</f>
        <v>Residential</v>
      </c>
      <c r="B74" s="96" t="str">
        <f>'[2]0.2 Customer Classes'!$D$13</f>
        <v>kWh</v>
      </c>
      <c r="C74" s="98">
        <v>4068</v>
      </c>
      <c r="D74" s="98">
        <v>4716</v>
      </c>
      <c r="E74" s="98"/>
      <c r="F74" s="110">
        <v>202551.59</v>
      </c>
      <c r="G74" s="110">
        <v>270071.84999999998</v>
      </c>
      <c r="H74" s="110">
        <v>340282.19</v>
      </c>
      <c r="I74" s="110">
        <v>361629.55</v>
      </c>
      <c r="J74" s="99">
        <f>CHOOSE(MATCH(B74,{0,"kWh","kW"},0),1,'[2]3.10 LoadForecast'!$I43*'[2]3.10 LoadForecast'!B87,'[2]3.10 LoadForecast'!$I73)</f>
        <v>81497906.124159202</v>
      </c>
      <c r="K74" s="111">
        <v>4.4999999999999997E-3</v>
      </c>
      <c r="L74" s="101">
        <f t="shared" ref="L74:L82" si="8">J74*K74</f>
        <v>366740.57755871641</v>
      </c>
      <c r="M74" s="99">
        <f>CHOOSE(MATCH(B74,{0,"kWh","kW"},0),1,'[2]3.10 LoadForecast'!$J43*'[2]3.10 LoadForecast'!B87,'[2]3.10 LoadForecast'!$J73)</f>
        <v>79968077.702363268</v>
      </c>
      <c r="N74" s="111">
        <v>4.5291837326333229E-3</v>
      </c>
      <c r="O74" s="101">
        <f t="shared" ref="O74:O82" si="9">ROUND(M74*N74,0)</f>
        <v>362190</v>
      </c>
    </row>
    <row r="75" spans="1:15" x14ac:dyDescent="0.2">
      <c r="A75" s="15" t="str">
        <f t="shared" ref="A75:A82" si="10">A16</f>
        <v>General Service &lt; 50 kW</v>
      </c>
      <c r="B75" s="96" t="str">
        <f>'[2]0.2 Customer Classes'!$D$14</f>
        <v>kWh</v>
      </c>
      <c r="C75" s="98">
        <v>4068</v>
      </c>
      <c r="D75" s="98">
        <v>4716</v>
      </c>
      <c r="E75" s="98"/>
      <c r="F75" s="110">
        <v>73003.509999999995</v>
      </c>
      <c r="G75" s="110">
        <v>99466.33</v>
      </c>
      <c r="H75" s="110">
        <v>119468.53</v>
      </c>
      <c r="I75" s="110">
        <v>127174.84</v>
      </c>
      <c r="J75" s="99">
        <f>CHOOSE(MATCH(B75,{0,"kWh","kW"},0),1,'[2]3.10 LoadForecast'!$I44*'[2]3.10 LoadForecast'!B88,'[2]3.10 LoadForecast'!$I74)</f>
        <v>36316989.444256395</v>
      </c>
      <c r="K75" s="111">
        <v>4.0000000000000001E-3</v>
      </c>
      <c r="L75" s="101">
        <f t="shared" si="8"/>
        <v>145267.95777702559</v>
      </c>
      <c r="M75" s="99">
        <f>CHOOSE(MATCH(B75,{0,"kWh","kW"},0),1,'[2]3.10 LoadForecast'!$J44*'[2]3.10 LoadForecast'!B88,'[2]3.10 LoadForecast'!$J74)</f>
        <v>35635269.320536353</v>
      </c>
      <c r="N75" s="111">
        <v>4.0259412268579828E-3</v>
      </c>
      <c r="O75" s="101">
        <f t="shared" si="9"/>
        <v>143465</v>
      </c>
    </row>
    <row r="76" spans="1:15" x14ac:dyDescent="0.2">
      <c r="A76" s="15" t="str">
        <f t="shared" si="10"/>
        <v>General Service &gt; 50 to 4999 kW</v>
      </c>
      <c r="B76" s="96" t="str">
        <f>'[2]0.2 Customer Classes'!$D$15</f>
        <v>kW</v>
      </c>
      <c r="C76" s="98">
        <v>4068</v>
      </c>
      <c r="D76" s="98">
        <v>4716</v>
      </c>
      <c r="E76" s="98"/>
      <c r="F76" s="110">
        <f>113075.59+60111.99</f>
        <v>173187.58</v>
      </c>
      <c r="G76" s="110">
        <f>156351.05+96827.48</f>
        <v>253178.52999999997</v>
      </c>
      <c r="H76" s="110">
        <f>190488.72+123328.36</f>
        <v>313817.08</v>
      </c>
      <c r="I76" s="110">
        <f>203586.64+116728.77</f>
        <v>320315.41000000003</v>
      </c>
      <c r="J76" s="99">
        <f>CHOOSE(MATCH(B76,{0,"kWh","kW"},0),1,'[2]3.10 LoadForecast'!$I45*'[2]3.10 LoadForecast'!B89,'[2]3.10 LoadForecast'!$I75)</f>
        <v>198903.90576628249</v>
      </c>
      <c r="K76" s="111">
        <v>1.5959000000000001</v>
      </c>
      <c r="L76" s="101">
        <f t="shared" si="8"/>
        <v>317430.74321241025</v>
      </c>
      <c r="M76" s="99">
        <f>CHOOSE(MATCH(B76,{0,"kWh","kW"},0),1,'[2]3.10 LoadForecast'!$J45*'[2]3.10 LoadForecast'!B89,'[2]3.10 LoadForecast'!$J75)</f>
        <v>210852.79185851585</v>
      </c>
      <c r="N76" s="111">
        <v>1.6062498283035462</v>
      </c>
      <c r="O76" s="101">
        <f t="shared" si="9"/>
        <v>338682</v>
      </c>
    </row>
    <row r="77" spans="1:15" x14ac:dyDescent="0.2">
      <c r="A77" s="15" t="str">
        <f t="shared" si="10"/>
        <v>Sentinel Lighting</v>
      </c>
      <c r="B77" s="96" t="str">
        <f>'[2]0.2 Customer Classes'!$D$16</f>
        <v>kWh</v>
      </c>
      <c r="C77" s="98">
        <v>4068</v>
      </c>
      <c r="D77" s="98">
        <v>4716</v>
      </c>
      <c r="E77" s="98"/>
      <c r="F77" s="110">
        <v>493.07</v>
      </c>
      <c r="G77" s="110">
        <v>680.7</v>
      </c>
      <c r="H77" s="110">
        <v>803</v>
      </c>
      <c r="I77" s="110">
        <v>842.9</v>
      </c>
      <c r="J77" s="99">
        <f>CHOOSE(MATCH(B77,{0,"kWh","kW"},0),1,'[2]3.10 LoadForecast'!$I46*'[2]3.10 LoadForecast'!B90,'[2]3.10 LoadForecast'!$I76)</f>
        <v>254378.44346666452</v>
      </c>
      <c r="K77" s="111">
        <v>1.2596000000000001</v>
      </c>
      <c r="L77" s="101">
        <f t="shared" si="8"/>
        <v>320415.08739061066</v>
      </c>
      <c r="M77" s="99">
        <f>CHOOSE(MATCH(B77,{0,"kWh","kW"},0),1,'[2]3.10 LoadForecast'!$J46*'[2]3.10 LoadForecast'!B90,'[2]3.10 LoadForecast'!$J76)</f>
        <v>260653.43701379708</v>
      </c>
      <c r="N77" s="111">
        <v>1.2677724745637995</v>
      </c>
      <c r="O77" s="101">
        <f t="shared" si="9"/>
        <v>330449</v>
      </c>
    </row>
    <row r="78" spans="1:15" x14ac:dyDescent="0.2">
      <c r="A78" s="15" t="str">
        <f t="shared" si="10"/>
        <v>Streetlighting</v>
      </c>
      <c r="B78" s="96" t="str">
        <f>'[2]0.2 Customer Classes'!$D$17</f>
        <v>kW</v>
      </c>
      <c r="C78" s="98">
        <v>4068</v>
      </c>
      <c r="D78" s="98">
        <v>4716</v>
      </c>
      <c r="E78" s="98"/>
      <c r="F78" s="110">
        <v>4466.66</v>
      </c>
      <c r="G78" s="110">
        <v>6336.44</v>
      </c>
      <c r="H78" s="110">
        <v>7662.02</v>
      </c>
      <c r="I78" s="110">
        <v>8198.08</v>
      </c>
      <c r="J78" s="99">
        <f>CHOOSE(MATCH(B78,{0,"kWh","kW"},0),1,'[2]3.10 LoadForecast'!$I47*'[2]3.10 LoadForecast'!B91,'[2]3.10 LoadForecast'!$I77)</f>
        <v>6772.1454156893096</v>
      </c>
      <c r="K78" s="111">
        <v>1.2338</v>
      </c>
      <c r="L78" s="101">
        <f t="shared" si="8"/>
        <v>8355.4730138774703</v>
      </c>
      <c r="M78" s="99">
        <f>CHOOSE(MATCH(B78,{0,"kWh","kW"},0),1,'[2]3.10 LoadForecast'!$J47*'[2]3.10 LoadForecast'!B91,'[2]3.10 LoadForecast'!$J77)</f>
        <v>3840.1451572869528</v>
      </c>
      <c r="N78" s="111">
        <v>1.2418007380417413</v>
      </c>
      <c r="O78" s="101">
        <f t="shared" si="9"/>
        <v>4769</v>
      </c>
    </row>
    <row r="79" spans="1:15" x14ac:dyDescent="0.2">
      <c r="A79" s="15" t="str">
        <f t="shared" si="10"/>
        <v>Unmetered Scattered Load</v>
      </c>
      <c r="B79" s="104" t="str">
        <f>'[2]0.2 Customer Classes'!$D$18</f>
        <v>kWh</v>
      </c>
      <c r="C79" s="98">
        <v>4068</v>
      </c>
      <c r="D79" s="98">
        <v>4716</v>
      </c>
      <c r="E79" s="98"/>
      <c r="F79" s="110">
        <v>1064.69</v>
      </c>
      <c r="G79" s="110">
        <v>1404.35</v>
      </c>
      <c r="H79" s="110">
        <v>1711.06</v>
      </c>
      <c r="I79" s="110">
        <v>1839.51</v>
      </c>
      <c r="J79" s="99">
        <f>CHOOSE(MATCH(B79,{0,"kWh","kW"},0),1,'[2]3.10 LoadForecast'!$I48*'[2]3.10 LoadForecast'!B92,'[2]3.10 LoadForecast'!$I78)</f>
        <v>470704.61923424277</v>
      </c>
      <c r="K79" s="111">
        <v>4.0000000000000001E-3</v>
      </c>
      <c r="L79" s="101">
        <f t="shared" si="8"/>
        <v>1882.8184769369711</v>
      </c>
      <c r="M79" s="99">
        <f>CHOOSE(MATCH(B79,{0,"kWh","kW"},0),1,'[2]3.10 LoadForecast'!$J48*'[2]3.10 LoadForecast'!B92,'[2]3.10 LoadForecast'!$J78)</f>
        <v>482315.93506764364</v>
      </c>
      <c r="N79" s="111">
        <v>4.0259349604509975E-3</v>
      </c>
      <c r="O79" s="101">
        <f t="shared" si="9"/>
        <v>1942</v>
      </c>
    </row>
    <row r="80" spans="1:15" x14ac:dyDescent="0.2">
      <c r="A80" s="15" t="str">
        <f t="shared" si="10"/>
        <v>other</v>
      </c>
      <c r="B80" s="104">
        <f>'[2]0.2 Customer Classes'!$D$19</f>
        <v>0</v>
      </c>
      <c r="C80" s="98">
        <v>4068</v>
      </c>
      <c r="D80" s="98">
        <v>4716</v>
      </c>
      <c r="E80" s="98"/>
      <c r="F80" s="98"/>
      <c r="G80" s="98"/>
      <c r="H80" s="98"/>
      <c r="I80" s="98"/>
      <c r="J80" s="99">
        <f>CHOOSE(MATCH(B80,{0,"kWh","kW"},0),1,'[2]3.10 LoadForecast'!$I49*'[2]3.10 LoadForecast'!B93,'[2]3.10 LoadForecast'!$I79)</f>
        <v>1</v>
      </c>
      <c r="K80" s="111">
        <v>0</v>
      </c>
      <c r="L80" s="101">
        <f t="shared" si="8"/>
        <v>0</v>
      </c>
      <c r="M80" s="99">
        <f>CHOOSE(MATCH(B80,{0,"kWh","kW"},0),1,'[2]3.10 LoadForecast'!$J49*'[2]3.10 LoadForecast'!B93,'[2]3.10 LoadForecast'!$J79)</f>
        <v>1</v>
      </c>
      <c r="N80" s="111">
        <v>0</v>
      </c>
      <c r="O80" s="101">
        <f t="shared" si="9"/>
        <v>0</v>
      </c>
    </row>
    <row r="81" spans="1:15" x14ac:dyDescent="0.2">
      <c r="A81" s="15" t="str">
        <f t="shared" si="10"/>
        <v>other</v>
      </c>
      <c r="B81" s="104">
        <f>'[2]0.2 Customer Classes'!$D$20</f>
        <v>0</v>
      </c>
      <c r="C81" s="98">
        <v>4068</v>
      </c>
      <c r="D81" s="98">
        <v>4716</v>
      </c>
      <c r="E81" s="98"/>
      <c r="F81" s="98"/>
      <c r="G81" s="98"/>
      <c r="H81" s="98"/>
      <c r="I81" s="98"/>
      <c r="J81" s="99">
        <f>CHOOSE(MATCH(B81,{0,"kWh","kW"},0),1,'[2]3.10 LoadForecast'!$I50*'[2]3.10 LoadForecast'!B94,'[2]3.10 LoadForecast'!$I80)</f>
        <v>1</v>
      </c>
      <c r="K81" s="111">
        <v>0</v>
      </c>
      <c r="L81" s="101">
        <f t="shared" si="8"/>
        <v>0</v>
      </c>
      <c r="M81" s="99">
        <f>CHOOSE(MATCH(B81,{0,"kWh","kW"},0),1,'[2]3.10 LoadForecast'!$J50*'[2]3.10 LoadForecast'!B94,'[2]3.10 LoadForecast'!$J80)</f>
        <v>1</v>
      </c>
      <c r="N81" s="111">
        <v>0</v>
      </c>
      <c r="O81" s="101">
        <f t="shared" si="9"/>
        <v>0</v>
      </c>
    </row>
    <row r="82" spans="1:15" x14ac:dyDescent="0.2">
      <c r="A82" s="15" t="str">
        <f t="shared" si="10"/>
        <v>other</v>
      </c>
      <c r="B82" s="104">
        <f>'[2]0.2 Customer Classes'!$D$21</f>
        <v>0</v>
      </c>
      <c r="C82" s="98">
        <v>4068</v>
      </c>
      <c r="D82" s="98">
        <v>4716</v>
      </c>
      <c r="E82" s="98"/>
      <c r="F82" s="98"/>
      <c r="G82" s="98"/>
      <c r="H82" s="98"/>
      <c r="I82" s="98"/>
      <c r="J82" s="99">
        <f>CHOOSE(MATCH(B82,{0,"kWh","kW"},0),1,'[2]3.10 LoadForecast'!$I51*'[2]3.10 LoadForecast'!B95,'[2]3.10 LoadForecast'!$I81)</f>
        <v>1</v>
      </c>
      <c r="K82" s="111">
        <v>0</v>
      </c>
      <c r="L82" s="101">
        <f t="shared" si="8"/>
        <v>0</v>
      </c>
      <c r="M82" s="99">
        <f>CHOOSE(MATCH(B82,{0,"kWh","kW"},0),1,'[2]3.10 LoadForecast'!$J51*'[2]3.10 LoadForecast'!B95,'[2]3.10 LoadForecast'!$J81)</f>
        <v>1</v>
      </c>
      <c r="N82" s="111">
        <v>0</v>
      </c>
      <c r="O82" s="101">
        <f t="shared" si="9"/>
        <v>0</v>
      </c>
    </row>
    <row r="83" spans="1:15" x14ac:dyDescent="0.2">
      <c r="A83" s="92" t="s">
        <v>15</v>
      </c>
      <c r="B83" s="104">
        <f>'[2]0.2 Customer Classes'!$D$22</f>
        <v>0</v>
      </c>
      <c r="C83" s="93">
        <v>0</v>
      </c>
      <c r="D83" s="93">
        <v>0</v>
      </c>
      <c r="E83" s="105">
        <f>SUM(E74:E78)</f>
        <v>0</v>
      </c>
      <c r="F83" s="106">
        <f>SUM(F74:F82)</f>
        <v>454767.09999999992</v>
      </c>
      <c r="G83" s="106">
        <f>SUM(G74:G82)</f>
        <v>631138.19999999984</v>
      </c>
      <c r="H83" s="106">
        <f>SUM(H74:H82)</f>
        <v>783743.88000000012</v>
      </c>
      <c r="I83" s="106">
        <f>SUM(I74:I82)</f>
        <v>820000.29</v>
      </c>
      <c r="J83" s="106">
        <f>SUM(J74:J82)</f>
        <v>118745657.68229848</v>
      </c>
      <c r="K83" s="116"/>
      <c r="L83" s="106">
        <f>SUM(L74:L82)</f>
        <v>1160092.6574295773</v>
      </c>
      <c r="M83" s="106">
        <f>SUM(M74:M82)</f>
        <v>116561012.33199686</v>
      </c>
      <c r="N83" s="116"/>
      <c r="O83" s="106">
        <f>SUM(O74:O82)</f>
        <v>1181497</v>
      </c>
    </row>
    <row r="84" spans="1:15" x14ac:dyDescent="0.2">
      <c r="A84" s="39"/>
      <c r="B84" s="109"/>
      <c r="C84" s="109"/>
      <c r="D84" s="109"/>
      <c r="E84" s="109"/>
      <c r="F84" s="109"/>
      <c r="G84" s="109"/>
      <c r="H84" s="109"/>
      <c r="I84" s="109"/>
      <c r="J84" s="109"/>
      <c r="K84" s="109"/>
      <c r="L84" s="109"/>
      <c r="M84" s="109"/>
      <c r="N84" s="109"/>
      <c r="O84" s="109"/>
    </row>
    <row r="85" spans="1:15" x14ac:dyDescent="0.2">
      <c r="A85" s="44" t="s">
        <v>59</v>
      </c>
      <c r="B85" s="109"/>
      <c r="C85" s="109"/>
      <c r="D85" s="109"/>
      <c r="E85" s="109"/>
      <c r="F85" s="109"/>
      <c r="G85" s="109"/>
      <c r="H85" s="109"/>
      <c r="I85" s="109"/>
      <c r="J85" s="109"/>
      <c r="K85" s="109"/>
      <c r="L85" s="109"/>
      <c r="M85" s="109"/>
      <c r="N85" s="109"/>
      <c r="O85" s="109"/>
    </row>
    <row r="86" spans="1:15" x14ac:dyDescent="0.2">
      <c r="A86" s="87" t="s">
        <v>46</v>
      </c>
      <c r="B86" s="109"/>
      <c r="C86" s="109"/>
      <c r="D86" s="109"/>
      <c r="E86" s="109"/>
      <c r="F86" s="109"/>
      <c r="G86" s="109"/>
      <c r="H86" s="109"/>
      <c r="I86" s="109"/>
      <c r="J86" s="109"/>
      <c r="K86" s="109"/>
      <c r="L86" s="109"/>
      <c r="M86" s="109"/>
      <c r="N86" s="109"/>
      <c r="O86" s="109"/>
    </row>
    <row r="87" spans="1:15" x14ac:dyDescent="0.2">
      <c r="B87" s="36"/>
      <c r="C87" s="36"/>
      <c r="D87" s="36"/>
      <c r="E87" s="88">
        <f>'[2]0.1 LDC Info'!$E$27</f>
        <v>2010</v>
      </c>
      <c r="F87" s="88">
        <f>'[2]0.1 LDC Info'!$E$27+1</f>
        <v>2011</v>
      </c>
      <c r="G87" s="88">
        <f>'[2]0.1 LDC Info'!$E$27+2</f>
        <v>2012</v>
      </c>
      <c r="H87" s="88">
        <f>'[2]0.1 LDC Info'!$E$27+3</f>
        <v>2013</v>
      </c>
      <c r="I87" s="88">
        <f>'[2]0.1 LDC Info'!$E$27+4</f>
        <v>2014</v>
      </c>
      <c r="J87" s="89">
        <f>'[2]0.1 LDC Info'!$E$23</f>
        <v>2015</v>
      </c>
      <c r="K87" s="90"/>
      <c r="L87" s="90"/>
      <c r="M87" s="91">
        <f>'[2]0.1 LDC Info'!$E$25</f>
        <v>2016</v>
      </c>
      <c r="N87" s="90"/>
      <c r="O87" s="90"/>
    </row>
    <row r="88" spans="1:15" s="26" customFormat="1" x14ac:dyDescent="0.2">
      <c r="A88" s="92" t="s">
        <v>47</v>
      </c>
      <c r="B88" s="93"/>
      <c r="C88" s="93" t="s">
        <v>48</v>
      </c>
      <c r="D88" s="93" t="s">
        <v>49</v>
      </c>
      <c r="E88" s="94"/>
      <c r="F88" s="94"/>
      <c r="G88" s="94"/>
      <c r="H88" s="94"/>
      <c r="I88" s="94"/>
      <c r="J88" s="93" t="s">
        <v>3</v>
      </c>
      <c r="K88" s="93" t="s">
        <v>53</v>
      </c>
      <c r="L88" s="93">
        <v>5.2000000000000006E-3</v>
      </c>
      <c r="M88" s="93" t="s">
        <v>3</v>
      </c>
      <c r="N88" s="93" t="s">
        <v>53</v>
      </c>
      <c r="O88" s="93">
        <v>5.2000000000000006E-3</v>
      </c>
    </row>
    <row r="89" spans="1:15" x14ac:dyDescent="0.2">
      <c r="A89" s="95" t="s">
        <v>50</v>
      </c>
      <c r="B89" s="96"/>
      <c r="C89" s="96" t="s">
        <v>51</v>
      </c>
      <c r="D89" s="96" t="s">
        <v>51</v>
      </c>
      <c r="E89" s="96"/>
      <c r="F89" s="96"/>
      <c r="G89" s="96"/>
      <c r="H89" s="96"/>
      <c r="I89" s="96"/>
      <c r="J89" s="96" t="s">
        <v>52</v>
      </c>
      <c r="K89" s="96"/>
      <c r="L89" s="96" t="s">
        <v>54</v>
      </c>
      <c r="M89" s="96" t="s">
        <v>52</v>
      </c>
      <c r="N89" s="96"/>
      <c r="O89" s="96" t="s">
        <v>54</v>
      </c>
    </row>
    <row r="90" spans="1:15" x14ac:dyDescent="0.2">
      <c r="A90" s="15" t="str">
        <f>A15</f>
        <v>Residential</v>
      </c>
      <c r="B90" s="96" t="str">
        <f>'[2]0.2 Customer Classes'!$D$13</f>
        <v>kWh</v>
      </c>
      <c r="C90" s="98">
        <v>4062</v>
      </c>
      <c r="D90" s="98">
        <v>4708</v>
      </c>
      <c r="E90" s="98"/>
      <c r="F90" s="98"/>
      <c r="G90" s="110">
        <v>321517.41614776733</v>
      </c>
      <c r="H90" s="110">
        <v>395066.7182198235</v>
      </c>
      <c r="I90" s="110">
        <f>467413.62-I106</f>
        <v>362003.39</v>
      </c>
      <c r="J90" s="99">
        <f>CHOOSE(MATCH(B90,{0,"kWh","kW"},0),1,'[2]3.10 LoadForecast'!$I43*'[2]3.10 LoadForecast'!B87,'[2]3.10 LoadForecast'!$I73)</f>
        <v>81497906.124159202</v>
      </c>
      <c r="K90" s="117">
        <v>4.4000000000000003E-3</v>
      </c>
      <c r="L90" s="101">
        <f t="shared" ref="L90:L98" si="11">J90*K90</f>
        <v>358590.78694630053</v>
      </c>
      <c r="M90" s="99">
        <f>CHOOSE(MATCH(B90,{0,"kWh","kW"},0),1,'[2]3.10 LoadForecast'!$J43*'[2]3.10 LoadForecast'!B87,'[2]3.10 LoadForecast'!$J73)</f>
        <v>79968077.702363268</v>
      </c>
      <c r="N90" s="117">
        <v>3.5999999999999999E-3</v>
      </c>
      <c r="O90" s="101">
        <f>ROUND(M90*N90,0)</f>
        <v>287885</v>
      </c>
    </row>
    <row r="91" spans="1:15" x14ac:dyDescent="0.2">
      <c r="A91" s="15" t="str">
        <f t="shared" ref="A91:A98" si="12">A16</f>
        <v>General Service &lt; 50 kW</v>
      </c>
      <c r="B91" s="96" t="str">
        <f>'[2]0.2 Customer Classes'!$D$14</f>
        <v>kWh</v>
      </c>
      <c r="C91" s="98">
        <v>4062</v>
      </c>
      <c r="D91" s="98">
        <v>4708</v>
      </c>
      <c r="E91" s="98"/>
      <c r="F91" s="98"/>
      <c r="G91" s="110">
        <v>133135.46397308624</v>
      </c>
      <c r="H91" s="110">
        <v>155728.08696257556</v>
      </c>
      <c r="I91" s="110">
        <f>185355.66-I107</f>
        <v>144030.23000000001</v>
      </c>
      <c r="J91" s="99">
        <f>CHOOSE(MATCH(B91,{0,"kWh","kW"},0),1,'[2]3.10 LoadForecast'!$I44*'[2]3.10 LoadForecast'!B88,'[2]3.10 LoadForecast'!$I74)</f>
        <v>36316989.444256395</v>
      </c>
      <c r="K91" s="117">
        <v>4.4000000000000003E-3</v>
      </c>
      <c r="L91" s="101">
        <f t="shared" si="11"/>
        <v>159794.75355472814</v>
      </c>
      <c r="M91" s="99">
        <f>CHOOSE(MATCH(B91,{0,"kWh","kW"},0),1,'[2]3.10 LoadForecast'!$J44*'[2]3.10 LoadForecast'!B88,'[2]3.10 LoadForecast'!$J74)</f>
        <v>35635269.320536353</v>
      </c>
      <c r="N91" s="117">
        <v>3.5999999999999999E-3</v>
      </c>
      <c r="O91" s="101">
        <f t="shared" ref="O91:O98" si="13">ROUND(M91*N91,0)</f>
        <v>128287</v>
      </c>
    </row>
    <row r="92" spans="1:15" x14ac:dyDescent="0.2">
      <c r="A92" s="15" t="str">
        <f t="shared" si="12"/>
        <v>General Service &gt; 50 to 4999 kW</v>
      </c>
      <c r="B92" s="96" t="str">
        <f>'[2]0.2 Customer Classes'!$D$15</f>
        <v>kW</v>
      </c>
      <c r="C92" s="98">
        <v>4062</v>
      </c>
      <c r="D92" s="98">
        <v>4708</v>
      </c>
      <c r="E92" s="98"/>
      <c r="F92" s="98"/>
      <c r="G92" s="110">
        <v>315648.97864876274</v>
      </c>
      <c r="H92" s="110">
        <v>356695.20587749413</v>
      </c>
      <c r="I92" s="110">
        <f>264517.76+161585.57-I108</f>
        <v>331164.63</v>
      </c>
      <c r="J92" s="99">
        <f>CHOOSE(MATCH(B92,{0,"kWh","kW"},0),1,'[2]3.10 LoadForecast'!$I45*'[2]3.10 LoadForecast'!B89,'[2]3.10 LoadForecast'!$I75)</f>
        <v>198903.90576628249</v>
      </c>
      <c r="K92" s="117">
        <v>4.4000000000000003E-3</v>
      </c>
      <c r="L92" s="101">
        <f t="shared" si="11"/>
        <v>875.17718537164296</v>
      </c>
      <c r="M92" s="99">
        <f>CHOOSE(MATCH(B92,{0,"kWh","kW"},0),1,'[2]3.10 LoadForecast'!$J45*'[2]3.10 LoadForecast'!B89,'[2]3.10 LoadForecast'!$J75)</f>
        <v>210852.79185851585</v>
      </c>
      <c r="N92" s="117">
        <v>3.5999999999999999E-3</v>
      </c>
      <c r="O92" s="101">
        <f t="shared" si="13"/>
        <v>759</v>
      </c>
    </row>
    <row r="93" spans="1:15" x14ac:dyDescent="0.2">
      <c r="A93" s="15" t="str">
        <f t="shared" si="12"/>
        <v>Sentinel Lighting</v>
      </c>
      <c r="B93" s="96" t="str">
        <f>'[2]0.2 Customer Classes'!$D$16</f>
        <v>kWh</v>
      </c>
      <c r="C93" s="98">
        <v>4062</v>
      </c>
      <c r="D93" s="98">
        <v>4708</v>
      </c>
      <c r="E93" s="98"/>
      <c r="F93" s="98"/>
      <c r="G93" s="110">
        <v>1039.7512635139876</v>
      </c>
      <c r="H93" s="110">
        <v>1167.4351295965862</v>
      </c>
      <c r="I93" s="110">
        <f>1393.13-I109</f>
        <v>1080.72</v>
      </c>
      <c r="J93" s="99">
        <f>CHOOSE(MATCH(B93,{0,"kWh","kW"},0),1,'[2]3.10 LoadForecast'!$I46*'[2]3.10 LoadForecast'!B90,'[2]3.10 LoadForecast'!$I76)</f>
        <v>254378.44346666452</v>
      </c>
      <c r="K93" s="117">
        <v>4.4000000000000003E-3</v>
      </c>
      <c r="L93" s="101">
        <f t="shared" si="11"/>
        <v>1119.2651512533239</v>
      </c>
      <c r="M93" s="99">
        <f>CHOOSE(MATCH(B93,{0,"kWh","kW"},0),1,'[2]3.10 LoadForecast'!$J46*'[2]3.10 LoadForecast'!B90,'[2]3.10 LoadForecast'!$J76)</f>
        <v>260653.43701379708</v>
      </c>
      <c r="N93" s="117">
        <v>3.5999999999999999E-3</v>
      </c>
      <c r="O93" s="101">
        <f t="shared" si="13"/>
        <v>938</v>
      </c>
    </row>
    <row r="94" spans="1:15" x14ac:dyDescent="0.2">
      <c r="A94" s="15" t="str">
        <f t="shared" si="12"/>
        <v>Streetlighting</v>
      </c>
      <c r="B94" s="96" t="str">
        <f>'[2]0.2 Customer Classes'!$D$17</f>
        <v>kW</v>
      </c>
      <c r="C94" s="98">
        <v>4062</v>
      </c>
      <c r="D94" s="98">
        <v>4708</v>
      </c>
      <c r="E94" s="98"/>
      <c r="F94" s="98"/>
      <c r="G94" s="110">
        <v>10215.242105635711</v>
      </c>
      <c r="H94" s="110">
        <v>11784.9799599007</v>
      </c>
      <c r="I94" s="110">
        <f>14155.44-I110</f>
        <v>10971.76</v>
      </c>
      <c r="J94" s="99">
        <f>CHOOSE(MATCH(B94,{0,"kWh","kW"},0),1,'[2]3.10 LoadForecast'!$I47*'[2]3.10 LoadForecast'!B91,'[2]3.10 LoadForecast'!$I77)</f>
        <v>6772.1454156893096</v>
      </c>
      <c r="K94" s="117">
        <v>4.4000000000000003E-3</v>
      </c>
      <c r="L94" s="101">
        <f t="shared" si="11"/>
        <v>29.797439829032964</v>
      </c>
      <c r="M94" s="99">
        <f>CHOOSE(MATCH(B94,{0,"kWh","kW"},0),1,'[2]3.10 LoadForecast'!$J47*'[2]3.10 LoadForecast'!B91,'[2]3.10 LoadForecast'!$J77)</f>
        <v>3840.1451572869528</v>
      </c>
      <c r="N94" s="117">
        <v>3.5999999999999999E-3</v>
      </c>
      <c r="O94" s="101">
        <f t="shared" si="13"/>
        <v>14</v>
      </c>
    </row>
    <row r="95" spans="1:15" x14ac:dyDescent="0.2">
      <c r="A95" s="15" t="str">
        <f t="shared" si="12"/>
        <v>Unmetered Scattered Load</v>
      </c>
      <c r="B95" s="104" t="str">
        <f>'[2]0.2 Customer Classes'!$D$18</f>
        <v>kWh</v>
      </c>
      <c r="C95" s="98">
        <v>4062</v>
      </c>
      <c r="D95" s="98">
        <v>4708</v>
      </c>
      <c r="E95" s="98"/>
      <c r="F95" s="98"/>
      <c r="G95" s="110">
        <v>1897.7414703399584</v>
      </c>
      <c r="H95" s="110">
        <v>2213.9998213067965</v>
      </c>
      <c r="I95" s="110">
        <f>2674.72-I111</f>
        <v>2084.4299999999998</v>
      </c>
      <c r="J95" s="99">
        <f>CHOOSE(MATCH(B95,{0,"kWh","kW"},0),1,'[2]3.10 LoadForecast'!$I48*'[2]3.10 LoadForecast'!B92,'[2]3.10 LoadForecast'!$I78)</f>
        <v>470704.61923424277</v>
      </c>
      <c r="K95" s="117">
        <v>4.4000000000000003E-3</v>
      </c>
      <c r="L95" s="101">
        <f t="shared" si="11"/>
        <v>2071.1003246306682</v>
      </c>
      <c r="M95" s="99">
        <f>CHOOSE(MATCH(B95,{0,"kWh","kW"},0),1,'[2]3.10 LoadForecast'!$J48*'[2]3.10 LoadForecast'!B92,'[2]3.10 LoadForecast'!$J78)</f>
        <v>482315.93506764364</v>
      </c>
      <c r="N95" s="117">
        <v>3.5999999999999999E-3</v>
      </c>
      <c r="O95" s="101">
        <f t="shared" si="13"/>
        <v>1736</v>
      </c>
    </row>
    <row r="96" spans="1:15" x14ac:dyDescent="0.2">
      <c r="A96" s="15" t="str">
        <f t="shared" si="12"/>
        <v>other</v>
      </c>
      <c r="B96" s="104">
        <f>'[2]0.2 Customer Classes'!$D$19</f>
        <v>0</v>
      </c>
      <c r="C96" s="98">
        <v>4062</v>
      </c>
      <c r="D96" s="98">
        <v>4708</v>
      </c>
      <c r="E96" s="98"/>
      <c r="F96" s="98"/>
      <c r="G96" s="98"/>
      <c r="H96" s="98"/>
      <c r="I96" s="98"/>
      <c r="J96" s="99">
        <f>CHOOSE(MATCH(B96,{0,"kWh","kW"},0),1,'[2]3.10 LoadForecast'!$I49*'[2]3.10 LoadForecast'!B93,'[2]3.10 LoadForecast'!$I79)</f>
        <v>1</v>
      </c>
      <c r="K96" s="117">
        <v>4.4000000000000003E-3</v>
      </c>
      <c r="L96" s="101">
        <f t="shared" si="11"/>
        <v>4.4000000000000003E-3</v>
      </c>
      <c r="M96" s="99">
        <f>CHOOSE(MATCH(B96,{0,"kWh","kW"},0),1,'[2]3.10 LoadForecast'!$J49*'[2]3.10 LoadForecast'!B93,'[2]3.10 LoadForecast'!$J79)</f>
        <v>1</v>
      </c>
      <c r="N96" s="117">
        <v>3.5999999999999999E-3</v>
      </c>
      <c r="O96" s="101">
        <f t="shared" si="13"/>
        <v>0</v>
      </c>
    </row>
    <row r="97" spans="1:15" x14ac:dyDescent="0.2">
      <c r="A97" s="15" t="str">
        <f t="shared" si="12"/>
        <v>other</v>
      </c>
      <c r="B97" s="104">
        <f>'[2]0.2 Customer Classes'!$D$20</f>
        <v>0</v>
      </c>
      <c r="C97" s="98">
        <v>4062</v>
      </c>
      <c r="D97" s="98">
        <v>4708</v>
      </c>
      <c r="E97" s="98"/>
      <c r="F97" s="98"/>
      <c r="G97" s="98"/>
      <c r="H97" s="98"/>
      <c r="I97" s="98"/>
      <c r="J97" s="99">
        <f>CHOOSE(MATCH(B97,{0,"kWh","kW"},0),1,'[2]3.10 LoadForecast'!$I50*'[2]3.10 LoadForecast'!B94,'[2]3.10 LoadForecast'!$I80)</f>
        <v>1</v>
      </c>
      <c r="K97" s="117">
        <v>4.4000000000000003E-3</v>
      </c>
      <c r="L97" s="101">
        <f t="shared" si="11"/>
        <v>4.4000000000000003E-3</v>
      </c>
      <c r="M97" s="99">
        <f>CHOOSE(MATCH(B97,{0,"kWh","kW"},0),1,'[2]3.10 LoadForecast'!$J50*'[2]3.10 LoadForecast'!B94,'[2]3.10 LoadForecast'!$J80)</f>
        <v>1</v>
      </c>
      <c r="N97" s="117">
        <v>3.5999999999999999E-3</v>
      </c>
      <c r="O97" s="101">
        <f t="shared" si="13"/>
        <v>0</v>
      </c>
    </row>
    <row r="98" spans="1:15" x14ac:dyDescent="0.2">
      <c r="A98" s="15" t="str">
        <f t="shared" si="12"/>
        <v>other</v>
      </c>
      <c r="B98" s="104">
        <f>'[2]0.2 Customer Classes'!$D$21</f>
        <v>0</v>
      </c>
      <c r="C98" s="98">
        <v>4062</v>
      </c>
      <c r="D98" s="98">
        <v>4708</v>
      </c>
      <c r="E98" s="98"/>
      <c r="F98" s="98"/>
      <c r="G98" s="98"/>
      <c r="H98" s="98"/>
      <c r="I98" s="98"/>
      <c r="J98" s="99">
        <f>CHOOSE(MATCH(B98,{0,"kWh","kW"},0),1,'[2]3.10 LoadForecast'!$I51*'[2]3.10 LoadForecast'!B95,'[2]3.10 LoadForecast'!$I81)</f>
        <v>1</v>
      </c>
      <c r="K98" s="117">
        <v>4.4000000000000003E-3</v>
      </c>
      <c r="L98" s="101">
        <f t="shared" si="11"/>
        <v>4.4000000000000003E-3</v>
      </c>
      <c r="M98" s="99">
        <f>CHOOSE(MATCH(B98,{0,"kWh","kW"},0),1,'[2]3.10 LoadForecast'!$J51*'[2]3.10 LoadForecast'!B95,'[2]3.10 LoadForecast'!$J81)</f>
        <v>1</v>
      </c>
      <c r="N98" s="117">
        <v>3.5999999999999999E-3</v>
      </c>
      <c r="O98" s="101">
        <f t="shared" si="13"/>
        <v>0</v>
      </c>
    </row>
    <row r="99" spans="1:15" x14ac:dyDescent="0.2">
      <c r="A99" s="92" t="s">
        <v>15</v>
      </c>
      <c r="B99" s="104">
        <f>'[2]0.2 Customer Classes'!$D$22</f>
        <v>0</v>
      </c>
      <c r="C99" s="93">
        <v>0</v>
      </c>
      <c r="D99" s="93">
        <v>0</v>
      </c>
      <c r="E99" s="105">
        <f>SUM(E90:E94)</f>
        <v>0</v>
      </c>
      <c r="F99" s="105">
        <f>SUM(F90:F94)</f>
        <v>0</v>
      </c>
      <c r="G99" s="106">
        <f>SUM(G90:G98)</f>
        <v>783454.59360910603</v>
      </c>
      <c r="H99" s="106">
        <f>SUM(H90:H98)</f>
        <v>922656.42597069719</v>
      </c>
      <c r="I99" s="106">
        <f>SUM(I90:I98)</f>
        <v>851335.16</v>
      </c>
      <c r="J99" s="106">
        <f>SUM(J90:J98)</f>
        <v>118745657.68229848</v>
      </c>
      <c r="K99" s="116"/>
      <c r="L99" s="106">
        <f>SUM(L90:L98)</f>
        <v>522480.89380211325</v>
      </c>
      <c r="M99" s="106">
        <f>SUM(M90:M98)</f>
        <v>116561012.33199686</v>
      </c>
      <c r="N99" s="116"/>
      <c r="O99" s="106">
        <f>SUM(O90:O98)</f>
        <v>419619</v>
      </c>
    </row>
    <row r="100" spans="1:15" x14ac:dyDescent="0.2">
      <c r="A100" s="39"/>
      <c r="B100" s="109"/>
      <c r="C100" s="109"/>
      <c r="D100" s="109"/>
      <c r="E100" s="109"/>
      <c r="F100" s="109"/>
      <c r="G100" s="109"/>
      <c r="H100" s="109"/>
      <c r="I100" s="109"/>
      <c r="J100" s="109"/>
      <c r="K100" s="109"/>
      <c r="L100" s="109"/>
      <c r="M100" s="109"/>
      <c r="N100" s="109"/>
      <c r="O100" s="109"/>
    </row>
    <row r="101" spans="1:15" x14ac:dyDescent="0.2">
      <c r="A101" s="44" t="s">
        <v>60</v>
      </c>
      <c r="B101" s="109"/>
      <c r="C101" s="109"/>
      <c r="D101" s="109"/>
      <c r="E101" s="109"/>
      <c r="F101" s="109"/>
      <c r="G101" s="109"/>
      <c r="H101" s="109"/>
      <c r="I101" s="109"/>
      <c r="J101" s="109"/>
      <c r="K101" s="109"/>
      <c r="L101" s="109"/>
      <c r="M101" s="109"/>
      <c r="N101" s="109"/>
      <c r="O101" s="109"/>
    </row>
    <row r="102" spans="1:15" x14ac:dyDescent="0.2">
      <c r="A102" s="87" t="s">
        <v>46</v>
      </c>
      <c r="B102" s="109"/>
      <c r="C102" s="109"/>
      <c r="D102" s="109"/>
      <c r="E102" s="109"/>
      <c r="F102" s="109"/>
      <c r="G102" s="109"/>
      <c r="H102" s="109"/>
      <c r="I102" s="109"/>
      <c r="J102" s="109"/>
      <c r="K102" s="109"/>
      <c r="L102" s="109"/>
      <c r="M102" s="109"/>
      <c r="N102" s="109"/>
      <c r="O102" s="109"/>
    </row>
    <row r="103" spans="1:15" x14ac:dyDescent="0.2">
      <c r="B103" s="36"/>
      <c r="C103" s="36"/>
      <c r="D103" s="36"/>
      <c r="E103" s="88">
        <f>'[2]0.1 LDC Info'!$E$27</f>
        <v>2010</v>
      </c>
      <c r="F103" s="88">
        <f>'[2]0.1 LDC Info'!$E$27+1</f>
        <v>2011</v>
      </c>
      <c r="G103" s="88">
        <f>'[2]0.1 LDC Info'!$E$27+2</f>
        <v>2012</v>
      </c>
      <c r="H103" s="88">
        <f>'[2]0.1 LDC Info'!$E$27+3</f>
        <v>2013</v>
      </c>
      <c r="I103" s="88">
        <f>'[2]0.1 LDC Info'!$E$27+4</f>
        <v>2014</v>
      </c>
      <c r="J103" s="89">
        <f>'[2]0.1 LDC Info'!$E$23</f>
        <v>2015</v>
      </c>
      <c r="K103" s="90"/>
      <c r="L103" s="90"/>
      <c r="M103" s="91">
        <f>'[2]0.1 LDC Info'!$E$25</f>
        <v>2016</v>
      </c>
      <c r="N103" s="90"/>
      <c r="O103" s="90"/>
    </row>
    <row r="104" spans="1:15" s="26" customFormat="1" x14ac:dyDescent="0.2">
      <c r="A104" s="92" t="s">
        <v>47</v>
      </c>
      <c r="B104" s="93"/>
      <c r="C104" s="93" t="s">
        <v>48</v>
      </c>
      <c r="D104" s="93" t="s">
        <v>49</v>
      </c>
      <c r="E104" s="94"/>
      <c r="F104" s="94"/>
      <c r="G104" s="94"/>
      <c r="H104" s="94"/>
      <c r="I104" s="94"/>
      <c r="J104" s="93" t="s">
        <v>3</v>
      </c>
      <c r="K104" s="93" t="s">
        <v>53</v>
      </c>
      <c r="L104" s="93" t="s">
        <v>3</v>
      </c>
      <c r="M104" s="93" t="s">
        <v>3</v>
      </c>
      <c r="N104" s="93" t="s">
        <v>53</v>
      </c>
      <c r="O104" s="93" t="s">
        <v>3</v>
      </c>
    </row>
    <row r="105" spans="1:15" x14ac:dyDescent="0.2">
      <c r="A105" s="95" t="s">
        <v>50</v>
      </c>
      <c r="B105" s="96"/>
      <c r="C105" s="96" t="s">
        <v>51</v>
      </c>
      <c r="D105" s="96" t="s">
        <v>51</v>
      </c>
      <c r="E105" s="96"/>
      <c r="F105" s="96"/>
      <c r="G105" s="96"/>
      <c r="H105" s="96"/>
      <c r="I105" s="96"/>
      <c r="J105" s="96" t="s">
        <v>52</v>
      </c>
      <c r="K105" s="96"/>
      <c r="L105" s="96" t="s">
        <v>54</v>
      </c>
      <c r="M105" s="96" t="s">
        <v>52</v>
      </c>
      <c r="N105" s="96"/>
      <c r="O105" s="96" t="s">
        <v>54</v>
      </c>
    </row>
    <row r="106" spans="1:15" x14ac:dyDescent="0.2">
      <c r="A106" s="15" t="str">
        <f>A15</f>
        <v>Residential</v>
      </c>
      <c r="B106" s="96" t="str">
        <f>'[2]0.2 Customer Classes'!$D$13</f>
        <v>kWh</v>
      </c>
      <c r="C106" s="98">
        <v>4062</v>
      </c>
      <c r="D106" s="98">
        <v>4730</v>
      </c>
      <c r="E106" s="98"/>
      <c r="F106" s="98"/>
      <c r="G106" s="110">
        <v>108337.17385223271</v>
      </c>
      <c r="H106" s="110">
        <v>93357.87178017656</v>
      </c>
      <c r="I106" s="110">
        <f>101455.02+3955.21</f>
        <v>105410.23000000001</v>
      </c>
      <c r="J106" s="99">
        <f>CHOOSE(MATCH(B106,{0,"kWh","kW"},0),1,'[2]3.10 LoadForecast'!$I43*'[2]3.10 LoadForecast'!B87,'[2]3.10 LoadForecast'!$I73)</f>
        <v>81497906.124159202</v>
      </c>
      <c r="K106" s="117">
        <v>1.1999999999999999E-3</v>
      </c>
      <c r="L106" s="101">
        <f t="shared" ref="L106:L114" si="14">J106*K106</f>
        <v>97797.487348991039</v>
      </c>
      <c r="M106" s="99">
        <f>CHOOSE(MATCH(B106,{0,"kWh","kW"},0),1,'[2]3.10 LoadForecast'!$J43*'[2]3.10 LoadForecast'!B87,'[2]3.10 LoadForecast'!$J73)</f>
        <v>79968077.702363268</v>
      </c>
      <c r="N106" s="117">
        <v>1.2999999999999999E-3</v>
      </c>
      <c r="O106" s="101">
        <f t="shared" ref="O106:O114" si="15">ROUND(M106*N106,2)</f>
        <v>103958.5</v>
      </c>
    </row>
    <row r="107" spans="1:15" x14ac:dyDescent="0.2">
      <c r="A107" s="15" t="str">
        <f t="shared" ref="A107:A114" si="16">A16</f>
        <v>General Service &lt; 50 kW</v>
      </c>
      <c r="B107" s="96" t="str">
        <f>'[2]0.2 Customer Classes'!$D$14</f>
        <v>kWh</v>
      </c>
      <c r="C107" s="98">
        <v>4062</v>
      </c>
      <c r="D107" s="98">
        <v>4730</v>
      </c>
      <c r="E107" s="98"/>
      <c r="F107" s="98"/>
      <c r="G107" s="110">
        <v>42448.03602691376</v>
      </c>
      <c r="H107" s="110">
        <v>37309.433037424424</v>
      </c>
      <c r="I107" s="110">
        <f>39775.05+1550.38</f>
        <v>41325.43</v>
      </c>
      <c r="J107" s="99">
        <f>CHOOSE(MATCH(B107,{0,"kWh","kW"},0),1,'[2]3.10 LoadForecast'!$I44*'[2]3.10 LoadForecast'!B88,'[2]3.10 LoadForecast'!$I74)</f>
        <v>36316989.444256395</v>
      </c>
      <c r="K107" s="117">
        <v>1.1999999999999999E-3</v>
      </c>
      <c r="L107" s="101">
        <f t="shared" si="14"/>
        <v>43580.387333107668</v>
      </c>
      <c r="M107" s="99">
        <f>CHOOSE(MATCH(B107,{0,"kWh","kW"},0),1,'[2]3.10 LoadForecast'!$J44*'[2]3.10 LoadForecast'!B88,'[2]3.10 LoadForecast'!$J74)</f>
        <v>35635269.320536353</v>
      </c>
      <c r="N107" s="117">
        <v>1.2999999999999999E-3</v>
      </c>
      <c r="O107" s="101">
        <f t="shared" si="15"/>
        <v>46325.85</v>
      </c>
    </row>
    <row r="108" spans="1:15" x14ac:dyDescent="0.2">
      <c r="A108" s="15" t="str">
        <f t="shared" si="16"/>
        <v>General Service &gt; 50 to 4999 kW</v>
      </c>
      <c r="B108" s="96" t="str">
        <f>'[2]0.2 Customer Classes'!$D$15</f>
        <v>kW</v>
      </c>
      <c r="C108" s="98">
        <v>4062</v>
      </c>
      <c r="D108" s="98">
        <v>4730</v>
      </c>
      <c r="E108" s="98"/>
      <c r="F108" s="98"/>
      <c r="G108" s="110">
        <v>97178.301351237285</v>
      </c>
      <c r="H108" s="110">
        <v>86359.044122505904</v>
      </c>
      <c r="I108" s="110">
        <f>41671.67+1625.01+14941.25+582.82+34796.95+1321</f>
        <v>94938.7</v>
      </c>
      <c r="J108" s="99">
        <f>CHOOSE(MATCH(B108,{0,"kWh","kW"},0),1,'[2]3.10 LoadForecast'!$I45*'[2]3.10 LoadForecast'!B89,'[2]3.10 LoadForecast'!$I75)</f>
        <v>198903.90576628249</v>
      </c>
      <c r="K108" s="117">
        <v>1.1999999999999999E-3</v>
      </c>
      <c r="L108" s="101">
        <f t="shared" si="14"/>
        <v>238.68468691953896</v>
      </c>
      <c r="M108" s="99">
        <f>CHOOSE(MATCH(B108,{0,"kWh","kW"},0),1,'[2]3.10 LoadForecast'!$J45*'[2]3.10 LoadForecast'!B89,'[2]3.10 LoadForecast'!$J75)</f>
        <v>210852.79185851585</v>
      </c>
      <c r="N108" s="117">
        <v>1.2999999999999999E-3</v>
      </c>
      <c r="O108" s="101">
        <f t="shared" si="15"/>
        <v>274.11</v>
      </c>
    </row>
    <row r="109" spans="1:15" x14ac:dyDescent="0.2">
      <c r="A109" s="15" t="str">
        <f t="shared" si="16"/>
        <v>Sentinel Lighting</v>
      </c>
      <c r="B109" s="96" t="str">
        <f>'[2]0.2 Customer Classes'!$D$16</f>
        <v>kWh</v>
      </c>
      <c r="C109" s="98">
        <v>4062</v>
      </c>
      <c r="D109" s="98">
        <v>4730</v>
      </c>
      <c r="E109" s="98"/>
      <c r="F109" s="98"/>
      <c r="G109" s="110">
        <v>317.03873648601245</v>
      </c>
      <c r="H109" s="110">
        <v>284.18487040341375</v>
      </c>
      <c r="I109" s="110">
        <v>312.41000000000003</v>
      </c>
      <c r="J109" s="99">
        <f>CHOOSE(MATCH(B109,{0,"kWh","kW"},0),1,'[2]3.10 LoadForecast'!$I46*'[2]3.10 LoadForecast'!B90,'[2]3.10 LoadForecast'!$I76)</f>
        <v>254378.44346666452</v>
      </c>
      <c r="K109" s="117">
        <v>1.1999999999999999E-3</v>
      </c>
      <c r="L109" s="101">
        <f t="shared" si="14"/>
        <v>305.25413215999743</v>
      </c>
      <c r="M109" s="99">
        <f>CHOOSE(MATCH(B109,{0,"kWh","kW"},0),1,'[2]3.10 LoadForecast'!$J46*'[2]3.10 LoadForecast'!B90,'[2]3.10 LoadForecast'!$J76)</f>
        <v>260653.43701379708</v>
      </c>
      <c r="N109" s="117">
        <v>1.2999999999999999E-3</v>
      </c>
      <c r="O109" s="101">
        <f t="shared" si="15"/>
        <v>338.85</v>
      </c>
    </row>
    <row r="110" spans="1:15" x14ac:dyDescent="0.2">
      <c r="A110" s="15" t="str">
        <f t="shared" si="16"/>
        <v>Streetlighting</v>
      </c>
      <c r="B110" s="96" t="str">
        <f>'[2]0.2 Customer Classes'!$D$17</f>
        <v>kW</v>
      </c>
      <c r="C110" s="98">
        <v>4062</v>
      </c>
      <c r="D110" s="98">
        <v>4730</v>
      </c>
      <c r="E110" s="98"/>
      <c r="F110" s="98"/>
      <c r="G110" s="110">
        <v>3178.8378943642892</v>
      </c>
      <c r="H110" s="110">
        <v>2852.0900400992991</v>
      </c>
      <c r="I110" s="110">
        <f>3064.17+119.51</f>
        <v>3183.6800000000003</v>
      </c>
      <c r="J110" s="99">
        <f>CHOOSE(MATCH(B110,{0,"kWh","kW"},0),1,'[2]3.10 LoadForecast'!$I47*'[2]3.10 LoadForecast'!B91,'[2]3.10 LoadForecast'!$I77)</f>
        <v>6772.1454156893096</v>
      </c>
      <c r="K110" s="117">
        <v>1.1999999999999999E-3</v>
      </c>
      <c r="L110" s="101">
        <f t="shared" si="14"/>
        <v>8.1265744988271713</v>
      </c>
      <c r="M110" s="99">
        <f>CHOOSE(MATCH(B110,{0,"kWh","kW"},0),1,'[2]3.10 LoadForecast'!$J47*'[2]3.10 LoadForecast'!B91,'[2]3.10 LoadForecast'!$J77)</f>
        <v>3840.1451572869528</v>
      </c>
      <c r="N110" s="117">
        <v>1.2999999999999999E-3</v>
      </c>
      <c r="O110" s="101">
        <f t="shared" si="15"/>
        <v>4.99</v>
      </c>
    </row>
    <row r="111" spans="1:15" x14ac:dyDescent="0.2">
      <c r="A111" s="15" t="str">
        <f t="shared" si="16"/>
        <v>Unmetered Scattered Load</v>
      </c>
      <c r="B111" s="104" t="str">
        <f>'[2]0.2 Customer Classes'!$D$18</f>
        <v>kWh</v>
      </c>
      <c r="C111" s="98">
        <v>4062</v>
      </c>
      <c r="D111" s="98">
        <v>4730</v>
      </c>
      <c r="E111" s="98"/>
      <c r="F111" s="98"/>
      <c r="G111" s="110">
        <v>584.45852966004134</v>
      </c>
      <c r="H111" s="110">
        <v>537.83017869320338</v>
      </c>
      <c r="I111" s="110">
        <f>568.15+22.14</f>
        <v>590.29</v>
      </c>
      <c r="J111" s="99">
        <f>CHOOSE(MATCH(B111,{0,"kWh","kW"},0),1,'[2]3.10 LoadForecast'!$I48*'[2]3.10 LoadForecast'!B92,'[2]3.10 LoadForecast'!$I78)</f>
        <v>470704.61923424277</v>
      </c>
      <c r="K111" s="117">
        <v>1.1999999999999999E-3</v>
      </c>
      <c r="L111" s="101">
        <f t="shared" si="14"/>
        <v>564.84554308109125</v>
      </c>
      <c r="M111" s="99">
        <f>CHOOSE(MATCH(B111,{0,"kWh","kW"},0),1,'[2]3.10 LoadForecast'!$J48*'[2]3.10 LoadForecast'!B92,'[2]3.10 LoadForecast'!$J78)</f>
        <v>482315.93506764364</v>
      </c>
      <c r="N111" s="117">
        <v>1.2999999999999999E-3</v>
      </c>
      <c r="O111" s="101">
        <f t="shared" si="15"/>
        <v>627.01</v>
      </c>
    </row>
    <row r="112" spans="1:15" x14ac:dyDescent="0.2">
      <c r="A112" s="15" t="str">
        <f t="shared" si="16"/>
        <v>other</v>
      </c>
      <c r="B112" s="104">
        <f>'[2]0.2 Customer Classes'!$D$19</f>
        <v>0</v>
      </c>
      <c r="C112" s="98">
        <v>4062</v>
      </c>
      <c r="D112" s="98">
        <v>4730</v>
      </c>
      <c r="E112" s="98"/>
      <c r="F112" s="98"/>
      <c r="G112" s="98"/>
      <c r="H112" s="98"/>
      <c r="I112" s="98"/>
      <c r="J112" s="99">
        <f>CHOOSE(MATCH(B112,{0,"kWh","kW"},0),1,'[2]3.10 LoadForecast'!$I49*'[2]3.10 LoadForecast'!B93,'[2]3.10 LoadForecast'!$I79)</f>
        <v>1</v>
      </c>
      <c r="K112" s="117">
        <v>1.1999999999999999E-3</v>
      </c>
      <c r="L112" s="101">
        <f t="shared" si="14"/>
        <v>1.1999999999999999E-3</v>
      </c>
      <c r="M112" s="99">
        <f>CHOOSE(MATCH(B112,{0,"kWh","kW"},0),1,'[2]3.10 LoadForecast'!$J49*'[2]3.10 LoadForecast'!B93,'[2]3.10 LoadForecast'!$J79)</f>
        <v>1</v>
      </c>
      <c r="N112" s="117">
        <v>1.2999999999999999E-3</v>
      </c>
      <c r="O112" s="101">
        <f t="shared" si="15"/>
        <v>0</v>
      </c>
    </row>
    <row r="113" spans="1:15" x14ac:dyDescent="0.2">
      <c r="A113" s="15" t="str">
        <f t="shared" si="16"/>
        <v>other</v>
      </c>
      <c r="B113" s="104">
        <f>'[2]0.2 Customer Classes'!$D$20</f>
        <v>0</v>
      </c>
      <c r="C113" s="98">
        <v>4062</v>
      </c>
      <c r="D113" s="98">
        <v>4730</v>
      </c>
      <c r="E113" s="98"/>
      <c r="F113" s="98"/>
      <c r="G113" s="98"/>
      <c r="H113" s="98"/>
      <c r="I113" s="98"/>
      <c r="J113" s="99">
        <f>CHOOSE(MATCH(B113,{0,"kWh","kW"},0),1,'[2]3.10 LoadForecast'!$I50*'[2]3.10 LoadForecast'!B94,'[2]3.10 LoadForecast'!$I80)</f>
        <v>1</v>
      </c>
      <c r="K113" s="117">
        <v>1.1999999999999999E-3</v>
      </c>
      <c r="L113" s="101">
        <f t="shared" si="14"/>
        <v>1.1999999999999999E-3</v>
      </c>
      <c r="M113" s="99">
        <f>CHOOSE(MATCH(B113,{0,"kWh","kW"},0),1,'[2]3.10 LoadForecast'!$J50*'[2]3.10 LoadForecast'!B94,'[2]3.10 LoadForecast'!$J80)</f>
        <v>1</v>
      </c>
      <c r="N113" s="117">
        <v>1.2999999999999999E-3</v>
      </c>
      <c r="O113" s="101">
        <f t="shared" si="15"/>
        <v>0</v>
      </c>
    </row>
    <row r="114" spans="1:15" x14ac:dyDescent="0.2">
      <c r="A114" s="15" t="str">
        <f t="shared" si="16"/>
        <v>other</v>
      </c>
      <c r="B114" s="104">
        <f>'[2]0.2 Customer Classes'!$D$21</f>
        <v>0</v>
      </c>
      <c r="C114" s="98">
        <v>4062</v>
      </c>
      <c r="D114" s="98">
        <v>4730</v>
      </c>
      <c r="E114" s="98"/>
      <c r="F114" s="98"/>
      <c r="G114" s="98"/>
      <c r="H114" s="98"/>
      <c r="I114" s="98"/>
      <c r="J114" s="99">
        <f>CHOOSE(MATCH(B114,{0,"kWh","kW"},0),1,'[2]3.10 LoadForecast'!$I51*'[2]3.10 LoadForecast'!B95,'[2]3.10 LoadForecast'!$I81)</f>
        <v>1</v>
      </c>
      <c r="K114" s="117">
        <v>1.1999999999999999E-3</v>
      </c>
      <c r="L114" s="101">
        <f t="shared" si="14"/>
        <v>1.1999999999999999E-3</v>
      </c>
      <c r="M114" s="99">
        <f>CHOOSE(MATCH(B114,{0,"kWh","kW"},0),1,'[2]3.10 LoadForecast'!$J51*'[2]3.10 LoadForecast'!B95,'[2]3.10 LoadForecast'!$J81)</f>
        <v>1</v>
      </c>
      <c r="N114" s="117">
        <v>1.2999999999999999E-3</v>
      </c>
      <c r="O114" s="101">
        <f t="shared" si="15"/>
        <v>0</v>
      </c>
    </row>
    <row r="115" spans="1:15" x14ac:dyDescent="0.2">
      <c r="A115" s="92" t="s">
        <v>15</v>
      </c>
      <c r="B115" s="104">
        <f>'[2]0.2 Customer Classes'!$D$22</f>
        <v>0</v>
      </c>
      <c r="C115" s="93">
        <v>0</v>
      </c>
      <c r="D115" s="93">
        <v>0</v>
      </c>
      <c r="E115" s="105">
        <f>SUM(E106:E110)</f>
        <v>0</v>
      </c>
      <c r="F115" s="105">
        <f>SUM(F106:F110)</f>
        <v>0</v>
      </c>
      <c r="G115" s="106">
        <f>SUM(G106:G114)</f>
        <v>252043.84639089412</v>
      </c>
      <c r="H115" s="106">
        <f>SUM(H106:H114)</f>
        <v>220700.45402930281</v>
      </c>
      <c r="I115" s="106">
        <f>SUM(I106:I114)</f>
        <v>245760.74</v>
      </c>
      <c r="J115" s="106">
        <f>SUM(J106:J114)</f>
        <v>118745657.68229848</v>
      </c>
      <c r="K115" s="116"/>
      <c r="L115" s="106">
        <f>SUM(L106:L114)</f>
        <v>142494.78921875815</v>
      </c>
      <c r="M115" s="106">
        <f>SUM(M106:M114)</f>
        <v>116561012.33199686</v>
      </c>
      <c r="N115" s="116"/>
      <c r="O115" s="106">
        <f>SUM(O106:O114)</f>
        <v>151529.31</v>
      </c>
    </row>
    <row r="116" spans="1:15" x14ac:dyDescent="0.2">
      <c r="A116" s="39"/>
      <c r="B116" s="109"/>
      <c r="C116" s="109"/>
      <c r="D116" s="109"/>
      <c r="E116" s="109"/>
      <c r="F116" s="109"/>
      <c r="G116" s="109"/>
      <c r="H116" s="109"/>
      <c r="I116" s="109"/>
      <c r="J116" s="109"/>
      <c r="K116" s="109"/>
      <c r="L116" s="109"/>
      <c r="M116" s="109"/>
      <c r="N116" s="109"/>
      <c r="O116" s="109"/>
    </row>
    <row r="117" spans="1:15" x14ac:dyDescent="0.2">
      <c r="A117" s="44" t="s">
        <v>61</v>
      </c>
      <c r="B117" s="109"/>
      <c r="C117" s="109"/>
      <c r="D117" s="109"/>
      <c r="E117" s="109"/>
      <c r="F117" s="109"/>
      <c r="G117" s="109"/>
      <c r="H117" s="109"/>
      <c r="I117" s="109"/>
      <c r="J117" s="109"/>
      <c r="K117" s="109"/>
      <c r="L117" s="109"/>
      <c r="M117" s="109"/>
      <c r="N117" s="109"/>
      <c r="O117" s="109"/>
    </row>
    <row r="118" spans="1:15" x14ac:dyDescent="0.2">
      <c r="A118" s="87" t="s">
        <v>62</v>
      </c>
      <c r="B118" s="109"/>
      <c r="C118" s="109"/>
      <c r="D118" s="109"/>
      <c r="E118" s="109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</row>
    <row r="119" spans="1:15" x14ac:dyDescent="0.2">
      <c r="B119" s="36"/>
      <c r="C119" s="36"/>
      <c r="D119" s="36"/>
      <c r="E119" s="88">
        <f>'[2]0.1 LDC Info'!$E$27</f>
        <v>2010</v>
      </c>
      <c r="F119" s="88">
        <f>'[2]0.1 LDC Info'!$E$27+1</f>
        <v>2011</v>
      </c>
      <c r="G119" s="88">
        <f>'[2]0.1 LDC Info'!$E$27+2</f>
        <v>2012</v>
      </c>
      <c r="H119" s="88">
        <f>'[2]0.1 LDC Info'!$E$27+3</f>
        <v>2013</v>
      </c>
      <c r="I119" s="88">
        <f>'[2]0.1 LDC Info'!$E$27+4</f>
        <v>2014</v>
      </c>
      <c r="J119" s="89">
        <f>'[2]0.1 LDC Info'!$E$23</f>
        <v>2015</v>
      </c>
      <c r="K119" s="90"/>
      <c r="L119" s="90"/>
      <c r="M119" s="91">
        <f>'[2]0.1 LDC Info'!$E$25</f>
        <v>2016</v>
      </c>
      <c r="N119" s="90"/>
      <c r="O119" s="90"/>
    </row>
    <row r="120" spans="1:15" x14ac:dyDescent="0.2">
      <c r="A120" s="92" t="s">
        <v>47</v>
      </c>
      <c r="B120" s="93"/>
      <c r="C120" s="93" t="s">
        <v>48</v>
      </c>
      <c r="D120" s="93" t="s">
        <v>49</v>
      </c>
      <c r="E120" s="94"/>
      <c r="F120" s="94"/>
      <c r="G120" s="94"/>
      <c r="H120" s="94"/>
      <c r="I120" s="94"/>
      <c r="J120" s="93" t="s">
        <v>3</v>
      </c>
      <c r="K120" s="93" t="s">
        <v>53</v>
      </c>
      <c r="L120" s="93" t="s">
        <v>3</v>
      </c>
      <c r="M120" s="93" t="s">
        <v>3</v>
      </c>
      <c r="N120" s="93" t="s">
        <v>53</v>
      </c>
      <c r="O120" s="93" t="s">
        <v>3</v>
      </c>
    </row>
    <row r="121" spans="1:15" x14ac:dyDescent="0.2">
      <c r="A121" s="95" t="s">
        <v>50</v>
      </c>
      <c r="B121" s="96"/>
      <c r="C121" s="96" t="s">
        <v>51</v>
      </c>
      <c r="D121" s="96" t="s">
        <v>51</v>
      </c>
      <c r="E121" s="96"/>
      <c r="F121" s="96"/>
      <c r="G121" s="96"/>
      <c r="H121" s="96"/>
      <c r="I121" s="96"/>
      <c r="J121" s="96" t="s">
        <v>52</v>
      </c>
      <c r="K121" s="96"/>
      <c r="L121" s="96" t="s">
        <v>54</v>
      </c>
      <c r="M121" s="96" t="s">
        <v>52</v>
      </c>
      <c r="N121" s="96"/>
      <c r="O121" s="96" t="s">
        <v>54</v>
      </c>
    </row>
    <row r="122" spans="1:15" x14ac:dyDescent="0.2">
      <c r="A122" s="15" t="str">
        <f>A15</f>
        <v>Residential</v>
      </c>
      <c r="B122" s="96" t="str">
        <f>'[2]0.2 Customer Classes'!$D$13</f>
        <v>kWh</v>
      </c>
      <c r="C122" s="98"/>
      <c r="D122" s="98"/>
      <c r="E122" s="98"/>
      <c r="F122" s="98"/>
      <c r="G122" s="98"/>
      <c r="H122" s="110">
        <f>11405.99+45688.79</f>
        <v>57094.78</v>
      </c>
      <c r="I122" s="98">
        <f>101035.52-I123</f>
        <v>88537.260000000009</v>
      </c>
      <c r="J122" s="118">
        <f>'[2]3.10 LoadForecast'!I14</f>
        <v>9383.7903594694271</v>
      </c>
      <c r="K122" s="117">
        <v>0.79</v>
      </c>
      <c r="L122" s="101">
        <f>J122*K122</f>
        <v>7413.1943839808482</v>
      </c>
      <c r="M122" s="118">
        <f>'[2]3.10 LoadForecast'!J14</f>
        <v>9463</v>
      </c>
      <c r="N122" s="117">
        <v>0.79</v>
      </c>
      <c r="O122" s="101">
        <f>ROUND(M122*N122*12,0)</f>
        <v>89709</v>
      </c>
    </row>
    <row r="123" spans="1:15" x14ac:dyDescent="0.2">
      <c r="A123" s="15" t="str">
        <f>A16</f>
        <v>General Service &lt; 50 kW</v>
      </c>
      <c r="B123" s="96" t="str">
        <f>'[2]0.2 Customer Classes'!$D$14</f>
        <v>kWh</v>
      </c>
      <c r="C123" s="98"/>
      <c r="D123" s="98"/>
      <c r="E123" s="98"/>
      <c r="F123" s="98"/>
      <c r="G123" s="98"/>
      <c r="H123" s="110">
        <f>6958.79+1737.23</f>
        <v>8696.02</v>
      </c>
      <c r="I123" s="98">
        <v>12498.26</v>
      </c>
      <c r="J123" s="118">
        <f>'[2]3.10 LoadForecast'!I15</f>
        <v>1299.5784496245794</v>
      </c>
      <c r="K123" s="117">
        <v>0.79</v>
      </c>
      <c r="L123" s="101">
        <f>J123*K123</f>
        <v>1026.6669752034179</v>
      </c>
      <c r="M123" s="118">
        <f>'[2]3.10 LoadForecast'!J15</f>
        <v>1281</v>
      </c>
      <c r="N123" s="117">
        <v>0.79</v>
      </c>
      <c r="O123" s="101">
        <f>ROUND(M123*N123*12,0)</f>
        <v>12144</v>
      </c>
    </row>
    <row r="124" spans="1:15" x14ac:dyDescent="0.2">
      <c r="A124" s="15" t="str">
        <f>A17</f>
        <v>General Service &gt; 50 to 4999 kW</v>
      </c>
      <c r="B124" s="96" t="str">
        <f>'[2]0.2 Customer Classes'!$D$15</f>
        <v>kW</v>
      </c>
      <c r="C124" s="98"/>
      <c r="D124" s="98"/>
      <c r="E124" s="98"/>
      <c r="F124" s="98"/>
      <c r="G124" s="98"/>
      <c r="H124" s="98"/>
      <c r="I124" s="98"/>
      <c r="J124" s="118">
        <f>'[2]3.10 LoadForecast'!I16</f>
        <v>146</v>
      </c>
      <c r="K124" s="117">
        <v>0.79</v>
      </c>
      <c r="L124" s="101">
        <f>J124*K124</f>
        <v>115.34</v>
      </c>
      <c r="M124" s="118">
        <f>'[2]3.10 LoadForecast'!J16</f>
        <v>148</v>
      </c>
      <c r="N124" s="117">
        <v>0.79</v>
      </c>
      <c r="O124" s="101">
        <f>ROUND(M124*N124*12,0)</f>
        <v>1403</v>
      </c>
    </row>
    <row r="125" spans="1:15" x14ac:dyDescent="0.2">
      <c r="A125" s="92" t="s">
        <v>15</v>
      </c>
      <c r="B125" s="104">
        <f>'[2]0.2 Customer Classes'!$D$22</f>
        <v>0</v>
      </c>
      <c r="C125" s="93">
        <v>0</v>
      </c>
      <c r="D125" s="93">
        <v>0</v>
      </c>
      <c r="E125" s="105">
        <f t="shared" ref="E125:J125" si="17">SUM(E122:E124)</f>
        <v>0</v>
      </c>
      <c r="F125" s="105">
        <f t="shared" si="17"/>
        <v>0</v>
      </c>
      <c r="G125" s="105">
        <f t="shared" si="17"/>
        <v>0</v>
      </c>
      <c r="H125" s="119">
        <f t="shared" si="17"/>
        <v>65790.8</v>
      </c>
      <c r="I125" s="119">
        <f t="shared" si="17"/>
        <v>101035.52</v>
      </c>
      <c r="J125" s="119">
        <f t="shared" si="17"/>
        <v>10829.368809094007</v>
      </c>
      <c r="K125" s="116"/>
      <c r="L125" s="119">
        <f>SUM(L122:L124)</f>
        <v>8555.201359184266</v>
      </c>
      <c r="M125" s="119">
        <f>SUM(M122:M124)</f>
        <v>10892</v>
      </c>
      <c r="N125" s="116"/>
      <c r="O125" s="119">
        <f>SUM(O122:O124)</f>
        <v>103256</v>
      </c>
    </row>
    <row r="126" spans="1:15" x14ac:dyDescent="0.2">
      <c r="A126" s="120"/>
      <c r="B126" s="121"/>
      <c r="C126" s="121"/>
      <c r="D126" s="121"/>
      <c r="E126" s="121"/>
      <c r="F126" s="121"/>
      <c r="G126" s="121"/>
      <c r="H126" s="121"/>
      <c r="I126" s="121"/>
      <c r="J126" s="122"/>
      <c r="K126" s="123"/>
      <c r="L126" s="124"/>
      <c r="M126" s="122"/>
      <c r="N126" s="123"/>
      <c r="O126" s="124"/>
    </row>
    <row r="127" spans="1:15" x14ac:dyDescent="0.2">
      <c r="A127" s="44" t="s">
        <v>63</v>
      </c>
      <c r="B127" s="109"/>
      <c r="C127" s="109"/>
      <c r="D127" s="109"/>
      <c r="E127" s="109"/>
      <c r="F127" s="109"/>
      <c r="G127" s="109"/>
      <c r="H127" s="109"/>
      <c r="I127" s="109"/>
      <c r="K127" s="109"/>
      <c r="L127" s="109"/>
      <c r="M127" s="109"/>
      <c r="N127" s="109"/>
      <c r="O127" s="109"/>
    </row>
    <row r="128" spans="1:15" x14ac:dyDescent="0.2">
      <c r="A128" s="125" t="s">
        <v>3</v>
      </c>
      <c r="B128" s="109"/>
      <c r="C128" s="109"/>
      <c r="D128" s="109"/>
      <c r="E128" s="109"/>
      <c r="F128" s="109"/>
      <c r="G128" s="109"/>
      <c r="H128" s="109"/>
      <c r="I128" s="109"/>
      <c r="K128" s="109"/>
      <c r="L128" s="109"/>
      <c r="M128" s="109"/>
      <c r="N128" s="109"/>
      <c r="O128" s="109"/>
    </row>
    <row r="129" spans="1:14" x14ac:dyDescent="0.2">
      <c r="B129" s="126"/>
      <c r="C129" s="126"/>
      <c r="D129" s="126"/>
      <c r="E129" s="88">
        <f>'[2]0.1 LDC Info'!$E$27</f>
        <v>2010</v>
      </c>
      <c r="F129" s="88">
        <f>'[2]0.1 LDC Info'!$E$27+1</f>
        <v>2011</v>
      </c>
      <c r="G129" s="88">
        <f>'[2]0.1 LDC Info'!$E$27+2</f>
        <v>2012</v>
      </c>
      <c r="H129" s="88">
        <f>'[2]0.1 LDC Info'!$E$27+3</f>
        <v>2013</v>
      </c>
      <c r="I129" s="88">
        <f>'[2]0.1 LDC Info'!$E$27+4</f>
        <v>2014</v>
      </c>
      <c r="J129" s="88">
        <f>Bridge_Year</f>
        <v>2015</v>
      </c>
      <c r="K129" s="88">
        <f>Test_Year</f>
        <v>2016</v>
      </c>
    </row>
    <row r="130" spans="1:14" ht="12.75" customHeight="1" x14ac:dyDescent="0.2">
      <c r="A130" s="127"/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</row>
    <row r="131" spans="1:14" ht="12.75" customHeight="1" x14ac:dyDescent="0.2">
      <c r="A131" s="129" t="str">
        <f>'[2]1.2.TB Historical Balances'!B303</f>
        <v xml:space="preserve">4075-Billed - LV
</v>
      </c>
      <c r="B131" s="130"/>
      <c r="C131" s="131"/>
      <c r="D131" s="131"/>
      <c r="E131" s="132">
        <f>'[2]1.2.TB Historical Balances'!J303</f>
        <v>-189060.28</v>
      </c>
      <c r="F131" s="132">
        <f>'[2]1.2.TB Historical Balances'!M303</f>
        <v>-205209.87</v>
      </c>
      <c r="G131" s="132">
        <f>'[2]1.2.TB Historical Balances'!P303</f>
        <v>-202887.14</v>
      </c>
      <c r="H131" s="132">
        <f>'[2]1.2.TB Historical Balances'!S303</f>
        <v>-206776.08</v>
      </c>
      <c r="I131" s="133">
        <v>-202824.76</v>
      </c>
      <c r="J131" s="134">
        <f>-J132</f>
        <v>-205000</v>
      </c>
      <c r="K131" s="134">
        <f>-K132</f>
        <v>-205000</v>
      </c>
    </row>
    <row r="132" spans="1:14" ht="12.75" customHeight="1" x14ac:dyDescent="0.2">
      <c r="A132" s="129" t="str">
        <f>'[2]1.2.TB Historical Balances'!B393</f>
        <v xml:space="preserve">4750-Charges - LV
</v>
      </c>
      <c r="B132" s="130"/>
      <c r="C132" s="131"/>
      <c r="D132" s="131"/>
      <c r="E132" s="132">
        <f>'[2]1.2.TB Historical Balances'!J393</f>
        <v>0</v>
      </c>
      <c r="F132" s="132">
        <f>'[2]1.2.TB Historical Balances'!M393</f>
        <v>0</v>
      </c>
      <c r="G132" s="132">
        <f>'[2]1.2.TB Historical Balances'!P393</f>
        <v>0</v>
      </c>
      <c r="H132" s="132">
        <f>'[2]1.2.TB Historical Balances'!S393</f>
        <v>65790.8</v>
      </c>
      <c r="I132" s="132">
        <f>'[2]1.2.TB Historical Balances'!V393</f>
        <v>167194.67000000001</v>
      </c>
      <c r="J132" s="135">
        <v>205000</v>
      </c>
      <c r="K132" s="135">
        <v>205000</v>
      </c>
    </row>
    <row r="133" spans="1:14" x14ac:dyDescent="0.2">
      <c r="A133" s="120"/>
      <c r="B133" s="121"/>
      <c r="C133" s="121"/>
      <c r="D133" s="121"/>
      <c r="E133" s="136"/>
      <c r="F133" s="136"/>
      <c r="G133" s="136"/>
      <c r="H133" s="136"/>
      <c r="I133" s="136"/>
      <c r="J133" s="123"/>
      <c r="K133" s="137"/>
      <c r="L133" s="122"/>
      <c r="M133" s="124"/>
      <c r="N133" s="138"/>
    </row>
    <row r="134" spans="1:14" x14ac:dyDescent="0.2">
      <c r="A134" s="44" t="s">
        <v>64</v>
      </c>
      <c r="B134" s="121"/>
      <c r="C134" s="121"/>
      <c r="D134" s="121"/>
      <c r="E134" s="136"/>
      <c r="F134" s="136"/>
      <c r="G134" s="136"/>
      <c r="H134" s="136"/>
      <c r="I134" s="136"/>
      <c r="J134" s="123"/>
      <c r="K134" s="137"/>
      <c r="L134" s="122"/>
      <c r="M134" s="124"/>
      <c r="N134" s="138"/>
    </row>
    <row r="135" spans="1:14" ht="17.25" customHeight="1" x14ac:dyDescent="0.2">
      <c r="A135" s="87" t="s">
        <v>65</v>
      </c>
      <c r="B135" s="121"/>
      <c r="C135" s="121"/>
      <c r="D135" s="121"/>
      <c r="E135" s="136"/>
      <c r="F135" s="136"/>
      <c r="G135" s="136"/>
      <c r="H135" s="136"/>
      <c r="I135" s="136"/>
      <c r="J135" s="123"/>
      <c r="K135" s="137"/>
      <c r="L135" s="122"/>
      <c r="M135" s="124"/>
      <c r="N135" s="138"/>
    </row>
    <row r="136" spans="1:14" x14ac:dyDescent="0.2">
      <c r="A136" s="125"/>
      <c r="B136" s="121"/>
      <c r="C136" s="121"/>
      <c r="D136" s="121"/>
      <c r="E136" s="136"/>
      <c r="F136" s="136"/>
      <c r="G136" s="136"/>
      <c r="H136" s="136"/>
      <c r="I136" s="136"/>
      <c r="J136" s="123"/>
      <c r="K136" s="137"/>
      <c r="L136" s="122"/>
      <c r="M136" s="124"/>
      <c r="N136" s="138"/>
    </row>
    <row r="137" spans="1:14" x14ac:dyDescent="0.2">
      <c r="B137" s="139" t="s">
        <v>66</v>
      </c>
      <c r="C137" s="139"/>
      <c r="D137" s="139"/>
      <c r="E137" s="139"/>
      <c r="F137" s="139"/>
      <c r="G137" s="139"/>
      <c r="H137" s="140"/>
    </row>
    <row r="138" spans="1:14" ht="24.75" customHeight="1" x14ac:dyDescent="0.2">
      <c r="A138" s="141" t="s">
        <v>5</v>
      </c>
      <c r="B138" s="142"/>
      <c r="C138" s="143" t="s">
        <v>67</v>
      </c>
      <c r="D138" s="144" t="s">
        <v>68</v>
      </c>
      <c r="E138" s="145"/>
      <c r="F138" s="146" t="s">
        <v>48</v>
      </c>
      <c r="G138" s="146" t="s">
        <v>69</v>
      </c>
      <c r="H138" s="147"/>
    </row>
    <row r="139" spans="1:14" ht="13.5" customHeight="1" x14ac:dyDescent="0.2">
      <c r="A139" s="129" t="str">
        <f>A15</f>
        <v>Residential</v>
      </c>
      <c r="B139" s="96" t="str">
        <f>'[2]0.2 Customer Classes'!$D$13</f>
        <v>kWh</v>
      </c>
      <c r="C139" s="148">
        <f t="shared" ref="C139:C147" si="18">N74</f>
        <v>4.5291837326333229E-3</v>
      </c>
      <c r="D139" s="149">
        <f>M74</f>
        <v>79968077.702363268</v>
      </c>
      <c r="E139" s="150"/>
      <c r="F139" s="151">
        <f t="shared" ref="F139:F147" si="19">C139*D139</f>
        <v>362190.11665950128</v>
      </c>
      <c r="G139" s="152">
        <f t="shared" ref="G139:G147" si="20">F139/$F$148</f>
        <v>0.30655171651401508</v>
      </c>
      <c r="H139" s="153"/>
    </row>
    <row r="140" spans="1:14" ht="13.5" customHeight="1" x14ac:dyDescent="0.2">
      <c r="A140" s="129" t="str">
        <f t="shared" ref="A140:A147" si="21">A16</f>
        <v>General Service &lt; 50 kW</v>
      </c>
      <c r="B140" s="96" t="str">
        <f>'[2]0.2 Customer Classes'!$D$14</f>
        <v>kWh</v>
      </c>
      <c r="C140" s="148">
        <f t="shared" si="18"/>
        <v>4.0259412268579828E-3</v>
      </c>
      <c r="D140" s="149">
        <f t="shared" ref="D140:D147" si="22">M75</f>
        <v>35635269.320536353</v>
      </c>
      <c r="E140" s="150"/>
      <c r="F140" s="151">
        <f t="shared" si="19"/>
        <v>143465.49988773477</v>
      </c>
      <c r="G140" s="152">
        <f t="shared" si="20"/>
        <v>0.12142682317439382</v>
      </c>
      <c r="H140" s="153"/>
    </row>
    <row r="141" spans="1:14" ht="13.5" customHeight="1" x14ac:dyDescent="0.2">
      <c r="A141" s="129" t="str">
        <f t="shared" si="21"/>
        <v>General Service &gt; 50 to 4999 kW</v>
      </c>
      <c r="B141" s="96" t="str">
        <f>'[2]0.2 Customer Classes'!$D$15</f>
        <v>kW</v>
      </c>
      <c r="C141" s="148">
        <f t="shared" si="18"/>
        <v>1.6062498283035462</v>
      </c>
      <c r="D141" s="149">
        <f t="shared" si="22"/>
        <v>210852.79185851585</v>
      </c>
      <c r="E141" s="150"/>
      <c r="F141" s="151">
        <f t="shared" si="19"/>
        <v>338682.26072006446</v>
      </c>
      <c r="G141" s="152">
        <f t="shared" si="20"/>
        <v>0.28665505656022255</v>
      </c>
      <c r="H141" s="153"/>
    </row>
    <row r="142" spans="1:14" ht="13.5" customHeight="1" x14ac:dyDescent="0.2">
      <c r="A142" s="129" t="str">
        <f t="shared" si="21"/>
        <v>Sentinel Lighting</v>
      </c>
      <c r="B142" s="96" t="str">
        <f>'[2]0.2 Customer Classes'!$D$16</f>
        <v>kWh</v>
      </c>
      <c r="C142" s="148">
        <f t="shared" si="18"/>
        <v>1.2677724745637995</v>
      </c>
      <c r="D142" s="149">
        <f t="shared" si="22"/>
        <v>260653.43701379708</v>
      </c>
      <c r="E142" s="150"/>
      <c r="F142" s="151">
        <f t="shared" si="19"/>
        <v>330449.252846541</v>
      </c>
      <c r="G142" s="152">
        <f t="shared" si="20"/>
        <v>0.27968677504282624</v>
      </c>
      <c r="H142" s="153"/>
    </row>
    <row r="143" spans="1:14" ht="13.5" customHeight="1" x14ac:dyDescent="0.2">
      <c r="A143" s="129" t="str">
        <f t="shared" si="21"/>
        <v>Streetlighting</v>
      </c>
      <c r="B143" s="96" t="str">
        <f>'[2]0.2 Customer Classes'!$D$17</f>
        <v>kW</v>
      </c>
      <c r="C143" s="148">
        <f t="shared" si="18"/>
        <v>1.2418007380417413</v>
      </c>
      <c r="D143" s="149">
        <f t="shared" si="22"/>
        <v>3840.1451572869528</v>
      </c>
      <c r="E143" s="150"/>
      <c r="F143" s="151">
        <f t="shared" si="19"/>
        <v>4768.6950905063568</v>
      </c>
      <c r="G143" s="152">
        <f t="shared" si="20"/>
        <v>4.0361445502969983E-3</v>
      </c>
      <c r="H143" s="153"/>
    </row>
    <row r="144" spans="1:14" ht="13.5" customHeight="1" x14ac:dyDescent="0.2">
      <c r="A144" s="129" t="str">
        <f t="shared" si="21"/>
        <v>Unmetered Scattered Load</v>
      </c>
      <c r="B144" s="104" t="str">
        <f>'[2]0.2 Customer Classes'!$D$18</f>
        <v>kWh</v>
      </c>
      <c r="C144" s="148">
        <f t="shared" si="18"/>
        <v>4.0259349604509975E-3</v>
      </c>
      <c r="D144" s="149">
        <f>M79</f>
        <v>482315.93506764364</v>
      </c>
      <c r="E144" s="150"/>
      <c r="F144" s="151">
        <f t="shared" si="19"/>
        <v>1941.7725849714398</v>
      </c>
      <c r="G144" s="152">
        <f t="shared" si="20"/>
        <v>1.6434841582451444E-3</v>
      </c>
      <c r="H144" s="153"/>
    </row>
    <row r="145" spans="1:15" ht="13.5" customHeight="1" x14ac:dyDescent="0.2">
      <c r="A145" s="129" t="str">
        <f t="shared" si="21"/>
        <v>other</v>
      </c>
      <c r="B145" s="104">
        <f>'[2]0.2 Customer Classes'!$D$19</f>
        <v>0</v>
      </c>
      <c r="C145" s="148">
        <f t="shared" si="18"/>
        <v>0</v>
      </c>
      <c r="D145" s="149">
        <f t="shared" si="22"/>
        <v>1</v>
      </c>
      <c r="E145" s="150"/>
      <c r="F145" s="151">
        <f t="shared" si="19"/>
        <v>0</v>
      </c>
      <c r="G145" s="152">
        <f t="shared" si="20"/>
        <v>0</v>
      </c>
      <c r="H145" s="153"/>
    </row>
    <row r="146" spans="1:15" ht="13.5" customHeight="1" x14ac:dyDescent="0.2">
      <c r="A146" s="129" t="str">
        <f t="shared" si="21"/>
        <v>other</v>
      </c>
      <c r="B146" s="104">
        <f>'[2]0.2 Customer Classes'!$D$20</f>
        <v>0</v>
      </c>
      <c r="C146" s="148">
        <f t="shared" si="18"/>
        <v>0</v>
      </c>
      <c r="D146" s="149">
        <f t="shared" si="22"/>
        <v>1</v>
      </c>
      <c r="E146" s="150"/>
      <c r="F146" s="151">
        <f t="shared" si="19"/>
        <v>0</v>
      </c>
      <c r="G146" s="152">
        <f t="shared" si="20"/>
        <v>0</v>
      </c>
      <c r="H146" s="153"/>
    </row>
    <row r="147" spans="1:15" ht="13.5" customHeight="1" x14ac:dyDescent="0.2">
      <c r="A147" s="129" t="str">
        <f t="shared" si="21"/>
        <v>other</v>
      </c>
      <c r="B147" s="104">
        <f>'[2]0.2 Customer Classes'!$D$21</f>
        <v>0</v>
      </c>
      <c r="C147" s="148">
        <f t="shared" si="18"/>
        <v>0</v>
      </c>
      <c r="D147" s="149">
        <f t="shared" si="22"/>
        <v>1</v>
      </c>
      <c r="E147" s="150"/>
      <c r="F147" s="151">
        <f t="shared" si="19"/>
        <v>0</v>
      </c>
      <c r="G147" s="152">
        <f t="shared" si="20"/>
        <v>0</v>
      </c>
      <c r="H147" s="153"/>
    </row>
    <row r="148" spans="1:15" x14ac:dyDescent="0.2">
      <c r="A148" s="92" t="s">
        <v>15</v>
      </c>
      <c r="B148" s="154"/>
      <c r="C148" s="155"/>
      <c r="D148" s="156">
        <f>SUM(D139:E147)</f>
        <v>116561012.33199686</v>
      </c>
      <c r="E148" s="157"/>
      <c r="F148" s="158">
        <f>SUM(F139:F147)</f>
        <v>1181497.5977893195</v>
      </c>
      <c r="G148" s="159">
        <f>SUM(G139:G147)</f>
        <v>0.99999999999999978</v>
      </c>
      <c r="H148" s="160"/>
    </row>
    <row r="149" spans="1:15" x14ac:dyDescent="0.2">
      <c r="A149" s="120"/>
      <c r="B149" s="121"/>
      <c r="C149" s="121"/>
      <c r="D149" s="121" t="s">
        <v>3</v>
      </c>
      <c r="E149" s="136"/>
      <c r="F149" s="136"/>
      <c r="G149" s="136"/>
      <c r="H149" s="136"/>
      <c r="I149" s="136"/>
      <c r="J149" s="123"/>
      <c r="K149" s="137"/>
      <c r="L149" s="122"/>
      <c r="M149" s="124"/>
      <c r="N149" s="138"/>
    </row>
    <row r="150" spans="1:15" ht="21" x14ac:dyDescent="0.2">
      <c r="A150" s="44" t="s">
        <v>70</v>
      </c>
      <c r="B150" s="161"/>
      <c r="C150" s="161"/>
      <c r="D150" s="161"/>
      <c r="E150" s="161"/>
      <c r="F150" s="161"/>
      <c r="G150" s="161"/>
      <c r="H150" s="161"/>
      <c r="I150" s="161"/>
      <c r="J150" s="162"/>
      <c r="K150" s="161"/>
      <c r="L150" s="162"/>
      <c r="M150" s="163"/>
      <c r="N150" s="163"/>
      <c r="O150" s="164"/>
    </row>
    <row r="151" spans="1:15" s="39" customFormat="1" x14ac:dyDescent="0.2">
      <c r="A151" s="87" t="s">
        <v>65</v>
      </c>
      <c r="B151" s="165"/>
      <c r="C151" s="165"/>
      <c r="D151" s="166"/>
      <c r="E151" s="166"/>
      <c r="F151" s="166"/>
      <c r="G151" s="166"/>
      <c r="H151" s="166"/>
      <c r="I151" s="166"/>
      <c r="J151" s="166"/>
      <c r="K151" s="165"/>
      <c r="L151" s="109"/>
      <c r="M151" s="109"/>
      <c r="N151" s="109"/>
      <c r="O151" s="109"/>
    </row>
    <row r="152" spans="1:15" s="39" customFormat="1" ht="16.5" customHeight="1" x14ac:dyDescent="0.2">
      <c r="A152" s="125"/>
      <c r="B152" s="165"/>
      <c r="C152" s="165"/>
      <c r="D152" s="166"/>
      <c r="E152" s="166"/>
      <c r="F152" s="166"/>
      <c r="G152" s="166"/>
      <c r="H152" s="166"/>
      <c r="I152" s="166"/>
      <c r="J152" s="166"/>
      <c r="K152" s="165"/>
      <c r="L152" s="109"/>
      <c r="M152" s="109"/>
      <c r="N152" s="109"/>
      <c r="O152" s="109"/>
    </row>
    <row r="153" spans="1:15" s="39" customFormat="1" x14ac:dyDescent="0.2">
      <c r="B153" s="167" t="s">
        <v>71</v>
      </c>
      <c r="C153" s="168"/>
      <c r="D153" s="168"/>
      <c r="E153" s="168"/>
      <c r="F153" s="168"/>
      <c r="G153" s="168"/>
      <c r="H153" s="169"/>
      <c r="I153" s="140"/>
      <c r="J153" s="170"/>
      <c r="K153" s="170"/>
      <c r="L153" s="170"/>
      <c r="M153" s="170"/>
      <c r="N153" s="109"/>
      <c r="O153" s="109"/>
    </row>
    <row r="154" spans="1:15" ht="28.5" customHeight="1" x14ac:dyDescent="0.2">
      <c r="A154" s="52" t="s">
        <v>5</v>
      </c>
      <c r="B154" s="171" t="s">
        <v>72</v>
      </c>
      <c r="C154" s="171"/>
      <c r="D154" s="171"/>
      <c r="E154" s="172" t="s">
        <v>73</v>
      </c>
      <c r="F154" s="172" t="s">
        <v>74</v>
      </c>
      <c r="G154" s="172" t="s">
        <v>57</v>
      </c>
      <c r="H154" s="172" t="s">
        <v>75</v>
      </c>
      <c r="J154" s="109"/>
      <c r="K154" s="109"/>
    </row>
    <row r="155" spans="1:15" ht="12.75" customHeight="1" x14ac:dyDescent="0.2">
      <c r="A155" s="15" t="str">
        <f t="shared" ref="A155:A163" si="23">A15</f>
        <v>Residential</v>
      </c>
      <c r="B155" s="173">
        <f>G139</f>
        <v>0.30655171651401508</v>
      </c>
      <c r="C155" s="173"/>
      <c r="D155" s="173"/>
      <c r="E155" s="174">
        <f t="shared" ref="E155:E163" si="24">$E$164*B155</f>
        <v>62843.101885373093</v>
      </c>
      <c r="F155" s="31">
        <f>D139</f>
        <v>79968077.702363268</v>
      </c>
      <c r="G155" s="175">
        <f t="shared" ref="G155:G163" si="25">ROUND(E155/F155,4)</f>
        <v>8.0000000000000004E-4</v>
      </c>
      <c r="H155" s="96" t="str">
        <f>'[2]0.2 Customer Classes'!$D$13</f>
        <v>kWh</v>
      </c>
      <c r="J155" s="109"/>
      <c r="K155" s="109"/>
    </row>
    <row r="156" spans="1:15" ht="12.75" customHeight="1" x14ac:dyDescent="0.2">
      <c r="A156" s="15" t="str">
        <f t="shared" si="23"/>
        <v>General Service &lt; 50 kW</v>
      </c>
      <c r="B156" s="173">
        <f t="shared" ref="B156:B163" si="26">G140</f>
        <v>0.12142682317439382</v>
      </c>
      <c r="C156" s="173"/>
      <c r="D156" s="173"/>
      <c r="E156" s="174">
        <f t="shared" si="24"/>
        <v>24892.498750750732</v>
      </c>
      <c r="F156" s="31">
        <f t="shared" ref="F156:F163" si="27">D140</f>
        <v>35635269.320536353</v>
      </c>
      <c r="G156" s="175">
        <f t="shared" si="25"/>
        <v>6.9999999999999999E-4</v>
      </c>
      <c r="H156" s="96" t="str">
        <f>'[2]0.2 Customer Classes'!$D$14</f>
        <v>kWh</v>
      </c>
      <c r="J156" s="109"/>
      <c r="K156" s="109"/>
    </row>
    <row r="157" spans="1:15" ht="12.75" customHeight="1" x14ac:dyDescent="0.2">
      <c r="A157" s="15" t="str">
        <f t="shared" si="23"/>
        <v>General Service &gt; 50 to 4999 kW</v>
      </c>
      <c r="B157" s="173">
        <f t="shared" si="26"/>
        <v>0.28665505656022255</v>
      </c>
      <c r="C157" s="173"/>
      <c r="D157" s="173"/>
      <c r="E157" s="174">
        <f t="shared" si="24"/>
        <v>58764.286594845624</v>
      </c>
      <c r="F157" s="31">
        <f t="shared" si="27"/>
        <v>210852.79185851585</v>
      </c>
      <c r="G157" s="175">
        <f t="shared" si="25"/>
        <v>0.2787</v>
      </c>
      <c r="H157" s="96" t="str">
        <f>'[2]0.2 Customer Classes'!$D$15</f>
        <v>kW</v>
      </c>
      <c r="J157" s="109"/>
      <c r="K157" s="109"/>
    </row>
    <row r="158" spans="1:15" ht="12.75" customHeight="1" x14ac:dyDescent="0.2">
      <c r="A158" s="15" t="str">
        <f t="shared" si="23"/>
        <v>Sentinel Lighting</v>
      </c>
      <c r="B158" s="173">
        <f t="shared" si="26"/>
        <v>0.27968677504282624</v>
      </c>
      <c r="C158" s="173"/>
      <c r="D158" s="173"/>
      <c r="E158" s="174">
        <f t="shared" si="24"/>
        <v>57335.78888377938</v>
      </c>
      <c r="F158" s="31">
        <f t="shared" si="27"/>
        <v>260653.43701379708</v>
      </c>
      <c r="G158" s="175">
        <f t="shared" si="25"/>
        <v>0.22</v>
      </c>
      <c r="H158" s="96" t="str">
        <f>'[2]0.2 Customer Classes'!$D$16</f>
        <v>kWh</v>
      </c>
      <c r="J158" s="109"/>
      <c r="K158" s="109"/>
    </row>
    <row r="159" spans="1:15" ht="12.75" customHeight="1" x14ac:dyDescent="0.2">
      <c r="A159" s="15" t="str">
        <f t="shared" si="23"/>
        <v>Streetlighting</v>
      </c>
      <c r="B159" s="173">
        <f t="shared" si="26"/>
        <v>4.0361445502969983E-3</v>
      </c>
      <c r="C159" s="173"/>
      <c r="D159" s="173"/>
      <c r="E159" s="174">
        <f t="shared" si="24"/>
        <v>827.40963281088466</v>
      </c>
      <c r="F159" s="31">
        <f t="shared" si="27"/>
        <v>3840.1451572869528</v>
      </c>
      <c r="G159" s="175">
        <f t="shared" si="25"/>
        <v>0.2155</v>
      </c>
      <c r="H159" s="96" t="str">
        <f>'[2]0.2 Customer Classes'!$D$17</f>
        <v>kW</v>
      </c>
      <c r="J159" s="109"/>
      <c r="K159" s="109"/>
    </row>
    <row r="160" spans="1:15" ht="12.75" customHeight="1" x14ac:dyDescent="0.2">
      <c r="A160" s="15" t="str">
        <f t="shared" si="23"/>
        <v>Unmetered Scattered Load</v>
      </c>
      <c r="B160" s="173">
        <f t="shared" si="26"/>
        <v>1.6434841582451444E-3</v>
      </c>
      <c r="C160" s="173"/>
      <c r="D160" s="173"/>
      <c r="E160" s="174">
        <f t="shared" si="24"/>
        <v>336.91425244025459</v>
      </c>
      <c r="F160" s="31">
        <f t="shared" si="27"/>
        <v>482315.93506764364</v>
      </c>
      <c r="G160" s="175">
        <f t="shared" si="25"/>
        <v>6.9999999999999999E-4</v>
      </c>
      <c r="H160" s="104" t="str">
        <f>'[2]0.2 Customer Classes'!$D$18</f>
        <v>kWh</v>
      </c>
      <c r="J160" s="109"/>
      <c r="K160" s="109"/>
    </row>
    <row r="161" spans="1:15" ht="12.75" customHeight="1" x14ac:dyDescent="0.2">
      <c r="A161" s="15" t="str">
        <f t="shared" si="23"/>
        <v>other</v>
      </c>
      <c r="B161" s="173">
        <f t="shared" si="26"/>
        <v>0</v>
      </c>
      <c r="C161" s="173"/>
      <c r="D161" s="173"/>
      <c r="E161" s="174">
        <f t="shared" si="24"/>
        <v>0</v>
      </c>
      <c r="F161" s="31">
        <f t="shared" si="27"/>
        <v>1</v>
      </c>
      <c r="G161" s="175">
        <f t="shared" si="25"/>
        <v>0</v>
      </c>
      <c r="H161" s="104">
        <f>'[2]0.2 Customer Classes'!$D$19</f>
        <v>0</v>
      </c>
      <c r="J161" s="109"/>
      <c r="K161" s="109"/>
    </row>
    <row r="162" spans="1:15" ht="12.75" customHeight="1" x14ac:dyDescent="0.2">
      <c r="A162" s="15" t="str">
        <f t="shared" si="23"/>
        <v>other</v>
      </c>
      <c r="B162" s="173">
        <f t="shared" si="26"/>
        <v>0</v>
      </c>
      <c r="C162" s="173"/>
      <c r="D162" s="173"/>
      <c r="E162" s="174">
        <f t="shared" si="24"/>
        <v>0</v>
      </c>
      <c r="F162" s="31">
        <f t="shared" si="27"/>
        <v>1</v>
      </c>
      <c r="G162" s="175">
        <f t="shared" si="25"/>
        <v>0</v>
      </c>
      <c r="H162" s="104">
        <f>'[2]0.2 Customer Classes'!$D$20</f>
        <v>0</v>
      </c>
      <c r="J162" s="109"/>
      <c r="K162" s="109"/>
    </row>
    <row r="163" spans="1:15" ht="12.75" customHeight="1" x14ac:dyDescent="0.2">
      <c r="A163" s="15" t="str">
        <f t="shared" si="23"/>
        <v>other</v>
      </c>
      <c r="B163" s="173">
        <f t="shared" si="26"/>
        <v>0</v>
      </c>
      <c r="C163" s="173"/>
      <c r="D163" s="173"/>
      <c r="E163" s="174">
        <f t="shared" si="24"/>
        <v>0</v>
      </c>
      <c r="F163" s="31">
        <f t="shared" si="27"/>
        <v>1</v>
      </c>
      <c r="G163" s="175">
        <f t="shared" si="25"/>
        <v>0</v>
      </c>
      <c r="H163" s="104">
        <f>'[2]0.2 Customer Classes'!$D$21</f>
        <v>0</v>
      </c>
      <c r="J163" s="109"/>
      <c r="K163" s="109"/>
    </row>
    <row r="164" spans="1:15" ht="12.75" customHeight="1" x14ac:dyDescent="0.2">
      <c r="A164" s="176" t="s">
        <v>15</v>
      </c>
      <c r="B164" s="177">
        <f>SUM(B155:D159)</f>
        <v>0.99835651584175467</v>
      </c>
      <c r="C164" s="178"/>
      <c r="D164" s="179"/>
      <c r="E164" s="180">
        <f>K132</f>
        <v>205000</v>
      </c>
      <c r="F164" s="65">
        <f>SUM(F155:F163)</f>
        <v>116561012.33199686</v>
      </c>
      <c r="G164" s="180"/>
      <c r="H164" s="49"/>
      <c r="J164" s="109"/>
      <c r="K164" s="109"/>
    </row>
    <row r="165" spans="1:15" x14ac:dyDescent="0.2">
      <c r="A165" s="181"/>
      <c r="C165" s="182"/>
      <c r="D165" s="183"/>
      <c r="E165" s="183"/>
      <c r="F165" s="183"/>
      <c r="G165" s="183"/>
      <c r="H165" s="183"/>
      <c r="I165" s="183"/>
      <c r="J165" s="183"/>
      <c r="K165" s="182"/>
      <c r="L165" s="109"/>
      <c r="M165" s="109"/>
      <c r="N165" s="109"/>
      <c r="O165" s="109"/>
    </row>
    <row r="166" spans="1:15" x14ac:dyDescent="0.2">
      <c r="A166" s="44" t="s">
        <v>76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</row>
    <row r="167" spans="1:15" x14ac:dyDescent="0.2">
      <c r="A167" s="87" t="s">
        <v>65</v>
      </c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</row>
    <row r="168" spans="1:15" x14ac:dyDescent="0.2">
      <c r="B168" s="36"/>
      <c r="C168" s="36"/>
      <c r="D168" s="36"/>
    </row>
    <row r="169" spans="1:15" s="26" customFormat="1" x14ac:dyDescent="0.2">
      <c r="A169" s="92" t="s">
        <v>47</v>
      </c>
      <c r="B169" s="93"/>
      <c r="C169" s="93" t="s">
        <v>48</v>
      </c>
      <c r="D169" s="93" t="s">
        <v>49</v>
      </c>
      <c r="E169" s="139">
        <f>'[2]0.1 LDC Info'!$E$23</f>
        <v>2015</v>
      </c>
      <c r="F169" s="184"/>
      <c r="G169" s="184"/>
      <c r="H169" s="89">
        <f>'[2]0.1 LDC Info'!$E$25</f>
        <v>2016</v>
      </c>
      <c r="I169" s="90"/>
      <c r="J169" s="90"/>
    </row>
    <row r="170" spans="1:15" x14ac:dyDescent="0.2">
      <c r="A170" s="95" t="s">
        <v>50</v>
      </c>
      <c r="B170" s="96"/>
      <c r="C170" s="96" t="s">
        <v>51</v>
      </c>
      <c r="D170" s="96" t="s">
        <v>51</v>
      </c>
      <c r="E170" s="96" t="s">
        <v>52</v>
      </c>
      <c r="F170" s="96" t="s">
        <v>57</v>
      </c>
      <c r="G170" s="96" t="s">
        <v>54</v>
      </c>
      <c r="H170" s="96" t="s">
        <v>52</v>
      </c>
      <c r="I170" s="96" t="s">
        <v>57</v>
      </c>
      <c r="J170" s="96" t="s">
        <v>54</v>
      </c>
    </row>
    <row r="171" spans="1:15" x14ac:dyDescent="0.2">
      <c r="A171" s="15" t="str">
        <f t="shared" ref="A171:A179" si="28">A15</f>
        <v>Residential</v>
      </c>
      <c r="B171" s="96" t="str">
        <f>'[2]0.2 Customer Classes'!$D$13</f>
        <v>kWh</v>
      </c>
      <c r="C171" s="96">
        <v>4075</v>
      </c>
      <c r="D171" s="96">
        <v>4750</v>
      </c>
      <c r="E171" s="99">
        <f>CHOOSE(MATCH(B171,{0,"kWh","kW"},0),1,'[2]3.10 LoadForecast'!$I$43,'[2]3.10 LoadForecast'!$I$73)</f>
        <v>78438793.189758629</v>
      </c>
      <c r="F171" s="185">
        <v>1.1000000000000001E-3</v>
      </c>
      <c r="G171" s="101">
        <f t="shared" ref="G171:G179" si="29">E171*F171</f>
        <v>86282.672508734497</v>
      </c>
      <c r="H171" s="99">
        <f t="shared" ref="H171:I179" si="30">F155</f>
        <v>79968077.702363268</v>
      </c>
      <c r="I171" s="186">
        <f t="shared" si="30"/>
        <v>8.0000000000000004E-4</v>
      </c>
      <c r="J171" s="187">
        <f t="shared" ref="J171:J179" si="31">H171*I171</f>
        <v>63974.462161890617</v>
      </c>
    </row>
    <row r="172" spans="1:15" x14ac:dyDescent="0.2">
      <c r="A172" s="15" t="str">
        <f t="shared" si="28"/>
        <v>General Service &lt; 50 kW</v>
      </c>
      <c r="B172" s="96" t="str">
        <f>'[2]0.2 Customer Classes'!$D$14</f>
        <v>kWh</v>
      </c>
      <c r="C172" s="96">
        <v>4075</v>
      </c>
      <c r="D172" s="96">
        <v>4750</v>
      </c>
      <c r="E172" s="99">
        <f>CHOOSE(MATCH(B172,{0,"kWh","kW"},0),1,'[2]3.10 LoadForecast'!$I$44,'[2]3.10 LoadForecast'!$I$74)</f>
        <v>34953791.572912797</v>
      </c>
      <c r="F172" s="185">
        <v>1E-3</v>
      </c>
      <c r="G172" s="101">
        <f t="shared" si="29"/>
        <v>34953.7915729128</v>
      </c>
      <c r="H172" s="99">
        <f t="shared" si="30"/>
        <v>35635269.320536353</v>
      </c>
      <c r="I172" s="186">
        <f t="shared" si="30"/>
        <v>6.9999999999999999E-4</v>
      </c>
      <c r="J172" s="187">
        <f t="shared" si="31"/>
        <v>24944.688524375448</v>
      </c>
    </row>
    <row r="173" spans="1:15" x14ac:dyDescent="0.2">
      <c r="A173" s="15" t="str">
        <f t="shared" si="28"/>
        <v>General Service &gt; 50 to 4999 kW</v>
      </c>
      <c r="B173" s="96" t="str">
        <f>'[2]0.2 Customer Classes'!$D$15</f>
        <v>kW</v>
      </c>
      <c r="C173" s="96">
        <v>4075</v>
      </c>
      <c r="D173" s="96">
        <v>4750</v>
      </c>
      <c r="E173" s="99">
        <f>CHOOSE(MATCH(B173,{0,"kWh","kW"},0),1,'[2]3.10 LoadForecast'!$I$45,'[2]3.10 LoadForecast'!$I$75)</f>
        <v>198903.90576628249</v>
      </c>
      <c r="F173" s="185">
        <v>0.39539999999999997</v>
      </c>
      <c r="G173" s="101">
        <f t="shared" si="29"/>
        <v>78646.604339988087</v>
      </c>
      <c r="H173" s="99">
        <f t="shared" si="30"/>
        <v>210852.79185851585</v>
      </c>
      <c r="I173" s="186">
        <f t="shared" si="30"/>
        <v>0.2787</v>
      </c>
      <c r="J173" s="187">
        <f t="shared" si="31"/>
        <v>58764.673090968368</v>
      </c>
    </row>
    <row r="174" spans="1:15" x14ac:dyDescent="0.2">
      <c r="A174" s="15" t="str">
        <f t="shared" si="28"/>
        <v>Sentinel Lighting</v>
      </c>
      <c r="B174" s="96" t="str">
        <f>'[2]0.2 Customer Classes'!$D$16</f>
        <v>kWh</v>
      </c>
      <c r="C174" s="96">
        <v>4075</v>
      </c>
      <c r="D174" s="96">
        <v>4750</v>
      </c>
      <c r="E174" s="99">
        <f>CHOOSE(MATCH(B174,{0,"kWh","kW"},0),1,'[2]3.10 LoadForecast'!$I$46,'[2]3.10 LoadForecast'!$I$76)</f>
        <v>244830.07070901303</v>
      </c>
      <c r="F174" s="185">
        <v>0.31209999999999999</v>
      </c>
      <c r="G174" s="101">
        <f t="shared" si="29"/>
        <v>76411.465068282967</v>
      </c>
      <c r="H174" s="99">
        <f t="shared" si="30"/>
        <v>260653.43701379708</v>
      </c>
      <c r="I174" s="186">
        <f t="shared" si="30"/>
        <v>0.22</v>
      </c>
      <c r="J174" s="187">
        <f t="shared" si="31"/>
        <v>57343.75614303536</v>
      </c>
    </row>
    <row r="175" spans="1:15" x14ac:dyDescent="0.2">
      <c r="A175" s="15" t="str">
        <f t="shared" si="28"/>
        <v>Streetlighting</v>
      </c>
      <c r="B175" s="96" t="str">
        <f>'[2]0.2 Customer Classes'!$D$17</f>
        <v>kW</v>
      </c>
      <c r="C175" s="96">
        <v>4075</v>
      </c>
      <c r="D175" s="96">
        <v>4750</v>
      </c>
      <c r="E175" s="99">
        <f>CHOOSE(MATCH(B175,{0,"kWh","kW"},0),1,'[2]3.10 LoadForecast'!$I$47,'[2]3.10 LoadForecast'!$I$77)</f>
        <v>6772.1454156893096</v>
      </c>
      <c r="F175" s="185">
        <v>0.30570000000000003</v>
      </c>
      <c r="G175" s="101">
        <f t="shared" si="29"/>
        <v>2070.2448535762223</v>
      </c>
      <c r="H175" s="99">
        <f t="shared" si="30"/>
        <v>3840.1451572869528</v>
      </c>
      <c r="I175" s="186">
        <f t="shared" si="30"/>
        <v>0.2155</v>
      </c>
      <c r="J175" s="187">
        <f t="shared" si="31"/>
        <v>827.55128139533826</v>
      </c>
    </row>
    <row r="176" spans="1:15" x14ac:dyDescent="0.2">
      <c r="A176" s="15" t="str">
        <f t="shared" si="28"/>
        <v>Unmetered Scattered Load</v>
      </c>
      <c r="B176" s="104" t="str">
        <f>'[2]0.2 Customer Classes'!$D$18</f>
        <v>kWh</v>
      </c>
      <c r="C176" s="96">
        <v>4075</v>
      </c>
      <c r="D176" s="96">
        <v>4750</v>
      </c>
      <c r="E176" s="99">
        <f>CHOOSE(MATCH(B176,{0,"kWh","kW"},0),1,'[2]3.10 LoadForecast'!$I$47,'[2]3.10 LoadForecast'!$I$77)</f>
        <v>2432435.555457274</v>
      </c>
      <c r="F176" s="185">
        <v>1E-3</v>
      </c>
      <c r="G176" s="101">
        <f t="shared" si="29"/>
        <v>2432.4355554572739</v>
      </c>
      <c r="H176" s="99">
        <f t="shared" si="30"/>
        <v>482315.93506764364</v>
      </c>
      <c r="I176" s="186">
        <f t="shared" si="30"/>
        <v>6.9999999999999999E-4</v>
      </c>
      <c r="J176" s="187">
        <f t="shared" si="31"/>
        <v>337.62115454735056</v>
      </c>
    </row>
    <row r="177" spans="1:11" x14ac:dyDescent="0.2">
      <c r="A177" s="15" t="str">
        <f t="shared" si="28"/>
        <v>other</v>
      </c>
      <c r="B177" s="104">
        <f>'[2]0.2 Customer Classes'!$D$19</f>
        <v>0</v>
      </c>
      <c r="C177" s="96">
        <v>4075</v>
      </c>
      <c r="D177" s="96">
        <v>4750</v>
      </c>
      <c r="E177" s="99">
        <f>CHOOSE(MATCH(B177,{0,"kWh","kW"},0),1,'[2]3.10 LoadForecast'!$I$47,'[2]3.10 LoadForecast'!$I$77)</f>
        <v>1</v>
      </c>
      <c r="F177" s="185">
        <v>0</v>
      </c>
      <c r="G177" s="101">
        <f t="shared" si="29"/>
        <v>0</v>
      </c>
      <c r="H177" s="99">
        <f>CHOOSE(MATCH(B177,{0,"kWh","kW"},0),1,'[2]3.10 LoadForecast'!$J$47,'[2]3.10 LoadForecast'!$J$77)</f>
        <v>1</v>
      </c>
      <c r="I177" s="186">
        <f t="shared" si="30"/>
        <v>0</v>
      </c>
      <c r="J177" s="187">
        <f t="shared" si="31"/>
        <v>0</v>
      </c>
    </row>
    <row r="178" spans="1:11" x14ac:dyDescent="0.2">
      <c r="A178" s="15" t="str">
        <f t="shared" si="28"/>
        <v>other</v>
      </c>
      <c r="B178" s="104">
        <f>'[2]0.2 Customer Classes'!$D$20</f>
        <v>0</v>
      </c>
      <c r="C178" s="96">
        <v>4075</v>
      </c>
      <c r="D178" s="96">
        <v>4750</v>
      </c>
      <c r="E178" s="99">
        <f>CHOOSE(MATCH(B178,{0,"kWh","kW"},0),1,'[2]3.10 LoadForecast'!$I$47,'[2]3.10 LoadForecast'!$I$77)</f>
        <v>1</v>
      </c>
      <c r="F178" s="185">
        <v>0</v>
      </c>
      <c r="G178" s="101">
        <f t="shared" si="29"/>
        <v>0</v>
      </c>
      <c r="H178" s="99">
        <f>CHOOSE(MATCH(B178,{0,"kWh","kW"},0),1,'[2]3.10 LoadForecast'!$J$47,'[2]3.10 LoadForecast'!$J$77)</f>
        <v>1</v>
      </c>
      <c r="I178" s="186">
        <f t="shared" si="30"/>
        <v>0</v>
      </c>
      <c r="J178" s="187">
        <f t="shared" si="31"/>
        <v>0</v>
      </c>
    </row>
    <row r="179" spans="1:11" x14ac:dyDescent="0.2">
      <c r="A179" s="15" t="str">
        <f t="shared" si="28"/>
        <v>other</v>
      </c>
      <c r="B179" s="104">
        <f>'[2]0.2 Customer Classes'!$D$21</f>
        <v>0</v>
      </c>
      <c r="C179" s="96">
        <v>4075</v>
      </c>
      <c r="D179" s="96">
        <v>4750</v>
      </c>
      <c r="E179" s="99">
        <f>CHOOSE(MATCH(B179,{0,"kWh","kW"},0),1,'[2]3.10 LoadForecast'!$I$47,'[2]3.10 LoadForecast'!$I$77)</f>
        <v>1</v>
      </c>
      <c r="F179" s="185">
        <v>0</v>
      </c>
      <c r="G179" s="101">
        <f t="shared" si="29"/>
        <v>0</v>
      </c>
      <c r="H179" s="99">
        <f>CHOOSE(MATCH(B179,{0,"kWh","kW"},0),1,'[2]3.10 LoadForecast'!$J$47,'[2]3.10 LoadForecast'!$J$77)</f>
        <v>1</v>
      </c>
      <c r="I179" s="186">
        <f t="shared" si="30"/>
        <v>0</v>
      </c>
      <c r="J179" s="187">
        <f t="shared" si="31"/>
        <v>0</v>
      </c>
    </row>
    <row r="180" spans="1:11" x14ac:dyDescent="0.2">
      <c r="A180" s="92" t="s">
        <v>15</v>
      </c>
      <c r="B180" s="104" t="s">
        <v>3</v>
      </c>
      <c r="C180" s="93">
        <v>0</v>
      </c>
      <c r="D180" s="93">
        <v>0</v>
      </c>
      <c r="E180" s="105">
        <f>SUM(E171:E179)</f>
        <v>116275529.4400197</v>
      </c>
      <c r="F180" s="116"/>
      <c r="G180" s="106">
        <f>SUM(G171:G179)</f>
        <v>280797.21389895183</v>
      </c>
      <c r="H180" s="105">
        <f>SUM(H171:H179)</f>
        <v>116561012.33199686</v>
      </c>
      <c r="I180" s="116"/>
      <c r="J180" s="188">
        <f>SUM(J171:J179)</f>
        <v>206192.75235621247</v>
      </c>
    </row>
    <row r="181" spans="1:11" x14ac:dyDescent="0.2">
      <c r="A181" s="39"/>
      <c r="B181" s="109"/>
      <c r="C181" s="109"/>
      <c r="D181" s="109"/>
      <c r="E181" s="109"/>
      <c r="F181" s="109"/>
      <c r="G181" s="109"/>
      <c r="H181" s="109"/>
      <c r="I181" s="109"/>
      <c r="J181" s="109"/>
      <c r="K181" s="109"/>
    </row>
    <row r="182" spans="1:11" x14ac:dyDescent="0.2">
      <c r="A182" s="39"/>
      <c r="B182" s="109"/>
      <c r="C182" s="109"/>
      <c r="D182" s="109"/>
      <c r="E182" s="109"/>
      <c r="F182" s="109"/>
      <c r="G182" s="109"/>
      <c r="H182" s="109"/>
      <c r="I182" s="109"/>
      <c r="J182" s="109"/>
      <c r="K182" s="109"/>
    </row>
    <row r="183" spans="1:11" s="26" customFormat="1" x14ac:dyDescent="0.2">
      <c r="A183" s="92" t="s">
        <v>77</v>
      </c>
      <c r="B183" s="93"/>
      <c r="C183" s="93"/>
      <c r="D183" s="93"/>
      <c r="E183" s="93"/>
      <c r="F183" s="93"/>
      <c r="G183" s="189">
        <f>L51+L67+L83+L99+L115+L125+G180</f>
        <v>19397025.737263504</v>
      </c>
      <c r="H183" s="189"/>
      <c r="I183" s="93"/>
      <c r="J183" s="106">
        <f>O51+O67+O83+O99+O115+O125+J180</f>
        <v>24625876.062356211</v>
      </c>
    </row>
  </sheetData>
  <sheetProtection selectLockedCells="1" selectUnlockedCells="1"/>
  <mergeCells count="52">
    <mergeCell ref="B163:D163"/>
    <mergeCell ref="B164:D164"/>
    <mergeCell ref="E169:G169"/>
    <mergeCell ref="H169:J169"/>
    <mergeCell ref="B157:D157"/>
    <mergeCell ref="B158:D158"/>
    <mergeCell ref="B159:D159"/>
    <mergeCell ref="B160:D160"/>
    <mergeCell ref="B161:D161"/>
    <mergeCell ref="B162:D162"/>
    <mergeCell ref="D147:E147"/>
    <mergeCell ref="D148:E148"/>
    <mergeCell ref="B153:H153"/>
    <mergeCell ref="B154:D154"/>
    <mergeCell ref="B155:D155"/>
    <mergeCell ref="B156:D156"/>
    <mergeCell ref="D141:E141"/>
    <mergeCell ref="D142:E142"/>
    <mergeCell ref="D143:E143"/>
    <mergeCell ref="D144:E144"/>
    <mergeCell ref="D145:E145"/>
    <mergeCell ref="D146:E146"/>
    <mergeCell ref="J119:L119"/>
    <mergeCell ref="M119:O119"/>
    <mergeCell ref="B137:G137"/>
    <mergeCell ref="D138:E138"/>
    <mergeCell ref="D139:E139"/>
    <mergeCell ref="D140:E140"/>
    <mergeCell ref="J71:L71"/>
    <mergeCell ref="M71:O71"/>
    <mergeCell ref="J87:L87"/>
    <mergeCell ref="M87:O87"/>
    <mergeCell ref="J103:L103"/>
    <mergeCell ref="M103:O103"/>
    <mergeCell ref="C24:D24"/>
    <mergeCell ref="C25:D25"/>
    <mergeCell ref="J39:L39"/>
    <mergeCell ref="M39:O39"/>
    <mergeCell ref="J55:L55"/>
    <mergeCell ref="M55:O55"/>
    <mergeCell ref="C18:D18"/>
    <mergeCell ref="C19:D19"/>
    <mergeCell ref="C20:D20"/>
    <mergeCell ref="C21:D21"/>
    <mergeCell ref="C22:D22"/>
    <mergeCell ref="C23:D23"/>
    <mergeCell ref="A9:Q9"/>
    <mergeCell ref="C13:D13"/>
    <mergeCell ref="C14:D14"/>
    <mergeCell ref="C15:D15"/>
    <mergeCell ref="C16:D16"/>
    <mergeCell ref="C17:D17"/>
  </mergeCells>
  <dataValidations count="1">
    <dataValidation type="list" allowBlank="1" showInputMessage="1" showErrorMessage="1" sqref="B42:B50">
      <formula1>"kWh, kW,Customer"</formula1>
    </dataValidation>
  </dataValidations>
  <pageMargins left="0.7" right="0.7" top="0.75" bottom="0.75" header="0.51180555555555551" footer="0.51180555555555551"/>
  <pageSetup scale="46" firstPageNumber="0" fitToHeight="0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I. SMRR</vt:lpstr>
      <vt:lpstr>4.12 PowerSupplExp</vt:lpstr>
      <vt:lpstr>'4.12 PowerSupplExp'!Print_Area</vt:lpstr>
      <vt:lpstr>'I. SMRR'!Print_Area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Jane Donnelly</dc:creator>
  <cp:lastModifiedBy>Jane Donnelly</cp:lastModifiedBy>
  <dcterms:created xsi:type="dcterms:W3CDTF">2016-06-28T17:33:43Z</dcterms:created>
  <dcterms:modified xsi:type="dcterms:W3CDTF">2016-06-28T17:35:08Z</dcterms:modified>
</cp:coreProperties>
</file>