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ilkinson\Desktop\"/>
    </mc:Choice>
  </mc:AlternateContent>
  <bookViews>
    <workbookView xWindow="0" yWindow="0" windowWidth="19200" windowHeight="8235"/>
  </bookViews>
  <sheets>
    <sheet name="Bill Impact - Res 10 Pct" sheetId="1" r:id="rId1"/>
    <sheet name="Bill Impact - Residential" sheetId="2" r:id="rId2"/>
    <sheet name="Bill Impact - GS&lt;50" sheetId="3" r:id="rId3"/>
    <sheet name="Bill Impact - GS&gt;50" sheetId="4" r:id="rId4"/>
    <sheet name="Bill Impact - Sentinel" sheetId="5" r:id="rId5"/>
    <sheet name="Bill Impact - StreetLight" sheetId="6" r:id="rId6"/>
    <sheet name="Bill Impact - USL" sheetId="7" r:id="rId7"/>
  </sheets>
  <externalReferences>
    <externalReference r:id="rId8"/>
    <externalReference r:id="rId9"/>
    <externalReference r:id="rId10"/>
  </externalReferences>
  <definedNames>
    <definedName name="_xlnm.Print_Area" localSheetId="2">'Bill Impact - GS&lt;50'!$A$1:$P$73</definedName>
    <definedName name="_xlnm.Print_Area" localSheetId="3">'Bill Impact - GS&gt;50'!$A$1:$P$72</definedName>
    <definedName name="_xlnm.Print_Area" localSheetId="0">'Bill Impact - Res 10 Pct'!$A$1:$P$76</definedName>
    <definedName name="_xlnm.Print_Area" localSheetId="1">'Bill Impact - Residential'!$A$1:$P$72</definedName>
    <definedName name="_xlnm.Print_Area" localSheetId="4">'Bill Impact - Sentinel'!$A$1:$P$72</definedName>
    <definedName name="_xlnm.Print_Area" localSheetId="5">'Bill Impact - StreetLight'!$A$1:$P$73</definedName>
    <definedName name="_xlnm.Print_Area" localSheetId="6">'Bill Impact - USL'!$A$1:$Q$74</definedName>
    <definedName name="RebaseYear">'[1]LDC Info'!$E$28</definedName>
    <definedName name="TestYear">'[1]LDC Info'!$E$24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7" l="1"/>
  <c r="B30" i="7"/>
  <c r="B29" i="7"/>
  <c r="B32" i="6"/>
  <c r="B31" i="6"/>
  <c r="B33" i="5"/>
  <c r="B32" i="5"/>
  <c r="B31" i="5"/>
  <c r="B31" i="4"/>
  <c r="B30" i="4"/>
  <c r="B29" i="4"/>
  <c r="B34" i="3"/>
  <c r="B33" i="3"/>
  <c r="B32" i="3"/>
  <c r="B33" i="2" l="1"/>
  <c r="B32" i="2"/>
  <c r="B31" i="2"/>
  <c r="B33" i="1" l="1"/>
  <c r="B32" i="1"/>
  <c r="B31" i="1"/>
  <c r="J29" i="2"/>
  <c r="J26" i="2"/>
  <c r="J23" i="2"/>
  <c r="B38" i="2"/>
  <c r="B37" i="2"/>
  <c r="F23" i="2"/>
  <c r="H23" i="2" s="1"/>
  <c r="L23" i="2"/>
  <c r="O24" i="2"/>
  <c r="H25" i="2"/>
  <c r="O25" i="2" s="1"/>
  <c r="L25" i="2"/>
  <c r="H26" i="2"/>
  <c r="O26" i="2" s="1"/>
  <c r="L26" i="2"/>
  <c r="O27" i="2"/>
  <c r="O28" i="2"/>
  <c r="F29" i="2"/>
  <c r="G29" i="2"/>
  <c r="H29" i="2" s="1"/>
  <c r="K29" i="2"/>
  <c r="H30" i="2"/>
  <c r="O30" i="2" s="1"/>
  <c r="L30" i="2"/>
  <c r="H31" i="2"/>
  <c r="O31" i="2" s="1"/>
  <c r="L31" i="2"/>
  <c r="G32" i="2"/>
  <c r="H32" i="2" s="1"/>
  <c r="O32" i="2" s="1"/>
  <c r="K32" i="2"/>
  <c r="L32" i="2" s="1"/>
  <c r="G33" i="2"/>
  <c r="H33" i="2" s="1"/>
  <c r="O33" i="2" s="1"/>
  <c r="K33" i="2"/>
  <c r="L33" i="2" s="1"/>
  <c r="O34" i="2"/>
  <c r="O35" i="2"/>
  <c r="G37" i="2"/>
  <c r="H37" i="2" s="1"/>
  <c r="O37" i="2" s="1"/>
  <c r="K37" i="2"/>
  <c r="L37" i="2" s="1"/>
  <c r="N37" i="2" s="1"/>
  <c r="G38" i="2"/>
  <c r="H38" i="2" s="1"/>
  <c r="O38" i="2" s="1"/>
  <c r="K38" i="2"/>
  <c r="L38" i="2"/>
  <c r="G41" i="2"/>
  <c r="H41" i="2" s="1"/>
  <c r="K41" i="2"/>
  <c r="L41" i="2" s="1"/>
  <c r="F42" i="2"/>
  <c r="G42" i="2"/>
  <c r="K42" i="2"/>
  <c r="L42" i="2" s="1"/>
  <c r="H43" i="2"/>
  <c r="L43" i="2"/>
  <c r="N43" i="2" s="1"/>
  <c r="F45" i="2"/>
  <c r="G45" i="2"/>
  <c r="J45" i="2"/>
  <c r="K45" i="2"/>
  <c r="K46" i="2" s="1"/>
  <c r="K49" i="2" s="1"/>
  <c r="L49" i="2" s="1"/>
  <c r="F46" i="2"/>
  <c r="J46" i="2"/>
  <c r="H50" i="2"/>
  <c r="L50" i="2"/>
  <c r="N50" i="2" s="1"/>
  <c r="O50" i="2" s="1"/>
  <c r="G51" i="2"/>
  <c r="H51" i="2" s="1"/>
  <c r="K51" i="2"/>
  <c r="L51" i="2" s="1"/>
  <c r="G52" i="2"/>
  <c r="K52" i="2" s="1"/>
  <c r="L52" i="2" s="1"/>
  <c r="G53" i="2"/>
  <c r="K53" i="2" s="1"/>
  <c r="L53" i="2" s="1"/>
  <c r="G54" i="2"/>
  <c r="K54" i="2" s="1"/>
  <c r="L54" i="2" s="1"/>
  <c r="H54" i="2"/>
  <c r="G55" i="2"/>
  <c r="H55" i="2" s="1"/>
  <c r="G56" i="2"/>
  <c r="K56" i="2" s="1"/>
  <c r="L56" i="2" s="1"/>
  <c r="H53" i="2" l="1"/>
  <c r="H42" i="2"/>
  <c r="N51" i="2"/>
  <c r="O51" i="2" s="1"/>
  <c r="H52" i="2"/>
  <c r="L29" i="2"/>
  <c r="N29" i="2" s="1"/>
  <c r="O29" i="2" s="1"/>
  <c r="N23" i="2"/>
  <c r="H45" i="2"/>
  <c r="G46" i="2"/>
  <c r="G48" i="2" s="1"/>
  <c r="H48" i="2" s="1"/>
  <c r="K48" i="2"/>
  <c r="L48" i="2" s="1"/>
  <c r="N38" i="2"/>
  <c r="N33" i="2"/>
  <c r="N52" i="2"/>
  <c r="L46" i="2"/>
  <c r="L45" i="2"/>
  <c r="N26" i="2"/>
  <c r="N31" i="2"/>
  <c r="N42" i="2"/>
  <c r="O42" i="2" s="1"/>
  <c r="N54" i="2"/>
  <c r="O54" i="2" s="1"/>
  <c r="N53" i="2"/>
  <c r="O53" i="2" s="1"/>
  <c r="O52" i="2"/>
  <c r="N30" i="2"/>
  <c r="N25" i="2"/>
  <c r="N32" i="2"/>
  <c r="O23" i="2"/>
  <c r="H36" i="2"/>
  <c r="K55" i="2"/>
  <c r="L55" i="2" s="1"/>
  <c r="H46" i="2"/>
  <c r="N41" i="2"/>
  <c r="O41" i="2" s="1"/>
  <c r="H56" i="2"/>
  <c r="G59" i="1"/>
  <c r="G56" i="1"/>
  <c r="G57" i="1"/>
  <c r="G58" i="1"/>
  <c r="G49" i="2" l="1"/>
  <c r="H49" i="2" s="1"/>
  <c r="N49" i="2" s="1"/>
  <c r="O49" i="2" s="1"/>
  <c r="L36" i="2"/>
  <c r="N36" i="2" s="1"/>
  <c r="O36" i="2" s="1"/>
  <c r="N46" i="2"/>
  <c r="N45" i="2"/>
  <c r="O45" i="2" s="1"/>
  <c r="N48" i="2"/>
  <c r="O48" i="2" s="1"/>
  <c r="N55" i="2"/>
  <c r="O55" i="2" s="1"/>
  <c r="O46" i="2"/>
  <c r="L44" i="2"/>
  <c r="H44" i="2"/>
  <c r="N56" i="2"/>
  <c r="O56" i="2" s="1"/>
  <c r="J47" i="7"/>
  <c r="J46" i="7"/>
  <c r="J42" i="7"/>
  <c r="J47" i="6"/>
  <c r="J46" i="6"/>
  <c r="J46" i="5"/>
  <c r="J45" i="5"/>
  <c r="J41" i="5"/>
  <c r="J46" i="4"/>
  <c r="J45" i="4"/>
  <c r="J41" i="4"/>
  <c r="J47" i="3"/>
  <c r="J46" i="3"/>
  <c r="J42" i="3"/>
  <c r="J49" i="1"/>
  <c r="J48" i="1"/>
  <c r="J44" i="1"/>
  <c r="J26" i="3"/>
  <c r="J37" i="7"/>
  <c r="J36" i="7"/>
  <c r="B37" i="7"/>
  <c r="B36" i="7"/>
  <c r="B37" i="6"/>
  <c r="B36" i="6"/>
  <c r="B39" i="5"/>
  <c r="B38" i="5"/>
  <c r="B37" i="5"/>
  <c r="B37" i="4"/>
  <c r="B36" i="4"/>
  <c r="B35" i="4"/>
  <c r="J40" i="3"/>
  <c r="J39" i="3"/>
  <c r="B40" i="3"/>
  <c r="B39" i="3"/>
  <c r="J41" i="1"/>
  <c r="J40" i="1"/>
  <c r="B41" i="1"/>
  <c r="B40" i="1"/>
  <c r="J26" i="1"/>
  <c r="J29" i="1"/>
  <c r="J23" i="1"/>
  <c r="F27" i="7"/>
  <c r="F23" i="7"/>
  <c r="F29" i="6"/>
  <c r="F23" i="6"/>
  <c r="F29" i="5"/>
  <c r="F23" i="5"/>
  <c r="F27" i="4"/>
  <c r="F23" i="4"/>
  <c r="F29" i="3"/>
  <c r="F23" i="3"/>
  <c r="F49" i="1"/>
  <c r="F48" i="1"/>
  <c r="F29" i="1"/>
  <c r="F23" i="1"/>
  <c r="H47" i="2" l="1"/>
  <c r="L47" i="2"/>
  <c r="N44" i="2"/>
  <c r="O44" i="2" s="1"/>
  <c r="G57" i="7"/>
  <c r="H57" i="7" s="1"/>
  <c r="G56" i="7"/>
  <c r="H56" i="7" s="1"/>
  <c r="G55" i="7"/>
  <c r="H55" i="7" s="1"/>
  <c r="G54" i="7"/>
  <c r="H54" i="7" s="1"/>
  <c r="G53" i="7"/>
  <c r="H53" i="7" s="1"/>
  <c r="K52" i="7"/>
  <c r="L52" i="7" s="1"/>
  <c r="G52" i="7"/>
  <c r="H52" i="7" s="1"/>
  <c r="L51" i="7"/>
  <c r="N51" i="7" s="1"/>
  <c r="H51" i="7"/>
  <c r="K46" i="7"/>
  <c r="K47" i="7" s="1"/>
  <c r="K49" i="7" s="1"/>
  <c r="L49" i="7" s="1"/>
  <c r="L46" i="7"/>
  <c r="G46" i="7"/>
  <c r="H46" i="7" s="1"/>
  <c r="K43" i="7"/>
  <c r="J43" i="7"/>
  <c r="G43" i="7"/>
  <c r="F43" i="7"/>
  <c r="K42" i="7"/>
  <c r="L42" i="7" s="1"/>
  <c r="G42" i="7"/>
  <c r="H42" i="7" s="1"/>
  <c r="O41" i="7"/>
  <c r="O40" i="7"/>
  <c r="O39" i="7"/>
  <c r="K37" i="7"/>
  <c r="L37" i="7" s="1"/>
  <c r="G37" i="7"/>
  <c r="H37" i="7" s="1"/>
  <c r="O37" i="7" s="1"/>
  <c r="L36" i="7"/>
  <c r="K36" i="7"/>
  <c r="G36" i="7"/>
  <c r="H36" i="7" s="1"/>
  <c r="O36" i="7" s="1"/>
  <c r="N34" i="7"/>
  <c r="O34" i="7"/>
  <c r="N32" i="7"/>
  <c r="O32" i="7"/>
  <c r="K31" i="7"/>
  <c r="L31" i="7" s="1"/>
  <c r="G31" i="7"/>
  <c r="H31" i="7" s="1"/>
  <c r="K30" i="7"/>
  <c r="L30" i="7" s="1"/>
  <c r="G30" i="7"/>
  <c r="H30" i="7" s="1"/>
  <c r="O30" i="7" s="1"/>
  <c r="K29" i="7"/>
  <c r="L29" i="7" s="1"/>
  <c r="G29" i="7"/>
  <c r="H29" i="7" s="1"/>
  <c r="H28" i="7"/>
  <c r="O28" i="7" s="1"/>
  <c r="K27" i="7"/>
  <c r="G27" i="7"/>
  <c r="H27" i="7" s="1"/>
  <c r="O26" i="7"/>
  <c r="O25" i="7"/>
  <c r="L24" i="7"/>
  <c r="N24" i="7" s="1"/>
  <c r="H24" i="7"/>
  <c r="O24" i="7" s="1"/>
  <c r="L23" i="7"/>
  <c r="H23" i="7"/>
  <c r="G57" i="6"/>
  <c r="H57" i="6" s="1"/>
  <c r="O57" i="6" s="1"/>
  <c r="G56" i="6"/>
  <c r="K56" i="6" s="1"/>
  <c r="L56" i="6" s="1"/>
  <c r="G55" i="6"/>
  <c r="H55" i="6" s="1"/>
  <c r="G54" i="6"/>
  <c r="K54" i="6" s="1"/>
  <c r="L54" i="6" s="1"/>
  <c r="K53" i="6"/>
  <c r="L53" i="6" s="1"/>
  <c r="G53" i="6"/>
  <c r="H53" i="6" s="1"/>
  <c r="K52" i="6"/>
  <c r="L52" i="6" s="1"/>
  <c r="G52" i="6"/>
  <c r="H52" i="6" s="1"/>
  <c r="L51" i="6"/>
  <c r="N51" i="6" s="1"/>
  <c r="H51" i="6"/>
  <c r="G49" i="6"/>
  <c r="H49" i="6" s="1"/>
  <c r="H46" i="6"/>
  <c r="L43" i="6"/>
  <c r="K43" i="6"/>
  <c r="J43" i="6"/>
  <c r="G43" i="6"/>
  <c r="F43" i="6"/>
  <c r="K42" i="6"/>
  <c r="L42" i="6" s="1"/>
  <c r="G42" i="6"/>
  <c r="H42" i="6" s="1"/>
  <c r="O41" i="6"/>
  <c r="O40" i="6"/>
  <c r="O39" i="6"/>
  <c r="O38" i="6"/>
  <c r="K37" i="6"/>
  <c r="L37" i="6" s="1"/>
  <c r="H37" i="6"/>
  <c r="G37" i="6"/>
  <c r="K36" i="6"/>
  <c r="L36" i="6" s="1"/>
  <c r="H36" i="6"/>
  <c r="G36" i="6"/>
  <c r="O33" i="6"/>
  <c r="L32" i="6"/>
  <c r="K32" i="6"/>
  <c r="H32" i="6"/>
  <c r="O32" i="6" s="1"/>
  <c r="G32" i="6"/>
  <c r="K31" i="6"/>
  <c r="L31" i="6" s="1"/>
  <c r="N31" i="6" s="1"/>
  <c r="H31" i="6"/>
  <c r="O31" i="6" s="1"/>
  <c r="G31" i="6"/>
  <c r="K29" i="6"/>
  <c r="G29" i="6"/>
  <c r="H29" i="6" s="1"/>
  <c r="O28" i="6"/>
  <c r="O27" i="6"/>
  <c r="O26" i="6"/>
  <c r="O25" i="6"/>
  <c r="L24" i="6"/>
  <c r="N24" i="6" s="1"/>
  <c r="H24" i="6"/>
  <c r="O24" i="6" s="1"/>
  <c r="L23" i="6"/>
  <c r="H23" i="6"/>
  <c r="G56" i="5"/>
  <c r="K56" i="5" s="1"/>
  <c r="L56" i="5" s="1"/>
  <c r="G55" i="5"/>
  <c r="H55" i="5" s="1"/>
  <c r="G54" i="5"/>
  <c r="K54" i="5" s="1"/>
  <c r="L54" i="5" s="1"/>
  <c r="G53" i="5"/>
  <c r="H53" i="5" s="1"/>
  <c r="G52" i="5"/>
  <c r="K52" i="5" s="1"/>
  <c r="L52" i="5" s="1"/>
  <c r="K51" i="5"/>
  <c r="L51" i="5" s="1"/>
  <c r="G51" i="5"/>
  <c r="H51" i="5" s="1"/>
  <c r="L50" i="5"/>
  <c r="N50" i="5" s="1"/>
  <c r="O50" i="5" s="1"/>
  <c r="H50" i="5"/>
  <c r="L48" i="5"/>
  <c r="N48" i="5" s="1"/>
  <c r="H48" i="5"/>
  <c r="K45" i="5"/>
  <c r="L45" i="5" s="1"/>
  <c r="G45" i="5"/>
  <c r="H45" i="5" s="1"/>
  <c r="K42" i="5"/>
  <c r="L42" i="5" s="1"/>
  <c r="J42" i="5"/>
  <c r="G42" i="5"/>
  <c r="F42" i="5"/>
  <c r="L41" i="5"/>
  <c r="K41" i="5"/>
  <c r="G41" i="5"/>
  <c r="H41" i="5" s="1"/>
  <c r="O40" i="5"/>
  <c r="K39" i="5"/>
  <c r="L39" i="5" s="1"/>
  <c r="N39" i="5" s="1"/>
  <c r="G39" i="5"/>
  <c r="K38" i="5"/>
  <c r="L38" i="5" s="1"/>
  <c r="N38" i="5" s="1"/>
  <c r="G38" i="5"/>
  <c r="H38" i="5" s="1"/>
  <c r="O38" i="5" s="1"/>
  <c r="K37" i="5"/>
  <c r="L37" i="5" s="1"/>
  <c r="N37" i="5" s="1"/>
  <c r="G37" i="5"/>
  <c r="H37" i="5" s="1"/>
  <c r="O37" i="5" s="1"/>
  <c r="O35" i="5"/>
  <c r="O34" i="5"/>
  <c r="K33" i="5"/>
  <c r="L33" i="5" s="1"/>
  <c r="G33" i="5"/>
  <c r="H33" i="5" s="1"/>
  <c r="O33" i="5" s="1"/>
  <c r="K32" i="5"/>
  <c r="L32" i="5" s="1"/>
  <c r="H32" i="5"/>
  <c r="O32" i="5" s="1"/>
  <c r="G32" i="5"/>
  <c r="L31" i="5"/>
  <c r="K31" i="5"/>
  <c r="G31" i="5"/>
  <c r="H31" i="5" s="1"/>
  <c r="O31" i="5" s="1"/>
  <c r="O30" i="5"/>
  <c r="K29" i="5"/>
  <c r="G29" i="5"/>
  <c r="H29" i="5" s="1"/>
  <c r="O28" i="5"/>
  <c r="O27" i="5"/>
  <c r="O26" i="5"/>
  <c r="O25" i="5"/>
  <c r="L25" i="5"/>
  <c r="N25" i="5" s="1"/>
  <c r="H25" i="5"/>
  <c r="O24" i="5"/>
  <c r="L23" i="5"/>
  <c r="H23" i="5"/>
  <c r="G56" i="4"/>
  <c r="H56" i="4" s="1"/>
  <c r="O56" i="4" s="1"/>
  <c r="G55" i="4"/>
  <c r="H55" i="4" s="1"/>
  <c r="G54" i="4"/>
  <c r="H54" i="4" s="1"/>
  <c r="G53" i="4"/>
  <c r="G52" i="4"/>
  <c r="H52" i="4" s="1"/>
  <c r="K51" i="4"/>
  <c r="L51" i="4" s="1"/>
  <c r="G51" i="4"/>
  <c r="H51" i="4" s="1"/>
  <c r="L50" i="4"/>
  <c r="H50" i="4"/>
  <c r="K45" i="4"/>
  <c r="K46" i="4" s="1"/>
  <c r="G45" i="4"/>
  <c r="H45" i="4" s="1"/>
  <c r="L43" i="4"/>
  <c r="N43" i="4" s="1"/>
  <c r="K42" i="4"/>
  <c r="J42" i="4"/>
  <c r="G42" i="4"/>
  <c r="F42" i="4"/>
  <c r="H42" i="4" s="1"/>
  <c r="K41" i="4"/>
  <c r="L41" i="4" s="1"/>
  <c r="G41" i="4"/>
  <c r="H41" i="4" s="1"/>
  <c r="O40" i="4"/>
  <c r="O39" i="4"/>
  <c r="O38" i="4"/>
  <c r="O37" i="4"/>
  <c r="K37" i="4"/>
  <c r="G37" i="4"/>
  <c r="K36" i="4"/>
  <c r="L36" i="4" s="1"/>
  <c r="G36" i="4"/>
  <c r="H36" i="4" s="1"/>
  <c r="O36" i="4" s="1"/>
  <c r="K35" i="4"/>
  <c r="L35" i="4" s="1"/>
  <c r="G35" i="4"/>
  <c r="H35" i="4" s="1"/>
  <c r="O35" i="4" s="1"/>
  <c r="O33" i="4"/>
  <c r="O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L29" i="4" s="1"/>
  <c r="G29" i="4"/>
  <c r="H29" i="4" s="1"/>
  <c r="O29" i="4" s="1"/>
  <c r="O28" i="4"/>
  <c r="K27" i="4"/>
  <c r="G27" i="4"/>
  <c r="H27" i="4" s="1"/>
  <c r="L24" i="4"/>
  <c r="N24" i="4" s="1"/>
  <c r="H24" i="4"/>
  <c r="O24" i="4" s="1"/>
  <c r="L23" i="4"/>
  <c r="H23" i="4"/>
  <c r="G57" i="3"/>
  <c r="H57" i="3" s="1"/>
  <c r="K56" i="3"/>
  <c r="L56" i="3" s="1"/>
  <c r="G56" i="3"/>
  <c r="H56" i="3" s="1"/>
  <c r="G55" i="3"/>
  <c r="H55" i="3" s="1"/>
  <c r="G54" i="3"/>
  <c r="H54" i="3" s="1"/>
  <c r="G53" i="3"/>
  <c r="H53" i="3" s="1"/>
  <c r="K52" i="3"/>
  <c r="L52" i="3" s="1"/>
  <c r="G52" i="3"/>
  <c r="H52" i="3" s="1"/>
  <c r="L51" i="3"/>
  <c r="N51" i="3" s="1"/>
  <c r="O51" i="3" s="1"/>
  <c r="H51" i="3"/>
  <c r="K46" i="3"/>
  <c r="K47" i="3" s="1"/>
  <c r="L46" i="3"/>
  <c r="G46" i="3"/>
  <c r="H46" i="3" s="1"/>
  <c r="L44" i="3"/>
  <c r="N44" i="3" s="1"/>
  <c r="H44" i="3"/>
  <c r="K43" i="3"/>
  <c r="J43" i="3"/>
  <c r="G43" i="3"/>
  <c r="F43" i="3"/>
  <c r="H43" i="3" s="1"/>
  <c r="K42" i="3"/>
  <c r="G42" i="3"/>
  <c r="H42" i="3" s="1"/>
  <c r="O41" i="3"/>
  <c r="L40" i="3"/>
  <c r="K40" i="3"/>
  <c r="G40" i="3"/>
  <c r="H40" i="3" s="1"/>
  <c r="O40" i="3" s="1"/>
  <c r="K39" i="3"/>
  <c r="L39" i="3" s="1"/>
  <c r="G39" i="3"/>
  <c r="H39" i="3" s="1"/>
  <c r="O39" i="3" s="1"/>
  <c r="O37" i="3"/>
  <c r="O36" i="3"/>
  <c r="O35" i="3"/>
  <c r="K34" i="3"/>
  <c r="L34" i="3" s="1"/>
  <c r="G34" i="3"/>
  <c r="H34" i="3" s="1"/>
  <c r="O34" i="3" s="1"/>
  <c r="L33" i="3"/>
  <c r="K33" i="3"/>
  <c r="G33" i="3"/>
  <c r="H33" i="3" s="1"/>
  <c r="O33" i="3" s="1"/>
  <c r="K32" i="3"/>
  <c r="L32" i="3" s="1"/>
  <c r="H32" i="3"/>
  <c r="O32" i="3" s="1"/>
  <c r="G32" i="3"/>
  <c r="L31" i="3"/>
  <c r="H31" i="3"/>
  <c r="O31" i="3" s="1"/>
  <c r="K29" i="3"/>
  <c r="G29" i="3"/>
  <c r="H29" i="3" s="1"/>
  <c r="O28" i="3"/>
  <c r="O27" i="3"/>
  <c r="L26" i="3"/>
  <c r="N26" i="3" s="1"/>
  <c r="H26" i="3"/>
  <c r="O26" i="3" s="1"/>
  <c r="H25" i="3"/>
  <c r="O25" i="3" s="1"/>
  <c r="L23" i="3"/>
  <c r="H23" i="3"/>
  <c r="G60" i="1"/>
  <c r="H60" i="1" s="1"/>
  <c r="O60" i="1" s="1"/>
  <c r="K59" i="1"/>
  <c r="L59" i="1" s="1"/>
  <c r="H59" i="1"/>
  <c r="K58" i="1"/>
  <c r="L58" i="1" s="1"/>
  <c r="K57" i="1"/>
  <c r="L57" i="1" s="1"/>
  <c r="H57" i="1"/>
  <c r="H56" i="1"/>
  <c r="K54" i="1"/>
  <c r="L54" i="1" s="1"/>
  <c r="H54" i="1"/>
  <c r="G54" i="1"/>
  <c r="L53" i="1"/>
  <c r="H53" i="1"/>
  <c r="K48" i="1"/>
  <c r="K49" i="1" s="1"/>
  <c r="H48" i="1"/>
  <c r="G48" i="1"/>
  <c r="G49" i="1" s="1"/>
  <c r="L46" i="1"/>
  <c r="H46" i="1"/>
  <c r="K45" i="1"/>
  <c r="J45" i="1"/>
  <c r="G45" i="1"/>
  <c r="F45" i="1"/>
  <c r="L44" i="1"/>
  <c r="N44" i="1" s="1"/>
  <c r="K44" i="1"/>
  <c r="G44" i="1"/>
  <c r="H44" i="1" s="1"/>
  <c r="O43" i="1"/>
  <c r="O42" i="1"/>
  <c r="K41" i="1"/>
  <c r="L41" i="1" s="1"/>
  <c r="G41" i="1"/>
  <c r="H41" i="1" s="1"/>
  <c r="O41" i="1" s="1"/>
  <c r="K40" i="1"/>
  <c r="L40" i="1" s="1"/>
  <c r="G40" i="1"/>
  <c r="H40" i="1" s="1"/>
  <c r="O40" i="1" s="1"/>
  <c r="H38" i="1"/>
  <c r="O38" i="1" s="1"/>
  <c r="H37" i="1"/>
  <c r="O37" i="1" s="1"/>
  <c r="H36" i="1"/>
  <c r="O36" i="1" s="1"/>
  <c r="H35" i="1"/>
  <c r="O35" i="1" s="1"/>
  <c r="H34" i="1"/>
  <c r="O34" i="1" s="1"/>
  <c r="K33" i="1"/>
  <c r="L33" i="1" s="1"/>
  <c r="G33" i="1"/>
  <c r="H33" i="1" s="1"/>
  <c r="O33" i="1" s="1"/>
  <c r="K32" i="1"/>
  <c r="L32" i="1" s="1"/>
  <c r="G32" i="1"/>
  <c r="H32" i="1" s="1"/>
  <c r="O32" i="1" s="1"/>
  <c r="L31" i="1"/>
  <c r="H31" i="1"/>
  <c r="O31" i="1" s="1"/>
  <c r="L30" i="1"/>
  <c r="H30" i="1"/>
  <c r="O30" i="1" s="1"/>
  <c r="K29" i="1"/>
  <c r="G29" i="1"/>
  <c r="H29" i="1" s="1"/>
  <c r="H28" i="1"/>
  <c r="O28" i="1" s="1"/>
  <c r="H27" i="1"/>
  <c r="O27" i="1" s="1"/>
  <c r="O26" i="1"/>
  <c r="L26" i="1"/>
  <c r="H26" i="1"/>
  <c r="H25" i="1"/>
  <c r="O25" i="1" s="1"/>
  <c r="L24" i="1"/>
  <c r="H24" i="1"/>
  <c r="O24" i="1" s="1"/>
  <c r="H23" i="1"/>
  <c r="K54" i="7" l="1"/>
  <c r="L54" i="7" s="1"/>
  <c r="O51" i="7"/>
  <c r="N30" i="7"/>
  <c r="N36" i="7"/>
  <c r="H43" i="7"/>
  <c r="L43" i="7"/>
  <c r="K56" i="7"/>
  <c r="L56" i="7" s="1"/>
  <c r="K57" i="6"/>
  <c r="L57" i="6" s="1"/>
  <c r="O51" i="6"/>
  <c r="K55" i="6"/>
  <c r="L55" i="6" s="1"/>
  <c r="K53" i="5"/>
  <c r="L53" i="5" s="1"/>
  <c r="N32" i="5"/>
  <c r="N51" i="5"/>
  <c r="N31" i="5"/>
  <c r="N41" i="5"/>
  <c r="G46" i="5"/>
  <c r="H46" i="5" s="1"/>
  <c r="K55" i="5"/>
  <c r="L55" i="5" s="1"/>
  <c r="K52" i="4"/>
  <c r="L52" i="4" s="1"/>
  <c r="K56" i="4"/>
  <c r="L56" i="4" s="1"/>
  <c r="G46" i="4"/>
  <c r="K54" i="4"/>
  <c r="L54" i="4" s="1"/>
  <c r="N31" i="4"/>
  <c r="N30" i="4"/>
  <c r="N52" i="4"/>
  <c r="O52" i="4" s="1"/>
  <c r="N29" i="4"/>
  <c r="L43" i="3"/>
  <c r="K54" i="3"/>
  <c r="L54" i="3" s="1"/>
  <c r="N39" i="3"/>
  <c r="N54" i="3"/>
  <c r="O54" i="3" s="1"/>
  <c r="N52" i="3"/>
  <c r="N32" i="3"/>
  <c r="N34" i="3"/>
  <c r="N31" i="3"/>
  <c r="N54" i="1"/>
  <c r="N32" i="1"/>
  <c r="N53" i="1"/>
  <c r="O53" i="1" s="1"/>
  <c r="N24" i="1"/>
  <c r="H43" i="6"/>
  <c r="N43" i="6" s="1"/>
  <c r="O43" i="6" s="1"/>
  <c r="N52" i="6"/>
  <c r="N55" i="6"/>
  <c r="O55" i="6" s="1"/>
  <c r="N57" i="6"/>
  <c r="H42" i="5"/>
  <c r="N42" i="5" s="1"/>
  <c r="O42" i="5" s="1"/>
  <c r="N54" i="4"/>
  <c r="O54" i="4" s="1"/>
  <c r="N56" i="4"/>
  <c r="L42" i="4"/>
  <c r="N42" i="4" s="1"/>
  <c r="N43" i="3"/>
  <c r="O43" i="3" s="1"/>
  <c r="O52" i="3"/>
  <c r="N31" i="1"/>
  <c r="N26" i="1"/>
  <c r="N30" i="1"/>
  <c r="N46" i="1"/>
  <c r="L48" i="1"/>
  <c r="N48" i="1" s="1"/>
  <c r="O48" i="1" s="1"/>
  <c r="L45" i="1"/>
  <c r="O54" i="1"/>
  <c r="N47" i="2"/>
  <c r="O47" i="2" s="1"/>
  <c r="L58" i="2"/>
  <c r="L64" i="2"/>
  <c r="H64" i="2"/>
  <c r="H58" i="2"/>
  <c r="H45" i="1"/>
  <c r="N45" i="1" s="1"/>
  <c r="O45" i="1" s="1"/>
  <c r="N36" i="6"/>
  <c r="N37" i="6"/>
  <c r="N57" i="1"/>
  <c r="O57" i="1" s="1"/>
  <c r="H34" i="4"/>
  <c r="H44" i="4" s="1"/>
  <c r="H38" i="3"/>
  <c r="H45" i="3" s="1"/>
  <c r="L42" i="3"/>
  <c r="N42" i="3" s="1"/>
  <c r="O42" i="3" s="1"/>
  <c r="K51" i="1"/>
  <c r="L51" i="1" s="1"/>
  <c r="L49" i="1"/>
  <c r="K52" i="1"/>
  <c r="L52" i="1" s="1"/>
  <c r="O44" i="1"/>
  <c r="H49" i="1"/>
  <c r="G51" i="1"/>
  <c r="H51" i="1" s="1"/>
  <c r="G52" i="1"/>
  <c r="H52" i="1" s="1"/>
  <c r="N59" i="1"/>
  <c r="O59" i="1" s="1"/>
  <c r="N40" i="1"/>
  <c r="N33" i="1"/>
  <c r="H39" i="1"/>
  <c r="N41" i="1"/>
  <c r="H58" i="1"/>
  <c r="N58" i="1" s="1"/>
  <c r="K60" i="1"/>
  <c r="L60" i="1" s="1"/>
  <c r="N60" i="1" s="1"/>
  <c r="K56" i="1"/>
  <c r="L56" i="1" s="1"/>
  <c r="N56" i="1" s="1"/>
  <c r="O56" i="1" s="1"/>
  <c r="N33" i="3"/>
  <c r="N40" i="3"/>
  <c r="N46" i="3"/>
  <c r="O46" i="3" s="1"/>
  <c r="N35" i="4"/>
  <c r="K48" i="4"/>
  <c r="L48" i="4" s="1"/>
  <c r="L46" i="4"/>
  <c r="K49" i="4"/>
  <c r="L49" i="4" s="1"/>
  <c r="N36" i="4"/>
  <c r="N51" i="4"/>
  <c r="O51" i="4" s="1"/>
  <c r="N23" i="3"/>
  <c r="O23" i="3" s="1"/>
  <c r="K49" i="3"/>
  <c r="L49" i="3" s="1"/>
  <c r="L47" i="3"/>
  <c r="K50" i="3"/>
  <c r="L50" i="3" s="1"/>
  <c r="N56" i="3"/>
  <c r="O56" i="3" s="1"/>
  <c r="N23" i="4"/>
  <c r="O23" i="4" s="1"/>
  <c r="K53" i="3"/>
  <c r="L53" i="3" s="1"/>
  <c r="N53" i="3" s="1"/>
  <c r="O53" i="3" s="1"/>
  <c r="K55" i="3"/>
  <c r="L55" i="3" s="1"/>
  <c r="N55" i="3" s="1"/>
  <c r="O55" i="3" s="1"/>
  <c r="K57" i="3"/>
  <c r="L57" i="3" s="1"/>
  <c r="N57" i="3" s="1"/>
  <c r="O57" i="3" s="1"/>
  <c r="L37" i="4"/>
  <c r="N37" i="4" s="1"/>
  <c r="N50" i="4"/>
  <c r="O50" i="4" s="1"/>
  <c r="N45" i="5"/>
  <c r="O45" i="5" s="1"/>
  <c r="O51" i="5"/>
  <c r="N53" i="5"/>
  <c r="O53" i="5" s="1"/>
  <c r="G47" i="3"/>
  <c r="O42" i="4"/>
  <c r="H35" i="6"/>
  <c r="N41" i="4"/>
  <c r="O41" i="4" s="1"/>
  <c r="G49" i="4"/>
  <c r="H49" i="4" s="1"/>
  <c r="H46" i="4"/>
  <c r="G48" i="4"/>
  <c r="H48" i="4" s="1"/>
  <c r="O30" i="6"/>
  <c r="L45" i="4"/>
  <c r="N45" i="4" s="1"/>
  <c r="O45" i="4" s="1"/>
  <c r="H53" i="4"/>
  <c r="K53" i="4"/>
  <c r="L53" i="4" s="1"/>
  <c r="N33" i="5"/>
  <c r="O41" i="5"/>
  <c r="N55" i="5"/>
  <c r="O55" i="5" s="1"/>
  <c r="K55" i="4"/>
  <c r="L55" i="4" s="1"/>
  <c r="O48" i="5"/>
  <c r="O52" i="6"/>
  <c r="H35" i="7"/>
  <c r="N37" i="7"/>
  <c r="N46" i="7"/>
  <c r="O46" i="7" s="1"/>
  <c r="N52" i="7"/>
  <c r="K46" i="5"/>
  <c r="G49" i="5"/>
  <c r="H49" i="5" s="1"/>
  <c r="N32" i="6"/>
  <c r="O34" i="6"/>
  <c r="N42" i="6"/>
  <c r="O42" i="6" s="1"/>
  <c r="N31" i="7"/>
  <c r="O31" i="7"/>
  <c r="N33" i="7"/>
  <c r="O33" i="7"/>
  <c r="N23" i="5"/>
  <c r="O23" i="5" s="1"/>
  <c r="H36" i="5"/>
  <c r="H52" i="5"/>
  <c r="H54" i="5"/>
  <c r="H56" i="5"/>
  <c r="O56" i="5" s="1"/>
  <c r="N56" i="7"/>
  <c r="O56" i="7" s="1"/>
  <c r="N23" i="6"/>
  <c r="O23" i="6" s="1"/>
  <c r="K50" i="6"/>
  <c r="L50" i="6" s="1"/>
  <c r="K49" i="6"/>
  <c r="L49" i="6" s="1"/>
  <c r="L47" i="6"/>
  <c r="N53" i="6"/>
  <c r="O53" i="6" s="1"/>
  <c r="N29" i="7"/>
  <c r="O29" i="7"/>
  <c r="N42" i="7"/>
  <c r="O42" i="7" s="1"/>
  <c r="O52" i="7"/>
  <c r="N54" i="7"/>
  <c r="O54" i="7" s="1"/>
  <c r="O36" i="6"/>
  <c r="O37" i="6"/>
  <c r="H54" i="6"/>
  <c r="N54" i="6" s="1"/>
  <c r="H56" i="6"/>
  <c r="N56" i="6" s="1"/>
  <c r="K50" i="7"/>
  <c r="L50" i="7" s="1"/>
  <c r="K53" i="7"/>
  <c r="L53" i="7" s="1"/>
  <c r="N53" i="7" s="1"/>
  <c r="O53" i="7" s="1"/>
  <c r="K55" i="7"/>
  <c r="L55" i="7" s="1"/>
  <c r="N55" i="7" s="1"/>
  <c r="O55" i="7" s="1"/>
  <c r="K57" i="7"/>
  <c r="L57" i="7" s="1"/>
  <c r="N57" i="7" s="1"/>
  <c r="O57" i="7" s="1"/>
  <c r="L46" i="6"/>
  <c r="N46" i="6" s="1"/>
  <c r="O46" i="6" s="1"/>
  <c r="H47" i="6"/>
  <c r="G50" i="6"/>
  <c r="H50" i="6" s="1"/>
  <c r="G47" i="7"/>
  <c r="L47" i="7"/>
  <c r="N23" i="7"/>
  <c r="O23" i="7" s="1"/>
  <c r="N43" i="7" l="1"/>
  <c r="O43" i="7" s="1"/>
  <c r="N46" i="4"/>
  <c r="N53" i="4"/>
  <c r="N47" i="6"/>
  <c r="N56" i="5"/>
  <c r="L65" i="2"/>
  <c r="L66" i="2" s="1"/>
  <c r="N64" i="2"/>
  <c r="O64" i="2" s="1"/>
  <c r="H59" i="2"/>
  <c r="L59" i="2"/>
  <c r="L60" i="2" s="1"/>
  <c r="N58" i="2"/>
  <c r="O58" i="2" s="1"/>
  <c r="H65" i="2"/>
  <c r="H66" i="2" s="1"/>
  <c r="K49" i="5"/>
  <c r="L49" i="5" s="1"/>
  <c r="L46" i="5"/>
  <c r="N46" i="5" s="1"/>
  <c r="O46" i="5" s="1"/>
  <c r="O47" i="6"/>
  <c r="N55" i="4"/>
  <c r="O55" i="4" s="1"/>
  <c r="O46" i="4"/>
  <c r="H45" i="6"/>
  <c r="O58" i="1"/>
  <c r="O52" i="1"/>
  <c r="N52" i="1"/>
  <c r="N49" i="6"/>
  <c r="O49" i="6" s="1"/>
  <c r="G50" i="7"/>
  <c r="H50" i="7" s="1"/>
  <c r="H47" i="7"/>
  <c r="N47" i="7" s="1"/>
  <c r="G49" i="7"/>
  <c r="H49" i="7" s="1"/>
  <c r="N52" i="5"/>
  <c r="O52" i="5" s="1"/>
  <c r="N54" i="5"/>
  <c r="O54" i="5" s="1"/>
  <c r="H47" i="4"/>
  <c r="N49" i="4"/>
  <c r="O49" i="4" s="1"/>
  <c r="N49" i="1"/>
  <c r="O49" i="1" s="1"/>
  <c r="H47" i="1"/>
  <c r="N51" i="1"/>
  <c r="O51" i="1" s="1"/>
  <c r="O56" i="6"/>
  <c r="O54" i="6"/>
  <c r="N50" i="6"/>
  <c r="O50" i="6" s="1"/>
  <c r="H44" i="5"/>
  <c r="H45" i="7"/>
  <c r="O53" i="4"/>
  <c r="G50" i="3"/>
  <c r="H50" i="3" s="1"/>
  <c r="H47" i="3"/>
  <c r="H48" i="3" s="1"/>
  <c r="G49" i="3"/>
  <c r="H49" i="3" s="1"/>
  <c r="N48" i="4"/>
  <c r="O48" i="4" s="1"/>
  <c r="L68" i="2" l="1"/>
  <c r="N66" i="2"/>
  <c r="O66" i="2" s="1"/>
  <c r="H68" i="2"/>
  <c r="N59" i="2"/>
  <c r="O59" i="2" s="1"/>
  <c r="H60" i="2"/>
  <c r="N60" i="2" s="1"/>
  <c r="N65" i="2"/>
  <c r="O65" i="2" s="1"/>
  <c r="H50" i="1"/>
  <c r="H65" i="3"/>
  <c r="H59" i="3"/>
  <c r="H48" i="7"/>
  <c r="H59" i="7" s="1"/>
  <c r="N47" i="3"/>
  <c r="O47" i="3" s="1"/>
  <c r="H48" i="6"/>
  <c r="H47" i="5"/>
  <c r="N49" i="7"/>
  <c r="O49" i="7" s="1"/>
  <c r="N50" i="3"/>
  <c r="O50" i="3" s="1"/>
  <c r="H64" i="4"/>
  <c r="O47" i="7"/>
  <c r="H58" i="4"/>
  <c r="N49" i="3"/>
  <c r="O49" i="3" s="1"/>
  <c r="O50" i="7"/>
  <c r="N50" i="7"/>
  <c r="N49" i="5"/>
  <c r="O49" i="5" s="1"/>
  <c r="N68" i="2" l="1"/>
  <c r="O68" i="2"/>
  <c r="O60" i="2"/>
  <c r="L62" i="2"/>
  <c r="O67" i="2"/>
  <c r="H64" i="5"/>
  <c r="H58" i="5"/>
  <c r="H68" i="1"/>
  <c r="H62" i="1"/>
  <c r="H66" i="3"/>
  <c r="H67" i="3" s="1"/>
  <c r="H65" i="4"/>
  <c r="H59" i="4"/>
  <c r="H65" i="6"/>
  <c r="H59" i="6"/>
  <c r="H65" i="7"/>
  <c r="H60" i="3"/>
  <c r="H60" i="7"/>
  <c r="O61" i="2" l="1"/>
  <c r="H62" i="2"/>
  <c r="H66" i="7"/>
  <c r="H67" i="7" s="1"/>
  <c r="H66" i="6"/>
  <c r="H67" i="6" s="1"/>
  <c r="H59" i="5"/>
  <c r="H60" i="5" s="1"/>
  <c r="H65" i="5"/>
  <c r="H66" i="5" s="1"/>
  <c r="H63" i="1"/>
  <c r="H61" i="3"/>
  <c r="H66" i="4"/>
  <c r="H69" i="1"/>
  <c r="H70" i="1" s="1"/>
  <c r="H61" i="7"/>
  <c r="H60" i="6"/>
  <c r="H60" i="4"/>
  <c r="N62" i="2" l="1"/>
  <c r="O62" i="2" s="1"/>
  <c r="H72" i="1"/>
  <c r="H61" i="6"/>
  <c r="H64" i="1"/>
  <c r="H62" i="4"/>
  <c r="H69" i="6"/>
  <c r="H69" i="7"/>
  <c r="H68" i="5"/>
  <c r="H69" i="3"/>
  <c r="H63" i="3" l="1"/>
  <c r="H68" i="4"/>
  <c r="H63" i="7"/>
  <c r="H66" i="1"/>
  <c r="H62" i="5"/>
  <c r="H63" i="6" l="1"/>
  <c r="L25" i="3" l="1"/>
  <c r="L25" i="1" l="1"/>
  <c r="N25" i="1" s="1"/>
  <c r="N25" i="3"/>
  <c r="L29" i="6" l="1"/>
  <c r="L27" i="7"/>
  <c r="L27" i="4"/>
  <c r="L29" i="3"/>
  <c r="L29" i="5"/>
  <c r="N29" i="6" l="1"/>
  <c r="O29" i="6" s="1"/>
  <c r="L35" i="6"/>
  <c r="N27" i="7"/>
  <c r="O27" i="7" s="1"/>
  <c r="L35" i="7"/>
  <c r="N29" i="3"/>
  <c r="O29" i="3" s="1"/>
  <c r="L38" i="3"/>
  <c r="N29" i="5"/>
  <c r="O29" i="5" s="1"/>
  <c r="L36" i="5"/>
  <c r="N27" i="4"/>
  <c r="O27" i="4" s="1"/>
  <c r="L34" i="4"/>
  <c r="N34" i="4" l="1"/>
  <c r="O34" i="4" s="1"/>
  <c r="L44" i="4"/>
  <c r="L45" i="3"/>
  <c r="N38" i="3"/>
  <c r="O38" i="3" s="1"/>
  <c r="L45" i="6"/>
  <c r="N35" i="6"/>
  <c r="O35" i="6" s="1"/>
  <c r="L44" i="5"/>
  <c r="N36" i="5"/>
  <c r="O36" i="5" s="1"/>
  <c r="L45" i="7"/>
  <c r="N35" i="7"/>
  <c r="O35" i="7" s="1"/>
  <c r="L47" i="5" l="1"/>
  <c r="N44" i="5"/>
  <c r="O44" i="5" s="1"/>
  <c r="L48" i="3"/>
  <c r="N45" i="3"/>
  <c r="O45" i="3" s="1"/>
  <c r="N44" i="4"/>
  <c r="O44" i="4" s="1"/>
  <c r="L47" i="4"/>
  <c r="N45" i="7"/>
  <c r="O45" i="7" s="1"/>
  <c r="L48" i="7"/>
  <c r="N45" i="6"/>
  <c r="O45" i="6" s="1"/>
  <c r="L48" i="6"/>
  <c r="L65" i="7" l="1"/>
  <c r="L59" i="7"/>
  <c r="N48" i="7"/>
  <c r="O48" i="7" s="1"/>
  <c r="L23" i="1"/>
  <c r="L59" i="3"/>
  <c r="N48" i="3"/>
  <c r="O48" i="3" s="1"/>
  <c r="L65" i="3"/>
  <c r="L65" i="6"/>
  <c r="L59" i="6"/>
  <c r="N48" i="6"/>
  <c r="O48" i="6" s="1"/>
  <c r="N47" i="4"/>
  <c r="O47" i="4" s="1"/>
  <c r="L58" i="4"/>
  <c r="L64" i="4"/>
  <c r="L64" i="5"/>
  <c r="L58" i="5"/>
  <c r="N47" i="5"/>
  <c r="O47" i="5" s="1"/>
  <c r="L65" i="5" l="1"/>
  <c r="N65" i="5" s="1"/>
  <c r="O65" i="5" s="1"/>
  <c r="N64" i="5"/>
  <c r="O64" i="5" s="1"/>
  <c r="L65" i="4"/>
  <c r="N65" i="4" s="1"/>
  <c r="O65" i="4" s="1"/>
  <c r="N64" i="4"/>
  <c r="O64" i="4" s="1"/>
  <c r="N59" i="6"/>
  <c r="O59" i="6" s="1"/>
  <c r="L60" i="6"/>
  <c r="N60" i="6" s="1"/>
  <c r="O60" i="6" s="1"/>
  <c r="N59" i="3"/>
  <c r="O59" i="3" s="1"/>
  <c r="L60" i="3"/>
  <c r="N60" i="3" s="1"/>
  <c r="O60" i="3" s="1"/>
  <c r="N58" i="4"/>
  <c r="O58" i="4" s="1"/>
  <c r="L59" i="4"/>
  <c r="N59" i="4" s="1"/>
  <c r="O59" i="4" s="1"/>
  <c r="N23" i="1"/>
  <c r="O23" i="1" s="1"/>
  <c r="N59" i="7"/>
  <c r="O59" i="7" s="1"/>
  <c r="L60" i="7"/>
  <c r="N60" i="7" s="1"/>
  <c r="O60" i="7" s="1"/>
  <c r="N65" i="6"/>
  <c r="O65" i="6" s="1"/>
  <c r="L66" i="6"/>
  <c r="N66" i="6" s="1"/>
  <c r="O66" i="6" s="1"/>
  <c r="N58" i="5"/>
  <c r="O58" i="5" s="1"/>
  <c r="L59" i="5"/>
  <c r="N59" i="5" s="1"/>
  <c r="O59" i="5" s="1"/>
  <c r="N65" i="3"/>
  <c r="O65" i="3" s="1"/>
  <c r="L66" i="3"/>
  <c r="N66" i="3" s="1"/>
  <c r="O66" i="3" s="1"/>
  <c r="L66" i="7"/>
  <c r="N66" i="7" s="1"/>
  <c r="O66" i="7" s="1"/>
  <c r="N65" i="7"/>
  <c r="O65" i="7" s="1"/>
  <c r="L67" i="3" l="1"/>
  <c r="N67" i="3" s="1"/>
  <c r="O67" i="3" s="1"/>
  <c r="L61" i="3"/>
  <c r="N61" i="3" s="1"/>
  <c r="O61" i="3" s="1"/>
  <c r="L61" i="7"/>
  <c r="N61" i="7" s="1"/>
  <c r="O61" i="7" s="1"/>
  <c r="L66" i="4"/>
  <c r="N66" i="4" s="1"/>
  <c r="O66" i="4" s="1"/>
  <c r="L67" i="6"/>
  <c r="L60" i="4"/>
  <c r="L66" i="5"/>
  <c r="L67" i="7"/>
  <c r="L60" i="5"/>
  <c r="L61" i="6"/>
  <c r="O62" i="7" l="1"/>
  <c r="O68" i="3"/>
  <c r="O62" i="3"/>
  <c r="O67" i="4"/>
  <c r="N61" i="6"/>
  <c r="O61" i="6" s="1"/>
  <c r="O62" i="6"/>
  <c r="O61" i="5"/>
  <c r="N60" i="5"/>
  <c r="O60" i="5" s="1"/>
  <c r="N66" i="5"/>
  <c r="O66" i="5" s="1"/>
  <c r="O67" i="5"/>
  <c r="N67" i="6"/>
  <c r="O67" i="6" s="1"/>
  <c r="O68" i="6"/>
  <c r="L29" i="1"/>
  <c r="L39" i="1" s="1"/>
  <c r="N67" i="7"/>
  <c r="O67" i="7" s="1"/>
  <c r="O68" i="7"/>
  <c r="O61" i="4"/>
  <c r="N60" i="4"/>
  <c r="O60" i="4" s="1"/>
  <c r="L63" i="7" l="1"/>
  <c r="N63" i="7" s="1"/>
  <c r="O63" i="7" s="1"/>
  <c r="L69" i="3"/>
  <c r="N69" i="3" s="1"/>
  <c r="O69" i="3" s="1"/>
  <c r="L63" i="3"/>
  <c r="N63" i="3" s="1"/>
  <c r="O63" i="3" s="1"/>
  <c r="L69" i="6"/>
  <c r="N69" i="6" s="1"/>
  <c r="O69" i="6" s="1"/>
  <c r="L68" i="4"/>
  <c r="N68" i="4" s="1"/>
  <c r="O68" i="4" s="1"/>
  <c r="L63" i="6"/>
  <c r="N63" i="6" s="1"/>
  <c r="O63" i="6" s="1"/>
  <c r="L69" i="7"/>
  <c r="N69" i="7" s="1"/>
  <c r="O69" i="7" s="1"/>
  <c r="L62" i="4"/>
  <c r="N62" i="4" s="1"/>
  <c r="O62" i="4" s="1"/>
  <c r="N29" i="1"/>
  <c r="O29" i="1" s="1"/>
  <c r="L62" i="5"/>
  <c r="N62" i="5" s="1"/>
  <c r="O62" i="5" s="1"/>
  <c r="L68" i="5"/>
  <c r="N68" i="5" s="1"/>
  <c r="O68" i="5" s="1"/>
  <c r="L47" i="1" l="1"/>
  <c r="N39" i="1"/>
  <c r="O39" i="1" s="1"/>
  <c r="L50" i="1" l="1"/>
  <c r="N47" i="1"/>
  <c r="O47" i="1" s="1"/>
  <c r="N50" i="1" l="1"/>
  <c r="O50" i="1" s="1"/>
  <c r="L62" i="1"/>
  <c r="L68" i="1"/>
  <c r="N68" i="1" l="1"/>
  <c r="O68" i="1" s="1"/>
  <c r="L69" i="1"/>
  <c r="N69" i="1" s="1"/>
  <c r="O69" i="1" s="1"/>
  <c r="N62" i="1"/>
  <c r="O62" i="1" s="1"/>
  <c r="L63" i="1"/>
  <c r="N63" i="1" s="1"/>
  <c r="O63" i="1" s="1"/>
  <c r="L64" i="1" l="1"/>
  <c r="N64" i="1" s="1"/>
  <c r="O64" i="1" s="1"/>
  <c r="L70" i="1"/>
  <c r="N65" i="1" l="1"/>
  <c r="O65" i="1" s="1"/>
  <c r="N71" i="1"/>
  <c r="O71" i="1" s="1"/>
  <c r="N70" i="1"/>
  <c r="O70" i="1" s="1"/>
  <c r="L66" i="1" l="1"/>
  <c r="N66" i="1" s="1"/>
  <c r="O66" i="1" s="1"/>
  <c r="L72" i="1"/>
  <c r="N72" i="1" s="1"/>
  <c r="O72" i="1" s="1"/>
</calcChain>
</file>

<file path=xl/sharedStrings.xml><?xml version="1.0" encoding="utf-8"?>
<sst xmlns="http://schemas.openxmlformats.org/spreadsheetml/2006/main" count="608" uniqueCount="75">
  <si>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</si>
  <si>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</si>
  <si>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</si>
  <si>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</si>
  <si>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</si>
  <si>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</si>
  <si>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</si>
  <si>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</si>
  <si>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</si>
  <si>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</si>
  <si>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</si>
  <si>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</si>
  <si>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</si>
  <si>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</si>
  <si>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</si>
  <si>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</si>
  <si>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</si>
  <si>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</si>
  <si>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</si>
  <si>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</si>
  <si>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Stranded Meter Rate Rider</t>
  </si>
  <si>
    <t>Smart Meter Disposition Rider</t>
  </si>
  <si>
    <t>Distribution Volumetric Rate</t>
  </si>
  <si>
    <t>per kWh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</si>
  <si>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</si>
  <si>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</si>
  <si>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</si>
  <si>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</si>
  <si>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</si>
  <si>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</si>
  <si>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</si>
  <si>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</si>
  <si>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</si>
  <si>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</si>
  <si>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</si>
  <si>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</si>
  <si>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</si>
  <si>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</si>
  <si>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</si>
  <si>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</si>
  <si>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</si>
  <si>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</si>
  <si>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</si>
  <si>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</si>
  <si>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</si>
  <si>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</si>
  <si>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</si>
  <si>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</si>
  <si>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</si>
  <si>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</si>
  <si>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</si>
  <si>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</si>
  <si>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</si>
  <si>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</si>
  <si>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</si>
  <si>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</si>
  <si>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</si>
  <si>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</si>
  <si>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</si>
  <si>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</si>
  <si>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</si>
  <si>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</si>
  <si>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</si>
  <si>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</si>
  <si>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</si>
  <si>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</si>
  <si>
    <t>Foregone Revenue</t>
  </si>
  <si>
    <t>OESP</t>
  </si>
  <si>
    <t xml:space="preserve">Total Bill on TOU </t>
  </si>
  <si>
    <t xml:space="preserve">Total Bill on RPP </t>
  </si>
  <si>
    <t>Total Bill on TOU</t>
  </si>
  <si>
    <t>Foregone Revenue Rider</t>
  </si>
  <si>
    <t xml:space="preserve"> kW</t>
  </si>
  <si>
    <t>Total Bill on RPP</t>
  </si>
  <si>
    <t>Forgeone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</si>
</sst>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1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6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  <xf numFmtId="44" fontId="20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7" fillId="0" borderId="16" xfId="0" applyNumberFormat="1" applyFont="1" applyFill="1" applyBorder="1" applyAlignment="1" applyProtection="1">
      <alignment vertical="center"/>
    </xf>
    <xf numFmtId="166" fontId="17" fillId="0" borderId="3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</xf>
    <xf numFmtId="10" fontId="17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Alignment="1" applyProtection="1">
      <alignment horizontal="left" vertical="top" wrapText="1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7" fillId="0" borderId="16" xfId="4" applyNumberFormat="1" applyFont="1" applyFill="1" applyBorder="1" applyAlignment="1" applyProtection="1">
      <alignment vertical="center"/>
    </xf>
    <xf numFmtId="166" fontId="17" fillId="0" borderId="3" xfId="4" applyNumberFormat="1" applyFont="1" applyFill="1" applyBorder="1" applyAlignment="1" applyProtection="1">
      <alignment vertical="center"/>
    </xf>
    <xf numFmtId="166" fontId="17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0" fontId="10" fillId="0" borderId="0" xfId="4" applyFont="1" applyFill="1" applyAlignment="1" applyProtection="1">
      <alignment horizontal="left" vertical="top" wrapText="1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8" fillId="0" borderId="0" xfId="0" applyFont="1" applyFill="1" applyProtection="1"/>
    <xf numFmtId="0" fontId="11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166" fontId="11" fillId="2" borderId="7" xfId="2" applyNumberFormat="1" applyFont="1" applyFill="1" applyBorder="1" applyAlignment="1" applyProtection="1">
      <alignment vertical="center"/>
      <protection locked="0"/>
    </xf>
    <xf numFmtId="167" fontId="11" fillId="2" borderId="7" xfId="2" applyNumberFormat="1" applyFont="1" applyFill="1" applyBorder="1" applyAlignment="1" applyProtection="1">
      <alignment vertical="center"/>
      <protection locked="0"/>
    </xf>
    <xf numFmtId="167" fontId="0" fillId="2" borderId="7" xfId="2" applyNumberFormat="1" applyFont="1" applyFill="1" applyBorder="1" applyAlignment="1" applyProtection="1">
      <alignment horizontal="right" vertical="center"/>
      <protection locked="0"/>
    </xf>
    <xf numFmtId="167" fontId="11" fillId="2" borderId="7" xfId="2" applyNumberFormat="1" applyFont="1" applyFill="1" applyBorder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167" fontId="11" fillId="2" borderId="7" xfId="2" applyNumberFormat="1" applyFont="1" applyFill="1" applyBorder="1" applyAlignment="1" applyProtection="1">
      <protection locked="0"/>
    </xf>
    <xf numFmtId="44" fontId="11" fillId="2" borderId="7" xfId="5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0" fillId="0" borderId="0" xfId="0" applyFont="1" applyFill="1" applyBorder="1" applyAlignment="1" applyProtection="1">
      <alignment horizontal="left" vertical="top" wrapText="1"/>
    </xf>
    <xf numFmtId="0" fontId="16" fillId="0" borderId="0" xfId="4" applyFont="1" applyFill="1" applyBorder="1" applyAlignment="1" applyProtection="1">
      <alignment horizontal="left" vertical="top" wrapText="1" indent="1"/>
    </xf>
    <xf numFmtId="0" fontId="5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wrapText="1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center"/>
    </xf>
    <xf numFmtId="166" fontId="10" fillId="0" borderId="20" xfId="0" applyNumberFormat="1" applyFont="1" applyFill="1" applyBorder="1" applyAlignment="1" applyProtection="1">
      <alignment vertical="center"/>
    </xf>
    <xf numFmtId="166" fontId="10" fillId="0" borderId="21" xfId="0" applyNumberFormat="1" applyFont="1" applyFill="1" applyBorder="1" applyAlignment="1" applyProtection="1">
      <alignment vertical="center"/>
    </xf>
    <xf numFmtId="166" fontId="10" fillId="0" borderId="20" xfId="4" applyNumberFormat="1" applyFont="1" applyFill="1" applyBorder="1" applyAlignment="1" applyProtection="1">
      <alignment vertical="center"/>
    </xf>
    <xf numFmtId="166" fontId="17" fillId="0" borderId="21" xfId="4" applyNumberFormat="1" applyFont="1" applyFill="1" applyBorder="1" applyAlignment="1" applyProtection="1">
      <alignment vertical="center"/>
    </xf>
    <xf numFmtId="166" fontId="10" fillId="0" borderId="14" xfId="0" applyNumberFormat="1" applyFont="1" applyFill="1" applyBorder="1" applyAlignment="1" applyProtection="1">
      <alignment vertical="center"/>
    </xf>
    <xf numFmtId="166" fontId="10" fillId="0" borderId="14" xfId="4" applyNumberFormat="1" applyFont="1" applyFill="1" applyBorder="1" applyAlignment="1" applyProtection="1">
      <alignment vertical="center"/>
    </xf>
  </cellXfs>
  <cellStyles count="6">
    <cellStyle name="Comma 2 4" xfId="1"/>
    <cellStyle name="Currency" xfId="5" builtinId="4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checked="Checked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2049" name="Option Button 4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2050" name="Option Button 4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5.%20TESI%20UTILITIES\ORPC\Application\Models\FInal%20Models\EB-2014-0105%202016%20ORPC%20Filing_Requirements_Chapter2_Appendices_Aug%2028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5.%20TESI%20UTILITIES\ORPC\4.Final%20Rates\Settlement%20Conference%20May%2019\EB-2014-0105%202016%20ORPC%20Rate%20Design%20Model_201605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5.%20TESI%20UTILITIES\ORPC\4.Final%20Rates\Settlement%20Conference%20May%2019\EB-2014-0105%202016%20ORPC%20Data%20Storage_201605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2016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8.1 Res Rate Design"/>
      <sheetName val="Cost Allocation"/>
      <sheetName val="RATE RIDERS -&gt;"/>
      <sheetName val="I. SMRR"/>
      <sheetName val="J. DVA"/>
      <sheetName val="Foregone Revenue Rider"/>
      <sheetName val="K. Summary of Tariffs"/>
      <sheetName val="BILL IMPACT -&gt;"/>
      <sheetName val="Bill Impact - Res 10 Pct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  <sheetName val="Settlement Proposal Tables"/>
    </sheetNames>
    <sheetDataSet>
      <sheetData sheetId="0" refreshError="1"/>
      <sheetData sheetId="1" refreshError="1"/>
      <sheetData sheetId="2" refreshError="1">
        <row r="32">
          <cell r="C32">
            <v>10.99</v>
          </cell>
        </row>
        <row r="33">
          <cell r="C33">
            <v>1.4999999999999999E-2</v>
          </cell>
        </row>
        <row r="45">
          <cell r="C45">
            <v>6.3E-3</v>
          </cell>
        </row>
        <row r="46">
          <cell r="C46">
            <v>4.4999999999999997E-3</v>
          </cell>
        </row>
        <row r="53">
          <cell r="C53">
            <v>22.97</v>
          </cell>
        </row>
        <row r="54">
          <cell r="C54">
            <v>1.0500000000000001E-2</v>
          </cell>
        </row>
        <row r="74">
          <cell r="C74">
            <v>378.72</v>
          </cell>
        </row>
        <row r="75">
          <cell r="C75">
            <v>0.64890000000000003</v>
          </cell>
        </row>
        <row r="95">
          <cell r="C95">
            <v>2.6</v>
          </cell>
        </row>
        <row r="96">
          <cell r="C96">
            <v>7.8817000000000004</v>
          </cell>
        </row>
        <row r="116">
          <cell r="C116">
            <v>2.2200000000000002</v>
          </cell>
        </row>
        <row r="117">
          <cell r="C117">
            <v>12.1768</v>
          </cell>
        </row>
        <row r="137">
          <cell r="C137">
            <v>6.25</v>
          </cell>
        </row>
        <row r="138">
          <cell r="C138">
            <v>2E-3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6">
          <cell r="B46">
            <v>14.02</v>
          </cell>
          <cell r="G46">
            <v>1.2907742015678856E-2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6">
          <cell r="B16" t="str">
            <v>Rate Rider Calculation for Deferral / Variance Accounts Balances (excluding Global Adj.)</v>
          </cell>
        </row>
        <row r="20">
          <cell r="F20">
            <v>-8.4166580262031484E-4</v>
          </cell>
        </row>
        <row r="21">
          <cell r="F21">
            <v>-8.3436113445685444E-4</v>
          </cell>
        </row>
        <row r="23">
          <cell r="F23">
            <v>-8.2963951844851433E-4</v>
          </cell>
        </row>
        <row r="28">
          <cell r="B28" t="str">
            <v>Rate Rider Calculation for Deferral / Variance Accounts Balances (excluding Global Adj.) - NON-WMP</v>
          </cell>
        </row>
        <row r="32">
          <cell r="F32">
            <v>-2.6878065725373353E-3</v>
          </cell>
        </row>
        <row r="33">
          <cell r="F33">
            <v>-2.6878065725373349E-3</v>
          </cell>
        </row>
        <row r="35">
          <cell r="F35">
            <v>-2.6878065725373349E-3</v>
          </cell>
        </row>
        <row r="40">
          <cell r="B40" t="str">
            <v>Rate Rider Calculation for RSVA - Power - Global Adjustment</v>
          </cell>
        </row>
        <row r="65">
          <cell r="B65" t="str">
            <v>Rate Rider Calculation for Group 2 Accounts</v>
          </cell>
        </row>
        <row r="77">
          <cell r="B77" t="str">
            <v>Rate Rider Calculation for Accounts 1575 and 1576</v>
          </cell>
        </row>
        <row r="91">
          <cell r="B91" t="str">
            <v>Rate Rider Calculation for Accounts 1568</v>
          </cell>
        </row>
      </sheetData>
      <sheetData sheetId="16" refreshError="1"/>
      <sheetData sheetId="17" refreshError="1"/>
      <sheetData sheetId="18" refreshError="1"/>
      <sheetData sheetId="19" refreshError="1">
        <row r="26">
          <cell r="J26">
            <v>1.68</v>
          </cell>
        </row>
      </sheetData>
      <sheetData sheetId="20" refreshError="1"/>
      <sheetData sheetId="21" refreshError="1">
        <row r="26">
          <cell r="J26">
            <v>4.47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2.8 Stranded Meters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. PILs.Final PILs"/>
      <sheetName val="LOAD FORECAST -&gt;"/>
      <sheetName val="3.10 LoadForecast"/>
      <sheetName val="Exhibit 4 -&gt;"/>
      <sheetName val="OM&amp;A -&gt;"/>
      <sheetName val="4.1 OM&amp;A_Detailed_Analysis"/>
      <sheetName val="4.2 OM&amp;A_Summary_Analys"/>
      <sheetName val="4.3 OMA Programs Final"/>
      <sheetName val="4.3 OMA Programs"/>
      <sheetName val="4.4 OM&amp;A_Cost _Drivers"/>
      <sheetName val="4.5 Monthly Staff Lvl"/>
      <sheetName val="4.6 Yearly Staff Turnover"/>
      <sheetName val="4.7 Employee Costs"/>
      <sheetName val="4.8.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Exhibit 8 -&gt;"/>
      <sheetName val="8.1 Loss Factors"/>
      <sheetName val="8.2 IFRS Transition Costs"/>
      <sheetName val="8.3 Integrity Check"/>
    </sheetNames>
    <sheetDataSet>
      <sheetData sheetId="0" refreshError="1"/>
      <sheetData sheetId="1">
        <row r="11">
          <cell r="E11" t="str">
            <v>Ottawa River Power Corporation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I14">
            <v>9542488.7199151032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58">
          <cell r="N58">
            <v>5.9083602245513928E-3</v>
          </cell>
        </row>
        <row r="59">
          <cell r="N59">
            <v>5.4394427051232775E-3</v>
          </cell>
        </row>
        <row r="60">
          <cell r="N60">
            <v>2.221074480589547</v>
          </cell>
        </row>
        <row r="61">
          <cell r="N61">
            <v>1.6835044305615157</v>
          </cell>
        </row>
        <row r="62">
          <cell r="N62">
            <v>1.6749743229237766</v>
          </cell>
        </row>
        <row r="63">
          <cell r="N63">
            <v>5.4394385425159753E-3</v>
          </cell>
        </row>
        <row r="74">
          <cell r="N74">
            <v>4.5291837326333229E-3</v>
          </cell>
        </row>
        <row r="75">
          <cell r="N75">
            <v>4.0259412268579828E-3</v>
          </cell>
        </row>
        <row r="76">
          <cell r="N76">
            <v>1.6062498283035462</v>
          </cell>
        </row>
        <row r="77">
          <cell r="N77">
            <v>1.2677724745637995</v>
          </cell>
        </row>
        <row r="78">
          <cell r="N78">
            <v>1.2418007380417413</v>
          </cell>
        </row>
        <row r="79">
          <cell r="N79">
            <v>4.0259349604509975E-3</v>
          </cell>
        </row>
        <row r="171">
          <cell r="I171">
            <v>8.0000000000000004E-4</v>
          </cell>
        </row>
        <row r="172">
          <cell r="I172">
            <v>6.9999999999999999E-4</v>
          </cell>
        </row>
        <row r="173">
          <cell r="I173">
            <v>0.2787</v>
          </cell>
        </row>
        <row r="174">
          <cell r="I174">
            <v>0.22</v>
          </cell>
        </row>
        <row r="176">
          <cell r="I176">
            <v>6.9999999999999999E-4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4">
    <pageSetUpPr fitToPage="1"/>
  </sheetPr>
  <dimension ref="A1:T91"/>
  <sheetViews>
    <sheetView showGridLines="0" tabSelected="1" workbookViewId="0">
      <selection activeCell="P78" sqref="P78"/>
    </sheetView>
  </sheetViews>
  <sheetFormatPr defaultRowHeight="12.75"/>
  <cols>
    <col min="1" max="1" width="11.28515625" style="12" customWidth="1"/>
    <col min="2" max="2" width="35.855468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3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206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CurrentTariff'!C32</f>
        <v>10.99</v>
      </c>
      <c r="G23" s="15">
        <v>1</v>
      </c>
      <c r="H23" s="16">
        <f>G23*F23</f>
        <v>10.99</v>
      </c>
      <c r="I23" s="28"/>
      <c r="J23" s="288">
        <f>'[2]G. RateDesign'!B46</f>
        <v>14.02</v>
      </c>
      <c r="K23" s="17">
        <v>1</v>
      </c>
      <c r="L23" s="16">
        <f>K23*J23</f>
        <v>14.02</v>
      </c>
      <c r="M23" s="28"/>
      <c r="N23" s="149">
        <f>L23-H23</f>
        <v>3.0299999999999994</v>
      </c>
      <c r="O23" s="18">
        <f>IF((H23)=0,"",(N23/H23))</f>
        <v>0.27570518653321197</v>
      </c>
    </row>
    <row r="24" spans="1:15">
      <c r="A24" s="19"/>
      <c r="B24" s="145"/>
      <c r="C24" s="20"/>
      <c r="D24" s="146"/>
      <c r="E24" s="14"/>
      <c r="F24" s="150"/>
      <c r="G24" s="15"/>
      <c r="H24" s="16">
        <f t="shared" ref="H24:H38" si="0">G24*F24</f>
        <v>0</v>
      </c>
      <c r="I24" s="28"/>
      <c r="J24" s="148"/>
      <c r="K24" s="17"/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20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288">
        <v>7.0000000000000007E-2</v>
      </c>
      <c r="K25" s="17">
        <v>1</v>
      </c>
      <c r="L25" s="16">
        <f t="shared" ref="L25:L31" si="1">K25*J25</f>
        <v>7.0000000000000007E-2</v>
      </c>
      <c r="M25" s="28"/>
      <c r="N25" s="149">
        <f t="shared" ref="N25:N66" si="2">L25-H25</f>
        <v>7.0000000000000007E-2</v>
      </c>
      <c r="O25" s="18" t="str">
        <f t="shared" ref="O25:O45" si="3">IF((H25)=0,"",(N25/H25))</f>
        <v/>
      </c>
    </row>
    <row r="26" spans="1:15">
      <c r="A26" s="19"/>
      <c r="B26" s="145" t="s">
        <v>21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288">
        <f>'[2]Bill Impact - Res 10 Pct'!$J$26</f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/>
      <c r="H27" s="16">
        <f t="shared" si="0"/>
        <v>0</v>
      </c>
      <c r="I27" s="28"/>
      <c r="J27" s="31"/>
      <c r="K27" s="17"/>
      <c r="L27" s="16"/>
      <c r="M27" s="28"/>
      <c r="N27" s="149"/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/>
      <c r="H28" s="16">
        <f t="shared" si="0"/>
        <v>0</v>
      </c>
      <c r="I28" s="28"/>
      <c r="J28" s="31"/>
      <c r="K28" s="17"/>
      <c r="L28" s="16"/>
      <c r="M28" s="28"/>
      <c r="N28" s="149"/>
      <c r="O28" s="18" t="str">
        <f t="shared" si="3"/>
        <v/>
      </c>
    </row>
    <row r="29" spans="1:15">
      <c r="A29" s="19"/>
      <c r="B29" s="145" t="s">
        <v>22</v>
      </c>
      <c r="C29" s="20"/>
      <c r="D29" s="146" t="s">
        <v>23</v>
      </c>
      <c r="E29" s="14"/>
      <c r="F29" s="150">
        <f>'[2]B. CurrentTariff'!C33</f>
        <v>1.4999999999999999E-2</v>
      </c>
      <c r="G29" s="15">
        <f t="shared" ref="G29:G33" si="4">$F$18</f>
        <v>206</v>
      </c>
      <c r="H29" s="16">
        <f t="shared" si="0"/>
        <v>3.09</v>
      </c>
      <c r="I29" s="28"/>
      <c r="J29" s="289">
        <f>'[2]G. RateDesign'!G46</f>
        <v>1.2907742015678856E-2</v>
      </c>
      <c r="K29" s="15">
        <f>$F$18</f>
        <v>206</v>
      </c>
      <c r="L29" s="16">
        <f t="shared" si="1"/>
        <v>2.6589948552298441</v>
      </c>
      <c r="M29" s="28"/>
      <c r="N29" s="149">
        <f t="shared" si="2"/>
        <v>-0.43100514477015572</v>
      </c>
      <c r="O29" s="18">
        <f t="shared" si="3"/>
        <v>-0.13948386562140963</v>
      </c>
    </row>
    <row r="30" spans="1:15">
      <c r="A30" s="19"/>
      <c r="B30" s="145" t="s">
        <v>66</v>
      </c>
      <c r="C30" s="20"/>
      <c r="D30" s="146" t="s">
        <v>19</v>
      </c>
      <c r="E30" s="14"/>
      <c r="F30" s="150"/>
      <c r="G30" s="15">
        <v>1</v>
      </c>
      <c r="H30" s="16">
        <f t="shared" si="0"/>
        <v>0</v>
      </c>
      <c r="I30" s="28"/>
      <c r="J30" s="289">
        <v>0.32</v>
      </c>
      <c r="K30" s="15">
        <v>1</v>
      </c>
      <c r="L30" s="16">
        <f t="shared" si="1"/>
        <v>0.32</v>
      </c>
      <c r="M30" s="28"/>
      <c r="N30" s="149">
        <f t="shared" si="2"/>
        <v>0.32</v>
      </c>
      <c r="O30" s="18" t="str">
        <f t="shared" si="3"/>
        <v/>
      </c>
    </row>
    <row r="31" spans="1:15" ht="25.5">
      <c r="A31" s="19"/>
      <c r="B31" s="292" t="str">
        <f>'[2]J. DVA'!$B$65</f>
        <v>Rate Rider Calculation for Group 2 Accounts</v>
      </c>
      <c r="C31" s="20"/>
      <c r="D31" s="165" t="s">
        <v>19</v>
      </c>
      <c r="E31" s="14"/>
      <c r="F31" s="150"/>
      <c r="G31" s="15">
        <v>1</v>
      </c>
      <c r="H31" s="16">
        <f t="shared" si="0"/>
        <v>0</v>
      </c>
      <c r="I31" s="28"/>
      <c r="J31" s="289">
        <v>0.11</v>
      </c>
      <c r="K31" s="15">
        <v>1</v>
      </c>
      <c r="L31" s="16">
        <f t="shared" si="1"/>
        <v>0.11</v>
      </c>
      <c r="M31" s="28"/>
      <c r="N31" s="149">
        <f t="shared" si="2"/>
        <v>0.11</v>
      </c>
      <c r="O31" s="18" t="str">
        <f t="shared" si="3"/>
        <v/>
      </c>
    </row>
    <row r="32" spans="1:15" ht="25.5">
      <c r="A32" s="19"/>
      <c r="B32" s="292" t="str">
        <f>'[2]J. DVA'!$B$77</f>
        <v>Rate Rider Calculation for Accounts 1575 and 1576</v>
      </c>
      <c r="C32" s="20"/>
      <c r="D32" s="165" t="s">
        <v>23</v>
      </c>
      <c r="E32" s="14"/>
      <c r="F32" s="150"/>
      <c r="G32" s="15">
        <f t="shared" si="4"/>
        <v>206</v>
      </c>
      <c r="H32" s="16">
        <f>G32*F32</f>
        <v>0</v>
      </c>
      <c r="I32" s="28"/>
      <c r="J32" s="289">
        <v>-4.0000000000000002E-4</v>
      </c>
      <c r="K32" s="15">
        <f t="shared" ref="K32:K33" si="5">$F$18</f>
        <v>206</v>
      </c>
      <c r="L32" s="16">
        <f>K32*J32</f>
        <v>-8.2400000000000001E-2</v>
      </c>
      <c r="M32" s="28"/>
      <c r="N32" s="149">
        <f>L32-H32</f>
        <v>-8.2400000000000001E-2</v>
      </c>
      <c r="O32" s="18" t="str">
        <f>IF((H32)=0,"",(N32/H32))</f>
        <v/>
      </c>
    </row>
    <row r="33" spans="1:15">
      <c r="A33" s="19"/>
      <c r="B33" s="292" t="str">
        <f>'[2]J. DVA'!$B$91</f>
        <v>Rate Rider Calculation for Accounts 1568</v>
      </c>
      <c r="C33" s="20"/>
      <c r="D33" s="165" t="s">
        <v>23</v>
      </c>
      <c r="E33" s="14"/>
      <c r="F33" s="150"/>
      <c r="G33" s="15">
        <f t="shared" si="4"/>
        <v>206</v>
      </c>
      <c r="H33" s="16">
        <f>G33*F33</f>
        <v>0</v>
      </c>
      <c r="I33" s="28"/>
      <c r="J33" s="289">
        <v>2.9999999999999997E-4</v>
      </c>
      <c r="K33" s="15">
        <f t="shared" si="5"/>
        <v>206</v>
      </c>
      <c r="L33" s="16">
        <f>K33*J33</f>
        <v>6.1799999999999994E-2</v>
      </c>
      <c r="M33" s="28"/>
      <c r="N33" s="149">
        <f>L33-H33</f>
        <v>6.1799999999999994E-2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/>
      <c r="H34" s="16">
        <f>G34*F34</f>
        <v>0</v>
      </c>
      <c r="I34" s="28"/>
      <c r="J34" s="31"/>
      <c r="K34" s="15"/>
      <c r="L34" s="16"/>
      <c r="M34" s="28"/>
      <c r="N34" s="149"/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/>
      <c r="H35" s="16">
        <f t="shared" si="0"/>
        <v>0</v>
      </c>
      <c r="I35" s="28"/>
      <c r="J35" s="31"/>
      <c r="K35" s="15"/>
      <c r="L35" s="16"/>
      <c r="M35" s="28"/>
      <c r="N35" s="149"/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/>
      <c r="H36" s="16">
        <f t="shared" si="0"/>
        <v>0</v>
      </c>
      <c r="I36" s="28"/>
      <c r="J36" s="31"/>
      <c r="K36" s="15"/>
      <c r="L36" s="16"/>
      <c r="M36" s="28"/>
      <c r="N36" s="149"/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/>
      <c r="H37" s="16">
        <f t="shared" si="0"/>
        <v>0</v>
      </c>
      <c r="I37" s="28"/>
      <c r="J37" s="31"/>
      <c r="K37" s="15"/>
      <c r="L37" s="16"/>
      <c r="M37" s="28"/>
      <c r="N37" s="149"/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/>
      <c r="H38" s="16">
        <f t="shared" si="0"/>
        <v>0</v>
      </c>
      <c r="I38" s="28"/>
      <c r="J38" s="31"/>
      <c r="K38" s="15"/>
      <c r="L38" s="16"/>
      <c r="M38" s="28"/>
      <c r="N38" s="149"/>
      <c r="O38" s="18" t="str">
        <f t="shared" si="3"/>
        <v/>
      </c>
    </row>
    <row r="39" spans="1:15">
      <c r="A39" s="19"/>
      <c r="B39" s="153" t="s">
        <v>24</v>
      </c>
      <c r="C39" s="154"/>
      <c r="D39" s="155"/>
      <c r="E39" s="154"/>
      <c r="F39" s="156"/>
      <c r="G39" s="157"/>
      <c r="H39" s="158">
        <f>SUM(H23:H38)</f>
        <v>14.08</v>
      </c>
      <c r="I39" s="28"/>
      <c r="J39" s="159"/>
      <c r="K39" s="160"/>
      <c r="L39" s="158">
        <f>SUM(L23:L38)</f>
        <v>18.838394855229847</v>
      </c>
      <c r="M39" s="28"/>
      <c r="N39" s="161">
        <f t="shared" si="2"/>
        <v>4.758394855229847</v>
      </c>
      <c r="O39" s="162">
        <f t="shared" si="3"/>
        <v>0.33795418005893801</v>
      </c>
    </row>
    <row r="40" spans="1:15" ht="38.25">
      <c r="A40" s="163"/>
      <c r="B40" s="164" t="str">
        <f>'[2]J. DVA'!$B$16</f>
        <v>Rate Rider Calculation for Deferral / Variance Accounts Balances (excluding Global Adj.)</v>
      </c>
      <c r="C40" s="20"/>
      <c r="D40" s="165" t="s">
        <v>23</v>
      </c>
      <c r="E40" s="20"/>
      <c r="F40" s="166"/>
      <c r="G40" s="21">
        <f t="shared" ref="G40:G44" si="6">$F$18</f>
        <v>206</v>
      </c>
      <c r="H40" s="22">
        <f t="shared" ref="H40:H46" si="7">G40*F40</f>
        <v>0</v>
      </c>
      <c r="I40" s="167"/>
      <c r="J40" s="290">
        <f>'[2]J. DVA'!F20</f>
        <v>-8.4166580262031484E-4</v>
      </c>
      <c r="K40" s="21">
        <f t="shared" ref="K40:K44" si="8">$F$18</f>
        <v>206</v>
      </c>
      <c r="L40" s="22">
        <f t="shared" ref="L40:L46" si="9">K40*J40</f>
        <v>-0.17338315533978485</v>
      </c>
      <c r="M40" s="167"/>
      <c r="N40" s="168">
        <f t="shared" si="2"/>
        <v>-0.17338315533978485</v>
      </c>
      <c r="O40" s="23" t="str">
        <f t="shared" si="3"/>
        <v/>
      </c>
    </row>
    <row r="41" spans="1:15" ht="38.25">
      <c r="A41" s="169"/>
      <c r="B41" s="164" t="str">
        <f>'[2]J. DVA'!$B$28</f>
        <v>Rate Rider Calculation for Deferral / Variance Accounts Balances (excluding Global Adj.) - NON-WMP</v>
      </c>
      <c r="C41" s="20"/>
      <c r="D41" s="165" t="s">
        <v>23</v>
      </c>
      <c r="E41" s="20"/>
      <c r="F41" s="166"/>
      <c r="G41" s="21">
        <f t="shared" si="6"/>
        <v>206</v>
      </c>
      <c r="H41" s="22">
        <f t="shared" si="7"/>
        <v>0</v>
      </c>
      <c r="I41" s="167"/>
      <c r="J41" s="290">
        <f>'[2]J. DVA'!F32</f>
        <v>-2.6878065725373353E-3</v>
      </c>
      <c r="K41" s="21">
        <f t="shared" si="8"/>
        <v>206</v>
      </c>
      <c r="L41" s="22">
        <f t="shared" si="9"/>
        <v>-0.55368815394269111</v>
      </c>
      <c r="M41" s="167"/>
      <c r="N41" s="168">
        <f t="shared" si="2"/>
        <v>-0.55368815394269111</v>
      </c>
      <c r="O41" s="23" t="str">
        <f t="shared" si="3"/>
        <v/>
      </c>
    </row>
    <row r="42" spans="1:15">
      <c r="A42" s="169"/>
      <c r="B42" s="164"/>
      <c r="C42" s="20"/>
      <c r="D42" s="165"/>
      <c r="E42" s="20"/>
      <c r="F42" s="166"/>
      <c r="G42" s="21"/>
      <c r="H42" s="22"/>
      <c r="I42" s="167"/>
      <c r="J42" s="166"/>
      <c r="K42" s="21"/>
      <c r="L42" s="22"/>
      <c r="M42" s="167"/>
      <c r="N42" s="168"/>
      <c r="O42" s="23" t="str">
        <f t="shared" si="3"/>
        <v/>
      </c>
    </row>
    <row r="43" spans="1:15">
      <c r="A43" s="163"/>
      <c r="B43" s="164"/>
      <c r="C43" s="20"/>
      <c r="D43" s="165"/>
      <c r="E43" s="20"/>
      <c r="F43" s="166"/>
      <c r="G43" s="21"/>
      <c r="H43" s="22"/>
      <c r="I43" s="167"/>
      <c r="J43" s="166"/>
      <c r="K43" s="21"/>
      <c r="L43" s="22"/>
      <c r="M43" s="167"/>
      <c r="N43" s="168"/>
      <c r="O43" s="23" t="str">
        <f t="shared" si="3"/>
        <v/>
      </c>
    </row>
    <row r="44" spans="1:15">
      <c r="A44" s="163"/>
      <c r="B44" s="164" t="s">
        <v>25</v>
      </c>
      <c r="C44" s="20"/>
      <c r="D44" s="165" t="s">
        <v>23</v>
      </c>
      <c r="E44" s="20"/>
      <c r="F44" s="166">
        <v>1.1000000000000001E-3</v>
      </c>
      <c r="G44" s="21">
        <f t="shared" si="6"/>
        <v>206</v>
      </c>
      <c r="H44" s="22">
        <f t="shared" si="7"/>
        <v>0.22660000000000002</v>
      </c>
      <c r="I44" s="167"/>
      <c r="J44" s="290">
        <f>'[3]4.12 PowerSupplExp'!$I$171</f>
        <v>8.0000000000000004E-4</v>
      </c>
      <c r="K44" s="21">
        <f t="shared" si="8"/>
        <v>206</v>
      </c>
      <c r="L44" s="22">
        <f t="shared" si="9"/>
        <v>0.1648</v>
      </c>
      <c r="M44" s="167"/>
      <c r="N44" s="168">
        <f t="shared" si="2"/>
        <v>-6.1800000000000022E-2</v>
      </c>
      <c r="O44" s="24">
        <f>IF((H44)=0,"",(N44/H44))</f>
        <v>-0.27272727272727282</v>
      </c>
    </row>
    <row r="45" spans="1:15">
      <c r="A45" s="19"/>
      <c r="B45" s="145" t="s">
        <v>26</v>
      </c>
      <c r="C45" s="20"/>
      <c r="D45" s="165" t="s">
        <v>23</v>
      </c>
      <c r="E45" s="20"/>
      <c r="F45" s="166">
        <f>IF(ISBLANK(D16)=1, 0, IF(D16="TOU", 0.64*$F$56+0.18*$F$57+0.18*$F$58, IF(AND(D16="non-TOU", G60&gt;0), F60,F59)))</f>
        <v>0.11183999999999999</v>
      </c>
      <c r="G45" s="21">
        <f>$F$18*(1+$F$75)-$F$18</f>
        <v>8.0339999999999918</v>
      </c>
      <c r="H45" s="22">
        <f t="shared" si="7"/>
        <v>0.89852255999999908</v>
      </c>
      <c r="I45" s="167"/>
      <c r="J45" s="166">
        <f>0.64*$F$56+0.18*$F$57+0.18*$F$58</f>
        <v>0.11183999999999999</v>
      </c>
      <c r="K45" s="21">
        <f>$F$18*(1+$J$75)-$F$18</f>
        <v>9.4142000000000223</v>
      </c>
      <c r="L45" s="22">
        <f t="shared" si="9"/>
        <v>1.0528841280000025</v>
      </c>
      <c r="M45" s="167"/>
      <c r="N45" s="168">
        <f t="shared" si="2"/>
        <v>0.15436156800000345</v>
      </c>
      <c r="O45" s="24">
        <f t="shared" si="3"/>
        <v>0.17179487179487582</v>
      </c>
    </row>
    <row r="46" spans="1:15">
      <c r="A46" s="19"/>
      <c r="B46" s="170" t="s">
        <v>27</v>
      </c>
      <c r="C46" s="20"/>
      <c r="D46" s="171" t="s">
        <v>23</v>
      </c>
      <c r="E46" s="14"/>
      <c r="F46" s="172">
        <v>0.79</v>
      </c>
      <c r="G46" s="25">
        <v>1</v>
      </c>
      <c r="H46" s="26">
        <f t="shared" si="7"/>
        <v>0.79</v>
      </c>
      <c r="I46" s="173"/>
      <c r="J46" s="291">
        <v>0.79</v>
      </c>
      <c r="K46" s="25">
        <v>1</v>
      </c>
      <c r="L46" s="26">
        <f t="shared" si="9"/>
        <v>0.79</v>
      </c>
      <c r="M46" s="173"/>
      <c r="N46" s="174">
        <f t="shared" si="2"/>
        <v>0</v>
      </c>
      <c r="O46" s="27"/>
    </row>
    <row r="47" spans="1:15" ht="25.5">
      <c r="B47" s="175" t="s">
        <v>28</v>
      </c>
      <c r="C47" s="176"/>
      <c r="D47" s="176"/>
      <c r="E47" s="176"/>
      <c r="F47" s="177"/>
      <c r="G47" s="178"/>
      <c r="H47" s="179">
        <f>SUM(H40:H46)+H39</f>
        <v>15.995122559999999</v>
      </c>
      <c r="I47" s="28"/>
      <c r="J47" s="178"/>
      <c r="K47" s="180"/>
      <c r="L47" s="179">
        <f>SUM(L40:L46)+L39</f>
        <v>20.119007673947372</v>
      </c>
      <c r="M47" s="28"/>
      <c r="N47" s="161">
        <f t="shared" si="2"/>
        <v>4.1238851139473738</v>
      </c>
      <c r="O47" s="162">
        <f t="shared" ref="O47:O66" si="10">IF((H47)=0,"",(N47/H47))</f>
        <v>0.25782141390152463</v>
      </c>
    </row>
    <row r="48" spans="1:15">
      <c r="B48" s="181" t="s">
        <v>29</v>
      </c>
      <c r="C48" s="28"/>
      <c r="D48" s="182" t="s">
        <v>23</v>
      </c>
      <c r="E48" s="28"/>
      <c r="F48" s="31">
        <f>'[2]B. CurrentTariff'!C45</f>
        <v>6.3E-3</v>
      </c>
      <c r="G48" s="29">
        <f>F18*(1+F75)</f>
        <v>214.03399999999999</v>
      </c>
      <c r="H48" s="16">
        <f>G48*F48</f>
        <v>1.3484141999999999</v>
      </c>
      <c r="I48" s="28"/>
      <c r="J48" s="289">
        <f>'[3]4.12 PowerSupplExp'!$N$58</f>
        <v>5.9083602245513928E-3</v>
      </c>
      <c r="K48" s="30">
        <f>F18*(1+J75)</f>
        <v>215.41420000000002</v>
      </c>
      <c r="L48" s="16">
        <f>K48*J48</f>
        <v>1.2727446910835587</v>
      </c>
      <c r="M48" s="28"/>
      <c r="N48" s="149">
        <f t="shared" si="2"/>
        <v>-7.5669508916441197E-2</v>
      </c>
      <c r="O48" s="18">
        <f t="shared" si="10"/>
        <v>-5.611740733406783E-2</v>
      </c>
    </row>
    <row r="49" spans="2:19" ht="25.5">
      <c r="B49" s="183" t="s">
        <v>30</v>
      </c>
      <c r="C49" s="28"/>
      <c r="D49" s="182" t="s">
        <v>23</v>
      </c>
      <c r="E49" s="28"/>
      <c r="F49" s="31">
        <f>'[2]B. CurrentTariff'!C46</f>
        <v>4.4999999999999997E-3</v>
      </c>
      <c r="G49" s="29">
        <f>G48</f>
        <v>214.03399999999999</v>
      </c>
      <c r="H49" s="16">
        <f>G49*F49</f>
        <v>0.96315299999999993</v>
      </c>
      <c r="I49" s="28"/>
      <c r="J49" s="289">
        <f>'[3]4.12 PowerSupplExp'!$N$74</f>
        <v>4.5291837326333229E-3</v>
      </c>
      <c r="K49" s="30">
        <f>K48</f>
        <v>215.41420000000002</v>
      </c>
      <c r="L49" s="16">
        <f>K49*J49</f>
        <v>0.97565049041822127</v>
      </c>
      <c r="M49" s="28"/>
      <c r="N49" s="149">
        <f t="shared" si="2"/>
        <v>1.2497490418221346E-2</v>
      </c>
      <c r="O49" s="18">
        <f t="shared" si="10"/>
        <v>1.2975602441378834E-2</v>
      </c>
    </row>
    <row r="50" spans="2:19" ht="25.5">
      <c r="B50" s="175" t="s">
        <v>31</v>
      </c>
      <c r="C50" s="154"/>
      <c r="D50" s="154"/>
      <c r="E50" s="154"/>
      <c r="F50" s="184"/>
      <c r="G50" s="178"/>
      <c r="H50" s="179">
        <f>SUM(H47:H49)</f>
        <v>18.306689759999998</v>
      </c>
      <c r="I50" s="185"/>
      <c r="J50" s="186"/>
      <c r="K50" s="187"/>
      <c r="L50" s="179">
        <f>SUM(L47:L49)</f>
        <v>22.367402855449154</v>
      </c>
      <c r="M50" s="185"/>
      <c r="N50" s="161">
        <f t="shared" si="2"/>
        <v>4.0607130954491559</v>
      </c>
      <c r="O50" s="162">
        <f t="shared" si="10"/>
        <v>0.22181580333118381</v>
      </c>
    </row>
    <row r="51" spans="2:19" ht="25.5">
      <c r="B51" s="145" t="s">
        <v>32</v>
      </c>
      <c r="C51" s="20"/>
      <c r="D51" s="188" t="s">
        <v>23</v>
      </c>
      <c r="E51" s="14"/>
      <c r="F51" s="31">
        <v>3.5999999999999999E-3</v>
      </c>
      <c r="G51" s="29">
        <f>G49</f>
        <v>214.03399999999999</v>
      </c>
      <c r="H51" s="16">
        <f t="shared" ref="H51:H58" si="11">G51*F51</f>
        <v>0.77052239999999994</v>
      </c>
      <c r="I51" s="28"/>
      <c r="J51" s="289">
        <v>3.5999999999999999E-3</v>
      </c>
      <c r="K51" s="30">
        <f>K49</f>
        <v>215.41420000000002</v>
      </c>
      <c r="L51" s="16">
        <f t="shared" ref="L51:L58" si="12">K51*J51</f>
        <v>0.77549112000000009</v>
      </c>
      <c r="M51" s="28"/>
      <c r="N51" s="149">
        <f t="shared" si="2"/>
        <v>4.9687200000001486E-3</v>
      </c>
      <c r="O51" s="18">
        <f t="shared" si="10"/>
        <v>6.4485081809434082E-3</v>
      </c>
    </row>
    <row r="52" spans="2:19" ht="25.5">
      <c r="B52" s="145" t="s">
        <v>33</v>
      </c>
      <c r="C52" s="20"/>
      <c r="D52" s="188" t="s">
        <v>23</v>
      </c>
      <c r="E52" s="14"/>
      <c r="F52" s="31">
        <v>1.2999999999999999E-3</v>
      </c>
      <c r="G52" s="29">
        <f>G49</f>
        <v>214.03399999999999</v>
      </c>
      <c r="H52" s="16">
        <f t="shared" si="11"/>
        <v>0.2782442</v>
      </c>
      <c r="I52" s="28"/>
      <c r="J52" s="289">
        <v>1.2999999999999999E-3</v>
      </c>
      <c r="K52" s="30">
        <f>K49</f>
        <v>215.41420000000002</v>
      </c>
      <c r="L52" s="16">
        <f t="shared" si="12"/>
        <v>0.28003845999999999</v>
      </c>
      <c r="M52" s="28"/>
      <c r="N52" s="149">
        <f t="shared" si="2"/>
        <v>1.794259999999992E-3</v>
      </c>
      <c r="O52" s="18">
        <f t="shared" si="10"/>
        <v>6.4485081809431861E-3</v>
      </c>
    </row>
    <row r="53" spans="2:19">
      <c r="B53" s="145" t="s">
        <v>34</v>
      </c>
      <c r="C53" s="20"/>
      <c r="D53" s="188" t="s">
        <v>19</v>
      </c>
      <c r="E53" s="14"/>
      <c r="F53" s="31">
        <v>0.25</v>
      </c>
      <c r="G53" s="15">
        <v>1</v>
      </c>
      <c r="H53" s="16">
        <f t="shared" si="11"/>
        <v>0.25</v>
      </c>
      <c r="I53" s="28"/>
      <c r="J53" s="289">
        <v>0.25</v>
      </c>
      <c r="K53" s="17">
        <v>1</v>
      </c>
      <c r="L53" s="16">
        <f t="shared" si="12"/>
        <v>0.25</v>
      </c>
      <c r="M53" s="28"/>
      <c r="N53" s="149">
        <f t="shared" si="2"/>
        <v>0</v>
      </c>
      <c r="O53" s="18">
        <f t="shared" si="10"/>
        <v>0</v>
      </c>
    </row>
    <row r="54" spans="2:19">
      <c r="B54" s="145" t="s">
        <v>67</v>
      </c>
      <c r="C54" s="20"/>
      <c r="D54" s="188" t="s">
        <v>23</v>
      </c>
      <c r="E54" s="14"/>
      <c r="F54" s="31">
        <v>1.1000000000000001E-3</v>
      </c>
      <c r="G54" s="29">
        <f>F18</f>
        <v>206</v>
      </c>
      <c r="H54" s="16">
        <f t="shared" si="11"/>
        <v>0.22660000000000002</v>
      </c>
      <c r="I54" s="28"/>
      <c r="J54" s="289">
        <v>1.1000000000000001E-3</v>
      </c>
      <c r="K54" s="30">
        <f>F18</f>
        <v>206</v>
      </c>
      <c r="L54" s="16">
        <f t="shared" si="12"/>
        <v>0.22660000000000002</v>
      </c>
      <c r="M54" s="28"/>
      <c r="N54" s="149">
        <f t="shared" si="2"/>
        <v>0</v>
      </c>
      <c r="O54" s="18">
        <f t="shared" si="10"/>
        <v>0</v>
      </c>
    </row>
    <row r="55" spans="2:19">
      <c r="B55" s="145"/>
      <c r="C55" s="20"/>
      <c r="D55" s="188"/>
      <c r="E55" s="14"/>
      <c r="F55" s="31"/>
      <c r="G55" s="29"/>
      <c r="H55" s="16"/>
      <c r="I55" s="28"/>
      <c r="J55" s="289"/>
      <c r="K55" s="30"/>
      <c r="L55" s="16"/>
      <c r="M55" s="28"/>
      <c r="N55" s="149"/>
      <c r="O55" s="18"/>
    </row>
    <row r="56" spans="2:19">
      <c r="B56" s="170" t="s">
        <v>35</v>
      </c>
      <c r="C56" s="20"/>
      <c r="D56" s="188" t="s">
        <v>23</v>
      </c>
      <c r="E56" s="14"/>
      <c r="F56" s="31">
        <v>8.6999999999999994E-2</v>
      </c>
      <c r="G56" s="189">
        <f>0.64*$F$18</f>
        <v>131.84</v>
      </c>
      <c r="H56" s="16">
        <f t="shared" si="11"/>
        <v>11.470079999999999</v>
      </c>
      <c r="I56" s="28"/>
      <c r="J56" s="31">
        <v>8.6999999999999994E-2</v>
      </c>
      <c r="K56" s="189">
        <f>G56</f>
        <v>131.84</v>
      </c>
      <c r="L56" s="16">
        <f t="shared" si="12"/>
        <v>11.470079999999999</v>
      </c>
      <c r="M56" s="28"/>
      <c r="N56" s="149">
        <f t="shared" si="2"/>
        <v>0</v>
      </c>
      <c r="O56" s="18">
        <f t="shared" si="10"/>
        <v>0</v>
      </c>
      <c r="S56" s="190"/>
    </row>
    <row r="57" spans="2:19">
      <c r="B57" s="170" t="s">
        <v>36</v>
      </c>
      <c r="C57" s="20"/>
      <c r="D57" s="188" t="s">
        <v>23</v>
      </c>
      <c r="E57" s="14"/>
      <c r="F57" s="31">
        <v>0.13200000000000001</v>
      </c>
      <c r="G57" s="189">
        <f>0.18*$F$18</f>
        <v>37.08</v>
      </c>
      <c r="H57" s="16">
        <f t="shared" si="11"/>
        <v>4.8945600000000002</v>
      </c>
      <c r="I57" s="28"/>
      <c r="J57" s="31">
        <v>0.13200000000000001</v>
      </c>
      <c r="K57" s="189">
        <f>G57</f>
        <v>37.08</v>
      </c>
      <c r="L57" s="16">
        <f t="shared" si="12"/>
        <v>4.8945600000000002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35" t="s">
        <v>37</v>
      </c>
      <c r="C58" s="20"/>
      <c r="D58" s="188" t="s">
        <v>23</v>
      </c>
      <c r="E58" s="14"/>
      <c r="F58" s="31">
        <v>0.18</v>
      </c>
      <c r="G58" s="189">
        <f>0.18*$F$18</f>
        <v>37.08</v>
      </c>
      <c r="H58" s="16">
        <f t="shared" si="11"/>
        <v>6.6743999999999994</v>
      </c>
      <c r="I58" s="28"/>
      <c r="J58" s="31">
        <v>0.18</v>
      </c>
      <c r="K58" s="189">
        <f>G58</f>
        <v>37.08</v>
      </c>
      <c r="L58" s="16">
        <f t="shared" si="12"/>
        <v>6.6743999999999994</v>
      </c>
      <c r="M58" s="28"/>
      <c r="N58" s="149">
        <f t="shared" si="2"/>
        <v>0</v>
      </c>
      <c r="O58" s="18">
        <f t="shared" si="10"/>
        <v>0</v>
      </c>
      <c r="S58" s="190"/>
    </row>
    <row r="59" spans="2:19" s="195" customFormat="1">
      <c r="B59" s="191" t="s">
        <v>38</v>
      </c>
      <c r="C59" s="32"/>
      <c r="D59" s="188" t="s">
        <v>23</v>
      </c>
      <c r="E59" s="32"/>
      <c r="F59" s="31">
        <v>0.10299999999999999</v>
      </c>
      <c r="G59" s="192">
        <f>IF(AND($T$1=1, F18&gt;=600), 600, IF(AND($T$1=1, AND(F18&lt;600, F18&gt;=0)), F18, IF(AND($T$1=2, F18&gt;=1000), 1000, IF(AND($T$1=2, AND(F18&lt;1000, F18&gt;=0)), F18))))</f>
        <v>206</v>
      </c>
      <c r="H59" s="16">
        <f>G59*F59</f>
        <v>21.218</v>
      </c>
      <c r="I59" s="193"/>
      <c r="J59" s="289">
        <v>0.10299999999999999</v>
      </c>
      <c r="K59" s="192">
        <f>G59</f>
        <v>206</v>
      </c>
      <c r="L59" s="16">
        <f>K59*J59</f>
        <v>21.218</v>
      </c>
      <c r="M59" s="193"/>
      <c r="N59" s="194">
        <f t="shared" si="2"/>
        <v>0</v>
      </c>
      <c r="O59" s="18">
        <f t="shared" si="10"/>
        <v>0</v>
      </c>
    </row>
    <row r="60" spans="2:19" s="195" customFormat="1" ht="13.5" thickBot="1">
      <c r="B60" s="191" t="s">
        <v>39</v>
      </c>
      <c r="C60" s="32"/>
      <c r="D60" s="188" t="s">
        <v>23</v>
      </c>
      <c r="E60" s="32"/>
      <c r="F60" s="31">
        <v>0.121</v>
      </c>
      <c r="G60" s="192">
        <f>IF(AND($T$1=1, F18&gt;=600), F18-600, IF(AND($T$1=1, AND(F18&lt;600, F18&gt;=0)), 0, IF(AND($T$1=2, F18&gt;=1000), F18-1000, IF(AND($T$1=2, AND(F18&lt;1000, F18&gt;=0)), 0))))</f>
        <v>0</v>
      </c>
      <c r="H60" s="16">
        <f>G60*F60</f>
        <v>0</v>
      </c>
      <c r="I60" s="193"/>
      <c r="J60" s="289">
        <v>0.121</v>
      </c>
      <c r="K60" s="192">
        <f>G60</f>
        <v>0</v>
      </c>
      <c r="L60" s="16">
        <f>K60*J60</f>
        <v>0</v>
      </c>
      <c r="M60" s="193"/>
      <c r="N60" s="194">
        <f t="shared" si="2"/>
        <v>0</v>
      </c>
      <c r="O60" s="18" t="str">
        <f t="shared" si="10"/>
        <v/>
      </c>
    </row>
    <row r="61" spans="2:19" ht="13.5" thickBot="1">
      <c r="B61" s="196"/>
      <c r="C61" s="197"/>
      <c r="D61" s="198"/>
      <c r="E61" s="197"/>
      <c r="F61" s="199"/>
      <c r="G61" s="200"/>
      <c r="H61" s="201"/>
      <c r="I61" s="202"/>
      <c r="J61" s="199"/>
      <c r="K61" s="203"/>
      <c r="L61" s="201"/>
      <c r="M61" s="202"/>
      <c r="N61" s="204"/>
      <c r="O61" s="205"/>
    </row>
    <row r="62" spans="2:19">
      <c r="B62" s="33" t="s">
        <v>40</v>
      </c>
      <c r="C62" s="20"/>
      <c r="D62" s="20"/>
      <c r="E62" s="20"/>
      <c r="F62" s="34"/>
      <c r="G62" s="35"/>
      <c r="H62" s="36">
        <f>SUM(H51:H58,H50)</f>
        <v>42.871096359999996</v>
      </c>
      <c r="I62" s="37"/>
      <c r="J62" s="38"/>
      <c r="K62" s="38"/>
      <c r="L62" s="36">
        <f>SUM(L51:L58,L50)</f>
        <v>46.938572435449146</v>
      </c>
      <c r="M62" s="39"/>
      <c r="N62" s="40">
        <f>L62-H62</f>
        <v>4.0674760754491501</v>
      </c>
      <c r="O62" s="41">
        <f>IF((H62)=0,"",(N62/H62))</f>
        <v>9.4876884913170215E-2</v>
      </c>
      <c r="S62" s="190"/>
    </row>
    <row r="63" spans="2:19">
      <c r="B63" s="42" t="s">
        <v>41</v>
      </c>
      <c r="C63" s="20"/>
      <c r="D63" s="20"/>
      <c r="E63" s="20"/>
      <c r="F63" s="43">
        <v>0.13</v>
      </c>
      <c r="G63" s="44"/>
      <c r="H63" s="45">
        <f>H62*F63</f>
        <v>5.5732425267999997</v>
      </c>
      <c r="I63" s="46"/>
      <c r="J63" s="47">
        <v>0.13</v>
      </c>
      <c r="K63" s="46"/>
      <c r="L63" s="48">
        <f>L62*J63</f>
        <v>6.1020144166083892</v>
      </c>
      <c r="M63" s="49"/>
      <c r="N63" s="50">
        <f t="shared" si="2"/>
        <v>0.52877188980838952</v>
      </c>
      <c r="O63" s="18">
        <f t="shared" si="10"/>
        <v>9.4876884913170215E-2</v>
      </c>
      <c r="S63" s="190"/>
    </row>
    <row r="64" spans="2:19">
      <c r="B64" s="206" t="s">
        <v>42</v>
      </c>
      <c r="C64" s="20"/>
      <c r="D64" s="20"/>
      <c r="E64" s="20"/>
      <c r="F64" s="51"/>
      <c r="G64" s="44"/>
      <c r="H64" s="45">
        <f>H62+H63</f>
        <v>48.444338886799997</v>
      </c>
      <c r="I64" s="46"/>
      <c r="J64" s="46"/>
      <c r="K64" s="46"/>
      <c r="L64" s="48">
        <f>L62+L63</f>
        <v>53.040586852057537</v>
      </c>
      <c r="M64" s="49"/>
      <c r="N64" s="50">
        <f t="shared" si="2"/>
        <v>4.5962479652575396</v>
      </c>
      <c r="O64" s="18">
        <f t="shared" si="10"/>
        <v>9.4876884913170215E-2</v>
      </c>
      <c r="S64" s="190"/>
    </row>
    <row r="65" spans="1:15">
      <c r="B65" s="299"/>
      <c r="C65" s="299"/>
      <c r="D65" s="299"/>
      <c r="E65" s="20"/>
      <c r="F65" s="51"/>
      <c r="G65" s="44"/>
      <c r="H65" s="52"/>
      <c r="I65" s="46"/>
      <c r="J65" s="46"/>
      <c r="K65" s="46"/>
      <c r="L65" s="53"/>
      <c r="M65" s="49"/>
      <c r="N65" s="54">
        <f t="shared" si="2"/>
        <v>0</v>
      </c>
      <c r="O65" s="55" t="str">
        <f t="shared" si="10"/>
        <v/>
      </c>
    </row>
    <row r="66" spans="1:15" ht="13.5" thickBot="1">
      <c r="B66" s="300" t="s">
        <v>68</v>
      </c>
      <c r="C66" s="300"/>
      <c r="D66" s="300"/>
      <c r="E66" s="14"/>
      <c r="F66" s="207"/>
      <c r="G66" s="208"/>
      <c r="H66" s="209">
        <f>H64+H65</f>
        <v>48.444338886799997</v>
      </c>
      <c r="I66" s="210"/>
      <c r="J66" s="210"/>
      <c r="K66" s="210"/>
      <c r="L66" s="211">
        <f>L64+L65</f>
        <v>53.040586852057537</v>
      </c>
      <c r="M66" s="212"/>
      <c r="N66" s="213">
        <f t="shared" si="2"/>
        <v>4.5962479652575396</v>
      </c>
      <c r="O66" s="214">
        <f t="shared" si="10"/>
        <v>9.4876884913170215E-2</v>
      </c>
    </row>
    <row r="67" spans="1:15" s="195" customFormat="1" ht="13.5" thickBot="1">
      <c r="B67" s="215"/>
      <c r="C67" s="216"/>
      <c r="D67" s="217"/>
      <c r="E67" s="216"/>
      <c r="F67" s="199"/>
      <c r="G67" s="218"/>
      <c r="H67" s="201"/>
      <c r="I67" s="219"/>
      <c r="J67" s="199"/>
      <c r="K67" s="220"/>
      <c r="L67" s="201"/>
      <c r="M67" s="219"/>
      <c r="N67" s="221"/>
      <c r="O67" s="205"/>
    </row>
    <row r="68" spans="1:15" s="195" customFormat="1">
      <c r="B68" s="56" t="s">
        <v>43</v>
      </c>
      <c r="C68" s="32"/>
      <c r="D68" s="32"/>
      <c r="E68" s="32"/>
      <c r="F68" s="57"/>
      <c r="G68" s="58"/>
      <c r="H68" s="59">
        <f>SUM(H59:H60,H50,H51:H54)</f>
        <v>41.050056359999999</v>
      </c>
      <c r="I68" s="60"/>
      <c r="J68" s="61"/>
      <c r="K68" s="61"/>
      <c r="L68" s="59">
        <f>SUM(L59:L60,L50,L51:L54)</f>
        <v>45.117532435449149</v>
      </c>
      <c r="M68" s="62"/>
      <c r="N68" s="63">
        <f>L68-H68</f>
        <v>4.0674760754491501</v>
      </c>
      <c r="O68" s="41">
        <f>IF((H68)=0,"",(N68/H68))</f>
        <v>9.9085761046910054E-2</v>
      </c>
    </row>
    <row r="69" spans="1:15" s="195" customFormat="1">
      <c r="B69" s="64" t="s">
        <v>41</v>
      </c>
      <c r="C69" s="32"/>
      <c r="D69" s="32"/>
      <c r="E69" s="32"/>
      <c r="F69" s="65">
        <v>0.13</v>
      </c>
      <c r="G69" s="58"/>
      <c r="H69" s="66">
        <f>H68*F69</f>
        <v>5.3365073268000005</v>
      </c>
      <c r="I69" s="67"/>
      <c r="J69" s="68">
        <v>0.13</v>
      </c>
      <c r="K69" s="69"/>
      <c r="L69" s="70">
        <f>L68*J69</f>
        <v>5.86527921660839</v>
      </c>
      <c r="M69" s="71"/>
      <c r="N69" s="72">
        <f>L69-H69</f>
        <v>0.52877188980838952</v>
      </c>
      <c r="O69" s="18">
        <f>IF((H69)=0,"",(N69/H69))</f>
        <v>9.908576104691004E-2</v>
      </c>
    </row>
    <row r="70" spans="1:15" s="195" customFormat="1">
      <c r="B70" s="222" t="s">
        <v>42</v>
      </c>
      <c r="C70" s="32"/>
      <c r="D70" s="32"/>
      <c r="E70" s="32"/>
      <c r="F70" s="73"/>
      <c r="G70" s="74"/>
      <c r="H70" s="66">
        <f>H68+H69</f>
        <v>46.386563686800002</v>
      </c>
      <c r="I70" s="67"/>
      <c r="J70" s="67"/>
      <c r="K70" s="67"/>
      <c r="L70" s="70">
        <f>L68+L69</f>
        <v>50.982811652057542</v>
      </c>
      <c r="M70" s="71"/>
      <c r="N70" s="72">
        <f>L70-H70</f>
        <v>4.5962479652575396</v>
      </c>
      <c r="O70" s="18">
        <f>IF((H70)=0,"",(N70/H70))</f>
        <v>9.908576104691004E-2</v>
      </c>
    </row>
    <row r="71" spans="1:15" s="195" customFormat="1">
      <c r="B71" s="301"/>
      <c r="C71" s="301"/>
      <c r="D71" s="301"/>
      <c r="E71" s="32"/>
      <c r="F71" s="73"/>
      <c r="G71" s="74"/>
      <c r="H71" s="75"/>
      <c r="I71" s="67"/>
      <c r="J71" s="67"/>
      <c r="K71" s="67"/>
      <c r="L71" s="76"/>
      <c r="M71" s="71"/>
      <c r="N71" s="77">
        <f>L71-H71</f>
        <v>0</v>
      </c>
      <c r="O71" s="55" t="str">
        <f>IF((H71)=0,"",(N71/H71))</f>
        <v/>
      </c>
    </row>
    <row r="72" spans="1:15" s="195" customFormat="1" ht="13.5" thickBot="1">
      <c r="B72" s="295" t="s">
        <v>69</v>
      </c>
      <c r="C72" s="295"/>
      <c r="D72" s="295"/>
      <c r="E72" s="32"/>
      <c r="F72" s="73"/>
      <c r="G72" s="74"/>
      <c r="H72" s="59">
        <f>SUM(H70:H71)</f>
        <v>46.386563686800002</v>
      </c>
      <c r="I72" s="60"/>
      <c r="J72" s="60"/>
      <c r="K72" s="60"/>
      <c r="L72" s="223">
        <f>SUM(L70:L71)</f>
        <v>50.982811652057542</v>
      </c>
      <c r="M72" s="62"/>
      <c r="N72" s="63">
        <f>L72-H72</f>
        <v>4.5962479652575396</v>
      </c>
      <c r="O72" s="41">
        <f>IF((H72)=0,"",(N72/H72))</f>
        <v>9.908576104691004E-2</v>
      </c>
    </row>
    <row r="73" spans="1:15" s="195" customFormat="1" ht="13.5" thickBot="1">
      <c r="B73" s="215"/>
      <c r="C73" s="216"/>
      <c r="D73" s="217"/>
      <c r="E73" s="216"/>
      <c r="F73" s="224"/>
      <c r="G73" s="225"/>
      <c r="H73" s="226"/>
      <c r="I73" s="227"/>
      <c r="J73" s="224"/>
      <c r="K73" s="218"/>
      <c r="L73" s="228"/>
      <c r="M73" s="219"/>
      <c r="N73" s="229"/>
      <c r="O73" s="205"/>
    </row>
    <row r="74" spans="1:15">
      <c r="L74" s="190"/>
    </row>
    <row r="75" spans="1:15">
      <c r="B75" s="230" t="s">
        <v>45</v>
      </c>
      <c r="F75" s="231">
        <v>3.9E-2</v>
      </c>
      <c r="J75" s="231">
        <v>4.5699999999999998E-2</v>
      </c>
    </row>
    <row r="77" spans="1:15" ht="14.25">
      <c r="A77" s="232" t="s">
        <v>46</v>
      </c>
    </row>
    <row r="79" spans="1:15">
      <c r="A79" s="12" t="s">
        <v>47</v>
      </c>
    </row>
    <row r="80" spans="1:15">
      <c r="A80" s="12" t="s">
        <v>48</v>
      </c>
    </row>
    <row r="82" spans="1:2">
      <c r="A82" s="233" t="s">
        <v>49</v>
      </c>
    </row>
    <row r="83" spans="1:2">
      <c r="A83" s="233" t="s">
        <v>50</v>
      </c>
    </row>
    <row r="85" spans="1:2">
      <c r="A85" s="12" t="s">
        <v>51</v>
      </c>
    </row>
    <row r="86" spans="1:2">
      <c r="A86" s="12" t="s">
        <v>52</v>
      </c>
    </row>
    <row r="87" spans="1:2">
      <c r="A87" s="12" t="s">
        <v>53</v>
      </c>
    </row>
    <row r="88" spans="1:2">
      <c r="A88" s="12" t="s">
        <v>54</v>
      </c>
    </row>
    <row r="89" spans="1:2">
      <c r="A89" s="12" t="s">
        <v>55</v>
      </c>
    </row>
    <row r="91" spans="1:2" ht="38.25">
      <c r="B91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2:D72"/>
    <mergeCell ref="D21:D22"/>
    <mergeCell ref="N21:N22"/>
    <mergeCell ref="O21:O22"/>
    <mergeCell ref="B65:D65"/>
    <mergeCell ref="B66:D66"/>
    <mergeCell ref="B71:D71"/>
  </mergeCells>
  <dataValidations count="3">
    <dataValidation type="list" allowBlank="1" showInputMessage="1" showErrorMessage="1" sqref="E23:E38 E73 E48:E49 E51:E61 E67 E40:E46">
      <formula1>"#REF!"</formula1>
      <formula2>0</formula2>
    </dataValidation>
    <dataValidation type="list" allowBlank="1" showInputMessage="1" showErrorMessage="1" prompt="Select Charge Unit - monthly, per kWh, per kW" sqref="D73 D48:D49 D67 D51:D61 D23:D38 D40:D46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7">
    <pageSetUpPr fitToPage="1"/>
  </sheetPr>
  <dimension ref="A1:T87"/>
  <sheetViews>
    <sheetView showGridLines="0" topLeftCell="A5" workbookViewId="0">
      <selection activeCell="R37" sqref="R3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3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750</v>
      </c>
      <c r="G18" s="136" t="s">
        <v>7</v>
      </c>
    </row>
    <row r="19" spans="1:15">
      <c r="B19" s="135"/>
    </row>
    <row r="20" spans="1:15" ht="12.75" customHeight="1">
      <c r="B20" s="135"/>
      <c r="D20" s="138"/>
      <c r="E20" s="138"/>
      <c r="F20" s="308" t="s">
        <v>8</v>
      </c>
      <c r="G20" s="309"/>
      <c r="H20" s="310"/>
      <c r="J20" s="308" t="s">
        <v>9</v>
      </c>
      <c r="K20" s="309"/>
      <c r="L20" s="310"/>
      <c r="N20" s="308" t="s">
        <v>10</v>
      </c>
      <c r="O20" s="310"/>
    </row>
    <row r="21" spans="1:15" ht="12.75" customHeight="1">
      <c r="B21" s="135"/>
      <c r="D21" s="296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307" t="s">
        <v>15</v>
      </c>
      <c r="O21" s="307" t="s">
        <v>16</v>
      </c>
    </row>
    <row r="22" spans="1:15">
      <c r="B22" s="135"/>
      <c r="D22" s="296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7"/>
      <c r="O22" s="297"/>
    </row>
    <row r="23" spans="1:15">
      <c r="B23" s="145" t="s">
        <v>18</v>
      </c>
      <c r="C23" s="20"/>
      <c r="D23" s="146" t="s">
        <v>19</v>
      </c>
      <c r="E23" s="14"/>
      <c r="F23" s="147">
        <f>'[2]B. CurrentTariff'!C32</f>
        <v>10.99</v>
      </c>
      <c r="G23" s="15">
        <v>1</v>
      </c>
      <c r="H23" s="16">
        <f>G23*F23</f>
        <v>10.99</v>
      </c>
      <c r="I23" s="28"/>
      <c r="J23" s="288">
        <f>'[2]G. RateDesign'!B46</f>
        <v>14.02</v>
      </c>
      <c r="K23" s="17">
        <v>1</v>
      </c>
      <c r="L23" s="16">
        <f>K23*J23</f>
        <v>14.02</v>
      </c>
      <c r="M23" s="28"/>
      <c r="N23" s="149">
        <f>L23-H23</f>
        <v>3.0299999999999994</v>
      </c>
      <c r="O23" s="18">
        <f>IF((H23)=0,"",(N23/H23))</f>
        <v>0.27570518653321197</v>
      </c>
    </row>
    <row r="24" spans="1:15">
      <c r="A24" s="19"/>
      <c r="B24" s="145"/>
      <c r="C24" s="20"/>
      <c r="D24" s="146"/>
      <c r="E24" s="14"/>
      <c r="F24" s="150"/>
      <c r="G24" s="15"/>
      <c r="H24" s="16"/>
      <c r="I24" s="28"/>
      <c r="J24" s="148"/>
      <c r="K24" s="17"/>
      <c r="L24" s="16"/>
      <c r="M24" s="28"/>
      <c r="N24" s="149"/>
      <c r="O24" s="18" t="str">
        <f>IF((H24)=0,"",(N24/H24))</f>
        <v/>
      </c>
    </row>
    <row r="25" spans="1:15">
      <c r="A25" s="19"/>
      <c r="B25" s="151" t="s">
        <v>20</v>
      </c>
      <c r="C25" s="20"/>
      <c r="D25" s="146" t="s">
        <v>19</v>
      </c>
      <c r="E25" s="14"/>
      <c r="F25" s="150"/>
      <c r="G25" s="15">
        <v>1</v>
      </c>
      <c r="H25" s="16">
        <f t="shared" ref="H25:H31" si="0">G25*F25</f>
        <v>0</v>
      </c>
      <c r="I25" s="28"/>
      <c r="J25" s="288">
        <v>7.0000000000000007E-2</v>
      </c>
      <c r="K25" s="17">
        <v>1</v>
      </c>
      <c r="L25" s="16">
        <f t="shared" ref="L25:L31" si="1">K25*J25</f>
        <v>7.0000000000000007E-2</v>
      </c>
      <c r="M25" s="28"/>
      <c r="N25" s="149">
        <f t="shared" ref="N25:N62" si="2">L25-H25</f>
        <v>7.0000000000000007E-2</v>
      </c>
      <c r="O25" s="18" t="str">
        <f t="shared" ref="O25:O42" si="3">IF((H25)=0,"",(N25/H25))</f>
        <v/>
      </c>
    </row>
    <row r="26" spans="1:15">
      <c r="A26" s="19"/>
      <c r="B26" s="145" t="s">
        <v>21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288">
        <f>'[2]Bill Impact - Res 10 Pct'!$J$26</f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/>
      <c r="H27" s="16"/>
      <c r="I27" s="28"/>
      <c r="J27" s="31"/>
      <c r="K27" s="17"/>
      <c r="L27" s="16"/>
      <c r="M27" s="28"/>
      <c r="N27" s="149"/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/>
      <c r="H28" s="16"/>
      <c r="I28" s="28"/>
      <c r="J28" s="31"/>
      <c r="K28" s="17"/>
      <c r="L28" s="16"/>
      <c r="M28" s="28"/>
      <c r="N28" s="149"/>
      <c r="O28" s="18" t="str">
        <f t="shared" si="3"/>
        <v/>
      </c>
    </row>
    <row r="29" spans="1:15">
      <c r="A29" s="19"/>
      <c r="B29" s="145" t="s">
        <v>22</v>
      </c>
      <c r="C29" s="20"/>
      <c r="D29" s="146" t="s">
        <v>23</v>
      </c>
      <c r="E29" s="14"/>
      <c r="F29" s="150">
        <f>'[2]B. CurrentTariff'!C33</f>
        <v>1.4999999999999999E-2</v>
      </c>
      <c r="G29" s="15">
        <f t="shared" ref="G29:G33" si="4">$F$18</f>
        <v>750</v>
      </c>
      <c r="H29" s="16">
        <f t="shared" si="0"/>
        <v>11.25</v>
      </c>
      <c r="I29" s="28"/>
      <c r="J29" s="289">
        <f>'[2]G. RateDesign'!G46</f>
        <v>1.2907742015678856E-2</v>
      </c>
      <c r="K29" s="15">
        <f>$F$18</f>
        <v>750</v>
      </c>
      <c r="L29" s="16">
        <f t="shared" si="1"/>
        <v>9.6808065117591422</v>
      </c>
      <c r="M29" s="28"/>
      <c r="N29" s="149">
        <f t="shared" si="2"/>
        <v>-1.5691934882408578</v>
      </c>
      <c r="O29" s="18">
        <f t="shared" si="3"/>
        <v>-0.13948386562140958</v>
      </c>
    </row>
    <row r="30" spans="1:15">
      <c r="A30" s="19"/>
      <c r="B30" s="145" t="s">
        <v>66</v>
      </c>
      <c r="C30" s="20"/>
      <c r="D30" s="146" t="s">
        <v>19</v>
      </c>
      <c r="E30" s="14"/>
      <c r="F30" s="150"/>
      <c r="G30" s="15">
        <v>1</v>
      </c>
      <c r="H30" s="16">
        <f t="shared" si="0"/>
        <v>0</v>
      </c>
      <c r="I30" s="28"/>
      <c r="J30" s="289">
        <v>0.32</v>
      </c>
      <c r="K30" s="15">
        <v>1</v>
      </c>
      <c r="L30" s="16">
        <f t="shared" si="1"/>
        <v>0.32</v>
      </c>
      <c r="M30" s="28"/>
      <c r="N30" s="149">
        <f t="shared" si="2"/>
        <v>0.32</v>
      </c>
      <c r="O30" s="18" t="str">
        <f t="shared" si="3"/>
        <v/>
      </c>
    </row>
    <row r="31" spans="1:15" ht="25.5">
      <c r="A31" s="19"/>
      <c r="B31" s="164" t="str">
        <f>'[2]J. DVA'!$B$65</f>
        <v>Rate Rider Calculation for Group 2 Accounts</v>
      </c>
      <c r="C31" s="20"/>
      <c r="D31" s="165" t="s">
        <v>23</v>
      </c>
      <c r="E31" s="14"/>
      <c r="F31" s="150"/>
      <c r="G31" s="15">
        <v>1</v>
      </c>
      <c r="H31" s="16">
        <f t="shared" si="0"/>
        <v>0</v>
      </c>
      <c r="I31" s="28"/>
      <c r="J31" s="289">
        <v>0.11</v>
      </c>
      <c r="K31" s="15">
        <v>1</v>
      </c>
      <c r="L31" s="16">
        <f t="shared" si="1"/>
        <v>0.11</v>
      </c>
      <c r="M31" s="28"/>
      <c r="N31" s="149">
        <f t="shared" si="2"/>
        <v>0.11</v>
      </c>
      <c r="O31" s="18" t="str">
        <f t="shared" si="3"/>
        <v/>
      </c>
    </row>
    <row r="32" spans="1:15" ht="25.5">
      <c r="A32" s="19"/>
      <c r="B32" s="164" t="str">
        <f>'[2]J. DVA'!$B$77</f>
        <v>Rate Rider Calculation for Accounts 1575 and 1576</v>
      </c>
      <c r="C32" s="20"/>
      <c r="D32" s="165" t="s">
        <v>23</v>
      </c>
      <c r="E32" s="14"/>
      <c r="F32" s="150"/>
      <c r="G32" s="15">
        <f t="shared" si="4"/>
        <v>750</v>
      </c>
      <c r="H32" s="16">
        <f>G32*F32</f>
        <v>0</v>
      </c>
      <c r="I32" s="28"/>
      <c r="J32" s="289">
        <v>-4.0000000000000002E-4</v>
      </c>
      <c r="K32" s="15">
        <f t="shared" ref="K32:K33" si="5">$F$18</f>
        <v>750</v>
      </c>
      <c r="L32" s="16">
        <f>K32*J32</f>
        <v>-0.3</v>
      </c>
      <c r="M32" s="28"/>
      <c r="N32" s="149">
        <f>L32-H32</f>
        <v>-0.3</v>
      </c>
      <c r="O32" s="18" t="str">
        <f>IF((H32)=0,"",(N32/H32))</f>
        <v/>
      </c>
    </row>
    <row r="33" spans="1:15" ht="25.5">
      <c r="A33" s="19"/>
      <c r="B33" s="164" t="str">
        <f>'[2]J. DVA'!$B$91</f>
        <v>Rate Rider Calculation for Accounts 1568</v>
      </c>
      <c r="C33" s="20"/>
      <c r="D33" s="165" t="s">
        <v>23</v>
      </c>
      <c r="E33" s="14"/>
      <c r="F33" s="150"/>
      <c r="G33" s="15">
        <f t="shared" si="4"/>
        <v>750</v>
      </c>
      <c r="H33" s="16">
        <f>G33*F33</f>
        <v>0</v>
      </c>
      <c r="I33" s="28"/>
      <c r="J33" s="289">
        <v>2.9999999999999997E-4</v>
      </c>
      <c r="K33" s="15">
        <f t="shared" si="5"/>
        <v>750</v>
      </c>
      <c r="L33" s="16">
        <f>K33*J33</f>
        <v>0.22499999999999998</v>
      </c>
      <c r="M33" s="28"/>
      <c r="N33" s="149">
        <f>L33-H33</f>
        <v>0.22499999999999998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/>
      <c r="H34" s="16"/>
      <c r="I34" s="28"/>
      <c r="J34" s="31"/>
      <c r="K34" s="15"/>
      <c r="L34" s="16"/>
      <c r="M34" s="28"/>
      <c r="N34" s="149"/>
      <c r="O34" s="18" t="str">
        <f t="shared" si="3"/>
        <v/>
      </c>
    </row>
    <row r="35" spans="1:15">
      <c r="A35" s="19"/>
      <c r="B35" s="151"/>
      <c r="C35" s="20"/>
      <c r="D35" s="146"/>
      <c r="E35" s="14"/>
      <c r="F35" s="150"/>
      <c r="G35" s="15"/>
      <c r="H35" s="16"/>
      <c r="I35" s="28"/>
      <c r="J35" s="31"/>
      <c r="K35" s="15"/>
      <c r="L35" s="16"/>
      <c r="M35" s="28"/>
      <c r="N35" s="149"/>
      <c r="O35" s="18" t="str">
        <f t="shared" si="3"/>
        <v/>
      </c>
    </row>
    <row r="36" spans="1:15">
      <c r="A36" s="19"/>
      <c r="B36" s="153" t="s">
        <v>24</v>
      </c>
      <c r="C36" s="154"/>
      <c r="D36" s="155"/>
      <c r="E36" s="154"/>
      <c r="F36" s="156"/>
      <c r="G36" s="157"/>
      <c r="H36" s="158">
        <f>SUM(H23:H35)</f>
        <v>22.240000000000002</v>
      </c>
      <c r="I36" s="28"/>
      <c r="J36" s="159"/>
      <c r="K36" s="160"/>
      <c r="L36" s="158">
        <f>SUM(L23:L35)</f>
        <v>25.80580651175914</v>
      </c>
      <c r="M36" s="28"/>
      <c r="N36" s="161">
        <f t="shared" si="2"/>
        <v>3.5658065117591384</v>
      </c>
      <c r="O36" s="162">
        <f t="shared" si="3"/>
        <v>0.16033302660787491</v>
      </c>
    </row>
    <row r="37" spans="1:15" ht="51">
      <c r="A37" s="163"/>
      <c r="B37" s="164" t="str">
        <f>'[2]J. DVA'!$B$16</f>
        <v>Rate Rider Calculation for Deferral / Variance Accounts Balances (excluding Global Adj.)</v>
      </c>
      <c r="C37" s="20"/>
      <c r="D37" s="165" t="s">
        <v>23</v>
      </c>
      <c r="E37" s="20"/>
      <c r="F37" s="166"/>
      <c r="G37" s="21">
        <f t="shared" ref="G37:G41" si="6">$F$18</f>
        <v>750</v>
      </c>
      <c r="H37" s="22">
        <f t="shared" ref="H37:H43" si="7">G37*F37</f>
        <v>0</v>
      </c>
      <c r="I37" s="167"/>
      <c r="J37" s="290">
        <v>-8.4166580262031484E-4</v>
      </c>
      <c r="K37" s="21">
        <f t="shared" ref="K37:K41" si="8">$F$18</f>
        <v>750</v>
      </c>
      <c r="L37" s="22">
        <f t="shared" ref="L37:L43" si="9">K37*J37</f>
        <v>-0.63124935196523613</v>
      </c>
      <c r="M37" s="167"/>
      <c r="N37" s="168">
        <f t="shared" si="2"/>
        <v>-0.63124935196523613</v>
      </c>
      <c r="O37" s="23" t="str">
        <f t="shared" si="3"/>
        <v/>
      </c>
    </row>
    <row r="38" spans="1:15" ht="51">
      <c r="A38" s="169"/>
      <c r="B38" s="164" t="str">
        <f>'[2]J. DVA'!$B$28</f>
        <v>Rate Rider Calculation for Deferral / Variance Accounts Balances (excluding Global Adj.) - NON-WMP</v>
      </c>
      <c r="C38" s="20"/>
      <c r="D38" s="165" t="s">
        <v>23</v>
      </c>
      <c r="E38" s="20"/>
      <c r="F38" s="166"/>
      <c r="G38" s="21">
        <f t="shared" si="6"/>
        <v>750</v>
      </c>
      <c r="H38" s="22">
        <f t="shared" si="7"/>
        <v>0</v>
      </c>
      <c r="I38" s="167"/>
      <c r="J38" s="290">
        <v>-2.6878065725373353E-3</v>
      </c>
      <c r="K38" s="21">
        <f t="shared" si="8"/>
        <v>750</v>
      </c>
      <c r="L38" s="22">
        <f t="shared" si="9"/>
        <v>-2.0158549294030013</v>
      </c>
      <c r="M38" s="167"/>
      <c r="N38" s="168">
        <f t="shared" si="2"/>
        <v>-2.0158549294030013</v>
      </c>
      <c r="O38" s="23" t="str">
        <f t="shared" si="3"/>
        <v/>
      </c>
    </row>
    <row r="39" spans="1:15">
      <c r="A39" s="169"/>
      <c r="B39" s="164"/>
      <c r="C39" s="20"/>
      <c r="D39" s="165"/>
      <c r="E39" s="20"/>
      <c r="F39" s="166"/>
      <c r="G39" s="21"/>
      <c r="H39" s="22"/>
      <c r="I39" s="167"/>
      <c r="J39" s="166"/>
      <c r="K39" s="21"/>
      <c r="L39" s="22"/>
      <c r="M39" s="167"/>
      <c r="N39" s="168"/>
      <c r="O39" s="23"/>
    </row>
    <row r="40" spans="1:15">
      <c r="A40" s="163"/>
      <c r="B40" s="164"/>
      <c r="C40" s="20"/>
      <c r="D40" s="165"/>
      <c r="E40" s="20"/>
      <c r="F40" s="166"/>
      <c r="G40" s="21"/>
      <c r="H40" s="22"/>
      <c r="I40" s="167"/>
      <c r="J40" s="166"/>
      <c r="K40" s="21"/>
      <c r="L40" s="22"/>
      <c r="M40" s="167"/>
      <c r="N40" s="168"/>
      <c r="O40" s="23"/>
    </row>
    <row r="41" spans="1:15">
      <c r="A41" s="163"/>
      <c r="B41" s="164" t="s">
        <v>25</v>
      </c>
      <c r="C41" s="20"/>
      <c r="D41" s="165" t="s">
        <v>23</v>
      </c>
      <c r="E41" s="20"/>
      <c r="F41" s="166">
        <v>1.1000000000000001E-3</v>
      </c>
      <c r="G41" s="21">
        <f t="shared" si="6"/>
        <v>750</v>
      </c>
      <c r="H41" s="22">
        <f t="shared" si="7"/>
        <v>0.82500000000000007</v>
      </c>
      <c r="I41" s="167"/>
      <c r="J41" s="290">
        <v>8.0000000000000004E-4</v>
      </c>
      <c r="K41" s="21">
        <f t="shared" si="8"/>
        <v>750</v>
      </c>
      <c r="L41" s="22">
        <f t="shared" si="9"/>
        <v>0.6</v>
      </c>
      <c r="M41" s="167"/>
      <c r="N41" s="168">
        <f t="shared" si="2"/>
        <v>-0.22500000000000009</v>
      </c>
      <c r="O41" s="24">
        <f>IF((H41)=0,"",(N41/H41))</f>
        <v>-0.27272727272727282</v>
      </c>
    </row>
    <row r="42" spans="1:15">
      <c r="A42" s="19"/>
      <c r="B42" s="145" t="s">
        <v>26</v>
      </c>
      <c r="C42" s="20"/>
      <c r="D42" s="165" t="s">
        <v>23</v>
      </c>
      <c r="E42" s="20"/>
      <c r="F42" s="166">
        <f>IF(ISBLANK(D16)=1, 0, IF(D16="TOU", 0.64*$F$52+0.18*$F$53+0.18*$F$54, IF(AND(D16="non-TOU", G56&gt;0), F56,F55)))</f>
        <v>0.11183999999999999</v>
      </c>
      <c r="G42" s="21">
        <f>$F$18*(1+$F$71)-$F$18</f>
        <v>29.249999999999886</v>
      </c>
      <c r="H42" s="22">
        <f t="shared" si="7"/>
        <v>3.2713199999999873</v>
      </c>
      <c r="I42" s="167"/>
      <c r="J42" s="166">
        <v>0.11183999999999999</v>
      </c>
      <c r="K42" s="21">
        <f>$F$18*(1+$J$71)-$F$18</f>
        <v>34.275000000000091</v>
      </c>
      <c r="L42" s="22">
        <f t="shared" si="9"/>
        <v>3.8333160000000102</v>
      </c>
      <c r="M42" s="167"/>
      <c r="N42" s="168">
        <f t="shared" si="2"/>
        <v>0.56199600000002281</v>
      </c>
      <c r="O42" s="24">
        <f t="shared" si="3"/>
        <v>0.17179487179487943</v>
      </c>
    </row>
    <row r="43" spans="1:15">
      <c r="A43" s="19"/>
      <c r="B43" s="170" t="s">
        <v>27</v>
      </c>
      <c r="C43" s="20"/>
      <c r="D43" s="171" t="s">
        <v>23</v>
      </c>
      <c r="E43" s="14"/>
      <c r="F43" s="172">
        <v>0.79</v>
      </c>
      <c r="G43" s="25">
        <v>1</v>
      </c>
      <c r="H43" s="26">
        <f t="shared" si="7"/>
        <v>0.79</v>
      </c>
      <c r="I43" s="173"/>
      <c r="J43" s="291">
        <v>0.79</v>
      </c>
      <c r="K43" s="25">
        <v>1</v>
      </c>
      <c r="L43" s="26">
        <f t="shared" si="9"/>
        <v>0.79</v>
      </c>
      <c r="M43" s="173"/>
      <c r="N43" s="174">
        <f t="shared" si="2"/>
        <v>0</v>
      </c>
      <c r="O43" s="27"/>
    </row>
    <row r="44" spans="1:15" ht="25.5">
      <c r="B44" s="175" t="s">
        <v>28</v>
      </c>
      <c r="C44" s="176"/>
      <c r="D44" s="176"/>
      <c r="E44" s="176"/>
      <c r="F44" s="177"/>
      <c r="G44" s="178"/>
      <c r="H44" s="179">
        <f>SUM(H37:H43)+H36</f>
        <v>27.126319999999989</v>
      </c>
      <c r="I44" s="28"/>
      <c r="J44" s="178"/>
      <c r="K44" s="180"/>
      <c r="L44" s="179">
        <f>SUM(L37:L43)+L36</f>
        <v>28.382018230390912</v>
      </c>
      <c r="M44" s="28"/>
      <c r="N44" s="161">
        <f t="shared" si="2"/>
        <v>1.255698230390923</v>
      </c>
      <c r="O44" s="162">
        <f t="shared" ref="O44:O62" si="10">IF((H44)=0,"",(N44/H44))</f>
        <v>4.6290769643317763E-2</v>
      </c>
    </row>
    <row r="45" spans="1:15">
      <c r="B45" s="181" t="s">
        <v>29</v>
      </c>
      <c r="C45" s="28"/>
      <c r="D45" s="182" t="s">
        <v>23</v>
      </c>
      <c r="E45" s="28"/>
      <c r="F45" s="31">
        <f>'[2]B. CurrentTariff'!C45</f>
        <v>6.3E-3</v>
      </c>
      <c r="G45" s="29">
        <f>F18*(1+F71)</f>
        <v>779.24999999999989</v>
      </c>
      <c r="H45" s="16">
        <f>G45*F45</f>
        <v>4.9092749999999992</v>
      </c>
      <c r="I45" s="28"/>
      <c r="J45" s="31">
        <f>'[3]4.12 PowerSupplExp'!$N$58</f>
        <v>5.9083602245513928E-3</v>
      </c>
      <c r="K45" s="30">
        <f>F18*(1+J71)</f>
        <v>784.27500000000009</v>
      </c>
      <c r="L45" s="16">
        <f>K45*J45</f>
        <v>4.6337792151100441</v>
      </c>
      <c r="M45" s="28"/>
      <c r="N45" s="149">
        <f t="shared" si="2"/>
        <v>-0.27549578488995508</v>
      </c>
      <c r="O45" s="18">
        <f t="shared" si="10"/>
        <v>-5.6117407334067684E-2</v>
      </c>
    </row>
    <row r="46" spans="1:15" ht="25.5">
      <c r="B46" s="183" t="s">
        <v>30</v>
      </c>
      <c r="C46" s="28"/>
      <c r="D46" s="182" t="s">
        <v>23</v>
      </c>
      <c r="E46" s="28"/>
      <c r="F46" s="31">
        <f>'[2]B. CurrentTariff'!C46</f>
        <v>4.4999999999999997E-3</v>
      </c>
      <c r="G46" s="29">
        <f>G45</f>
        <v>779.24999999999989</v>
      </c>
      <c r="H46" s="16">
        <f>G46*F46</f>
        <v>3.5066249999999992</v>
      </c>
      <c r="I46" s="28"/>
      <c r="J46" s="31">
        <f>'[3]4.12 PowerSupplExp'!$N$74</f>
        <v>4.5291837326333229E-3</v>
      </c>
      <c r="K46" s="30">
        <f>K45</f>
        <v>784.27500000000009</v>
      </c>
      <c r="L46" s="16">
        <f>K46*J46</f>
        <v>3.5521255719109996</v>
      </c>
      <c r="M46" s="28"/>
      <c r="N46" s="149">
        <f t="shared" si="2"/>
        <v>4.5500571911000431E-2</v>
      </c>
      <c r="O46" s="18">
        <f t="shared" si="10"/>
        <v>1.2975602441378945E-2</v>
      </c>
    </row>
    <row r="47" spans="1:15" ht="25.5">
      <c r="B47" s="175" t="s">
        <v>31</v>
      </c>
      <c r="C47" s="154"/>
      <c r="D47" s="154"/>
      <c r="E47" s="154"/>
      <c r="F47" s="184"/>
      <c r="G47" s="178"/>
      <c r="H47" s="179">
        <f>SUM(H44:H46)</f>
        <v>35.542219999999986</v>
      </c>
      <c r="I47" s="185"/>
      <c r="J47" s="186"/>
      <c r="K47" s="187"/>
      <c r="L47" s="179">
        <f>SUM(L44:L46)</f>
        <v>36.567923017411957</v>
      </c>
      <c r="M47" s="185"/>
      <c r="N47" s="161">
        <f t="shared" si="2"/>
        <v>1.0257030174119706</v>
      </c>
      <c r="O47" s="162">
        <f t="shared" si="10"/>
        <v>2.8858721188827569E-2</v>
      </c>
    </row>
    <row r="48" spans="1:15" ht="25.5">
      <c r="B48" s="145" t="s">
        <v>32</v>
      </c>
      <c r="C48" s="20"/>
      <c r="D48" s="188" t="s">
        <v>23</v>
      </c>
      <c r="E48" s="14"/>
      <c r="F48" s="31">
        <v>3.5999999999999999E-3</v>
      </c>
      <c r="G48" s="29">
        <f>G46</f>
        <v>779.24999999999989</v>
      </c>
      <c r="H48" s="16">
        <f t="shared" ref="H48:H54" si="11">G48*F48</f>
        <v>2.8052999999999995</v>
      </c>
      <c r="I48" s="28"/>
      <c r="J48" s="31">
        <v>3.5999999999999999E-3</v>
      </c>
      <c r="K48" s="30">
        <f>K46</f>
        <v>784.27500000000009</v>
      </c>
      <c r="L48" s="16">
        <f t="shared" ref="L48:L54" si="12">K48*J48</f>
        <v>2.8233900000000003</v>
      </c>
      <c r="M48" s="28"/>
      <c r="N48" s="149">
        <f t="shared" si="2"/>
        <v>1.8090000000000828E-2</v>
      </c>
      <c r="O48" s="18">
        <f t="shared" si="10"/>
        <v>6.4485081809435105E-3</v>
      </c>
    </row>
    <row r="49" spans="2:19" ht="25.5">
      <c r="B49" s="145" t="s">
        <v>33</v>
      </c>
      <c r="C49" s="20"/>
      <c r="D49" s="188" t="s">
        <v>23</v>
      </c>
      <c r="E49" s="14"/>
      <c r="F49" s="31">
        <v>1.2999999999999999E-3</v>
      </c>
      <c r="G49" s="29">
        <f>G46</f>
        <v>779.24999999999989</v>
      </c>
      <c r="H49" s="16">
        <f t="shared" si="11"/>
        <v>1.0130249999999998</v>
      </c>
      <c r="I49" s="28"/>
      <c r="J49" s="31">
        <v>1.2999999999999999E-3</v>
      </c>
      <c r="K49" s="30">
        <f>K46</f>
        <v>784.27500000000009</v>
      </c>
      <c r="L49" s="16">
        <f t="shared" si="12"/>
        <v>1.0195575000000001</v>
      </c>
      <c r="M49" s="28"/>
      <c r="N49" s="149">
        <f t="shared" si="2"/>
        <v>6.5325000000002742E-3</v>
      </c>
      <c r="O49" s="18">
        <f t="shared" si="10"/>
        <v>6.4485081809434863E-3</v>
      </c>
    </row>
    <row r="50" spans="2:19" ht="25.5">
      <c r="B50" s="145" t="s">
        <v>34</v>
      </c>
      <c r="C50" s="20"/>
      <c r="D50" s="188" t="s">
        <v>19</v>
      </c>
      <c r="E50" s="14"/>
      <c r="F50" s="31">
        <v>0.25</v>
      </c>
      <c r="G50" s="15">
        <v>1</v>
      </c>
      <c r="H50" s="16">
        <f t="shared" si="11"/>
        <v>0.25</v>
      </c>
      <c r="I50" s="28"/>
      <c r="J50" s="31">
        <v>0.25</v>
      </c>
      <c r="K50" s="17">
        <v>1</v>
      </c>
      <c r="L50" s="16">
        <f t="shared" si="12"/>
        <v>0.25</v>
      </c>
      <c r="M50" s="28"/>
      <c r="N50" s="149">
        <f t="shared" si="2"/>
        <v>0</v>
      </c>
      <c r="O50" s="18">
        <f t="shared" si="10"/>
        <v>0</v>
      </c>
    </row>
    <row r="51" spans="2:19">
      <c r="B51" s="145" t="s">
        <v>67</v>
      </c>
      <c r="C51" s="20"/>
      <c r="D51" s="188" t="s">
        <v>23</v>
      </c>
      <c r="E51" s="14"/>
      <c r="F51" s="31">
        <v>1.1000000000000001E-3</v>
      </c>
      <c r="G51" s="29">
        <f>F18</f>
        <v>750</v>
      </c>
      <c r="H51" s="16">
        <f t="shared" si="11"/>
        <v>0.82500000000000007</v>
      </c>
      <c r="I51" s="28"/>
      <c r="J51" s="31">
        <v>1.1000000000000001E-3</v>
      </c>
      <c r="K51" s="30">
        <f>F18</f>
        <v>750</v>
      </c>
      <c r="L51" s="16">
        <f t="shared" si="12"/>
        <v>0.82500000000000007</v>
      </c>
      <c r="M51" s="28"/>
      <c r="N51" s="149">
        <f t="shared" si="2"/>
        <v>0</v>
      </c>
      <c r="O51" s="18">
        <f t="shared" si="10"/>
        <v>0</v>
      </c>
    </row>
    <row r="52" spans="2:19">
      <c r="B52" s="170" t="s">
        <v>35</v>
      </c>
      <c r="C52" s="20"/>
      <c r="D52" s="188" t="s">
        <v>23</v>
      </c>
      <c r="E52" s="14"/>
      <c r="F52" s="31">
        <v>8.6999999999999994E-2</v>
      </c>
      <c r="G52" s="189">
        <f>0.64*$F$18</f>
        <v>480</v>
      </c>
      <c r="H52" s="16">
        <f t="shared" si="11"/>
        <v>41.76</v>
      </c>
      <c r="I52" s="28"/>
      <c r="J52" s="31">
        <v>8.6999999999999994E-2</v>
      </c>
      <c r="K52" s="189">
        <f>G52</f>
        <v>480</v>
      </c>
      <c r="L52" s="16">
        <f t="shared" si="12"/>
        <v>41.76</v>
      </c>
      <c r="M52" s="28"/>
      <c r="N52" s="149">
        <f t="shared" si="2"/>
        <v>0</v>
      </c>
      <c r="O52" s="18">
        <f t="shared" si="10"/>
        <v>0</v>
      </c>
      <c r="S52" s="190"/>
    </row>
    <row r="53" spans="2:19">
      <c r="B53" s="170" t="s">
        <v>36</v>
      </c>
      <c r="C53" s="20"/>
      <c r="D53" s="188" t="s">
        <v>23</v>
      </c>
      <c r="E53" s="14"/>
      <c r="F53" s="31">
        <v>0.13200000000000001</v>
      </c>
      <c r="G53" s="189">
        <f>0.18*$F$18</f>
        <v>135</v>
      </c>
      <c r="H53" s="16">
        <f t="shared" si="11"/>
        <v>17.82</v>
      </c>
      <c r="I53" s="28"/>
      <c r="J53" s="31">
        <v>0.13200000000000001</v>
      </c>
      <c r="K53" s="189">
        <f>G53</f>
        <v>135</v>
      </c>
      <c r="L53" s="16">
        <f t="shared" si="12"/>
        <v>17.82</v>
      </c>
      <c r="M53" s="28"/>
      <c r="N53" s="149">
        <f t="shared" si="2"/>
        <v>0</v>
      </c>
      <c r="O53" s="18">
        <f t="shared" si="10"/>
        <v>0</v>
      </c>
      <c r="S53" s="190"/>
    </row>
    <row r="54" spans="2:19">
      <c r="B54" s="135" t="s">
        <v>37</v>
      </c>
      <c r="C54" s="20"/>
      <c r="D54" s="188" t="s">
        <v>23</v>
      </c>
      <c r="E54" s="14"/>
      <c r="F54" s="31">
        <v>0.18</v>
      </c>
      <c r="G54" s="189">
        <f>0.18*$F$18</f>
        <v>135</v>
      </c>
      <c r="H54" s="16">
        <f t="shared" si="11"/>
        <v>24.3</v>
      </c>
      <c r="I54" s="28"/>
      <c r="J54" s="31">
        <v>0.18</v>
      </c>
      <c r="K54" s="189">
        <f>G54</f>
        <v>135</v>
      </c>
      <c r="L54" s="16">
        <f t="shared" si="12"/>
        <v>24.3</v>
      </c>
      <c r="M54" s="28"/>
      <c r="N54" s="149">
        <f t="shared" si="2"/>
        <v>0</v>
      </c>
      <c r="O54" s="18">
        <f t="shared" si="10"/>
        <v>0</v>
      </c>
      <c r="S54" s="190"/>
    </row>
    <row r="55" spans="2:19" s="195" customFormat="1">
      <c r="B55" s="191" t="s">
        <v>38</v>
      </c>
      <c r="C55" s="32"/>
      <c r="D55" s="188" t="s">
        <v>23</v>
      </c>
      <c r="E55" s="32"/>
      <c r="F55" s="31">
        <v>0.10299999999999999</v>
      </c>
      <c r="G55" s="192">
        <f>IF(AND($T$1=1, F18&gt;=600), 600, IF(AND($T$1=1, AND(F18&lt;600, F18&gt;=0)), F18, IF(AND($T$1=2, F18&gt;=1000), 1000, IF(AND($T$1=2, AND(F18&lt;1000, F18&gt;=0)), F18))))</f>
        <v>600</v>
      </c>
      <c r="H55" s="16">
        <f>G55*F55</f>
        <v>61.8</v>
      </c>
      <c r="I55" s="193"/>
      <c r="J55" s="31">
        <v>0.10299999999999999</v>
      </c>
      <c r="K55" s="192">
        <f>G55</f>
        <v>600</v>
      </c>
      <c r="L55" s="16">
        <f>K55*J55</f>
        <v>61.8</v>
      </c>
      <c r="M55" s="193"/>
      <c r="N55" s="194">
        <f t="shared" si="2"/>
        <v>0</v>
      </c>
      <c r="O55" s="18">
        <f t="shared" si="10"/>
        <v>0</v>
      </c>
    </row>
    <row r="56" spans="2:19" s="195" customFormat="1" ht="13.5" thickBot="1">
      <c r="B56" s="191" t="s">
        <v>39</v>
      </c>
      <c r="C56" s="32"/>
      <c r="D56" s="188" t="s">
        <v>23</v>
      </c>
      <c r="E56" s="32"/>
      <c r="F56" s="31">
        <v>0.121</v>
      </c>
      <c r="G56" s="192">
        <f>IF(AND($T$1=1, F18&gt;=600), F18-600, IF(AND($T$1=1, AND(F18&lt;600, F18&gt;=0)), 0, IF(AND($T$1=2, F18&gt;=1000), F18-1000, IF(AND($T$1=2, AND(F18&lt;1000, F18&gt;=0)), 0))))</f>
        <v>150</v>
      </c>
      <c r="H56" s="16">
        <f>G56*F56</f>
        <v>18.149999999999999</v>
      </c>
      <c r="I56" s="193"/>
      <c r="J56" s="31">
        <v>0.121</v>
      </c>
      <c r="K56" s="192">
        <f>G56</f>
        <v>150</v>
      </c>
      <c r="L56" s="16">
        <f>K56*J56</f>
        <v>18.149999999999999</v>
      </c>
      <c r="M56" s="193"/>
      <c r="N56" s="194">
        <f t="shared" si="2"/>
        <v>0</v>
      </c>
      <c r="O56" s="18">
        <f t="shared" si="10"/>
        <v>0</v>
      </c>
    </row>
    <row r="57" spans="2:19" ht="13.5" thickBot="1">
      <c r="B57" s="196"/>
      <c r="C57" s="197"/>
      <c r="D57" s="198"/>
      <c r="E57" s="197"/>
      <c r="F57" s="199"/>
      <c r="G57" s="200"/>
      <c r="H57" s="201"/>
      <c r="I57" s="202"/>
      <c r="J57" s="199"/>
      <c r="K57" s="203"/>
      <c r="L57" s="201"/>
      <c r="M57" s="202"/>
      <c r="N57" s="204"/>
      <c r="O57" s="205"/>
    </row>
    <row r="58" spans="2:19" ht="25.5">
      <c r="B58" s="33" t="s">
        <v>40</v>
      </c>
      <c r="C58" s="20"/>
      <c r="D58" s="20"/>
      <c r="E58" s="20"/>
      <c r="F58" s="34"/>
      <c r="G58" s="35"/>
      <c r="H58" s="36">
        <f>SUM(H48:H54,H47)</f>
        <v>124.31554499999997</v>
      </c>
      <c r="I58" s="37"/>
      <c r="J58" s="38"/>
      <c r="K58" s="38"/>
      <c r="L58" s="36">
        <f>SUM(L48:L54,L47)</f>
        <v>125.36587051741196</v>
      </c>
      <c r="M58" s="39"/>
      <c r="N58" s="40">
        <f>L58-H58</f>
        <v>1.0503255174119914</v>
      </c>
      <c r="O58" s="41">
        <f>IF((H58)=0,"",(N58/H58))</f>
        <v>8.4488670939100313E-3</v>
      </c>
      <c r="S58" s="190"/>
    </row>
    <row r="59" spans="2:19">
      <c r="B59" s="42" t="s">
        <v>41</v>
      </c>
      <c r="C59" s="20"/>
      <c r="D59" s="20"/>
      <c r="E59" s="20"/>
      <c r="F59" s="43">
        <v>0.13</v>
      </c>
      <c r="G59" s="44"/>
      <c r="H59" s="45">
        <f>H58*F59</f>
        <v>16.161020849999996</v>
      </c>
      <c r="I59" s="46"/>
      <c r="J59" s="47">
        <v>0.13</v>
      </c>
      <c r="K59" s="46"/>
      <c r="L59" s="48">
        <f>L58*J59</f>
        <v>16.297563167263554</v>
      </c>
      <c r="M59" s="49"/>
      <c r="N59" s="50">
        <f t="shared" si="2"/>
        <v>0.13654231726355803</v>
      </c>
      <c r="O59" s="18">
        <f t="shared" si="10"/>
        <v>8.4488670939099775E-3</v>
      </c>
      <c r="S59" s="190"/>
    </row>
    <row r="60" spans="2:19">
      <c r="B60" s="206" t="s">
        <v>42</v>
      </c>
      <c r="C60" s="20"/>
      <c r="D60" s="20"/>
      <c r="E60" s="20"/>
      <c r="F60" s="51"/>
      <c r="G60" s="44"/>
      <c r="H60" s="45">
        <f>H58+H59</f>
        <v>140.47656584999996</v>
      </c>
      <c r="I60" s="46"/>
      <c r="J60" s="46"/>
      <c r="K60" s="46"/>
      <c r="L60" s="48">
        <f>L58+L59</f>
        <v>141.66343368467551</v>
      </c>
      <c r="M60" s="49"/>
      <c r="N60" s="50">
        <f t="shared" si="2"/>
        <v>1.186867834675553</v>
      </c>
      <c r="O60" s="18">
        <f t="shared" si="10"/>
        <v>8.4488670939100504E-3</v>
      </c>
      <c r="S60" s="190"/>
    </row>
    <row r="61" spans="2:19" ht="12.75" customHeight="1">
      <c r="B61" s="299"/>
      <c r="C61" s="299"/>
      <c r="D61" s="299"/>
      <c r="E61" s="20"/>
      <c r="F61" s="51"/>
      <c r="G61" s="44"/>
      <c r="H61" s="52"/>
      <c r="I61" s="46"/>
      <c r="J61" s="46"/>
      <c r="K61" s="46"/>
      <c r="L61" s="53"/>
      <c r="M61" s="49"/>
      <c r="N61" s="54"/>
      <c r="O61" s="55" t="str">
        <f t="shared" si="10"/>
        <v/>
      </c>
    </row>
    <row r="62" spans="2:19" ht="13.5" customHeight="1" thickBot="1">
      <c r="B62" s="300" t="s">
        <v>70</v>
      </c>
      <c r="C62" s="300"/>
      <c r="D62" s="300"/>
      <c r="E62" s="14"/>
      <c r="F62" s="207"/>
      <c r="G62" s="208"/>
      <c r="H62" s="209">
        <f>H60+H61</f>
        <v>140.47656584999996</v>
      </c>
      <c r="I62" s="210"/>
      <c r="J62" s="210"/>
      <c r="K62" s="210"/>
      <c r="L62" s="211">
        <f>L60+L61</f>
        <v>141.66343368467551</v>
      </c>
      <c r="M62" s="212"/>
      <c r="N62" s="213">
        <f t="shared" si="2"/>
        <v>1.186867834675553</v>
      </c>
      <c r="O62" s="214">
        <f t="shared" si="10"/>
        <v>8.4488670939100504E-3</v>
      </c>
    </row>
    <row r="63" spans="2:19" s="195" customFormat="1" ht="13.5" thickBot="1">
      <c r="B63" s="215"/>
      <c r="C63" s="216"/>
      <c r="D63" s="217"/>
      <c r="E63" s="216"/>
      <c r="F63" s="199"/>
      <c r="G63" s="218"/>
      <c r="H63" s="201"/>
      <c r="I63" s="219"/>
      <c r="J63" s="199"/>
      <c r="K63" s="220"/>
      <c r="L63" s="201"/>
      <c r="M63" s="219"/>
      <c r="N63" s="221"/>
      <c r="O63" s="205"/>
    </row>
    <row r="64" spans="2:19" s="195" customFormat="1" ht="25.5">
      <c r="B64" s="56" t="s">
        <v>43</v>
      </c>
      <c r="C64" s="32"/>
      <c r="D64" s="32"/>
      <c r="E64" s="32"/>
      <c r="F64" s="57"/>
      <c r="G64" s="58"/>
      <c r="H64" s="59">
        <f>SUM(H55:H56,H47,H48:H51)</f>
        <v>120.38554499999998</v>
      </c>
      <c r="I64" s="60"/>
      <c r="J64" s="61"/>
      <c r="K64" s="61"/>
      <c r="L64" s="59">
        <f>SUM(L55:L56,L47,L48:L51)</f>
        <v>121.43587051741196</v>
      </c>
      <c r="M64" s="62"/>
      <c r="N64" s="63">
        <f>L64-H64</f>
        <v>1.0503255174119772</v>
      </c>
      <c r="O64" s="41">
        <f>IF((H64)=0,"",(N64/H64))</f>
        <v>8.7246813345570468E-3</v>
      </c>
    </row>
    <row r="65" spans="1:15" s="195" customFormat="1">
      <c r="B65" s="64" t="s">
        <v>41</v>
      </c>
      <c r="C65" s="32"/>
      <c r="D65" s="32"/>
      <c r="E65" s="32"/>
      <c r="F65" s="65">
        <v>0.13</v>
      </c>
      <c r="G65" s="58"/>
      <c r="H65" s="66">
        <f>H64*F65</f>
        <v>15.650120849999999</v>
      </c>
      <c r="I65" s="67"/>
      <c r="J65" s="68">
        <v>0.13</v>
      </c>
      <c r="K65" s="69"/>
      <c r="L65" s="70">
        <f>L64*J65</f>
        <v>15.786663167263555</v>
      </c>
      <c r="M65" s="71"/>
      <c r="N65" s="72">
        <f>L65-H65</f>
        <v>0.13654231726355626</v>
      </c>
      <c r="O65" s="18">
        <f>IF((H65)=0,"",(N65/H65))</f>
        <v>8.7246813345569964E-3</v>
      </c>
    </row>
    <row r="66" spans="1:15" s="195" customFormat="1">
      <c r="B66" s="222" t="s">
        <v>42</v>
      </c>
      <c r="C66" s="32"/>
      <c r="D66" s="32"/>
      <c r="E66" s="32"/>
      <c r="F66" s="73"/>
      <c r="G66" s="74"/>
      <c r="H66" s="66">
        <f>H64+H65</f>
        <v>136.03566584999999</v>
      </c>
      <c r="I66" s="67"/>
      <c r="J66" s="67"/>
      <c r="K66" s="67"/>
      <c r="L66" s="70">
        <f>L64+L65</f>
        <v>137.22253368467551</v>
      </c>
      <c r="M66" s="71"/>
      <c r="N66" s="72">
        <f>L66-H66</f>
        <v>1.1868678346755246</v>
      </c>
      <c r="O66" s="18">
        <f>IF((H66)=0,"",(N66/H66))</f>
        <v>8.7246813345569756E-3</v>
      </c>
    </row>
    <row r="67" spans="1:15" s="195" customFormat="1" ht="12.75" customHeight="1">
      <c r="B67" s="301"/>
      <c r="C67" s="301"/>
      <c r="D67" s="301"/>
      <c r="E67" s="32"/>
      <c r="F67" s="73"/>
      <c r="G67" s="74"/>
      <c r="H67" s="75"/>
      <c r="I67" s="67"/>
      <c r="J67" s="67"/>
      <c r="K67" s="67"/>
      <c r="L67" s="76"/>
      <c r="M67" s="71"/>
      <c r="N67" s="77"/>
      <c r="O67" s="55" t="str">
        <f>IF((H67)=0,"",(N67/H67))</f>
        <v/>
      </c>
    </row>
    <row r="68" spans="1:15" s="195" customFormat="1" ht="13.5" customHeight="1" thickBot="1">
      <c r="B68" s="295" t="s">
        <v>69</v>
      </c>
      <c r="C68" s="295"/>
      <c r="D68" s="295"/>
      <c r="E68" s="32"/>
      <c r="F68" s="73"/>
      <c r="G68" s="74"/>
      <c r="H68" s="59">
        <f>SUM(H66:H67)</f>
        <v>136.03566584999999</v>
      </c>
      <c r="I68" s="60"/>
      <c r="J68" s="60"/>
      <c r="K68" s="60"/>
      <c r="L68" s="223">
        <f>SUM(L66:L67)</f>
        <v>137.22253368467551</v>
      </c>
      <c r="M68" s="62"/>
      <c r="N68" s="63">
        <f>L68-H68</f>
        <v>1.1868678346755246</v>
      </c>
      <c r="O68" s="41">
        <f>IF((H68)=0,"",(N68/H68))</f>
        <v>8.7246813345569756E-3</v>
      </c>
    </row>
    <row r="69" spans="1:15" s="195" customFormat="1" ht="13.5" thickBot="1">
      <c r="B69" s="215"/>
      <c r="C69" s="216"/>
      <c r="D69" s="217"/>
      <c r="E69" s="216"/>
      <c r="F69" s="224"/>
      <c r="G69" s="225"/>
      <c r="H69" s="226"/>
      <c r="I69" s="227"/>
      <c r="J69" s="224"/>
      <c r="K69" s="218"/>
      <c r="L69" s="228"/>
      <c r="M69" s="219"/>
      <c r="N69" s="229"/>
      <c r="O69" s="205"/>
    </row>
    <row r="70" spans="1:15">
      <c r="L70" s="190"/>
    </row>
    <row r="71" spans="1:15">
      <c r="B71" s="230" t="s">
        <v>45</v>
      </c>
      <c r="F71" s="231">
        <v>3.9E-2</v>
      </c>
      <c r="J71" s="231">
        <v>4.5699999999999998E-2</v>
      </c>
    </row>
    <row r="73" spans="1:15" ht="14.25">
      <c r="A73" s="232" t="s">
        <v>46</v>
      </c>
    </row>
    <row r="75" spans="1:15">
      <c r="A75" s="12" t="s">
        <v>47</v>
      </c>
    </row>
    <row r="76" spans="1:15">
      <c r="A76" s="12" t="s">
        <v>48</v>
      </c>
    </row>
    <row r="78" spans="1:15">
      <c r="A78" s="233" t="s">
        <v>49</v>
      </c>
    </row>
    <row r="79" spans="1:15">
      <c r="A79" s="233" t="s">
        <v>50</v>
      </c>
    </row>
    <row r="81" spans="1:2">
      <c r="A81" s="12" t="s">
        <v>51</v>
      </c>
    </row>
    <row r="82" spans="1:2">
      <c r="A82" s="12" t="s">
        <v>52</v>
      </c>
    </row>
    <row r="83" spans="1:2">
      <c r="A83" s="12" t="s">
        <v>53</v>
      </c>
    </row>
    <row r="84" spans="1:2">
      <c r="A84" s="12" t="s">
        <v>54</v>
      </c>
    </row>
    <row r="85" spans="1:2">
      <c r="A85" s="12" t="s">
        <v>55</v>
      </c>
    </row>
    <row r="87" spans="1:2" ht="51">
      <c r="B87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8:D68"/>
    <mergeCell ref="D21:D22"/>
    <mergeCell ref="N21:N22"/>
    <mergeCell ref="O21:O22"/>
    <mergeCell ref="B61:D61"/>
    <mergeCell ref="B62:D62"/>
    <mergeCell ref="B67:D67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69 D45:D46 D63 D48:D57 D23:D35 D37:D43">
      <formula1>"Monthly,per kWh,per kW"</formula1>
      <formula2>0</formula2>
    </dataValidation>
    <dataValidation type="list" allowBlank="1" showInputMessage="1" showErrorMessage="1" sqref="E69 E45:E46 E48:E57 E63 E23:E35 E37:E43">
      <formula1>"#REF!"</formula1>
      <formula2>0</formula2>
    </dataValidation>
  </dataValidations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8">
    <pageSetUpPr fitToPage="1"/>
  </sheetPr>
  <dimension ref="A1:T88"/>
  <sheetViews>
    <sheetView showGridLines="0" topLeftCell="A12" workbookViewId="0">
      <selection activeCell="R39" sqref="R39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57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CurrentTariff'!C53</f>
        <v>22.97</v>
      </c>
      <c r="G23" s="15">
        <v>1</v>
      </c>
      <c r="H23" s="16">
        <f>G23*F23</f>
        <v>22.97</v>
      </c>
      <c r="I23" s="28"/>
      <c r="J23" s="288">
        <v>22.02</v>
      </c>
      <c r="K23" s="17">
        <v>1</v>
      </c>
      <c r="L23" s="16">
        <f>K23*J23</f>
        <v>22.02</v>
      </c>
      <c r="M23" s="28"/>
      <c r="N23" s="149">
        <f>L23-H23</f>
        <v>-0.94999999999999929</v>
      </c>
      <c r="O23" s="18">
        <f>IF((H23)=0,"",(N23/H23))</f>
        <v>-4.1358293426208066E-2</v>
      </c>
    </row>
    <row r="24" spans="1:15">
      <c r="A24" s="19"/>
      <c r="B24" s="145"/>
      <c r="C24" s="20"/>
      <c r="D24" s="146"/>
      <c r="E24" s="14"/>
      <c r="F24" s="150"/>
      <c r="G24" s="15"/>
      <c r="H24" s="16"/>
      <c r="I24" s="28"/>
      <c r="J24" s="148"/>
      <c r="K24" s="17"/>
      <c r="L24" s="16"/>
      <c r="M24" s="28"/>
      <c r="N24" s="149"/>
      <c r="O24" s="18"/>
    </row>
    <row r="25" spans="1:15">
      <c r="A25" s="19"/>
      <c r="B25" s="151" t="s">
        <v>20</v>
      </c>
      <c r="C25" s="20"/>
      <c r="D25" s="146" t="s">
        <v>19</v>
      </c>
      <c r="E25" s="14"/>
      <c r="F25" s="150"/>
      <c r="G25" s="15">
        <v>1</v>
      </c>
      <c r="H25" s="16">
        <f t="shared" ref="H25:H32" si="0">G25*F25</f>
        <v>0</v>
      </c>
      <c r="I25" s="28"/>
      <c r="J25" s="288">
        <v>2.5</v>
      </c>
      <c r="K25" s="17">
        <v>1</v>
      </c>
      <c r="L25" s="16">
        <f t="shared" ref="L25:L32" si="1">K25*J25</f>
        <v>2.5</v>
      </c>
      <c r="M25" s="28"/>
      <c r="N25" s="149">
        <f t="shared" ref="N25:N63" si="2">L25-H25</f>
        <v>2.5</v>
      </c>
      <c r="O25" s="18" t="str">
        <f t="shared" ref="O25:O43" si="3">IF((H25)=0,"",(N25/H25))</f>
        <v/>
      </c>
    </row>
    <row r="26" spans="1:15">
      <c r="A26" s="19"/>
      <c r="B26" s="145" t="s">
        <v>21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288">
        <f>'[2]Bill Impact - GS&lt;50'!$J$26</f>
        <v>4.47</v>
      </c>
      <c r="K26" s="17">
        <v>1</v>
      </c>
      <c r="L26" s="16">
        <f t="shared" si="1"/>
        <v>4.47</v>
      </c>
      <c r="M26" s="28"/>
      <c r="N26" s="149">
        <f t="shared" si="2"/>
        <v>4.47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/>
      <c r="H27" s="16"/>
      <c r="I27" s="28"/>
      <c r="J27" s="31"/>
      <c r="K27" s="17"/>
      <c r="L27" s="16"/>
      <c r="M27" s="28"/>
      <c r="N27" s="149"/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/>
      <c r="H28" s="16"/>
      <c r="I28" s="28"/>
      <c r="J28" s="31"/>
      <c r="K28" s="17"/>
      <c r="L28" s="16"/>
      <c r="M28" s="28"/>
      <c r="N28" s="149"/>
      <c r="O28" s="18" t="str">
        <f t="shared" si="3"/>
        <v/>
      </c>
    </row>
    <row r="29" spans="1:15">
      <c r="A29" s="19"/>
      <c r="B29" s="145" t="s">
        <v>22</v>
      </c>
      <c r="C29" s="20"/>
      <c r="D29" s="146" t="s">
        <v>23</v>
      </c>
      <c r="E29" s="14"/>
      <c r="F29" s="150">
        <f>'[2]B. CurrentTariff'!C54</f>
        <v>1.0500000000000001E-2</v>
      </c>
      <c r="G29" s="15">
        <f t="shared" ref="G29:G34" si="4">$F$18</f>
        <v>2000</v>
      </c>
      <c r="H29" s="16">
        <f t="shared" si="0"/>
        <v>21</v>
      </c>
      <c r="I29" s="28"/>
      <c r="J29" s="289">
        <v>1.2500000000000001E-2</v>
      </c>
      <c r="K29" s="15">
        <f>$F$18</f>
        <v>2000</v>
      </c>
      <c r="L29" s="16">
        <f t="shared" si="1"/>
        <v>25</v>
      </c>
      <c r="M29" s="28"/>
      <c r="N29" s="149">
        <f t="shared" si="2"/>
        <v>4</v>
      </c>
      <c r="O29" s="18">
        <f t="shared" si="3"/>
        <v>0.19047619047619047</v>
      </c>
    </row>
    <row r="30" spans="1:15">
      <c r="A30" s="19"/>
      <c r="B30" s="145"/>
      <c r="C30" s="20"/>
      <c r="D30" s="146"/>
      <c r="E30" s="14"/>
      <c r="F30" s="150"/>
      <c r="G30" s="15"/>
      <c r="H30" s="16"/>
      <c r="I30" s="28"/>
      <c r="J30" s="15"/>
      <c r="K30" s="15"/>
      <c r="L30" s="16"/>
      <c r="M30" s="28"/>
      <c r="N30" s="149"/>
      <c r="O30" s="18"/>
    </row>
    <row r="31" spans="1:15">
      <c r="A31" s="19"/>
      <c r="B31" s="145" t="s">
        <v>71</v>
      </c>
      <c r="C31" s="20"/>
      <c r="D31" s="146" t="s">
        <v>19</v>
      </c>
      <c r="E31" s="14"/>
      <c r="F31" s="150"/>
      <c r="G31" s="15">
        <v>1</v>
      </c>
      <c r="H31" s="16">
        <f t="shared" si="0"/>
        <v>0</v>
      </c>
      <c r="I31" s="28"/>
      <c r="J31" s="289">
        <v>0.71</v>
      </c>
      <c r="K31" s="15">
        <v>1</v>
      </c>
      <c r="L31" s="16">
        <f t="shared" si="1"/>
        <v>0.71</v>
      </c>
      <c r="M31" s="28"/>
      <c r="N31" s="149">
        <f t="shared" si="2"/>
        <v>0.71</v>
      </c>
      <c r="O31" s="18" t="str">
        <f t="shared" si="3"/>
        <v/>
      </c>
    </row>
    <row r="32" spans="1:15" ht="25.5">
      <c r="A32" s="19"/>
      <c r="B32" s="164" t="str">
        <f>'[2]J. DVA'!$B$65</f>
        <v>Rate Rider Calculation for Group 2 Accounts</v>
      </c>
      <c r="C32" s="20"/>
      <c r="D32" s="165" t="s">
        <v>23</v>
      </c>
      <c r="E32" s="14"/>
      <c r="F32" s="150"/>
      <c r="G32" s="15">
        <f t="shared" si="4"/>
        <v>2000</v>
      </c>
      <c r="H32" s="16">
        <f t="shared" si="0"/>
        <v>0</v>
      </c>
      <c r="I32" s="28"/>
      <c r="J32" s="289">
        <v>2.0000000000000001E-4</v>
      </c>
      <c r="K32" s="15">
        <f t="shared" ref="K32:K34" si="5">$F$18</f>
        <v>2000</v>
      </c>
      <c r="L32" s="16">
        <f t="shared" si="1"/>
        <v>0.4</v>
      </c>
      <c r="M32" s="28"/>
      <c r="N32" s="149">
        <f t="shared" si="2"/>
        <v>0.4</v>
      </c>
      <c r="O32" s="18" t="str">
        <f t="shared" si="3"/>
        <v/>
      </c>
    </row>
    <row r="33" spans="1:15" ht="25.5">
      <c r="A33" s="19"/>
      <c r="B33" s="164" t="str">
        <f>'[2]J. DVA'!$B$77</f>
        <v>Rate Rider Calculation for Accounts 1575 and 1576</v>
      </c>
      <c r="C33" s="20"/>
      <c r="D33" s="165" t="s">
        <v>23</v>
      </c>
      <c r="E33" s="14"/>
      <c r="F33" s="150"/>
      <c r="G33" s="15">
        <f t="shared" si="4"/>
        <v>2000</v>
      </c>
      <c r="H33" s="16">
        <f>G33*F33</f>
        <v>0</v>
      </c>
      <c r="I33" s="28"/>
      <c r="J33" s="289">
        <v>-4.0000000000000002E-4</v>
      </c>
      <c r="K33" s="15">
        <f t="shared" si="5"/>
        <v>2000</v>
      </c>
      <c r="L33" s="16">
        <f>K33*J33</f>
        <v>-0.8</v>
      </c>
      <c r="M33" s="28"/>
      <c r="N33" s="149">
        <f>L33-H33</f>
        <v>-0.8</v>
      </c>
      <c r="O33" s="18" t="str">
        <f>IF((H33)=0,"",(N33/H33))</f>
        <v/>
      </c>
    </row>
    <row r="34" spans="1:15" ht="25.5">
      <c r="A34" s="19"/>
      <c r="B34" s="164" t="str">
        <f>'[2]J. DVA'!$B$91</f>
        <v>Rate Rider Calculation for Accounts 1568</v>
      </c>
      <c r="C34" s="20"/>
      <c r="D34" s="165" t="s">
        <v>23</v>
      </c>
      <c r="E34" s="14"/>
      <c r="F34" s="150"/>
      <c r="G34" s="15">
        <f t="shared" si="4"/>
        <v>2000</v>
      </c>
      <c r="H34" s="16">
        <f>G34*F34</f>
        <v>0</v>
      </c>
      <c r="I34" s="28"/>
      <c r="J34" s="290">
        <v>2.9999999999999997E-4</v>
      </c>
      <c r="K34" s="15">
        <f t="shared" si="5"/>
        <v>2000</v>
      </c>
      <c r="L34" s="16">
        <f>K34*J34</f>
        <v>0.6</v>
      </c>
      <c r="M34" s="28"/>
      <c r="N34" s="149">
        <f>L34-H34</f>
        <v>0.6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/>
      <c r="H35" s="16"/>
      <c r="I35" s="28"/>
      <c r="J35" s="31"/>
      <c r="K35" s="15"/>
      <c r="L35" s="16"/>
      <c r="M35" s="28"/>
      <c r="N35" s="149"/>
      <c r="O35" s="18" t="str">
        <f>IF((H35)=0,"",(N35/H35))</f>
        <v/>
      </c>
    </row>
    <row r="36" spans="1:15">
      <c r="A36" s="19"/>
      <c r="B36" s="151"/>
      <c r="C36" s="20"/>
      <c r="D36" s="146"/>
      <c r="E36" s="14"/>
      <c r="F36" s="150"/>
      <c r="G36" s="15"/>
      <c r="H36" s="16"/>
      <c r="I36" s="28"/>
      <c r="J36" s="31"/>
      <c r="K36" s="15"/>
      <c r="L36" s="16"/>
      <c r="M36" s="28"/>
      <c r="N36" s="149"/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/>
      <c r="H37" s="16"/>
      <c r="I37" s="28"/>
      <c r="J37" s="31"/>
      <c r="K37" s="15"/>
      <c r="L37" s="16"/>
      <c r="M37" s="28"/>
      <c r="N37" s="149"/>
      <c r="O37" s="18" t="str">
        <f t="shared" si="3"/>
        <v/>
      </c>
    </row>
    <row r="38" spans="1:15">
      <c r="A38" s="19"/>
      <c r="B38" s="153" t="s">
        <v>24</v>
      </c>
      <c r="C38" s="154"/>
      <c r="D38" s="155"/>
      <c r="E38" s="154"/>
      <c r="F38" s="156"/>
      <c r="G38" s="157"/>
      <c r="H38" s="158">
        <f>SUM(H23:H37)</f>
        <v>43.97</v>
      </c>
      <c r="I38" s="28"/>
      <c r="J38" s="159"/>
      <c r="K38" s="160"/>
      <c r="L38" s="158">
        <f>SUM(L23:L37)</f>
        <v>54.9</v>
      </c>
      <c r="M38" s="28"/>
      <c r="N38" s="161">
        <f t="shared" si="2"/>
        <v>10.93</v>
      </c>
      <c r="O38" s="162">
        <f t="shared" si="3"/>
        <v>0.2485785763020241</v>
      </c>
    </row>
    <row r="39" spans="1:15" ht="51">
      <c r="A39" s="163"/>
      <c r="B39" s="164" t="str">
        <f>'[2]J. DVA'!$B$16</f>
        <v>Rate Rider Calculation for Deferral / Variance Accounts Balances (excluding Global Adj.)</v>
      </c>
      <c r="C39" s="20"/>
      <c r="D39" s="165" t="s">
        <v>23</v>
      </c>
      <c r="E39" s="20"/>
      <c r="F39" s="166"/>
      <c r="G39" s="21">
        <f t="shared" ref="G39:G42" si="6">$F$18</f>
        <v>2000</v>
      </c>
      <c r="H39" s="22">
        <f t="shared" ref="H39:H44" si="7">G39*F39</f>
        <v>0</v>
      </c>
      <c r="I39" s="167"/>
      <c r="J39" s="290">
        <f>'[2]J. DVA'!F21</f>
        <v>-8.3436113445685444E-4</v>
      </c>
      <c r="K39" s="21">
        <f t="shared" ref="K39:K42" si="8">$F$18</f>
        <v>2000</v>
      </c>
      <c r="L39" s="22">
        <f t="shared" ref="L39:L42" si="9">K39*J39</f>
        <v>-1.6687222689137089</v>
      </c>
      <c r="M39" s="167"/>
      <c r="N39" s="168">
        <f t="shared" si="2"/>
        <v>-1.6687222689137089</v>
      </c>
      <c r="O39" s="24" t="str">
        <f>IF((H39)=0,"",(N39/H39))</f>
        <v/>
      </c>
    </row>
    <row r="40" spans="1:15" ht="51">
      <c r="A40" s="169"/>
      <c r="B40" s="164" t="str">
        <f>'[2]J. DVA'!$B$28</f>
        <v>Rate Rider Calculation for Deferral / Variance Accounts Balances (excluding Global Adj.) - NON-WMP</v>
      </c>
      <c r="C40" s="20"/>
      <c r="D40" s="165" t="s">
        <v>23</v>
      </c>
      <c r="E40" s="20"/>
      <c r="F40" s="166"/>
      <c r="G40" s="21">
        <f t="shared" si="6"/>
        <v>2000</v>
      </c>
      <c r="H40" s="22">
        <f t="shared" si="7"/>
        <v>0</v>
      </c>
      <c r="I40" s="167"/>
      <c r="J40" s="290">
        <f>'[2]J. DVA'!F33</f>
        <v>-2.6878065725373349E-3</v>
      </c>
      <c r="K40" s="21">
        <f t="shared" si="8"/>
        <v>2000</v>
      </c>
      <c r="L40" s="22">
        <f t="shared" si="9"/>
        <v>-5.37561314507467</v>
      </c>
      <c r="M40" s="167"/>
      <c r="N40" s="168">
        <f t="shared" si="2"/>
        <v>-5.37561314507467</v>
      </c>
      <c r="O40" s="24" t="str">
        <f>IF((H40)=0,"",(N40/H40))</f>
        <v/>
      </c>
    </row>
    <row r="41" spans="1:15">
      <c r="A41" s="163"/>
      <c r="B41" s="164"/>
      <c r="C41" s="20"/>
      <c r="D41" s="165"/>
      <c r="E41" s="20"/>
      <c r="F41" s="166"/>
      <c r="G41" s="21"/>
      <c r="H41" s="22"/>
      <c r="I41" s="167"/>
      <c r="J41" s="166"/>
      <c r="K41" s="21"/>
      <c r="L41" s="22"/>
      <c r="M41" s="167"/>
      <c r="N41" s="168"/>
      <c r="O41" s="24" t="str">
        <f>IF((H41)=0,"",(N41/H41))</f>
        <v/>
      </c>
    </row>
    <row r="42" spans="1:15">
      <c r="A42" s="163" t="s">
        <v>58</v>
      </c>
      <c r="B42" s="164" t="s">
        <v>25</v>
      </c>
      <c r="C42" s="20"/>
      <c r="D42" s="165" t="s">
        <v>23</v>
      </c>
      <c r="E42" s="20"/>
      <c r="F42" s="166">
        <v>1E-3</v>
      </c>
      <c r="G42" s="21">
        <f t="shared" si="6"/>
        <v>2000</v>
      </c>
      <c r="H42" s="22">
        <f t="shared" si="7"/>
        <v>2</v>
      </c>
      <c r="I42" s="167"/>
      <c r="J42" s="290">
        <f>'[3]4.12 PowerSupplExp'!$I$172</f>
        <v>6.9999999999999999E-4</v>
      </c>
      <c r="K42" s="21">
        <f t="shared" si="8"/>
        <v>2000</v>
      </c>
      <c r="L42" s="22">
        <f t="shared" si="9"/>
        <v>1.4</v>
      </c>
      <c r="M42" s="167"/>
      <c r="N42" s="168">
        <f t="shared" si="2"/>
        <v>-0.60000000000000009</v>
      </c>
      <c r="O42" s="24">
        <f>IF((H42)=0,"",(N42/H42))</f>
        <v>-0.30000000000000004</v>
      </c>
    </row>
    <row r="43" spans="1:15">
      <c r="A43" s="19"/>
      <c r="B43" s="145" t="s">
        <v>26</v>
      </c>
      <c r="C43" s="20"/>
      <c r="D43" s="165" t="s">
        <v>23</v>
      </c>
      <c r="E43" s="20"/>
      <c r="F43" s="166">
        <f>IF(ISBLANK(D16)=1, 0, IF(D16="TOU", 0.64*$F$53+0.18*$F$54+0.18*$F$55, IF(AND(D16="non-TOU", G57&gt;0), F57,F56)))</f>
        <v>0.11183999999999999</v>
      </c>
      <c r="G43" s="21">
        <f>$F$18*(1+$F$72)-$F$18</f>
        <v>78</v>
      </c>
      <c r="H43" s="22">
        <f t="shared" si="7"/>
        <v>8.7235199999999988</v>
      </c>
      <c r="I43" s="167"/>
      <c r="J43" s="166">
        <f>0.64*$F$53+0.18*$F$54+0.18*$F$55</f>
        <v>0.11183999999999999</v>
      </c>
      <c r="K43" s="21">
        <f>$F$18*(1+$J$72)-$F$18</f>
        <v>91.400000000000091</v>
      </c>
      <c r="L43" s="22">
        <f>K43*J43</f>
        <v>10.22217600000001</v>
      </c>
      <c r="M43" s="167"/>
      <c r="N43" s="168">
        <f t="shared" si="2"/>
        <v>1.4986560000000111</v>
      </c>
      <c r="O43" s="24">
        <f t="shared" si="3"/>
        <v>0.1717948717948731</v>
      </c>
    </row>
    <row r="44" spans="1:15">
      <c r="A44" s="19"/>
      <c r="B44" s="170" t="s">
        <v>27</v>
      </c>
      <c r="C44" s="20"/>
      <c r="D44" s="171" t="s">
        <v>23</v>
      </c>
      <c r="E44" s="14"/>
      <c r="F44" s="172">
        <v>0.79</v>
      </c>
      <c r="G44" s="25">
        <v>1</v>
      </c>
      <c r="H44" s="26">
        <f t="shared" si="7"/>
        <v>0.79</v>
      </c>
      <c r="I44" s="173"/>
      <c r="J44" s="291">
        <v>0.79</v>
      </c>
      <c r="K44" s="25">
        <v>1</v>
      </c>
      <c r="L44" s="26">
        <f>K44*J44</f>
        <v>0.79</v>
      </c>
      <c r="M44" s="173"/>
      <c r="N44" s="174">
        <f t="shared" si="2"/>
        <v>0</v>
      </c>
      <c r="O44" s="27"/>
    </row>
    <row r="45" spans="1:15" ht="25.5">
      <c r="B45" s="175" t="s">
        <v>28</v>
      </c>
      <c r="C45" s="176"/>
      <c r="D45" s="176"/>
      <c r="E45" s="176"/>
      <c r="F45" s="177"/>
      <c r="G45" s="178"/>
      <c r="H45" s="179">
        <f>SUM(H39:H44)+H38</f>
        <v>55.483519999999999</v>
      </c>
      <c r="I45" s="28"/>
      <c r="J45" s="178"/>
      <c r="K45" s="180"/>
      <c r="L45" s="179">
        <f>SUM(L39:L44)+L38</f>
        <v>60.26784058601163</v>
      </c>
      <c r="M45" s="28"/>
      <c r="N45" s="161">
        <f t="shared" si="2"/>
        <v>4.7843205860116313</v>
      </c>
      <c r="O45" s="162">
        <f t="shared" ref="O45:O63" si="10">IF((H45)=0,"",(N45/H45))</f>
        <v>8.622957926987386E-2</v>
      </c>
    </row>
    <row r="46" spans="1:15">
      <c r="B46" s="181" t="s">
        <v>29</v>
      </c>
      <c r="C46" s="28"/>
      <c r="D46" s="182" t="s">
        <v>23</v>
      </c>
      <c r="E46" s="28"/>
      <c r="F46" s="31">
        <v>5.7999999999999996E-3</v>
      </c>
      <c r="G46" s="29">
        <f>F18*(1+F72)</f>
        <v>2078</v>
      </c>
      <c r="H46" s="16">
        <f>G46*F46</f>
        <v>12.052399999999999</v>
      </c>
      <c r="I46" s="28"/>
      <c r="J46" s="289">
        <f>'[3]4.12 PowerSupplExp'!$N$59</f>
        <v>5.4394427051232775E-3</v>
      </c>
      <c r="K46" s="30">
        <f>F18*(1+J72)</f>
        <v>2091.4</v>
      </c>
      <c r="L46" s="16">
        <f>K46*J46</f>
        <v>11.376050473494823</v>
      </c>
      <c r="M46" s="28"/>
      <c r="N46" s="149">
        <f t="shared" si="2"/>
        <v>-0.67634952650517555</v>
      </c>
      <c r="O46" s="18">
        <f t="shared" si="10"/>
        <v>-5.61174144987866E-2</v>
      </c>
    </row>
    <row r="47" spans="1:15" ht="25.5">
      <c r="B47" s="183" t="s">
        <v>30</v>
      </c>
      <c r="C47" s="28"/>
      <c r="D47" s="182" t="s">
        <v>23</v>
      </c>
      <c r="E47" s="28"/>
      <c r="F47" s="31">
        <v>4.0000000000000001E-3</v>
      </c>
      <c r="G47" s="29">
        <f>G46</f>
        <v>2078</v>
      </c>
      <c r="H47" s="16">
        <f>G47*F47</f>
        <v>8.3119999999999994</v>
      </c>
      <c r="I47" s="28"/>
      <c r="J47" s="289">
        <f>'[3]4.12 PowerSupplExp'!$N$75</f>
        <v>4.0259412268579828E-3</v>
      </c>
      <c r="K47" s="30">
        <f>K46</f>
        <v>2091.4</v>
      </c>
      <c r="L47" s="16">
        <f>K47*J47</f>
        <v>8.4198534818507849</v>
      </c>
      <c r="M47" s="28"/>
      <c r="N47" s="149">
        <f t="shared" si="2"/>
        <v>0.10785348185078547</v>
      </c>
      <c r="O47" s="18">
        <f t="shared" si="10"/>
        <v>1.2975635448843297E-2</v>
      </c>
    </row>
    <row r="48" spans="1:15" ht="25.5">
      <c r="B48" s="175" t="s">
        <v>31</v>
      </c>
      <c r="C48" s="154"/>
      <c r="D48" s="154"/>
      <c r="E48" s="154"/>
      <c r="F48" s="184"/>
      <c r="G48" s="178"/>
      <c r="H48" s="179">
        <f>SUM(H45:H47)</f>
        <v>75.847920000000002</v>
      </c>
      <c r="I48" s="185"/>
      <c r="J48" s="186"/>
      <c r="K48" s="187"/>
      <c r="L48" s="179">
        <f>SUM(L45:L47)</f>
        <v>80.063744541357238</v>
      </c>
      <c r="M48" s="185"/>
      <c r="N48" s="161">
        <f t="shared" si="2"/>
        <v>4.2158245413572359</v>
      </c>
      <c r="O48" s="162">
        <f t="shared" si="10"/>
        <v>5.5582599250674714E-2</v>
      </c>
    </row>
    <row r="49" spans="2:19" ht="25.5">
      <c r="B49" s="145" t="s">
        <v>32</v>
      </c>
      <c r="C49" s="20"/>
      <c r="D49" s="188" t="s">
        <v>23</v>
      </c>
      <c r="E49" s="14"/>
      <c r="F49" s="31">
        <v>3.5999999999999999E-3</v>
      </c>
      <c r="G49" s="82">
        <f>G47</f>
        <v>2078</v>
      </c>
      <c r="H49" s="78">
        <f t="shared" ref="H49:H55" si="11">G49*F49</f>
        <v>7.4807999999999995</v>
      </c>
      <c r="I49" s="282"/>
      <c r="J49" s="289">
        <v>3.5999999999999999E-3</v>
      </c>
      <c r="K49" s="83">
        <f>K47</f>
        <v>2091.4</v>
      </c>
      <c r="L49" s="78">
        <f t="shared" ref="L49:L55" si="12">K49*J49</f>
        <v>7.5290400000000002</v>
      </c>
      <c r="M49" s="282"/>
      <c r="N49" s="283">
        <f t="shared" si="2"/>
        <v>4.8240000000000727E-2</v>
      </c>
      <c r="O49" s="79">
        <f t="shared" si="10"/>
        <v>6.4485081809433119E-3</v>
      </c>
    </row>
    <row r="50" spans="2:19" ht="25.5">
      <c r="B50" s="145" t="s">
        <v>33</v>
      </c>
      <c r="C50" s="20"/>
      <c r="D50" s="188" t="s">
        <v>23</v>
      </c>
      <c r="E50" s="14"/>
      <c r="F50" s="31">
        <v>1.2999999999999999E-3</v>
      </c>
      <c r="G50" s="82">
        <f>G47</f>
        <v>2078</v>
      </c>
      <c r="H50" s="78">
        <f t="shared" si="11"/>
        <v>2.7014</v>
      </c>
      <c r="I50" s="282"/>
      <c r="J50" s="289">
        <v>1.2999999999999999E-3</v>
      </c>
      <c r="K50" s="83">
        <f>K47</f>
        <v>2091.4</v>
      </c>
      <c r="L50" s="78">
        <f t="shared" si="12"/>
        <v>2.71882</v>
      </c>
      <c r="M50" s="282"/>
      <c r="N50" s="283">
        <f t="shared" si="2"/>
        <v>1.7419999999999991E-2</v>
      </c>
      <c r="O50" s="79">
        <f t="shared" si="10"/>
        <v>6.4485081809432113E-3</v>
      </c>
    </row>
    <row r="51" spans="2:19" ht="25.5">
      <c r="B51" s="145" t="s">
        <v>34</v>
      </c>
      <c r="C51" s="20"/>
      <c r="D51" s="188" t="s">
        <v>19</v>
      </c>
      <c r="E51" s="14"/>
      <c r="F51" s="84">
        <v>0.25</v>
      </c>
      <c r="G51" s="80">
        <v>1</v>
      </c>
      <c r="H51" s="78">
        <f t="shared" si="11"/>
        <v>0.25</v>
      </c>
      <c r="I51" s="282"/>
      <c r="J51" s="293">
        <v>0.25</v>
      </c>
      <c r="K51" s="81">
        <v>1</v>
      </c>
      <c r="L51" s="78">
        <f t="shared" si="12"/>
        <v>0.25</v>
      </c>
      <c r="M51" s="282"/>
      <c r="N51" s="283">
        <f t="shared" si="2"/>
        <v>0</v>
      </c>
      <c r="O51" s="79">
        <f t="shared" si="10"/>
        <v>0</v>
      </c>
    </row>
    <row r="52" spans="2:19">
      <c r="B52" s="145" t="s">
        <v>67</v>
      </c>
      <c r="C52" s="20"/>
      <c r="D52" s="188" t="s">
        <v>23</v>
      </c>
      <c r="E52" s="14"/>
      <c r="F52" s="31">
        <v>1.1000000000000001E-3</v>
      </c>
      <c r="G52" s="82">
        <f>F18</f>
        <v>2000</v>
      </c>
      <c r="H52" s="78">
        <f t="shared" si="11"/>
        <v>2.2000000000000002</v>
      </c>
      <c r="I52" s="282"/>
      <c r="J52" s="289">
        <v>1.1000000000000001E-3</v>
      </c>
      <c r="K52" s="83">
        <f>F18</f>
        <v>2000</v>
      </c>
      <c r="L52" s="78">
        <f t="shared" si="12"/>
        <v>2.2000000000000002</v>
      </c>
      <c r="M52" s="282"/>
      <c r="N52" s="283">
        <f t="shared" si="2"/>
        <v>0</v>
      </c>
      <c r="O52" s="79">
        <f t="shared" si="10"/>
        <v>0</v>
      </c>
    </row>
    <row r="53" spans="2:19">
      <c r="B53" s="170" t="s">
        <v>35</v>
      </c>
      <c r="C53" s="20"/>
      <c r="D53" s="188" t="s">
        <v>23</v>
      </c>
      <c r="E53" s="14"/>
      <c r="F53" s="31">
        <v>8.6999999999999994E-2</v>
      </c>
      <c r="G53" s="284">
        <f>0.64*$F$18</f>
        <v>1280</v>
      </c>
      <c r="H53" s="78">
        <f t="shared" si="11"/>
        <v>111.35999999999999</v>
      </c>
      <c r="I53" s="282"/>
      <c r="J53" s="31">
        <v>8.6999999999999994E-2</v>
      </c>
      <c r="K53" s="284">
        <f>G53</f>
        <v>1280</v>
      </c>
      <c r="L53" s="78">
        <f t="shared" si="12"/>
        <v>111.35999999999999</v>
      </c>
      <c r="M53" s="282"/>
      <c r="N53" s="283">
        <f t="shared" si="2"/>
        <v>0</v>
      </c>
      <c r="O53" s="79">
        <f t="shared" si="10"/>
        <v>0</v>
      </c>
      <c r="S53" s="190"/>
    </row>
    <row r="54" spans="2:19">
      <c r="B54" s="170" t="s">
        <v>36</v>
      </c>
      <c r="C54" s="20"/>
      <c r="D54" s="188" t="s">
        <v>23</v>
      </c>
      <c r="E54" s="14"/>
      <c r="F54" s="31">
        <v>0.13200000000000001</v>
      </c>
      <c r="G54" s="284">
        <f>0.18*$F$18</f>
        <v>360</v>
      </c>
      <c r="H54" s="78">
        <f t="shared" si="11"/>
        <v>47.52</v>
      </c>
      <c r="I54" s="282"/>
      <c r="J54" s="31">
        <v>0.13200000000000001</v>
      </c>
      <c r="K54" s="284">
        <f>G54</f>
        <v>360</v>
      </c>
      <c r="L54" s="78">
        <f t="shared" si="12"/>
        <v>47.52</v>
      </c>
      <c r="M54" s="282"/>
      <c r="N54" s="283">
        <f t="shared" si="2"/>
        <v>0</v>
      </c>
      <c r="O54" s="79">
        <f t="shared" si="10"/>
        <v>0</v>
      </c>
      <c r="S54" s="190"/>
    </row>
    <row r="55" spans="2:19">
      <c r="B55" s="135" t="s">
        <v>37</v>
      </c>
      <c r="C55" s="20"/>
      <c r="D55" s="188" t="s">
        <v>23</v>
      </c>
      <c r="E55" s="14"/>
      <c r="F55" s="31">
        <v>0.18</v>
      </c>
      <c r="G55" s="284">
        <f>0.18*$F$18</f>
        <v>360</v>
      </c>
      <c r="H55" s="78">
        <f t="shared" si="11"/>
        <v>64.8</v>
      </c>
      <c r="I55" s="282"/>
      <c r="J55" s="31">
        <v>0.18</v>
      </c>
      <c r="K55" s="284">
        <f>G55</f>
        <v>360</v>
      </c>
      <c r="L55" s="78">
        <f t="shared" si="12"/>
        <v>64.8</v>
      </c>
      <c r="M55" s="282"/>
      <c r="N55" s="283">
        <f t="shared" si="2"/>
        <v>0</v>
      </c>
      <c r="O55" s="79">
        <f t="shared" si="10"/>
        <v>0</v>
      </c>
      <c r="S55" s="190"/>
    </row>
    <row r="56" spans="2:19" s="195" customFormat="1">
      <c r="B56" s="191" t="s">
        <v>38</v>
      </c>
      <c r="C56" s="32"/>
      <c r="D56" s="188" t="s">
        <v>23</v>
      </c>
      <c r="E56" s="32"/>
      <c r="F56" s="31">
        <v>0.10299999999999999</v>
      </c>
      <c r="G56" s="285">
        <f>IF(AND($T$1=1, F18&gt;=600), 600, IF(AND($T$1=1, AND(F18&lt;600, F18&gt;=0)), F18, IF(AND($T$1=2, F18&gt;=1000), 1000, IF(AND($T$1=2, AND(F18&lt;1000, F18&gt;=0)), F18))))</f>
        <v>600</v>
      </c>
      <c r="H56" s="78">
        <f>G56*F56</f>
        <v>61.8</v>
      </c>
      <c r="I56" s="286"/>
      <c r="J56" s="31">
        <v>0.10299999999999999</v>
      </c>
      <c r="K56" s="285">
        <f>G56</f>
        <v>600</v>
      </c>
      <c r="L56" s="78">
        <f>K56*J56</f>
        <v>61.8</v>
      </c>
      <c r="M56" s="286"/>
      <c r="N56" s="287">
        <f t="shared" si="2"/>
        <v>0</v>
      </c>
      <c r="O56" s="79">
        <f t="shared" si="10"/>
        <v>0</v>
      </c>
    </row>
    <row r="57" spans="2:19" s="195" customFormat="1" ht="13.5" thickBot="1">
      <c r="B57" s="191" t="s">
        <v>39</v>
      </c>
      <c r="C57" s="32"/>
      <c r="D57" s="188" t="s">
        <v>23</v>
      </c>
      <c r="E57" s="32"/>
      <c r="F57" s="31">
        <v>0.121</v>
      </c>
      <c r="G57" s="285">
        <f>IF(AND($T$1=1, F18&gt;=600), F18-600, IF(AND($T$1=1, AND(F18&lt;600, F18&gt;=0)), 0, IF(AND($T$1=2, F18&gt;=1000), F18-1000, IF(AND($T$1=2, AND(F18&lt;1000, F18&gt;=0)), 0))))</f>
        <v>1400</v>
      </c>
      <c r="H57" s="78">
        <f>G57*F57</f>
        <v>169.4</v>
      </c>
      <c r="I57" s="286"/>
      <c r="J57" s="31">
        <v>0.121</v>
      </c>
      <c r="K57" s="285">
        <f>G57</f>
        <v>1400</v>
      </c>
      <c r="L57" s="78">
        <f>K57*J57</f>
        <v>169.4</v>
      </c>
      <c r="M57" s="286"/>
      <c r="N57" s="287">
        <f t="shared" si="2"/>
        <v>0</v>
      </c>
      <c r="O57" s="79">
        <f t="shared" si="10"/>
        <v>0</v>
      </c>
    </row>
    <row r="58" spans="2:19" ht="13.5" thickBot="1">
      <c r="B58" s="196"/>
      <c r="C58" s="197"/>
      <c r="D58" s="198"/>
      <c r="E58" s="197"/>
      <c r="F58" s="199"/>
      <c r="G58" s="200"/>
      <c r="H58" s="201"/>
      <c r="I58" s="202"/>
      <c r="J58" s="199"/>
      <c r="K58" s="203"/>
      <c r="L58" s="201"/>
      <c r="M58" s="202"/>
      <c r="N58" s="204"/>
      <c r="O58" s="205"/>
    </row>
    <row r="59" spans="2:19" ht="25.5">
      <c r="B59" s="33" t="s">
        <v>40</v>
      </c>
      <c r="C59" s="20"/>
      <c r="D59" s="20"/>
      <c r="E59" s="20"/>
      <c r="F59" s="34"/>
      <c r="G59" s="35"/>
      <c r="H59" s="36">
        <f>SUM(H49:H55,H48)</f>
        <v>312.16011999999995</v>
      </c>
      <c r="I59" s="37"/>
      <c r="J59" s="38"/>
      <c r="K59" s="38"/>
      <c r="L59" s="36">
        <f>SUM(L49:L55,L48)</f>
        <v>316.44160454135726</v>
      </c>
      <c r="M59" s="39"/>
      <c r="N59" s="40">
        <f>L59-H59</f>
        <v>4.2814845413573153</v>
      </c>
      <c r="O59" s="41">
        <f>IF((H59)=0,"",(N59/H59))</f>
        <v>1.3715667912215424E-2</v>
      </c>
      <c r="S59" s="190"/>
    </row>
    <row r="60" spans="2:19">
      <c r="B60" s="42" t="s">
        <v>41</v>
      </c>
      <c r="C60" s="20"/>
      <c r="D60" s="20"/>
      <c r="E60" s="20"/>
      <c r="F60" s="43">
        <v>0.13</v>
      </c>
      <c r="G60" s="44"/>
      <c r="H60" s="45">
        <f>H59*F60</f>
        <v>40.580815599999994</v>
      </c>
      <c r="I60" s="46"/>
      <c r="J60" s="47">
        <v>0.13</v>
      </c>
      <c r="K60" s="46"/>
      <c r="L60" s="48">
        <f>L59*J60</f>
        <v>41.137408590376445</v>
      </c>
      <c r="M60" s="49"/>
      <c r="N60" s="50">
        <f t="shared" si="2"/>
        <v>0.55659299037645127</v>
      </c>
      <c r="O60" s="18">
        <f t="shared" si="10"/>
        <v>1.3715667912215431E-2</v>
      </c>
      <c r="S60" s="190"/>
    </row>
    <row r="61" spans="2:19">
      <c r="B61" s="206" t="s">
        <v>42</v>
      </c>
      <c r="C61" s="20"/>
      <c r="D61" s="20"/>
      <c r="E61" s="20"/>
      <c r="F61" s="51"/>
      <c r="G61" s="44"/>
      <c r="H61" s="45">
        <f>H59+H60</f>
        <v>352.74093559999994</v>
      </c>
      <c r="I61" s="46"/>
      <c r="J61" s="46"/>
      <c r="K61" s="46"/>
      <c r="L61" s="48">
        <f>L59+L60</f>
        <v>357.57901313173369</v>
      </c>
      <c r="M61" s="49"/>
      <c r="N61" s="50">
        <f t="shared" si="2"/>
        <v>4.8380775317337452</v>
      </c>
      <c r="O61" s="18">
        <f t="shared" si="10"/>
        <v>1.3715667912215363E-2</v>
      </c>
      <c r="S61" s="190"/>
    </row>
    <row r="62" spans="2:19">
      <c r="B62" s="299"/>
      <c r="C62" s="299"/>
      <c r="D62" s="299"/>
      <c r="E62" s="20"/>
      <c r="F62" s="51"/>
      <c r="G62" s="44"/>
      <c r="H62" s="52"/>
      <c r="I62" s="46"/>
      <c r="J62" s="46"/>
      <c r="K62" s="46"/>
      <c r="L62" s="53"/>
      <c r="M62" s="49"/>
      <c r="N62" s="54"/>
      <c r="O62" s="55" t="str">
        <f t="shared" si="10"/>
        <v/>
      </c>
    </row>
    <row r="63" spans="2:19" ht="13.5" thickBot="1">
      <c r="B63" s="300" t="s">
        <v>68</v>
      </c>
      <c r="C63" s="300"/>
      <c r="D63" s="300"/>
      <c r="E63" s="14"/>
      <c r="F63" s="207"/>
      <c r="G63" s="208"/>
      <c r="H63" s="209">
        <f>H61+H62</f>
        <v>352.74093559999994</v>
      </c>
      <c r="I63" s="210"/>
      <c r="J63" s="210"/>
      <c r="K63" s="210"/>
      <c r="L63" s="211">
        <f>L61+L62</f>
        <v>357.57901313173369</v>
      </c>
      <c r="M63" s="212"/>
      <c r="N63" s="213">
        <f t="shared" si="2"/>
        <v>4.8380775317337452</v>
      </c>
      <c r="O63" s="214">
        <f t="shared" si="10"/>
        <v>1.3715667912215363E-2</v>
      </c>
    </row>
    <row r="64" spans="2:19" s="195" customFormat="1" ht="13.5" thickBot="1">
      <c r="B64" s="215"/>
      <c r="C64" s="216"/>
      <c r="D64" s="217"/>
      <c r="E64" s="216"/>
      <c r="F64" s="199"/>
      <c r="G64" s="218"/>
      <c r="H64" s="201"/>
      <c r="I64" s="219"/>
      <c r="J64" s="199"/>
      <c r="K64" s="220"/>
      <c r="L64" s="201"/>
      <c r="M64" s="219"/>
      <c r="N64" s="221"/>
      <c r="O64" s="205"/>
    </row>
    <row r="65" spans="1:15" s="195" customFormat="1" ht="25.5">
      <c r="B65" s="56" t="s">
        <v>43</v>
      </c>
      <c r="C65" s="32"/>
      <c r="D65" s="32"/>
      <c r="E65" s="32"/>
      <c r="F65" s="57"/>
      <c r="G65" s="58"/>
      <c r="H65" s="59">
        <f>SUM(H56:H57,H48,H49:H52)</f>
        <v>319.68011999999993</v>
      </c>
      <c r="I65" s="60"/>
      <c r="J65" s="61"/>
      <c r="K65" s="61"/>
      <c r="L65" s="59">
        <f>SUM(L56:L57,L48,L49:L52)</f>
        <v>323.96160454135725</v>
      </c>
      <c r="M65" s="62"/>
      <c r="N65" s="63">
        <f>L65-H65</f>
        <v>4.2814845413573153</v>
      </c>
      <c r="O65" s="41">
        <f>IF((H65)=0,"",(N65/H65))</f>
        <v>1.3393027196552967E-2</v>
      </c>
    </row>
    <row r="66" spans="1:15" s="195" customFormat="1">
      <c r="B66" s="64" t="s">
        <v>41</v>
      </c>
      <c r="C66" s="32"/>
      <c r="D66" s="32"/>
      <c r="E66" s="32"/>
      <c r="F66" s="65">
        <v>0.13</v>
      </c>
      <c r="G66" s="58"/>
      <c r="H66" s="66">
        <f>H65*F66</f>
        <v>41.558415599999989</v>
      </c>
      <c r="I66" s="67"/>
      <c r="J66" s="68">
        <v>0.13</v>
      </c>
      <c r="K66" s="69"/>
      <c r="L66" s="70">
        <f>L65*J66</f>
        <v>42.115008590376441</v>
      </c>
      <c r="M66" s="71"/>
      <c r="N66" s="72">
        <f>L66-H66</f>
        <v>0.55659299037645127</v>
      </c>
      <c r="O66" s="18">
        <f>IF((H66)=0,"",(N66/H66))</f>
        <v>1.3393027196552975E-2</v>
      </c>
    </row>
    <row r="67" spans="1:15" s="195" customFormat="1">
      <c r="B67" s="222" t="s">
        <v>42</v>
      </c>
      <c r="C67" s="32"/>
      <c r="D67" s="32"/>
      <c r="E67" s="32"/>
      <c r="F67" s="73"/>
      <c r="G67" s="74"/>
      <c r="H67" s="66">
        <f>H65+H66</f>
        <v>361.23853559999992</v>
      </c>
      <c r="I67" s="67"/>
      <c r="J67" s="67"/>
      <c r="K67" s="67"/>
      <c r="L67" s="70">
        <f>L65+L66</f>
        <v>366.07661313173367</v>
      </c>
      <c r="M67" s="71"/>
      <c r="N67" s="72">
        <f>L67-H67</f>
        <v>4.8380775317337452</v>
      </c>
      <c r="O67" s="18">
        <f>IF((H67)=0,"",(N67/H67))</f>
        <v>1.3393027196552909E-2</v>
      </c>
    </row>
    <row r="68" spans="1:15" s="195" customFormat="1">
      <c r="B68" s="301"/>
      <c r="C68" s="301"/>
      <c r="D68" s="301"/>
      <c r="E68" s="32"/>
      <c r="F68" s="73"/>
      <c r="G68" s="74"/>
      <c r="H68" s="75"/>
      <c r="I68" s="67"/>
      <c r="J68" s="67"/>
      <c r="K68" s="67"/>
      <c r="L68" s="76"/>
      <c r="M68" s="71"/>
      <c r="N68" s="77"/>
      <c r="O68" s="55" t="str">
        <f>IF((H68)=0,"",(N68/H68))</f>
        <v/>
      </c>
    </row>
    <row r="69" spans="1:15" s="195" customFormat="1" ht="13.5" thickBot="1">
      <c r="B69" s="295" t="s">
        <v>69</v>
      </c>
      <c r="C69" s="295"/>
      <c r="D69" s="295"/>
      <c r="E69" s="32"/>
      <c r="F69" s="73"/>
      <c r="G69" s="74"/>
      <c r="H69" s="59">
        <f>SUM(H67:H68)</f>
        <v>361.23853559999992</v>
      </c>
      <c r="I69" s="60"/>
      <c r="J69" s="60"/>
      <c r="K69" s="60"/>
      <c r="L69" s="223">
        <f>SUM(L67:L68)</f>
        <v>366.07661313173367</v>
      </c>
      <c r="M69" s="62"/>
      <c r="N69" s="63">
        <f>L69-H69</f>
        <v>4.8380775317337452</v>
      </c>
      <c r="O69" s="41">
        <f>IF((H69)=0,"",(N69/H69))</f>
        <v>1.3393027196552909E-2</v>
      </c>
    </row>
    <row r="70" spans="1:15" s="195" customFormat="1" ht="13.5" thickBot="1">
      <c r="B70" s="215"/>
      <c r="C70" s="216"/>
      <c r="D70" s="217"/>
      <c r="E70" s="216"/>
      <c r="F70" s="224"/>
      <c r="G70" s="225"/>
      <c r="H70" s="226"/>
      <c r="I70" s="227"/>
      <c r="J70" s="224"/>
      <c r="K70" s="218"/>
      <c r="L70" s="228"/>
      <c r="M70" s="219"/>
      <c r="N70" s="229"/>
      <c r="O70" s="205"/>
    </row>
    <row r="71" spans="1:15">
      <c r="L71" s="190"/>
    </row>
    <row r="72" spans="1:15">
      <c r="B72" s="230" t="s">
        <v>45</v>
      </c>
      <c r="F72" s="231">
        <v>3.9E-2</v>
      </c>
      <c r="J72" s="231">
        <v>4.5699999999999998E-2</v>
      </c>
    </row>
    <row r="74" spans="1:15" ht="14.25">
      <c r="A74" s="232" t="s">
        <v>46</v>
      </c>
    </row>
    <row r="76" spans="1:15">
      <c r="A76" s="12" t="s">
        <v>47</v>
      </c>
    </row>
    <row r="77" spans="1:15">
      <c r="A77" s="12" t="s">
        <v>48</v>
      </c>
    </row>
    <row r="79" spans="1:15">
      <c r="A79" s="233" t="s">
        <v>49</v>
      </c>
    </row>
    <row r="80" spans="1:15">
      <c r="A80" s="233" t="s">
        <v>50</v>
      </c>
    </row>
    <row r="82" spans="1:2">
      <c r="A82" s="12" t="s">
        <v>51</v>
      </c>
    </row>
    <row r="83" spans="1:2">
      <c r="A83" s="12" t="s">
        <v>52</v>
      </c>
    </row>
    <row r="84" spans="1:2">
      <c r="A84" s="12" t="s">
        <v>53</v>
      </c>
    </row>
    <row r="85" spans="1:2">
      <c r="A85" s="12" t="s">
        <v>54</v>
      </c>
    </row>
    <row r="86" spans="1:2">
      <c r="A86" s="12" t="s">
        <v>55</v>
      </c>
    </row>
    <row r="88" spans="1:2" ht="51">
      <c r="B88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9:D69"/>
    <mergeCell ref="D21:D22"/>
    <mergeCell ref="N21:N22"/>
    <mergeCell ref="O21:O22"/>
    <mergeCell ref="B62:D62"/>
    <mergeCell ref="B63:D63"/>
    <mergeCell ref="B68:D68"/>
  </mergeCells>
  <dataValidations count="3">
    <dataValidation type="list" allowBlank="1" showInputMessage="1" showErrorMessage="1" sqref="E70 E46:E47 E49:E58 E64 E23:E37 E39:E44">
      <formula1>"#REF!"</formula1>
      <formula2>0</formula2>
    </dataValidation>
    <dataValidation type="list" allowBlank="1" showInputMessage="1" showErrorMessage="1" prompt="Select Charge Unit - monthly, per kWh, per kW" sqref="D70 D46:D47 D64 D49:D58 D23:D37 D39:D4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5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9">
    <pageSetUpPr fitToPage="1"/>
  </sheetPr>
  <dimension ref="A1:T87"/>
  <sheetViews>
    <sheetView showGridLines="0" topLeftCell="A57" workbookViewId="0">
      <selection activeCell="L64" sqref="L64:L6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59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</v>
      </c>
      <c r="G18" s="136" t="s">
        <v>72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CurrentTariff'!C74</f>
        <v>378.72</v>
      </c>
      <c r="G23" s="15">
        <v>1</v>
      </c>
      <c r="H23" s="16">
        <f>G23*F23</f>
        <v>378.72</v>
      </c>
      <c r="I23" s="28"/>
      <c r="J23" s="288">
        <v>82.85</v>
      </c>
      <c r="K23" s="17">
        <v>1</v>
      </c>
      <c r="L23" s="16">
        <f>K23*J23</f>
        <v>82.85</v>
      </c>
      <c r="M23" s="28"/>
      <c r="N23" s="149">
        <f>L23-H23</f>
        <v>-295.87</v>
      </c>
      <c r="O23" s="18">
        <f>IF((H23)=0,"",(N23/H23))</f>
        <v>-0.781236797634136</v>
      </c>
    </row>
    <row r="24" spans="1:15">
      <c r="A24" s="19"/>
      <c r="B24" s="145" t="s">
        <v>66</v>
      </c>
      <c r="C24" s="20"/>
      <c r="D24" s="146"/>
      <c r="E24" s="14"/>
      <c r="F24" s="150"/>
      <c r="G24" s="15">
        <v>1</v>
      </c>
      <c r="H24" s="16">
        <f t="shared" ref="H24:H29" si="0">G24*F24</f>
        <v>0</v>
      </c>
      <c r="I24" s="28"/>
      <c r="J24" s="289">
        <v>6.9</v>
      </c>
      <c r="K24" s="17">
        <v>1</v>
      </c>
      <c r="L24" s="16">
        <f>K24*J24</f>
        <v>6.9</v>
      </c>
      <c r="M24" s="28"/>
      <c r="N24" s="149">
        <f>L24-H24</f>
        <v>6.9</v>
      </c>
      <c r="O24" s="18" t="str">
        <f>IF((H24)=0,"",(N24/H24))</f>
        <v/>
      </c>
    </row>
    <row r="25" spans="1:15">
      <c r="A25" s="19"/>
      <c r="B25" s="151"/>
      <c r="C25" s="20"/>
      <c r="D25" s="146"/>
      <c r="E25" s="14"/>
      <c r="F25" s="150"/>
      <c r="G25" s="15"/>
      <c r="H25" s="16"/>
      <c r="I25" s="28"/>
      <c r="J25" s="15"/>
      <c r="K25" s="17"/>
      <c r="L25" s="16"/>
      <c r="M25" s="28"/>
      <c r="N25" s="149"/>
      <c r="O25" s="18"/>
    </row>
    <row r="26" spans="1:15">
      <c r="A26" s="19"/>
      <c r="B26" s="152"/>
      <c r="C26" s="20"/>
      <c r="D26" s="146"/>
      <c r="E26" s="14"/>
      <c r="F26" s="150"/>
      <c r="G26" s="15"/>
      <c r="H26" s="16"/>
      <c r="I26" s="28"/>
      <c r="J26" s="15"/>
      <c r="K26" s="17"/>
      <c r="L26" s="16"/>
      <c r="M26" s="28"/>
      <c r="N26" s="149"/>
      <c r="O26" s="18"/>
    </row>
    <row r="27" spans="1:15">
      <c r="A27" s="19"/>
      <c r="B27" s="145" t="s">
        <v>22</v>
      </c>
      <c r="C27" s="20"/>
      <c r="D27" s="146" t="s">
        <v>60</v>
      </c>
      <c r="E27" s="14"/>
      <c r="F27" s="150">
        <f>'[2]B. CurrentTariff'!C75</f>
        <v>0.64890000000000003</v>
      </c>
      <c r="G27" s="15">
        <f t="shared" ref="G27:G31" si="1">$F$18</f>
        <v>100</v>
      </c>
      <c r="H27" s="16">
        <f t="shared" si="0"/>
        <v>64.89</v>
      </c>
      <c r="I27" s="28"/>
      <c r="J27" s="289">
        <v>3.4316</v>
      </c>
      <c r="K27" s="15">
        <f>$F$18</f>
        <v>100</v>
      </c>
      <c r="L27" s="16">
        <f t="shared" ref="L27:L29" si="2">K27*J27</f>
        <v>343.16</v>
      </c>
      <c r="M27" s="28"/>
      <c r="N27" s="149">
        <f t="shared" ref="N27:N62" si="3">L27-H27</f>
        <v>278.27000000000004</v>
      </c>
      <c r="O27" s="18">
        <f t="shared" ref="O27:O42" si="4">IF((H27)=0,"",(N27/H27))</f>
        <v>4.2883341038680847</v>
      </c>
    </row>
    <row r="28" spans="1:15">
      <c r="A28" s="19"/>
      <c r="B28" s="145"/>
      <c r="C28" s="20"/>
      <c r="D28" s="146"/>
      <c r="E28" s="14"/>
      <c r="F28" s="150"/>
      <c r="G28" s="15"/>
      <c r="H28" s="16"/>
      <c r="I28" s="28"/>
      <c r="J28" s="31"/>
      <c r="K28" s="15"/>
      <c r="L28" s="16"/>
      <c r="M28" s="28"/>
      <c r="N28" s="149"/>
      <c r="O28" s="18" t="str">
        <f t="shared" si="4"/>
        <v/>
      </c>
    </row>
    <row r="29" spans="1:15" ht="25.5">
      <c r="A29" s="19"/>
      <c r="B29" s="164" t="str">
        <f>'[2]J. DVA'!$B$65</f>
        <v>Rate Rider Calculation for Group 2 Accounts</v>
      </c>
      <c r="C29" s="20"/>
      <c r="D29" s="242" t="s">
        <v>60</v>
      </c>
      <c r="E29" s="14"/>
      <c r="F29" s="150"/>
      <c r="G29" s="15">
        <f t="shared" si="1"/>
        <v>100</v>
      </c>
      <c r="H29" s="16">
        <f t="shared" si="0"/>
        <v>0</v>
      </c>
      <c r="I29" s="28"/>
      <c r="J29" s="289">
        <v>5.8700000000000002E-2</v>
      </c>
      <c r="K29" s="15">
        <f t="shared" ref="K29:K31" si="5">$F$18</f>
        <v>100</v>
      </c>
      <c r="L29" s="16">
        <f t="shared" si="2"/>
        <v>5.87</v>
      </c>
      <c r="M29" s="28"/>
      <c r="N29" s="149">
        <f t="shared" si="3"/>
        <v>5.87</v>
      </c>
      <c r="O29" s="18" t="str">
        <f t="shared" si="4"/>
        <v/>
      </c>
    </row>
    <row r="30" spans="1:15" ht="25.5">
      <c r="A30" s="19"/>
      <c r="B30" s="164" t="str">
        <f>'[2]J. DVA'!$B$77</f>
        <v>Rate Rider Calculation for Accounts 1575 and 1576</v>
      </c>
      <c r="C30" s="20"/>
      <c r="D30" s="242" t="s">
        <v>60</v>
      </c>
      <c r="E30" s="14"/>
      <c r="F30" s="150"/>
      <c r="G30" s="15">
        <f t="shared" si="1"/>
        <v>100</v>
      </c>
      <c r="H30" s="16">
        <f>G30*F30</f>
        <v>0</v>
      </c>
      <c r="I30" s="28"/>
      <c r="J30" s="289">
        <v>-0.1381</v>
      </c>
      <c r="K30" s="15">
        <f t="shared" si="5"/>
        <v>100</v>
      </c>
      <c r="L30" s="16">
        <f>K30*J30</f>
        <v>-13.81</v>
      </c>
      <c r="M30" s="28"/>
      <c r="N30" s="149">
        <f>L30-H30</f>
        <v>-13.81</v>
      </c>
      <c r="O30" s="18" t="str">
        <f>IF((H30)=0,"",(N30/H30))</f>
        <v/>
      </c>
    </row>
    <row r="31" spans="1:15" ht="25.5">
      <c r="A31" s="19"/>
      <c r="B31" s="164" t="str">
        <f>'[2]J. DVA'!$B$91</f>
        <v>Rate Rider Calculation for Accounts 1568</v>
      </c>
      <c r="C31" s="20"/>
      <c r="D31" s="242" t="s">
        <v>60</v>
      </c>
      <c r="E31" s="14"/>
      <c r="F31" s="150"/>
      <c r="G31" s="15">
        <f t="shared" si="1"/>
        <v>100</v>
      </c>
      <c r="H31" s="16">
        <f>G31*F31</f>
        <v>0</v>
      </c>
      <c r="I31" s="28"/>
      <c r="J31" s="289">
        <v>0.10780000000000001</v>
      </c>
      <c r="K31" s="15">
        <f t="shared" si="5"/>
        <v>100</v>
      </c>
      <c r="L31" s="16">
        <f>K31*J31</f>
        <v>10.780000000000001</v>
      </c>
      <c r="M31" s="28"/>
      <c r="N31" s="149">
        <f>L31-H31</f>
        <v>10.780000000000001</v>
      </c>
      <c r="O31" s="18" t="str">
        <f>IF((H31)=0,"",(N31/H31))</f>
        <v/>
      </c>
    </row>
    <row r="32" spans="1:15">
      <c r="A32" s="19"/>
      <c r="B32" s="151"/>
      <c r="C32" s="20"/>
      <c r="D32" s="146"/>
      <c r="E32" s="14"/>
      <c r="F32" s="150"/>
      <c r="G32" s="15"/>
      <c r="H32" s="16"/>
      <c r="I32" s="28"/>
      <c r="J32" s="31"/>
      <c r="K32" s="15"/>
      <c r="L32" s="16"/>
      <c r="M32" s="28"/>
      <c r="N32" s="149"/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/>
      <c r="H33" s="16"/>
      <c r="I33" s="28"/>
      <c r="J33" s="31"/>
      <c r="K33" s="15"/>
      <c r="L33" s="16"/>
      <c r="M33" s="28"/>
      <c r="N33" s="149"/>
      <c r="O33" s="18" t="str">
        <f t="shared" si="4"/>
        <v/>
      </c>
    </row>
    <row r="34" spans="1:15">
      <c r="A34" s="19"/>
      <c r="B34" s="153" t="s">
        <v>24</v>
      </c>
      <c r="C34" s="154"/>
      <c r="D34" s="155"/>
      <c r="E34" s="154"/>
      <c r="F34" s="156"/>
      <c r="G34" s="157"/>
      <c r="H34" s="158">
        <f>SUM(H23:H33)</f>
        <v>443.61</v>
      </c>
      <c r="I34" s="28"/>
      <c r="J34" s="159"/>
      <c r="K34" s="160"/>
      <c r="L34" s="158">
        <f>SUM(L23:L33)</f>
        <v>435.75</v>
      </c>
      <c r="M34" s="28"/>
      <c r="N34" s="161">
        <f t="shared" si="3"/>
        <v>-7.8600000000000136</v>
      </c>
      <c r="O34" s="162">
        <f t="shared" si="4"/>
        <v>-1.7718266044498575E-2</v>
      </c>
    </row>
    <row r="35" spans="1:15" ht="51">
      <c r="A35" s="163"/>
      <c r="B35" s="164" t="str">
        <f>'[2]J. DVA'!$B$16</f>
        <v>Rate Rider Calculation for Deferral / Variance Accounts Balances (excluding Global Adj.)</v>
      </c>
      <c r="C35" s="20"/>
      <c r="D35" s="242" t="s">
        <v>60</v>
      </c>
      <c r="E35" s="20"/>
      <c r="F35" s="166"/>
      <c r="G35" s="21">
        <f t="shared" ref="G35:G41" si="6">$F$18</f>
        <v>100</v>
      </c>
      <c r="H35" s="22">
        <f t="shared" ref="H35:H42" si="7">G35*F35</f>
        <v>0</v>
      </c>
      <c r="I35" s="167"/>
      <c r="J35" s="290">
        <v>-0.29049999999999998</v>
      </c>
      <c r="K35" s="21">
        <f t="shared" ref="K35:K41" si="8">$F$18</f>
        <v>100</v>
      </c>
      <c r="L35" s="22">
        <f t="shared" ref="L35:L43" si="9">K35*J35</f>
        <v>-29.049999999999997</v>
      </c>
      <c r="M35" s="167"/>
      <c r="N35" s="168">
        <f t="shared" si="3"/>
        <v>-29.049999999999997</v>
      </c>
      <c r="O35" s="24" t="str">
        <f t="shared" si="4"/>
        <v/>
      </c>
    </row>
    <row r="36" spans="1:15" ht="51">
      <c r="A36" s="169"/>
      <c r="B36" s="164" t="str">
        <f>'[2]J. DVA'!$B$28</f>
        <v>Rate Rider Calculation for Deferral / Variance Accounts Balances (excluding Global Adj.) - NON-WMP</v>
      </c>
      <c r="C36" s="20"/>
      <c r="D36" s="242" t="s">
        <v>60</v>
      </c>
      <c r="E36" s="20"/>
      <c r="F36" s="166"/>
      <c r="G36" s="21">
        <f t="shared" si="6"/>
        <v>100</v>
      </c>
      <c r="H36" s="22">
        <f t="shared" si="7"/>
        <v>0</v>
      </c>
      <c r="I36" s="167"/>
      <c r="J36" s="290">
        <v>-0.94099999999999995</v>
      </c>
      <c r="K36" s="21">
        <f t="shared" si="8"/>
        <v>100</v>
      </c>
      <c r="L36" s="22">
        <f t="shared" si="9"/>
        <v>-94.1</v>
      </c>
      <c r="M36" s="167"/>
      <c r="N36" s="168">
        <f t="shared" si="3"/>
        <v>-94.1</v>
      </c>
      <c r="O36" s="24" t="str">
        <f t="shared" si="4"/>
        <v/>
      </c>
    </row>
    <row r="37" spans="1:15" ht="38.25">
      <c r="A37" s="169"/>
      <c r="B37" s="164" t="str">
        <f>'[2]J. DVA'!$B$40</f>
        <v>Rate Rider Calculation for RSVA - Power - Global Adjustment</v>
      </c>
      <c r="C37" s="20"/>
      <c r="D37" s="242" t="s">
        <v>23</v>
      </c>
      <c r="E37" s="20"/>
      <c r="F37" s="166"/>
      <c r="G37" s="21">
        <f t="shared" si="6"/>
        <v>100</v>
      </c>
      <c r="H37" s="22"/>
      <c r="I37" s="167"/>
      <c r="J37" s="290">
        <v>2.1615000000000002</v>
      </c>
      <c r="K37" s="21">
        <f t="shared" si="8"/>
        <v>100</v>
      </c>
      <c r="L37" s="22">
        <f t="shared" si="9"/>
        <v>216.15000000000003</v>
      </c>
      <c r="M37" s="167"/>
      <c r="N37" s="168">
        <f t="shared" si="3"/>
        <v>216.15000000000003</v>
      </c>
      <c r="O37" s="24" t="str">
        <f t="shared" si="4"/>
        <v/>
      </c>
    </row>
    <row r="38" spans="1:15">
      <c r="A38" s="169"/>
      <c r="B38" s="164"/>
      <c r="C38" s="20"/>
      <c r="D38" s="242"/>
      <c r="E38" s="20"/>
      <c r="F38" s="166"/>
      <c r="G38" s="21"/>
      <c r="H38" s="22"/>
      <c r="I38" s="167"/>
      <c r="J38" s="166"/>
      <c r="K38" s="21"/>
      <c r="L38" s="22"/>
      <c r="M38" s="167"/>
      <c r="N38" s="168"/>
      <c r="O38" s="24" t="str">
        <f t="shared" si="4"/>
        <v/>
      </c>
    </row>
    <row r="39" spans="1:15">
      <c r="A39" s="163"/>
      <c r="B39" s="164"/>
      <c r="C39" s="20"/>
      <c r="D39" s="242"/>
      <c r="E39" s="20"/>
      <c r="F39" s="166"/>
      <c r="G39" s="21"/>
      <c r="H39" s="22"/>
      <c r="I39" s="167"/>
      <c r="J39" s="166"/>
      <c r="K39" s="21"/>
      <c r="L39" s="22"/>
      <c r="M39" s="167"/>
      <c r="N39" s="168"/>
      <c r="O39" s="24" t="str">
        <f t="shared" si="4"/>
        <v/>
      </c>
    </row>
    <row r="40" spans="1:15">
      <c r="A40" s="163"/>
      <c r="B40" s="164"/>
      <c r="C40" s="20"/>
      <c r="D40" s="242"/>
      <c r="E40" s="20"/>
      <c r="F40" s="166"/>
      <c r="G40" s="21"/>
      <c r="H40" s="22"/>
      <c r="I40" s="167"/>
      <c r="J40" s="166"/>
      <c r="K40" s="21"/>
      <c r="L40" s="22"/>
      <c r="M40" s="167"/>
      <c r="N40" s="168"/>
      <c r="O40" s="24" t="str">
        <f t="shared" si="4"/>
        <v/>
      </c>
    </row>
    <row r="41" spans="1:15">
      <c r="A41" s="163"/>
      <c r="B41" s="164" t="s">
        <v>25</v>
      </c>
      <c r="C41" s="20"/>
      <c r="D41" s="242" t="s">
        <v>60</v>
      </c>
      <c r="E41" s="20"/>
      <c r="F41" s="166">
        <v>0.39539999999999997</v>
      </c>
      <c r="G41" s="21">
        <f t="shared" si="6"/>
        <v>100</v>
      </c>
      <c r="H41" s="22">
        <f t="shared" si="7"/>
        <v>39.54</v>
      </c>
      <c r="I41" s="167"/>
      <c r="J41" s="290">
        <f>'[3]4.12 PowerSupplExp'!$I$173</f>
        <v>0.2787</v>
      </c>
      <c r="K41" s="21">
        <f t="shared" si="8"/>
        <v>100</v>
      </c>
      <c r="L41" s="22">
        <f t="shared" si="9"/>
        <v>27.87</v>
      </c>
      <c r="M41" s="167"/>
      <c r="N41" s="168">
        <f t="shared" si="3"/>
        <v>-11.669999999999998</v>
      </c>
      <c r="O41" s="24">
        <f t="shared" si="4"/>
        <v>-0.29514415781487097</v>
      </c>
    </row>
    <row r="42" spans="1:15">
      <c r="A42" s="19"/>
      <c r="B42" s="145" t="s">
        <v>26</v>
      </c>
      <c r="C42" s="20"/>
      <c r="D42" s="242" t="s">
        <v>60</v>
      </c>
      <c r="E42" s="20"/>
      <c r="F42" s="166">
        <f>IF(ISBLANK(D16)=1, 0, IF(D16="TOU", 0.64*$F$52+0.18*$F$53+0.18*$F$54, IF(AND(D16="non-TOU", G56&gt;0), F56,F55)))</f>
        <v>0.11183999999999999</v>
      </c>
      <c r="G42" s="21">
        <f>$F$18*(1+$F$71)-$F$18</f>
        <v>3.8999999999999915</v>
      </c>
      <c r="H42" s="22">
        <f t="shared" si="7"/>
        <v>0.43617599999999901</v>
      </c>
      <c r="I42" s="167"/>
      <c r="J42" s="166">
        <f>0.64*$F$52+0.18*$F$53+0.18*$F$54</f>
        <v>0.11183999999999999</v>
      </c>
      <c r="K42" s="21">
        <f>$F$18*(1+$J$71)-$F$18</f>
        <v>4.5700000000000074</v>
      </c>
      <c r="L42" s="22">
        <f t="shared" si="9"/>
        <v>0.51110880000000081</v>
      </c>
      <c r="M42" s="167"/>
      <c r="N42" s="168">
        <f t="shared" si="3"/>
        <v>7.4932800000001798E-2</v>
      </c>
      <c r="O42" s="24">
        <f t="shared" si="4"/>
        <v>0.17179487179487632</v>
      </c>
    </row>
    <row r="43" spans="1:15">
      <c r="A43" s="19"/>
      <c r="B43" s="145"/>
      <c r="C43" s="20"/>
      <c r="D43" s="242"/>
      <c r="E43" s="20"/>
      <c r="F43" s="166"/>
      <c r="G43" s="21"/>
      <c r="H43" s="22"/>
      <c r="I43" s="167"/>
      <c r="J43" s="21"/>
      <c r="K43" s="21"/>
      <c r="L43" s="22">
        <f t="shared" si="9"/>
        <v>0</v>
      </c>
      <c r="M43" s="167"/>
      <c r="N43" s="168">
        <f t="shared" si="3"/>
        <v>0</v>
      </c>
      <c r="O43" s="24"/>
    </row>
    <row r="44" spans="1:15" ht="25.5">
      <c r="B44" s="175" t="s">
        <v>28</v>
      </c>
      <c r="C44" s="176"/>
      <c r="D44" s="176"/>
      <c r="E44" s="176"/>
      <c r="F44" s="177"/>
      <c r="G44" s="178"/>
      <c r="H44" s="179">
        <f>SUM(H35:H43)+H34</f>
        <v>483.58617600000002</v>
      </c>
      <c r="I44" s="28"/>
      <c r="J44" s="178"/>
      <c r="K44" s="180"/>
      <c r="L44" s="179">
        <f>SUM(L35:L43)+L34</f>
        <v>557.13110879999999</v>
      </c>
      <c r="M44" s="28"/>
      <c r="N44" s="161">
        <f t="shared" si="3"/>
        <v>73.54493279999997</v>
      </c>
      <c r="O44" s="162">
        <f t="shared" ref="O44:O62" si="10">IF((H44)=0,"",(N44/H44))</f>
        <v>0.15208237218096152</v>
      </c>
    </row>
    <row r="45" spans="1:15">
      <c r="B45" s="181" t="s">
        <v>29</v>
      </c>
      <c r="C45" s="28"/>
      <c r="D45" s="146" t="s">
        <v>60</v>
      </c>
      <c r="E45" s="28"/>
      <c r="F45" s="31">
        <v>2.3683000000000001</v>
      </c>
      <c r="G45" s="29">
        <f>F18*(1+F71)</f>
        <v>103.89999999999999</v>
      </c>
      <c r="H45" s="16">
        <f>G45*F45</f>
        <v>246.06636999999998</v>
      </c>
      <c r="I45" s="28"/>
      <c r="J45" s="289">
        <f>'[3]4.12 PowerSupplExp'!$N$60</f>
        <v>2.221074480589547</v>
      </c>
      <c r="K45" s="30">
        <f>F18*(1+J71)</f>
        <v>104.57000000000001</v>
      </c>
      <c r="L45" s="16">
        <f>K45*J45</f>
        <v>232.25775843524895</v>
      </c>
      <c r="M45" s="28"/>
      <c r="N45" s="149">
        <f t="shared" si="3"/>
        <v>-13.808611564751033</v>
      </c>
      <c r="O45" s="18">
        <f t="shared" si="10"/>
        <v>-5.6117427037067416E-2</v>
      </c>
    </row>
    <row r="46" spans="1:15" ht="25.5">
      <c r="B46" s="183" t="s">
        <v>30</v>
      </c>
      <c r="C46" s="28"/>
      <c r="D46" s="146" t="s">
        <v>60</v>
      </c>
      <c r="E46" s="28"/>
      <c r="F46" s="31">
        <v>1.5959000000000001</v>
      </c>
      <c r="G46" s="29">
        <f>G45</f>
        <v>103.89999999999999</v>
      </c>
      <c r="H46" s="16">
        <f>G46*F46</f>
        <v>165.81401</v>
      </c>
      <c r="I46" s="28"/>
      <c r="J46" s="289">
        <f>'[3]4.12 PowerSupplExp'!$N$76</f>
        <v>1.6062498283035462</v>
      </c>
      <c r="K46" s="30">
        <f>K45</f>
        <v>104.57000000000001</v>
      </c>
      <c r="L46" s="16">
        <f>K46*J46</f>
        <v>167.96554454570185</v>
      </c>
      <c r="M46" s="28"/>
      <c r="N46" s="149">
        <f t="shared" si="3"/>
        <v>2.1515345457018498</v>
      </c>
      <c r="O46" s="18">
        <f t="shared" si="10"/>
        <v>1.2975589612131386E-2</v>
      </c>
    </row>
    <row r="47" spans="1:15" ht="25.5">
      <c r="B47" s="175" t="s">
        <v>31</v>
      </c>
      <c r="C47" s="154"/>
      <c r="D47" s="154"/>
      <c r="E47" s="154"/>
      <c r="F47" s="184"/>
      <c r="G47" s="178"/>
      <c r="H47" s="179">
        <f>SUM(H44:H46)</f>
        <v>895.46655600000008</v>
      </c>
      <c r="I47" s="185"/>
      <c r="J47" s="186"/>
      <c r="K47" s="187"/>
      <c r="L47" s="179">
        <f>SUM(L44:L46)</f>
        <v>957.35441178095073</v>
      </c>
      <c r="M47" s="185"/>
      <c r="N47" s="161">
        <f t="shared" si="3"/>
        <v>61.887855780950645</v>
      </c>
      <c r="O47" s="162">
        <f t="shared" si="10"/>
        <v>6.9112414490832913E-2</v>
      </c>
    </row>
    <row r="48" spans="1:15" ht="25.5">
      <c r="B48" s="145" t="s">
        <v>32</v>
      </c>
      <c r="C48" s="20"/>
      <c r="D48" s="188" t="s">
        <v>23</v>
      </c>
      <c r="E48" s="14"/>
      <c r="F48" s="31">
        <v>3.5999999999999999E-3</v>
      </c>
      <c r="G48" s="29">
        <f>G46</f>
        <v>103.89999999999999</v>
      </c>
      <c r="H48" s="16">
        <f t="shared" ref="H48:H54" si="11">G48*F48</f>
        <v>0.37403999999999998</v>
      </c>
      <c r="I48" s="28"/>
      <c r="J48" s="289">
        <v>3.5999999999999999E-3</v>
      </c>
      <c r="K48" s="30">
        <f>K46</f>
        <v>104.57000000000001</v>
      </c>
      <c r="L48" s="16">
        <f t="shared" ref="L48:L54" si="12">K48*J48</f>
        <v>0.37645200000000001</v>
      </c>
      <c r="M48" s="28"/>
      <c r="N48" s="149">
        <f t="shared" si="3"/>
        <v>2.4120000000000252E-3</v>
      </c>
      <c r="O48" s="18">
        <f t="shared" si="10"/>
        <v>6.4485081809432824E-3</v>
      </c>
    </row>
    <row r="49" spans="2:19" ht="25.5">
      <c r="B49" s="145" t="s">
        <v>33</v>
      </c>
      <c r="C49" s="20"/>
      <c r="D49" s="188" t="s">
        <v>23</v>
      </c>
      <c r="E49" s="14"/>
      <c r="F49" s="31">
        <v>1.2999999999999999E-3</v>
      </c>
      <c r="G49" s="29">
        <f>G46</f>
        <v>103.89999999999999</v>
      </c>
      <c r="H49" s="16">
        <f t="shared" si="11"/>
        <v>0.13507</v>
      </c>
      <c r="I49" s="28"/>
      <c r="J49" s="289">
        <v>1.2999999999999999E-3</v>
      </c>
      <c r="K49" s="30">
        <f>K46</f>
        <v>104.57000000000001</v>
      </c>
      <c r="L49" s="16">
        <f t="shared" si="12"/>
        <v>0.13594100000000001</v>
      </c>
      <c r="M49" s="28"/>
      <c r="N49" s="149">
        <f t="shared" si="3"/>
        <v>8.7100000000001065E-4</v>
      </c>
      <c r="O49" s="18">
        <f t="shared" si="10"/>
        <v>6.4485081809432937E-3</v>
      </c>
    </row>
    <row r="50" spans="2:19" ht="25.5">
      <c r="B50" s="145" t="s">
        <v>34</v>
      </c>
      <c r="C50" s="20"/>
      <c r="D50" s="188" t="s">
        <v>19</v>
      </c>
      <c r="E50" s="14"/>
      <c r="F50" s="31">
        <v>0.25</v>
      </c>
      <c r="G50" s="15">
        <v>1</v>
      </c>
      <c r="H50" s="16">
        <f t="shared" si="11"/>
        <v>0.25</v>
      </c>
      <c r="I50" s="28"/>
      <c r="J50" s="289">
        <v>0.25</v>
      </c>
      <c r="K50" s="17">
        <v>1</v>
      </c>
      <c r="L50" s="16">
        <f t="shared" si="12"/>
        <v>0.25</v>
      </c>
      <c r="M50" s="28"/>
      <c r="N50" s="149">
        <f t="shared" si="3"/>
        <v>0</v>
      </c>
      <c r="O50" s="18">
        <f t="shared" si="10"/>
        <v>0</v>
      </c>
    </row>
    <row r="51" spans="2:19">
      <c r="B51" s="145" t="s">
        <v>67</v>
      </c>
      <c r="C51" s="20"/>
      <c r="D51" s="188" t="s">
        <v>23</v>
      </c>
      <c r="E51" s="14"/>
      <c r="F51" s="31">
        <v>1.1000000000000001E-3</v>
      </c>
      <c r="G51" s="29">
        <f>F18</f>
        <v>100</v>
      </c>
      <c r="H51" s="16">
        <f t="shared" si="11"/>
        <v>0.11</v>
      </c>
      <c r="I51" s="28"/>
      <c r="J51" s="31">
        <v>1.1000000000000001E-3</v>
      </c>
      <c r="K51" s="30">
        <f>F18</f>
        <v>100</v>
      </c>
      <c r="L51" s="16">
        <f t="shared" si="12"/>
        <v>0.11</v>
      </c>
      <c r="M51" s="28"/>
      <c r="N51" s="149">
        <f t="shared" si="3"/>
        <v>0</v>
      </c>
      <c r="O51" s="18">
        <f t="shared" si="10"/>
        <v>0</v>
      </c>
    </row>
    <row r="52" spans="2:19">
      <c r="B52" s="170" t="s">
        <v>35</v>
      </c>
      <c r="C52" s="20"/>
      <c r="D52" s="188" t="s">
        <v>23</v>
      </c>
      <c r="E52" s="14"/>
      <c r="F52" s="31">
        <v>8.6999999999999994E-2</v>
      </c>
      <c r="G52" s="189">
        <f>0.64*$F$18</f>
        <v>64</v>
      </c>
      <c r="H52" s="16">
        <f t="shared" si="11"/>
        <v>5.5679999999999996</v>
      </c>
      <c r="I52" s="28"/>
      <c r="J52" s="31">
        <v>8.6999999999999994E-2</v>
      </c>
      <c r="K52" s="189">
        <f>G52</f>
        <v>64</v>
      </c>
      <c r="L52" s="16">
        <f t="shared" si="12"/>
        <v>5.5679999999999996</v>
      </c>
      <c r="M52" s="28"/>
      <c r="N52" s="149">
        <f t="shared" si="3"/>
        <v>0</v>
      </c>
      <c r="O52" s="18">
        <f t="shared" si="10"/>
        <v>0</v>
      </c>
      <c r="S52" s="190"/>
    </row>
    <row r="53" spans="2:19">
      <c r="B53" s="170" t="s">
        <v>36</v>
      </c>
      <c r="C53" s="20"/>
      <c r="D53" s="188" t="s">
        <v>23</v>
      </c>
      <c r="E53" s="14"/>
      <c r="F53" s="31">
        <v>0.13200000000000001</v>
      </c>
      <c r="G53" s="189">
        <f>0.18*$F$18</f>
        <v>18</v>
      </c>
      <c r="H53" s="16">
        <f t="shared" si="11"/>
        <v>2.3760000000000003</v>
      </c>
      <c r="I53" s="28"/>
      <c r="J53" s="31">
        <v>0.13200000000000001</v>
      </c>
      <c r="K53" s="189">
        <f>G53</f>
        <v>18</v>
      </c>
      <c r="L53" s="16">
        <f t="shared" si="12"/>
        <v>2.3760000000000003</v>
      </c>
      <c r="M53" s="28"/>
      <c r="N53" s="149">
        <f t="shared" si="3"/>
        <v>0</v>
      </c>
      <c r="O53" s="18">
        <f t="shared" si="10"/>
        <v>0</v>
      </c>
      <c r="S53" s="190"/>
    </row>
    <row r="54" spans="2:19">
      <c r="B54" s="135" t="s">
        <v>37</v>
      </c>
      <c r="C54" s="20"/>
      <c r="D54" s="188" t="s">
        <v>23</v>
      </c>
      <c r="E54" s="14"/>
      <c r="F54" s="31">
        <v>0.18</v>
      </c>
      <c r="G54" s="189">
        <f>0.18*$F$18</f>
        <v>18</v>
      </c>
      <c r="H54" s="16">
        <f t="shared" si="11"/>
        <v>3.2399999999999998</v>
      </c>
      <c r="I54" s="28"/>
      <c r="J54" s="31">
        <v>0.18</v>
      </c>
      <c r="K54" s="189">
        <f>G54</f>
        <v>18</v>
      </c>
      <c r="L54" s="16">
        <f t="shared" si="12"/>
        <v>3.2399999999999998</v>
      </c>
      <c r="M54" s="28"/>
      <c r="N54" s="149">
        <f t="shared" si="3"/>
        <v>0</v>
      </c>
      <c r="O54" s="18">
        <f t="shared" si="10"/>
        <v>0</v>
      </c>
      <c r="S54" s="190"/>
    </row>
    <row r="55" spans="2:19" s="195" customFormat="1">
      <c r="B55" s="191" t="s">
        <v>38</v>
      </c>
      <c r="C55" s="32"/>
      <c r="D55" s="188" t="s">
        <v>23</v>
      </c>
      <c r="E55" s="32"/>
      <c r="F55" s="31">
        <v>0.10299999999999999</v>
      </c>
      <c r="G55" s="192">
        <f>IF(AND($T$1=1, F18&gt;=600), 600, IF(AND($T$1=1, AND(F18&lt;600, F18&gt;=0)), F18, IF(AND($T$1=2, F18&gt;=1000), 1000, IF(AND($T$1=2, AND(F18&lt;1000, F18&gt;=0)), F18))))</f>
        <v>100</v>
      </c>
      <c r="H55" s="16">
        <f>G55*F55</f>
        <v>10.299999999999999</v>
      </c>
      <c r="I55" s="193"/>
      <c r="J55" s="31">
        <v>0.10299999999999999</v>
      </c>
      <c r="K55" s="192">
        <f>G55</f>
        <v>100</v>
      </c>
      <c r="L55" s="16">
        <f>K55*J55</f>
        <v>10.299999999999999</v>
      </c>
      <c r="M55" s="193"/>
      <c r="N55" s="194">
        <f t="shared" si="3"/>
        <v>0</v>
      </c>
      <c r="O55" s="18">
        <f t="shared" si="10"/>
        <v>0</v>
      </c>
    </row>
    <row r="56" spans="2:19" s="195" customFormat="1" ht="13.5" thickBot="1">
      <c r="B56" s="191" t="s">
        <v>39</v>
      </c>
      <c r="C56" s="32"/>
      <c r="D56" s="188" t="s">
        <v>23</v>
      </c>
      <c r="E56" s="32"/>
      <c r="F56" s="31">
        <v>0.121</v>
      </c>
      <c r="G56" s="192">
        <f>IF(AND($T$1=1, F18&gt;=600), F18-600, IF(AND($T$1=1, AND(F18&lt;600, F18&gt;=0)), 0, IF(AND($T$1=2, F18&gt;=1000), F18-1000, IF(AND($T$1=2, AND(F18&lt;1000, F18&gt;=0)), 0))))</f>
        <v>0</v>
      </c>
      <c r="H56" s="16">
        <f>G56*F56</f>
        <v>0</v>
      </c>
      <c r="I56" s="193"/>
      <c r="J56" s="31">
        <v>0.121</v>
      </c>
      <c r="K56" s="192">
        <f>G56</f>
        <v>0</v>
      </c>
      <c r="L56" s="16">
        <f>K56*J56</f>
        <v>0</v>
      </c>
      <c r="M56" s="193"/>
      <c r="N56" s="194">
        <f t="shared" si="3"/>
        <v>0</v>
      </c>
      <c r="O56" s="18" t="str">
        <f t="shared" si="10"/>
        <v/>
      </c>
    </row>
    <row r="57" spans="2:19" ht="13.5" thickBot="1">
      <c r="B57" s="196"/>
      <c r="C57" s="197"/>
      <c r="D57" s="198"/>
      <c r="E57" s="197"/>
      <c r="F57" s="199"/>
      <c r="G57" s="200"/>
      <c r="H57" s="201"/>
      <c r="I57" s="202"/>
      <c r="J57" s="199"/>
      <c r="K57" s="203"/>
      <c r="L57" s="201"/>
      <c r="M57" s="202"/>
      <c r="N57" s="204"/>
      <c r="O57" s="205"/>
    </row>
    <row r="58" spans="2:19" ht="25.5">
      <c r="B58" s="33" t="s">
        <v>40</v>
      </c>
      <c r="C58" s="20"/>
      <c r="D58" s="20"/>
      <c r="E58" s="20"/>
      <c r="F58" s="34"/>
      <c r="G58" s="35"/>
      <c r="H58" s="36">
        <f>SUM(H48:H54,H47)</f>
        <v>907.51966600000003</v>
      </c>
      <c r="I58" s="37"/>
      <c r="J58" s="38"/>
      <c r="K58" s="38"/>
      <c r="L58" s="311">
        <f>SUM(L48:L54,L47)</f>
        <v>969.41080478095068</v>
      </c>
      <c r="M58" s="39"/>
      <c r="N58" s="40">
        <f>L58-H58</f>
        <v>61.891138780950655</v>
      </c>
      <c r="O58" s="41">
        <f>IF((H58)=0,"",(N58/H58))</f>
        <v>6.8198124073435396E-2</v>
      </c>
      <c r="S58" s="190"/>
    </row>
    <row r="59" spans="2:19">
      <c r="B59" s="42" t="s">
        <v>41</v>
      </c>
      <c r="C59" s="20"/>
      <c r="D59" s="20"/>
      <c r="E59" s="20"/>
      <c r="F59" s="43">
        <v>0.13</v>
      </c>
      <c r="G59" s="44"/>
      <c r="H59" s="45">
        <f>H58*F59</f>
        <v>117.97755658000001</v>
      </c>
      <c r="I59" s="46"/>
      <c r="J59" s="47">
        <v>0.13</v>
      </c>
      <c r="K59" s="46"/>
      <c r="L59" s="50">
        <f>L58*J59</f>
        <v>126.0234046215236</v>
      </c>
      <c r="M59" s="49"/>
      <c r="N59" s="50">
        <f t="shared" si="3"/>
        <v>8.045848041523584</v>
      </c>
      <c r="O59" s="18">
        <f t="shared" si="10"/>
        <v>6.8198124073435382E-2</v>
      </c>
      <c r="S59" s="190"/>
    </row>
    <row r="60" spans="2:19">
      <c r="B60" s="206" t="s">
        <v>42</v>
      </c>
      <c r="C60" s="20"/>
      <c r="D60" s="20"/>
      <c r="E60" s="20"/>
      <c r="F60" s="51"/>
      <c r="G60" s="44"/>
      <c r="H60" s="45">
        <f>H58+H59</f>
        <v>1025.49722258</v>
      </c>
      <c r="I60" s="46"/>
      <c r="J60" s="46"/>
      <c r="K60" s="46"/>
      <c r="L60" s="50">
        <f>L58+L59</f>
        <v>1095.4342094024744</v>
      </c>
      <c r="M60" s="49"/>
      <c r="N60" s="50">
        <f t="shared" si="3"/>
        <v>69.93698682247441</v>
      </c>
      <c r="O60" s="18">
        <f t="shared" si="10"/>
        <v>6.8198124073435562E-2</v>
      </c>
      <c r="S60" s="190"/>
    </row>
    <row r="61" spans="2:19">
      <c r="B61" s="299"/>
      <c r="C61" s="299"/>
      <c r="D61" s="299"/>
      <c r="E61" s="20"/>
      <c r="F61" s="51"/>
      <c r="G61" s="44"/>
      <c r="H61" s="52"/>
      <c r="I61" s="46"/>
      <c r="J61" s="46"/>
      <c r="K61" s="46"/>
      <c r="L61" s="54"/>
      <c r="M61" s="49"/>
      <c r="N61" s="54"/>
      <c r="O61" s="55" t="str">
        <f t="shared" si="10"/>
        <v/>
      </c>
    </row>
    <row r="62" spans="2:19" ht="13.5" thickBot="1">
      <c r="B62" s="300" t="s">
        <v>68</v>
      </c>
      <c r="C62" s="300"/>
      <c r="D62" s="300"/>
      <c r="E62" s="14"/>
      <c r="F62" s="207"/>
      <c r="G62" s="208"/>
      <c r="H62" s="209">
        <f>H60+H61</f>
        <v>1025.49722258</v>
      </c>
      <c r="I62" s="210"/>
      <c r="J62" s="210"/>
      <c r="K62" s="210"/>
      <c r="L62" s="312">
        <f>L60+L61</f>
        <v>1095.4342094024744</v>
      </c>
      <c r="M62" s="212"/>
      <c r="N62" s="213">
        <f t="shared" si="3"/>
        <v>69.93698682247441</v>
      </c>
      <c r="O62" s="214">
        <f t="shared" si="10"/>
        <v>6.8198124073435562E-2</v>
      </c>
    </row>
    <row r="63" spans="2:19" s="195" customFormat="1" ht="13.5" thickBot="1">
      <c r="B63" s="215"/>
      <c r="C63" s="216"/>
      <c r="D63" s="217"/>
      <c r="E63" s="216"/>
      <c r="F63" s="199"/>
      <c r="G63" s="218"/>
      <c r="H63" s="201"/>
      <c r="I63" s="219"/>
      <c r="J63" s="199"/>
      <c r="K63" s="220"/>
      <c r="L63" s="201"/>
      <c r="M63" s="219"/>
      <c r="N63" s="221"/>
      <c r="O63" s="205"/>
    </row>
    <row r="64" spans="2:19" s="195" customFormat="1" ht="25.5">
      <c r="B64" s="56" t="s">
        <v>43</v>
      </c>
      <c r="C64" s="32"/>
      <c r="D64" s="32"/>
      <c r="E64" s="32"/>
      <c r="F64" s="57"/>
      <c r="G64" s="58"/>
      <c r="H64" s="59">
        <f>SUM(H55:H56,H47,H48:H51)</f>
        <v>906.63566600000013</v>
      </c>
      <c r="I64" s="60"/>
      <c r="J64" s="61"/>
      <c r="K64" s="61"/>
      <c r="L64" s="313">
        <f>SUM(L55:L56,L47,L48:L51)</f>
        <v>968.52680478095067</v>
      </c>
      <c r="M64" s="62"/>
      <c r="N64" s="63">
        <f>L64-H64</f>
        <v>61.891138780950541</v>
      </c>
      <c r="O64" s="41">
        <f>IF((H64)=0,"",(N64/H64))</f>
        <v>6.8264619518013242E-2</v>
      </c>
    </row>
    <row r="65" spans="1:15" s="195" customFormat="1">
      <c r="B65" s="64" t="s">
        <v>41</v>
      </c>
      <c r="C65" s="32"/>
      <c r="D65" s="32"/>
      <c r="E65" s="32"/>
      <c r="F65" s="65">
        <v>0.13</v>
      </c>
      <c r="G65" s="58"/>
      <c r="H65" s="66">
        <f>H64*F65</f>
        <v>117.86263658000001</v>
      </c>
      <c r="I65" s="67"/>
      <c r="J65" s="68">
        <v>0.13</v>
      </c>
      <c r="K65" s="69"/>
      <c r="L65" s="72">
        <f>L64*J65</f>
        <v>125.9084846215236</v>
      </c>
      <c r="M65" s="71"/>
      <c r="N65" s="72">
        <f>L65-H65</f>
        <v>8.045848041523584</v>
      </c>
      <c r="O65" s="18">
        <f>IF((H65)=0,"",(N65/H65))</f>
        <v>6.8264619518013353E-2</v>
      </c>
    </row>
    <row r="66" spans="1:15" s="195" customFormat="1">
      <c r="B66" s="222" t="s">
        <v>42</v>
      </c>
      <c r="C66" s="32"/>
      <c r="D66" s="32"/>
      <c r="E66" s="32"/>
      <c r="F66" s="73"/>
      <c r="G66" s="74"/>
      <c r="H66" s="66">
        <f>H64+H65</f>
        <v>1024.4983025800002</v>
      </c>
      <c r="I66" s="67"/>
      <c r="J66" s="67"/>
      <c r="K66" s="67"/>
      <c r="L66" s="72">
        <f>L64+L65</f>
        <v>1094.4352894024742</v>
      </c>
      <c r="M66" s="71"/>
      <c r="N66" s="72">
        <f>L66-H66</f>
        <v>69.936986822473955</v>
      </c>
      <c r="O66" s="18">
        <f>IF((H66)=0,"",(N66/H66))</f>
        <v>6.8264619518013089E-2</v>
      </c>
    </row>
    <row r="67" spans="1:15" s="195" customFormat="1" ht="13.5" thickBot="1">
      <c r="B67" s="301"/>
      <c r="C67" s="301"/>
      <c r="D67" s="301"/>
      <c r="E67" s="32"/>
      <c r="F67" s="73"/>
      <c r="G67" s="74"/>
      <c r="H67" s="75"/>
      <c r="I67" s="67"/>
      <c r="J67" s="67"/>
      <c r="K67" s="67"/>
      <c r="L67" s="314"/>
      <c r="M67" s="71"/>
      <c r="N67" s="77"/>
      <c r="O67" s="55" t="str">
        <f>IF((H67)=0,"",(N67/H67))</f>
        <v/>
      </c>
    </row>
    <row r="68" spans="1:15" s="195" customFormat="1" ht="13.5" thickBot="1">
      <c r="B68" s="295" t="s">
        <v>44</v>
      </c>
      <c r="C68" s="295"/>
      <c r="D68" s="295"/>
      <c r="E68" s="32"/>
      <c r="F68" s="73"/>
      <c r="G68" s="74"/>
      <c r="H68" s="59">
        <f>SUM(H66:H67)</f>
        <v>1024.4983025800002</v>
      </c>
      <c r="I68" s="60"/>
      <c r="J68" s="60"/>
      <c r="K68" s="60"/>
      <c r="L68" s="223">
        <f>SUM(L66:L67)</f>
        <v>1094.4352894024742</v>
      </c>
      <c r="M68" s="62"/>
      <c r="N68" s="63">
        <f>L68-H68</f>
        <v>69.936986822473955</v>
      </c>
      <c r="O68" s="41">
        <f>IF((H68)=0,"",(N68/H68))</f>
        <v>6.8264619518013089E-2</v>
      </c>
    </row>
    <row r="69" spans="1:15" s="195" customFormat="1" ht="13.5" thickBot="1">
      <c r="B69" s="215"/>
      <c r="C69" s="216"/>
      <c r="D69" s="217"/>
      <c r="E69" s="216"/>
      <c r="F69" s="224"/>
      <c r="G69" s="225"/>
      <c r="H69" s="226"/>
      <c r="I69" s="227"/>
      <c r="J69" s="224"/>
      <c r="K69" s="218"/>
      <c r="L69" s="228"/>
      <c r="M69" s="219"/>
      <c r="N69" s="229"/>
      <c r="O69" s="205"/>
    </row>
    <row r="70" spans="1:15">
      <c r="L70" s="190"/>
    </row>
    <row r="71" spans="1:15">
      <c r="B71" s="230" t="s">
        <v>45</v>
      </c>
      <c r="F71" s="231">
        <v>3.9E-2</v>
      </c>
      <c r="J71" s="231">
        <v>4.5699999999999998E-2</v>
      </c>
    </row>
    <row r="73" spans="1:15" ht="14.25">
      <c r="A73" s="232" t="s">
        <v>46</v>
      </c>
    </row>
    <row r="75" spans="1:15">
      <c r="A75" s="12" t="s">
        <v>47</v>
      </c>
    </row>
    <row r="76" spans="1:15">
      <c r="A76" s="12" t="s">
        <v>48</v>
      </c>
    </row>
    <row r="78" spans="1:15">
      <c r="A78" s="233" t="s">
        <v>49</v>
      </c>
    </row>
    <row r="79" spans="1:15">
      <c r="A79" s="233" t="s">
        <v>50</v>
      </c>
    </row>
    <row r="81" spans="1:2">
      <c r="A81" s="12" t="s">
        <v>51</v>
      </c>
    </row>
    <row r="82" spans="1:2">
      <c r="A82" s="12" t="s">
        <v>52</v>
      </c>
    </row>
    <row r="83" spans="1:2">
      <c r="A83" s="12" t="s">
        <v>53</v>
      </c>
    </row>
    <row r="84" spans="1:2">
      <c r="A84" s="12" t="s">
        <v>54</v>
      </c>
    </row>
    <row r="85" spans="1:2">
      <c r="A85" s="12" t="s">
        <v>55</v>
      </c>
    </row>
    <row r="87" spans="1:2" ht="51">
      <c r="B87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8:D68"/>
    <mergeCell ref="D21:D22"/>
    <mergeCell ref="N21:N22"/>
    <mergeCell ref="O21:O22"/>
    <mergeCell ref="B61:D61"/>
    <mergeCell ref="B62:D62"/>
    <mergeCell ref="B67:D67"/>
  </mergeCells>
  <dataValidations count="3">
    <dataValidation type="list" allowBlank="1" showInputMessage="1" showErrorMessage="1" sqref="E69 E45:E46 E48:E57 E63 E35:E43 E23:E33">
      <formula1>"#REF!"</formula1>
      <formula2>0</formula2>
    </dataValidation>
    <dataValidation type="list" allowBlank="1" showInputMessage="1" showErrorMessage="1" prompt="Select Charge Unit - monthly, per kWh, per kW" sqref="D69 D35:D43 D45:D46 D63 D48:D57 D23:D33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4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0">
    <pageSetUpPr fitToPage="1"/>
  </sheetPr>
  <dimension ref="A1:T87"/>
  <sheetViews>
    <sheetView showGridLines="0" topLeftCell="A17" workbookViewId="0">
      <selection activeCell="J29" sqref="J29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3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8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89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1"/>
      <c r="N5" s="3"/>
      <c r="O5" s="4"/>
    </row>
    <row r="6" spans="1:20" s="2" customFormat="1" ht="12.75" customHeight="1">
      <c r="B6" s="9"/>
      <c r="G6" s="90"/>
      <c r="K6" s="91"/>
      <c r="N6" s="3"/>
      <c r="O6" s="11"/>
    </row>
    <row r="7" spans="1:20" s="2" customFormat="1" ht="12.75" customHeight="1">
      <c r="B7" s="9"/>
      <c r="G7" s="90"/>
      <c r="K7" s="91"/>
      <c r="N7" s="3"/>
      <c r="O7" s="4"/>
    </row>
    <row r="8" spans="1:20" s="2" customFormat="1" ht="12.75" customHeight="1">
      <c r="B8" s="9"/>
      <c r="G8" s="90"/>
      <c r="K8" s="91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61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68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68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68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</v>
      </c>
      <c r="G18" s="235" t="s">
        <v>62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69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238"/>
      <c r="H22" s="144" t="s">
        <v>17</v>
      </c>
      <c r="J22" s="143" t="s">
        <v>17</v>
      </c>
      <c r="K22" s="270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CurrentTariff'!C95</f>
        <v>2.6</v>
      </c>
      <c r="G23" s="25">
        <v>1</v>
      </c>
      <c r="H23" s="16">
        <f>G23*F23</f>
        <v>2.6</v>
      </c>
      <c r="I23" s="28"/>
      <c r="J23" s="288">
        <v>2.87</v>
      </c>
      <c r="K23" s="94">
        <v>1</v>
      </c>
      <c r="L23" s="16">
        <f>K23*J23</f>
        <v>2.87</v>
      </c>
      <c r="M23" s="28"/>
      <c r="N23" s="149">
        <f>L23-H23</f>
        <v>0.27</v>
      </c>
      <c r="O23" s="18">
        <f>IF((H23)=0,"",(N23/H23))</f>
        <v>0.10384615384615385</v>
      </c>
    </row>
    <row r="24" spans="1:15">
      <c r="A24" s="19"/>
      <c r="B24" s="145"/>
      <c r="C24" s="20"/>
      <c r="D24" s="146"/>
      <c r="E24" s="14"/>
      <c r="F24" s="150"/>
      <c r="G24" s="25"/>
      <c r="H24" s="16"/>
      <c r="I24" s="28"/>
      <c r="J24" s="31"/>
      <c r="K24" s="94"/>
      <c r="L24" s="16"/>
      <c r="M24" s="28"/>
      <c r="N24" s="149"/>
      <c r="O24" s="18" t="str">
        <f>IF((H24)=0,"",(N24/H24))</f>
        <v/>
      </c>
    </row>
    <row r="25" spans="1:15">
      <c r="A25" s="19"/>
      <c r="B25" s="152" t="s">
        <v>66</v>
      </c>
      <c r="C25" s="20"/>
      <c r="D25" s="146" t="s">
        <v>19</v>
      </c>
      <c r="E25" s="14"/>
      <c r="F25" s="150"/>
      <c r="G25" s="25">
        <v>1</v>
      </c>
      <c r="H25" s="16">
        <f t="shared" ref="H25:H31" si="0">G25*F25</f>
        <v>0</v>
      </c>
      <c r="I25" s="28"/>
      <c r="J25" s="289">
        <v>0.12</v>
      </c>
      <c r="K25" s="94">
        <v>1</v>
      </c>
      <c r="L25" s="16">
        <f t="shared" ref="L25:L31" si="1">K25*J25</f>
        <v>0.12</v>
      </c>
      <c r="M25" s="28"/>
      <c r="N25" s="149">
        <f t="shared" ref="N25:N62" si="2">L25-H25</f>
        <v>0.12</v>
      </c>
      <c r="O25" s="18" t="str">
        <f t="shared" ref="O25:O42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/>
      <c r="H26" s="16"/>
      <c r="I26" s="28"/>
      <c r="J26" s="31"/>
      <c r="K26" s="94"/>
      <c r="L26" s="16"/>
      <c r="M26" s="28"/>
      <c r="N26" s="149"/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/>
      <c r="H27" s="16"/>
      <c r="I27" s="28"/>
      <c r="J27" s="31"/>
      <c r="K27" s="94"/>
      <c r="L27" s="16"/>
      <c r="M27" s="28"/>
      <c r="N27" s="149"/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/>
      <c r="H28" s="16"/>
      <c r="I28" s="28"/>
      <c r="J28" s="31"/>
      <c r="K28" s="94"/>
      <c r="L28" s="16"/>
      <c r="M28" s="28"/>
      <c r="N28" s="149"/>
      <c r="O28" s="18" t="str">
        <f t="shared" si="3"/>
        <v/>
      </c>
    </row>
    <row r="29" spans="1:15">
      <c r="A29" s="19"/>
      <c r="B29" s="145" t="s">
        <v>22</v>
      </c>
      <c r="C29" s="20"/>
      <c r="D29" s="146" t="s">
        <v>60</v>
      </c>
      <c r="E29" s="14"/>
      <c r="F29" s="150">
        <f>'[2]B. CurrentTariff'!C96</f>
        <v>7.8817000000000004</v>
      </c>
      <c r="G29" s="25">
        <f t="shared" ref="G29:G33" si="4">$F$18</f>
        <v>1</v>
      </c>
      <c r="H29" s="16">
        <f t="shared" si="0"/>
        <v>7.8817000000000004</v>
      </c>
      <c r="I29" s="28"/>
      <c r="J29" s="289">
        <v>8.9053000000000004</v>
      </c>
      <c r="K29" s="95">
        <f>$F$18</f>
        <v>1</v>
      </c>
      <c r="L29" s="16">
        <f t="shared" si="1"/>
        <v>8.9053000000000004</v>
      </c>
      <c r="M29" s="28"/>
      <c r="N29" s="149">
        <f t="shared" si="2"/>
        <v>1.0236000000000001</v>
      </c>
      <c r="O29" s="18">
        <f t="shared" si="3"/>
        <v>0.12987045941865333</v>
      </c>
    </row>
    <row r="30" spans="1:15">
      <c r="A30" s="19"/>
      <c r="B30" s="145"/>
      <c r="C30" s="20"/>
      <c r="D30" s="146"/>
      <c r="E30" s="14"/>
      <c r="F30" s="150"/>
      <c r="G30" s="25"/>
      <c r="H30" s="16"/>
      <c r="I30" s="28"/>
      <c r="J30" s="31"/>
      <c r="K30" s="95"/>
      <c r="L30" s="16"/>
      <c r="M30" s="28"/>
      <c r="N30" s="149"/>
      <c r="O30" s="18" t="str">
        <f t="shared" si="3"/>
        <v/>
      </c>
    </row>
    <row r="31" spans="1:15" ht="25.5">
      <c r="A31" s="19"/>
      <c r="B31" s="164" t="str">
        <f>'[2]J. DVA'!$B$65</f>
        <v>Rate Rider Calculation for Group 2 Accounts</v>
      </c>
      <c r="C31" s="20"/>
      <c r="D31" s="242" t="s">
        <v>60</v>
      </c>
      <c r="E31" s="14"/>
      <c r="F31" s="150"/>
      <c r="G31" s="25">
        <f t="shared" si="4"/>
        <v>1</v>
      </c>
      <c r="H31" s="16">
        <f t="shared" si="0"/>
        <v>0</v>
      </c>
      <c r="I31" s="28"/>
      <c r="J31" s="289">
        <v>5.8599999999999999E-2</v>
      </c>
      <c r="K31" s="95">
        <f t="shared" ref="K31:K33" si="5">$F$18</f>
        <v>1</v>
      </c>
      <c r="L31" s="16">
        <f t="shared" si="1"/>
        <v>5.8599999999999999E-2</v>
      </c>
      <c r="M31" s="28"/>
      <c r="N31" s="149">
        <f t="shared" si="2"/>
        <v>5.8599999999999999E-2</v>
      </c>
      <c r="O31" s="18" t="str">
        <f t="shared" si="3"/>
        <v/>
      </c>
    </row>
    <row r="32" spans="1:15" ht="25.5">
      <c r="A32" s="19"/>
      <c r="B32" s="164" t="str">
        <f>'[2]J. DVA'!$B$77</f>
        <v>Rate Rider Calculation for Accounts 1575 and 1576</v>
      </c>
      <c r="C32" s="20"/>
      <c r="D32" s="242" t="s">
        <v>60</v>
      </c>
      <c r="E32" s="14"/>
      <c r="F32" s="150"/>
      <c r="G32" s="25">
        <f t="shared" si="4"/>
        <v>1</v>
      </c>
      <c r="H32" s="16">
        <f>G32*F32</f>
        <v>0</v>
      </c>
      <c r="I32" s="28"/>
      <c r="J32" s="289">
        <v>-1.1378999999999999</v>
      </c>
      <c r="K32" s="95">
        <f t="shared" si="5"/>
        <v>1</v>
      </c>
      <c r="L32" s="16">
        <f>K32*J32</f>
        <v>-1.1378999999999999</v>
      </c>
      <c r="M32" s="28"/>
      <c r="N32" s="149">
        <f>L32-H32</f>
        <v>-1.1378999999999999</v>
      </c>
      <c r="O32" s="18" t="str">
        <f>IF((H32)=0,"",(N32/H32))</f>
        <v/>
      </c>
    </row>
    <row r="33" spans="1:15" ht="25.5">
      <c r="A33" s="19"/>
      <c r="B33" s="164" t="str">
        <f>'[2]J. DVA'!$B$91</f>
        <v>Rate Rider Calculation for Accounts 1568</v>
      </c>
      <c r="C33" s="20"/>
      <c r="D33" s="242" t="s">
        <v>60</v>
      </c>
      <c r="E33" s="14"/>
      <c r="F33" s="150"/>
      <c r="G33" s="25">
        <f t="shared" si="4"/>
        <v>1</v>
      </c>
      <c r="H33" s="16">
        <f>G33*F33</f>
        <v>0</v>
      </c>
      <c r="I33" s="28"/>
      <c r="J33" s="289">
        <v>0.1077</v>
      </c>
      <c r="K33" s="95">
        <f t="shared" si="5"/>
        <v>1</v>
      </c>
      <c r="L33" s="16">
        <f>K33*J33</f>
        <v>0.1077</v>
      </c>
      <c r="M33" s="28"/>
      <c r="N33" s="149">
        <f>L33-H33</f>
        <v>0.1077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/>
      <c r="H34" s="16"/>
      <c r="I34" s="28"/>
      <c r="J34" s="31"/>
      <c r="K34" s="95"/>
      <c r="L34" s="16"/>
      <c r="M34" s="28"/>
      <c r="N34" s="149"/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/>
      <c r="H35" s="16"/>
      <c r="I35" s="28"/>
      <c r="J35" s="31"/>
      <c r="K35" s="95"/>
      <c r="L35" s="16"/>
      <c r="M35" s="28"/>
      <c r="N35" s="149"/>
      <c r="O35" s="18" t="str">
        <f t="shared" si="3"/>
        <v/>
      </c>
    </row>
    <row r="36" spans="1:15">
      <c r="A36" s="19"/>
      <c r="B36" s="153" t="s">
        <v>24</v>
      </c>
      <c r="C36" s="154"/>
      <c r="D36" s="155"/>
      <c r="E36" s="154"/>
      <c r="F36" s="156"/>
      <c r="G36" s="240"/>
      <c r="H36" s="158">
        <f>SUM(H23:H35)</f>
        <v>10.4817</v>
      </c>
      <c r="I36" s="28"/>
      <c r="J36" s="159"/>
      <c r="K36" s="271"/>
      <c r="L36" s="158">
        <f>SUM(L23:L35)</f>
        <v>10.9237</v>
      </c>
      <c r="M36" s="28"/>
      <c r="N36" s="161">
        <f t="shared" si="2"/>
        <v>0.44200000000000017</v>
      </c>
      <c r="O36" s="162">
        <f t="shared" si="3"/>
        <v>4.2168732171308107E-2</v>
      </c>
    </row>
    <row r="37" spans="1:15" ht="51">
      <c r="A37" s="163"/>
      <c r="B37" s="164" t="str">
        <f>'[2]J. DVA'!$B$16</f>
        <v>Rate Rider Calculation for Deferral / Variance Accounts Balances (excluding Global Adj.)</v>
      </c>
      <c r="C37" s="20"/>
      <c r="D37" s="242" t="s">
        <v>60</v>
      </c>
      <c r="E37" s="20"/>
      <c r="F37" s="166"/>
      <c r="G37" s="21">
        <f t="shared" ref="G37:G41" si="6">$F$18</f>
        <v>1</v>
      </c>
      <c r="H37" s="22">
        <f t="shared" ref="H37:H42" si="7">G37*F37</f>
        <v>0</v>
      </c>
      <c r="I37" s="167"/>
      <c r="J37" s="290">
        <v>-0.29010000000000002</v>
      </c>
      <c r="K37" s="96">
        <f t="shared" ref="K37:K41" si="8">$F$18</f>
        <v>1</v>
      </c>
      <c r="L37" s="22">
        <f t="shared" ref="L37:L42" si="9">K37*J37</f>
        <v>-0.29010000000000002</v>
      </c>
      <c r="M37" s="167"/>
      <c r="N37" s="168">
        <f t="shared" si="2"/>
        <v>-0.29010000000000002</v>
      </c>
      <c r="O37" s="24" t="str">
        <f>IF((H37)=0,"",(N37/H37))</f>
        <v/>
      </c>
    </row>
    <row r="38" spans="1:15" ht="51">
      <c r="A38" s="169"/>
      <c r="B38" s="164" t="str">
        <f>'[2]J. DVA'!$B$28</f>
        <v>Rate Rider Calculation for Deferral / Variance Accounts Balances (excluding Global Adj.) - NON-WMP</v>
      </c>
      <c r="C38" s="20"/>
      <c r="D38" s="242" t="s">
        <v>60</v>
      </c>
      <c r="E38" s="20"/>
      <c r="F38" s="166"/>
      <c r="G38" s="21">
        <f t="shared" si="6"/>
        <v>1</v>
      </c>
      <c r="H38" s="22">
        <f t="shared" si="7"/>
        <v>0</v>
      </c>
      <c r="I38" s="167"/>
      <c r="J38" s="290">
        <v>-0.93979999999999997</v>
      </c>
      <c r="K38" s="96">
        <f t="shared" si="8"/>
        <v>1</v>
      </c>
      <c r="L38" s="22">
        <f t="shared" si="9"/>
        <v>-0.93979999999999997</v>
      </c>
      <c r="M38" s="167"/>
      <c r="N38" s="168">
        <f t="shared" si="2"/>
        <v>-0.93979999999999997</v>
      </c>
      <c r="O38" s="24" t="str">
        <f>IF((H38)=0,"",(N38/H38))</f>
        <v/>
      </c>
    </row>
    <row r="39" spans="1:15" ht="38.25">
      <c r="A39" s="169"/>
      <c r="B39" s="164" t="str">
        <f>'[2]J. DVA'!$B$40</f>
        <v>Rate Rider Calculation for RSVA - Power - Global Adjustment</v>
      </c>
      <c r="C39" s="20"/>
      <c r="D39" s="242" t="s">
        <v>60</v>
      </c>
      <c r="E39" s="20"/>
      <c r="F39" s="166"/>
      <c r="G39" s="21">
        <f t="shared" si="6"/>
        <v>1</v>
      </c>
      <c r="H39" s="22"/>
      <c r="I39" s="167"/>
      <c r="J39" s="166">
        <v>0</v>
      </c>
      <c r="K39" s="96">
        <f t="shared" si="8"/>
        <v>1</v>
      </c>
      <c r="L39" s="22">
        <f t="shared" si="9"/>
        <v>0</v>
      </c>
      <c r="M39" s="167"/>
      <c r="N39" s="168">
        <f t="shared" si="2"/>
        <v>0</v>
      </c>
      <c r="O39" s="24"/>
    </row>
    <row r="40" spans="1:15">
      <c r="A40" s="163"/>
      <c r="B40" s="164"/>
      <c r="C40" s="20"/>
      <c r="D40" s="242"/>
      <c r="E40" s="20"/>
      <c r="F40" s="166"/>
      <c r="G40" s="21"/>
      <c r="H40" s="22"/>
      <c r="I40" s="167"/>
      <c r="J40" s="166"/>
      <c r="K40" s="96"/>
      <c r="L40" s="22"/>
      <c r="M40" s="167"/>
      <c r="N40" s="168"/>
      <c r="O40" s="24" t="str">
        <f>IF((H40)=0,"",(N40/H40))</f>
        <v/>
      </c>
    </row>
    <row r="41" spans="1:15">
      <c r="A41" s="163"/>
      <c r="B41" s="164" t="s">
        <v>25</v>
      </c>
      <c r="C41" s="20"/>
      <c r="D41" s="242" t="s">
        <v>60</v>
      </c>
      <c r="E41" s="20"/>
      <c r="F41" s="166">
        <v>0.31209999999999999</v>
      </c>
      <c r="G41" s="21">
        <f t="shared" si="6"/>
        <v>1</v>
      </c>
      <c r="H41" s="22">
        <f t="shared" si="7"/>
        <v>0.31209999999999999</v>
      </c>
      <c r="I41" s="167"/>
      <c r="J41" s="290">
        <f>'[3]4.12 PowerSupplExp'!$I$174</f>
        <v>0.22</v>
      </c>
      <c r="K41" s="96">
        <f t="shared" si="8"/>
        <v>1</v>
      </c>
      <c r="L41" s="22">
        <f t="shared" si="9"/>
        <v>0.22</v>
      </c>
      <c r="M41" s="167"/>
      <c r="N41" s="168">
        <f t="shared" si="2"/>
        <v>-9.2099999999999987E-2</v>
      </c>
      <c r="O41" s="24">
        <f>IF((H41)=0,"",(N41/H41))</f>
        <v>-0.29509772508811277</v>
      </c>
    </row>
    <row r="42" spans="1:15">
      <c r="A42" s="19"/>
      <c r="B42" s="145" t="s">
        <v>26</v>
      </c>
      <c r="C42" s="20"/>
      <c r="D42" s="242" t="s">
        <v>60</v>
      </c>
      <c r="E42" s="20"/>
      <c r="F42" s="166">
        <f>IF(ISBLANK(D16)=1, 0, IF(D16="TOU", 0.64*$F$52+0.18*$F$53+0.18*$F$54, IF(AND(D16="non-TOU", G56&gt;0), F56,F55)))</f>
        <v>0.11183999999999999</v>
      </c>
      <c r="G42" s="21">
        <f>$F$18*(1+$F$71)-$F$18</f>
        <v>3.8999999999999924E-2</v>
      </c>
      <c r="H42" s="22">
        <f t="shared" si="7"/>
        <v>4.3617599999999914E-3</v>
      </c>
      <c r="I42" s="167"/>
      <c r="J42" s="166">
        <f>0.64*$F$52+0.18*$F$53+0.18*$F$54</f>
        <v>0.11183999999999999</v>
      </c>
      <c r="K42" s="96">
        <f>$F$18*(1+$J$71)-$F$18</f>
        <v>4.5700000000000074E-2</v>
      </c>
      <c r="L42" s="22">
        <f t="shared" si="9"/>
        <v>5.1110880000000084E-3</v>
      </c>
      <c r="M42" s="167"/>
      <c r="N42" s="168">
        <f t="shared" si="2"/>
        <v>7.4932800000001697E-4</v>
      </c>
      <c r="O42" s="24">
        <f t="shared" si="3"/>
        <v>0.17179487179487601</v>
      </c>
    </row>
    <row r="43" spans="1:15">
      <c r="A43" s="19"/>
      <c r="B43" s="145"/>
      <c r="C43" s="20"/>
      <c r="D43" s="242"/>
      <c r="E43" s="20"/>
      <c r="F43" s="166"/>
      <c r="G43" s="21"/>
      <c r="H43" s="22"/>
      <c r="I43" s="167"/>
      <c r="J43" s="166"/>
      <c r="K43" s="96"/>
      <c r="L43" s="22"/>
      <c r="M43" s="167"/>
      <c r="N43" s="168"/>
      <c r="O43" s="24"/>
    </row>
    <row r="44" spans="1:15" ht="25.5">
      <c r="B44" s="175" t="s">
        <v>28</v>
      </c>
      <c r="C44" s="176"/>
      <c r="D44" s="176"/>
      <c r="E44" s="176"/>
      <c r="F44" s="177"/>
      <c r="G44" s="243"/>
      <c r="H44" s="179">
        <f>SUM(H37:H43)+H36</f>
        <v>10.798161759999999</v>
      </c>
      <c r="I44" s="28"/>
      <c r="J44" s="178"/>
      <c r="K44" s="272"/>
      <c r="L44" s="179">
        <f>SUM(L37:L43)+L36</f>
        <v>9.9189110879999998</v>
      </c>
      <c r="M44" s="28"/>
      <c r="N44" s="161">
        <f t="shared" si="2"/>
        <v>-0.87925067199999951</v>
      </c>
      <c r="O44" s="162">
        <f t="shared" ref="O44:O62" si="10">IF((H44)=0,"",(N44/H44))</f>
        <v>-8.1425958560561479E-2</v>
      </c>
    </row>
    <row r="45" spans="1:15">
      <c r="B45" s="181" t="s">
        <v>29</v>
      </c>
      <c r="C45" s="28"/>
      <c r="D45" s="146" t="s">
        <v>60</v>
      </c>
      <c r="E45" s="28"/>
      <c r="F45" s="31">
        <v>1.7950999999999999</v>
      </c>
      <c r="G45" s="100">
        <f>F18*(1+F71)</f>
        <v>1.0389999999999999</v>
      </c>
      <c r="H45" s="16">
        <f>G45*F45</f>
        <v>1.8651088999999998</v>
      </c>
      <c r="I45" s="28"/>
      <c r="J45" s="289">
        <f>'[3]4.12 PowerSupplExp'!$N$61</f>
        <v>1.6835044305615157</v>
      </c>
      <c r="K45" s="101">
        <f>F18*(1+J71)</f>
        <v>1.0457000000000001</v>
      </c>
      <c r="L45" s="16">
        <f>K45*J45</f>
        <v>1.7604405830381771</v>
      </c>
      <c r="M45" s="28"/>
      <c r="N45" s="149">
        <f t="shared" si="2"/>
        <v>-0.10466831696182277</v>
      </c>
      <c r="O45" s="18">
        <f t="shared" si="10"/>
        <v>-5.6119145086821892E-2</v>
      </c>
    </row>
    <row r="46" spans="1:15" ht="25.5">
      <c r="B46" s="183" t="s">
        <v>30</v>
      </c>
      <c r="C46" s="28"/>
      <c r="D46" s="146" t="s">
        <v>60</v>
      </c>
      <c r="E46" s="28"/>
      <c r="F46" s="31">
        <v>1.2596000000000001</v>
      </c>
      <c r="G46" s="100">
        <f>G45</f>
        <v>1.0389999999999999</v>
      </c>
      <c r="H46" s="16">
        <f>G46*F46</f>
        <v>1.3087244</v>
      </c>
      <c r="I46" s="28"/>
      <c r="J46" s="289">
        <f>'[3]4.12 PowerSupplExp'!$N$77</f>
        <v>1.2677724745637995</v>
      </c>
      <c r="K46" s="101">
        <f>K45</f>
        <v>1.0457000000000001</v>
      </c>
      <c r="L46" s="16">
        <f>K46*J46</f>
        <v>1.3257096766513652</v>
      </c>
      <c r="M46" s="28"/>
      <c r="N46" s="149">
        <f t="shared" si="2"/>
        <v>1.6985276651365178E-2</v>
      </c>
      <c r="O46" s="18">
        <f t="shared" si="10"/>
        <v>1.2978497727531615E-2</v>
      </c>
    </row>
    <row r="47" spans="1:15" ht="25.5">
      <c r="B47" s="175" t="s">
        <v>31</v>
      </c>
      <c r="C47" s="154"/>
      <c r="D47" s="154"/>
      <c r="E47" s="154"/>
      <c r="F47" s="184"/>
      <c r="G47" s="243"/>
      <c r="H47" s="179">
        <f>SUM(H44:H46)</f>
        <v>13.971995059999998</v>
      </c>
      <c r="I47" s="185"/>
      <c r="J47" s="186"/>
      <c r="K47" s="273"/>
      <c r="L47" s="179">
        <f>SUM(L44:L46)</f>
        <v>13.005061347689542</v>
      </c>
      <c r="M47" s="185"/>
      <c r="N47" s="161">
        <f t="shared" si="2"/>
        <v>-0.96693371231045511</v>
      </c>
      <c r="O47" s="162">
        <f t="shared" si="10"/>
        <v>-6.9205128412810596E-2</v>
      </c>
    </row>
    <row r="48" spans="1:15" ht="25.5">
      <c r="B48" s="145" t="s">
        <v>32</v>
      </c>
      <c r="C48" s="20"/>
      <c r="D48" s="188" t="s">
        <v>23</v>
      </c>
      <c r="E48" s="14"/>
      <c r="F48" s="31">
        <v>3.5999999999999999E-3</v>
      </c>
      <c r="G48" s="100">
        <v>10</v>
      </c>
      <c r="H48" s="97">
        <f t="shared" ref="H48:H54" si="11">G48*F48</f>
        <v>3.5999999999999997E-2</v>
      </c>
      <c r="I48" s="19"/>
      <c r="J48" s="31">
        <v>3.5999999999999999E-3</v>
      </c>
      <c r="K48" s="101">
        <v>10</v>
      </c>
      <c r="L48" s="98">
        <f>K48*J48</f>
        <v>3.5999999999999997E-2</v>
      </c>
      <c r="M48" s="28"/>
      <c r="N48" s="274">
        <f t="shared" si="2"/>
        <v>0</v>
      </c>
      <c r="O48" s="18">
        <f>IF((H48)=0,"",(N48/H48))</f>
        <v>0</v>
      </c>
    </row>
    <row r="49" spans="2:19" ht="25.5">
      <c r="B49" s="145" t="s">
        <v>33</v>
      </c>
      <c r="C49" s="20"/>
      <c r="D49" s="188" t="s">
        <v>23</v>
      </c>
      <c r="E49" s="14"/>
      <c r="F49" s="31">
        <v>1.2999999999999999E-3</v>
      </c>
      <c r="G49" s="100">
        <f>G46</f>
        <v>1.0389999999999999</v>
      </c>
      <c r="H49" s="99">
        <f t="shared" si="11"/>
        <v>1.3506999999999998E-3</v>
      </c>
      <c r="I49" s="19"/>
      <c r="J49" s="31">
        <v>1.2999999999999999E-3</v>
      </c>
      <c r="K49" s="101">
        <f>K46</f>
        <v>1.0457000000000001</v>
      </c>
      <c r="L49" s="16">
        <f t="shared" ref="L49:L54" si="12">K49*J49</f>
        <v>1.3594100000000001E-3</v>
      </c>
      <c r="M49" s="28"/>
      <c r="N49" s="149">
        <f t="shared" si="2"/>
        <v>8.7100000000003147E-6</v>
      </c>
      <c r="O49" s="18">
        <f t="shared" si="10"/>
        <v>6.4485081809434481E-3</v>
      </c>
    </row>
    <row r="50" spans="2:19" ht="25.5">
      <c r="B50" s="145" t="s">
        <v>34</v>
      </c>
      <c r="C50" s="20"/>
      <c r="D50" s="188" t="s">
        <v>19</v>
      </c>
      <c r="E50" s="14"/>
      <c r="F50" s="102">
        <v>0.25</v>
      </c>
      <c r="G50" s="25">
        <v>1</v>
      </c>
      <c r="H50" s="99">
        <f t="shared" si="11"/>
        <v>0.25</v>
      </c>
      <c r="I50" s="19"/>
      <c r="J50" s="102">
        <v>0.25</v>
      </c>
      <c r="K50" s="94">
        <v>1</v>
      </c>
      <c r="L50" s="16">
        <f t="shared" si="12"/>
        <v>0.25</v>
      </c>
      <c r="M50" s="28"/>
      <c r="N50" s="149">
        <f t="shared" si="2"/>
        <v>0</v>
      </c>
      <c r="O50" s="18">
        <f t="shared" si="10"/>
        <v>0</v>
      </c>
    </row>
    <row r="51" spans="2:19">
      <c r="B51" s="145" t="s">
        <v>67</v>
      </c>
      <c r="C51" s="20"/>
      <c r="D51" s="188" t="s">
        <v>23</v>
      </c>
      <c r="E51" s="14"/>
      <c r="F51" s="31">
        <v>1.1000000000000001E-3</v>
      </c>
      <c r="G51" s="100">
        <f>F18</f>
        <v>1</v>
      </c>
      <c r="H51" s="99">
        <f t="shared" si="11"/>
        <v>1.1000000000000001E-3</v>
      </c>
      <c r="I51" s="19"/>
      <c r="J51" s="31">
        <v>1.1000000000000001E-3</v>
      </c>
      <c r="K51" s="101">
        <f>F18</f>
        <v>1</v>
      </c>
      <c r="L51" s="16">
        <f t="shared" si="12"/>
        <v>1.1000000000000001E-3</v>
      </c>
      <c r="M51" s="28"/>
      <c r="N51" s="149">
        <f t="shared" si="2"/>
        <v>0</v>
      </c>
      <c r="O51" s="18">
        <f t="shared" si="10"/>
        <v>0</v>
      </c>
    </row>
    <row r="52" spans="2:19">
      <c r="B52" s="170" t="s">
        <v>35</v>
      </c>
      <c r="C52" s="20"/>
      <c r="D52" s="188" t="s">
        <v>23</v>
      </c>
      <c r="E52" s="14"/>
      <c r="F52" s="31">
        <v>8.6999999999999994E-2</v>
      </c>
      <c r="G52" s="247">
        <f>0.64*$F$18</f>
        <v>0.64</v>
      </c>
      <c r="H52" s="99">
        <f t="shared" si="11"/>
        <v>5.568E-2</v>
      </c>
      <c r="I52" s="19"/>
      <c r="J52" s="31">
        <v>8.6999999999999994E-2</v>
      </c>
      <c r="K52" s="275">
        <f>G52</f>
        <v>0.64</v>
      </c>
      <c r="L52" s="16">
        <f t="shared" si="12"/>
        <v>5.568E-2</v>
      </c>
      <c r="M52" s="28"/>
      <c r="N52" s="149">
        <f t="shared" si="2"/>
        <v>0</v>
      </c>
      <c r="O52" s="18">
        <f t="shared" si="10"/>
        <v>0</v>
      </c>
      <c r="S52" s="190"/>
    </row>
    <row r="53" spans="2:19">
      <c r="B53" s="170" t="s">
        <v>36</v>
      </c>
      <c r="C53" s="20"/>
      <c r="D53" s="188" t="s">
        <v>23</v>
      </c>
      <c r="E53" s="14"/>
      <c r="F53" s="31">
        <v>0.13200000000000001</v>
      </c>
      <c r="G53" s="247">
        <f>0.18*$F$18</f>
        <v>0.18</v>
      </c>
      <c r="H53" s="99">
        <f t="shared" si="11"/>
        <v>2.376E-2</v>
      </c>
      <c r="I53" s="19"/>
      <c r="J53" s="31">
        <v>0.13200000000000001</v>
      </c>
      <c r="K53" s="275">
        <f>G53</f>
        <v>0.18</v>
      </c>
      <c r="L53" s="16">
        <f t="shared" si="12"/>
        <v>2.376E-2</v>
      </c>
      <c r="M53" s="28"/>
      <c r="N53" s="149">
        <f t="shared" si="2"/>
        <v>0</v>
      </c>
      <c r="O53" s="18">
        <f t="shared" si="10"/>
        <v>0</v>
      </c>
      <c r="S53" s="190"/>
    </row>
    <row r="54" spans="2:19">
      <c r="B54" s="135" t="s">
        <v>37</v>
      </c>
      <c r="C54" s="20"/>
      <c r="D54" s="188" t="s">
        <v>23</v>
      </c>
      <c r="E54" s="14"/>
      <c r="F54" s="31">
        <v>0.18</v>
      </c>
      <c r="G54" s="247">
        <f>0.18*$F$18</f>
        <v>0.18</v>
      </c>
      <c r="H54" s="99">
        <f t="shared" si="11"/>
        <v>3.2399999999999998E-2</v>
      </c>
      <c r="I54" s="19"/>
      <c r="J54" s="31">
        <v>0.18</v>
      </c>
      <c r="K54" s="275">
        <f>G54</f>
        <v>0.18</v>
      </c>
      <c r="L54" s="16">
        <f t="shared" si="12"/>
        <v>3.2399999999999998E-2</v>
      </c>
      <c r="M54" s="28"/>
      <c r="N54" s="149">
        <f t="shared" si="2"/>
        <v>0</v>
      </c>
      <c r="O54" s="18">
        <f t="shared" si="10"/>
        <v>0</v>
      </c>
      <c r="S54" s="190"/>
    </row>
    <row r="55" spans="2:19" s="195" customFormat="1">
      <c r="B55" s="191" t="s">
        <v>38</v>
      </c>
      <c r="C55" s="32"/>
      <c r="D55" s="188" t="s">
        <v>23</v>
      </c>
      <c r="E55" s="32"/>
      <c r="F55" s="31">
        <v>0.10299999999999999</v>
      </c>
      <c r="G55" s="249">
        <f>IF(AND($T$1=1, F18&gt;=600), 600, IF(AND($T$1=1, AND(F18&lt;600, F18&gt;=0)), F18, IF(AND($T$1=2, F18&gt;=1000), 1000, IF(AND($T$1=2, AND(F18&lt;1000, F18&gt;=0)), F18))))</f>
        <v>1</v>
      </c>
      <c r="H55" s="99">
        <f>G55*F55</f>
        <v>0.10299999999999999</v>
      </c>
      <c r="I55" s="250"/>
      <c r="J55" s="31">
        <v>0.10299999999999999</v>
      </c>
      <c r="K55" s="276">
        <f>G55</f>
        <v>1</v>
      </c>
      <c r="L55" s="16">
        <f>K55*J55</f>
        <v>0.10299999999999999</v>
      </c>
      <c r="M55" s="193"/>
      <c r="N55" s="194">
        <f t="shared" si="2"/>
        <v>0</v>
      </c>
      <c r="O55" s="18">
        <f t="shared" si="10"/>
        <v>0</v>
      </c>
    </row>
    <row r="56" spans="2:19" s="195" customFormat="1" ht="13.5" thickBot="1">
      <c r="B56" s="191" t="s">
        <v>39</v>
      </c>
      <c r="C56" s="32"/>
      <c r="D56" s="188" t="s">
        <v>23</v>
      </c>
      <c r="E56" s="32"/>
      <c r="F56" s="31">
        <v>0.121</v>
      </c>
      <c r="G56" s="249">
        <f>IF(AND($T$1=1, F18&gt;=600), F18-600, IF(AND($T$1=1, AND(F18&lt;600, F18&gt;=0)), 0, IF(AND($T$1=2, F18&gt;=1000), F18-1000, IF(AND($T$1=2, AND(F18&lt;1000, F18&gt;=0)), 0))))</f>
        <v>0</v>
      </c>
      <c r="H56" s="99">
        <f>G56*F56</f>
        <v>0</v>
      </c>
      <c r="I56" s="250"/>
      <c r="J56" s="31">
        <v>0.121</v>
      </c>
      <c r="K56" s="276">
        <f>G56</f>
        <v>0</v>
      </c>
      <c r="L56" s="16">
        <f>K56*J56</f>
        <v>0</v>
      </c>
      <c r="M56" s="193"/>
      <c r="N56" s="194">
        <f t="shared" si="2"/>
        <v>0</v>
      </c>
      <c r="O56" s="18" t="str">
        <f t="shared" si="10"/>
        <v/>
      </c>
    </row>
    <row r="57" spans="2:19" ht="13.5" thickBot="1">
      <c r="B57" s="196"/>
      <c r="C57" s="197"/>
      <c r="D57" s="198"/>
      <c r="E57" s="197"/>
      <c r="F57" s="199"/>
      <c r="G57" s="253"/>
      <c r="H57" s="201"/>
      <c r="I57" s="202"/>
      <c r="J57" s="199"/>
      <c r="K57" s="277"/>
      <c r="L57" s="201"/>
      <c r="M57" s="202"/>
      <c r="N57" s="204"/>
      <c r="O57" s="205"/>
    </row>
    <row r="58" spans="2:19" ht="26.25" thickBot="1">
      <c r="B58" s="33" t="s">
        <v>40</v>
      </c>
      <c r="C58" s="20"/>
      <c r="D58" s="20"/>
      <c r="E58" s="20"/>
      <c r="F58" s="34"/>
      <c r="G58" s="103"/>
      <c r="H58" s="36">
        <f>SUM(H48:H54,H47)</f>
        <v>14.372285759999997</v>
      </c>
      <c r="I58" s="37"/>
      <c r="J58" s="38"/>
      <c r="K58" s="104"/>
      <c r="L58" s="315">
        <f>SUM(L48:L54,L47)</f>
        <v>13.405360757689543</v>
      </c>
      <c r="M58" s="39"/>
      <c r="N58" s="40">
        <f>L58-H58</f>
        <v>-0.96692500231045386</v>
      </c>
      <c r="O58" s="41">
        <f>IF((H58)=0,"",(N58/H58))</f>
        <v>-6.7277051017280501E-2</v>
      </c>
      <c r="S58" s="190"/>
    </row>
    <row r="59" spans="2:19">
      <c r="B59" s="42" t="s">
        <v>41</v>
      </c>
      <c r="C59" s="20"/>
      <c r="D59" s="20"/>
      <c r="E59" s="20"/>
      <c r="F59" s="43">
        <v>0.13</v>
      </c>
      <c r="G59" s="105"/>
      <c r="H59" s="45">
        <f>H58*F59</f>
        <v>1.8683971487999997</v>
      </c>
      <c r="I59" s="46"/>
      <c r="J59" s="47">
        <v>0.13</v>
      </c>
      <c r="K59" s="106"/>
      <c r="L59" s="48">
        <f>L58*J59</f>
        <v>1.7426968984996407</v>
      </c>
      <c r="M59" s="49"/>
      <c r="N59" s="50">
        <f t="shared" si="2"/>
        <v>-0.12570025030035903</v>
      </c>
      <c r="O59" s="18">
        <f t="shared" si="10"/>
        <v>-6.7277051017280515E-2</v>
      </c>
      <c r="S59" s="190"/>
    </row>
    <row r="60" spans="2:19">
      <c r="B60" s="206" t="s">
        <v>42</v>
      </c>
      <c r="C60" s="20"/>
      <c r="D60" s="20"/>
      <c r="E60" s="20"/>
      <c r="F60" s="51"/>
      <c r="G60" s="105"/>
      <c r="H60" s="45">
        <f>H58+H59</f>
        <v>16.240682908799997</v>
      </c>
      <c r="I60" s="46"/>
      <c r="J60" s="46"/>
      <c r="K60" s="106"/>
      <c r="L60" s="48">
        <f>L58+L59</f>
        <v>15.148057656189184</v>
      </c>
      <c r="M60" s="49"/>
      <c r="N60" s="50">
        <f t="shared" si="2"/>
        <v>-1.0926252526108122</v>
      </c>
      <c r="O60" s="18">
        <f t="shared" si="10"/>
        <v>-6.7277051017280459E-2</v>
      </c>
      <c r="S60" s="190"/>
    </row>
    <row r="61" spans="2:19">
      <c r="B61" s="299"/>
      <c r="C61" s="299"/>
      <c r="D61" s="299"/>
      <c r="E61" s="20"/>
      <c r="F61" s="51"/>
      <c r="G61" s="105"/>
      <c r="H61" s="52"/>
      <c r="I61" s="46"/>
      <c r="J61" s="46"/>
      <c r="K61" s="106"/>
      <c r="L61" s="53"/>
      <c r="M61" s="49"/>
      <c r="N61" s="54"/>
      <c r="O61" s="55" t="str">
        <f t="shared" si="10"/>
        <v/>
      </c>
    </row>
    <row r="62" spans="2:19" ht="13.5" thickBot="1">
      <c r="B62" s="300" t="s">
        <v>68</v>
      </c>
      <c r="C62" s="300"/>
      <c r="D62" s="300"/>
      <c r="E62" s="14"/>
      <c r="F62" s="207"/>
      <c r="G62" s="255"/>
      <c r="H62" s="209">
        <f>H60+H61</f>
        <v>16.240682908799997</v>
      </c>
      <c r="I62" s="210"/>
      <c r="J62" s="210"/>
      <c r="K62" s="278"/>
      <c r="L62" s="211">
        <f>L60+L61</f>
        <v>15.148057656189184</v>
      </c>
      <c r="M62" s="212"/>
      <c r="N62" s="213">
        <f t="shared" si="2"/>
        <v>-1.0926252526108122</v>
      </c>
      <c r="O62" s="214">
        <f t="shared" si="10"/>
        <v>-6.7277051017280459E-2</v>
      </c>
    </row>
    <row r="63" spans="2:19" s="195" customFormat="1" ht="13.5" thickBot="1">
      <c r="B63" s="215"/>
      <c r="C63" s="216"/>
      <c r="D63" s="217"/>
      <c r="E63" s="216"/>
      <c r="F63" s="199"/>
      <c r="G63" s="256"/>
      <c r="H63" s="201"/>
      <c r="I63" s="219"/>
      <c r="J63" s="199"/>
      <c r="K63" s="279"/>
      <c r="L63" s="201"/>
      <c r="M63" s="219"/>
      <c r="N63" s="221"/>
      <c r="O63" s="205"/>
    </row>
    <row r="64" spans="2:19" s="195" customFormat="1" ht="26.25" thickBot="1">
      <c r="B64" s="56" t="s">
        <v>43</v>
      </c>
      <c r="C64" s="32"/>
      <c r="D64" s="32"/>
      <c r="E64" s="32"/>
      <c r="F64" s="57"/>
      <c r="G64" s="107"/>
      <c r="H64" s="59">
        <f>SUM(H55:H56,H47,H48:H51)</f>
        <v>14.363445759999996</v>
      </c>
      <c r="I64" s="60"/>
      <c r="J64" s="61"/>
      <c r="K64" s="108"/>
      <c r="L64" s="316">
        <f>SUM(L55:L56,L47,L48:L51)</f>
        <v>13.39652075768954</v>
      </c>
      <c r="M64" s="62"/>
      <c r="N64" s="63">
        <f>L64-H64</f>
        <v>-0.96692500231045564</v>
      </c>
      <c r="O64" s="41">
        <f>IF((H64)=0,"",(N64/H64))</f>
        <v>-6.7318456759393644E-2</v>
      </c>
    </row>
    <row r="65" spans="1:15" s="195" customFormat="1">
      <c r="B65" s="64" t="s">
        <v>41</v>
      </c>
      <c r="C65" s="32"/>
      <c r="D65" s="32"/>
      <c r="E65" s="32"/>
      <c r="F65" s="65">
        <v>0.13</v>
      </c>
      <c r="G65" s="107"/>
      <c r="H65" s="66">
        <f>H64*F65</f>
        <v>1.8672479487999996</v>
      </c>
      <c r="I65" s="67"/>
      <c r="J65" s="68">
        <v>0.13</v>
      </c>
      <c r="K65" s="109"/>
      <c r="L65" s="70">
        <f>L64*J65</f>
        <v>1.7415476984996403</v>
      </c>
      <c r="M65" s="71"/>
      <c r="N65" s="72">
        <f>L65-H65</f>
        <v>-0.12570025030035925</v>
      </c>
      <c r="O65" s="18">
        <f>IF((H65)=0,"",(N65/H65))</f>
        <v>-6.7318456759393644E-2</v>
      </c>
    </row>
    <row r="66" spans="1:15" s="195" customFormat="1">
      <c r="B66" s="222" t="s">
        <v>42</v>
      </c>
      <c r="C66" s="32"/>
      <c r="D66" s="32"/>
      <c r="E66" s="32"/>
      <c r="F66" s="73"/>
      <c r="G66" s="110"/>
      <c r="H66" s="66">
        <f>H64+H65</f>
        <v>16.230693708799997</v>
      </c>
      <c r="I66" s="67"/>
      <c r="J66" s="67"/>
      <c r="K66" s="111"/>
      <c r="L66" s="70">
        <f>L64+L65</f>
        <v>15.138068456189181</v>
      </c>
      <c r="M66" s="71"/>
      <c r="N66" s="72">
        <f>L66-H66</f>
        <v>-1.0926252526108158</v>
      </c>
      <c r="O66" s="18">
        <f>IF((H66)=0,"",(N66/H66))</f>
        <v>-6.7318456759393686E-2</v>
      </c>
    </row>
    <row r="67" spans="1:15" s="195" customFormat="1">
      <c r="B67" s="301"/>
      <c r="C67" s="301"/>
      <c r="D67" s="301"/>
      <c r="E67" s="32"/>
      <c r="F67" s="73"/>
      <c r="G67" s="110"/>
      <c r="H67" s="75"/>
      <c r="I67" s="67"/>
      <c r="J67" s="67"/>
      <c r="K67" s="111"/>
      <c r="L67" s="76"/>
      <c r="M67" s="71"/>
      <c r="N67" s="77"/>
      <c r="O67" s="55" t="str">
        <f>IF((H67)=0,"",(N67/H67))</f>
        <v/>
      </c>
    </row>
    <row r="68" spans="1:15" s="195" customFormat="1" ht="13.5" thickBot="1">
      <c r="B68" s="295" t="s">
        <v>73</v>
      </c>
      <c r="C68" s="295"/>
      <c r="D68" s="295"/>
      <c r="E68" s="32"/>
      <c r="F68" s="73"/>
      <c r="G68" s="110"/>
      <c r="H68" s="59">
        <f>SUM(H66:H67)</f>
        <v>16.230693708799997</v>
      </c>
      <c r="I68" s="60"/>
      <c r="J68" s="60"/>
      <c r="K68" s="280"/>
      <c r="L68" s="223">
        <f>SUM(L66:L67)</f>
        <v>15.138068456189181</v>
      </c>
      <c r="M68" s="62"/>
      <c r="N68" s="63">
        <f>L68-H68</f>
        <v>-1.0926252526108158</v>
      </c>
      <c r="O68" s="41">
        <f>IF((H68)=0,"",(N68/H68))</f>
        <v>-6.7318456759393686E-2</v>
      </c>
    </row>
    <row r="69" spans="1:15" s="195" customFormat="1" ht="13.5" thickBot="1">
      <c r="B69" s="215"/>
      <c r="C69" s="216"/>
      <c r="D69" s="217"/>
      <c r="E69" s="216"/>
      <c r="F69" s="224"/>
      <c r="G69" s="259"/>
      <c r="H69" s="226"/>
      <c r="I69" s="227"/>
      <c r="J69" s="224"/>
      <c r="K69" s="281"/>
      <c r="L69" s="228"/>
      <c r="M69" s="219"/>
      <c r="N69" s="229"/>
      <c r="O69" s="205"/>
    </row>
    <row r="70" spans="1:15">
      <c r="L70" s="190"/>
    </row>
    <row r="71" spans="1:15">
      <c r="B71" s="230" t="s">
        <v>45</v>
      </c>
      <c r="F71" s="231">
        <v>3.9E-2</v>
      </c>
      <c r="J71" s="231">
        <v>4.5699999999999998E-2</v>
      </c>
    </row>
    <row r="73" spans="1:15" ht="14.25">
      <c r="A73" s="232" t="s">
        <v>46</v>
      </c>
    </row>
    <row r="75" spans="1:15">
      <c r="A75" s="12" t="s">
        <v>47</v>
      </c>
    </row>
    <row r="76" spans="1:15">
      <c r="A76" s="12" t="s">
        <v>48</v>
      </c>
    </row>
    <row r="78" spans="1:15">
      <c r="A78" s="233" t="s">
        <v>49</v>
      </c>
    </row>
    <row r="79" spans="1:15">
      <c r="A79" s="233" t="s">
        <v>50</v>
      </c>
    </row>
    <row r="81" spans="1:2">
      <c r="A81" s="12" t="s">
        <v>51</v>
      </c>
    </row>
    <row r="82" spans="1:2">
      <c r="A82" s="12" t="s">
        <v>52</v>
      </c>
    </row>
    <row r="83" spans="1:2">
      <c r="A83" s="12" t="s">
        <v>53</v>
      </c>
    </row>
    <row r="84" spans="1:2">
      <c r="A84" s="12" t="s">
        <v>54</v>
      </c>
    </row>
    <row r="85" spans="1:2">
      <c r="A85" s="12" t="s">
        <v>55</v>
      </c>
    </row>
    <row r="87" spans="1:2" ht="51">
      <c r="B87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8:D68"/>
    <mergeCell ref="D21:D22"/>
    <mergeCell ref="N21:N22"/>
    <mergeCell ref="O21:O22"/>
    <mergeCell ref="B61:D61"/>
    <mergeCell ref="B62:D62"/>
    <mergeCell ref="B67:D67"/>
  </mergeCells>
  <dataValidations count="3">
    <dataValidation type="list" allowBlank="1" showInputMessage="1" showErrorMessage="1" sqref="E69 E45:E46 E48:E57 E63 E23:E35 E37:E43">
      <formula1>"#REF!"</formula1>
      <formula2>0</formula2>
    </dataValidation>
    <dataValidation type="list" allowBlank="1" showInputMessage="1" showErrorMessage="1" prompt="Select Charge Unit - monthly, per kWh, per kW" sqref="D69 D45:D46 D63 D48:D57 D23:D35 D37:D43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4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1">
    <pageSetUpPr fitToPage="1"/>
  </sheetPr>
  <dimension ref="A1:T88"/>
  <sheetViews>
    <sheetView showGridLines="0" topLeftCell="A13" workbookViewId="0">
      <selection activeCell="L17" sqref="L1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5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1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63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115</v>
      </c>
      <c r="G18" s="235" t="s">
        <v>62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CurrentTariff'!C116</f>
        <v>2.2200000000000002</v>
      </c>
      <c r="G23" s="25">
        <v>2300</v>
      </c>
      <c r="H23" s="16">
        <f>G23*F23</f>
        <v>5106</v>
      </c>
      <c r="I23" s="28"/>
      <c r="J23" s="288">
        <v>2.33</v>
      </c>
      <c r="K23" s="112">
        <v>2300</v>
      </c>
      <c r="L23" s="16">
        <f>K23*J23</f>
        <v>5359</v>
      </c>
      <c r="M23" s="28"/>
      <c r="N23" s="149">
        <f>L23-H23</f>
        <v>253</v>
      </c>
      <c r="O23" s="18">
        <f>IF((H23)=0,"",(N23/H23))</f>
        <v>4.954954954954955E-2</v>
      </c>
    </row>
    <row r="24" spans="1:15">
      <c r="A24" s="19"/>
      <c r="B24" s="145" t="s">
        <v>66</v>
      </c>
      <c r="C24" s="20"/>
      <c r="D24" s="146" t="s">
        <v>19</v>
      </c>
      <c r="E24" s="14"/>
      <c r="F24" s="150"/>
      <c r="G24" s="25">
        <v>1</v>
      </c>
      <c r="H24" s="16">
        <f t="shared" ref="H24:H31" si="0">G24*F24</f>
        <v>0</v>
      </c>
      <c r="I24" s="28"/>
      <c r="J24" s="289">
        <v>0.04</v>
      </c>
      <c r="K24" s="112">
        <v>1</v>
      </c>
      <c r="L24" s="16">
        <f>K24*J24</f>
        <v>0.04</v>
      </c>
      <c r="M24" s="28"/>
      <c r="N24" s="149">
        <f>L24-H24</f>
        <v>0.04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/>
      <c r="H25" s="16"/>
      <c r="I25" s="28"/>
      <c r="J25" s="31"/>
      <c r="K25" s="112"/>
      <c r="L25" s="16"/>
      <c r="M25" s="28"/>
      <c r="N25" s="149"/>
      <c r="O25" s="18" t="str">
        <f t="shared" ref="O25:O43" si="1">IF((H25)=0,"",(N25/H25))</f>
        <v/>
      </c>
    </row>
    <row r="26" spans="1:15">
      <c r="A26" s="19"/>
      <c r="B26" s="152"/>
      <c r="C26" s="20"/>
      <c r="D26" s="146"/>
      <c r="E26" s="14"/>
      <c r="F26" s="150"/>
      <c r="G26" s="25"/>
      <c r="H26" s="16"/>
      <c r="I26" s="28"/>
      <c r="J26" s="31"/>
      <c r="K26" s="112"/>
      <c r="L26" s="16"/>
      <c r="M26" s="28"/>
      <c r="N26" s="149"/>
      <c r="O26" s="18" t="str">
        <f t="shared" si="1"/>
        <v/>
      </c>
    </row>
    <row r="27" spans="1:15">
      <c r="A27" s="19"/>
      <c r="B27" s="152"/>
      <c r="C27" s="20"/>
      <c r="D27" s="146"/>
      <c r="E27" s="14"/>
      <c r="F27" s="150"/>
      <c r="G27" s="25"/>
      <c r="H27" s="16"/>
      <c r="I27" s="28"/>
      <c r="J27" s="31"/>
      <c r="K27" s="112"/>
      <c r="L27" s="16"/>
      <c r="M27" s="28"/>
      <c r="N27" s="149"/>
      <c r="O27" s="18" t="str">
        <f t="shared" si="1"/>
        <v/>
      </c>
    </row>
    <row r="28" spans="1:15">
      <c r="A28" s="19"/>
      <c r="B28" s="152"/>
      <c r="C28" s="20"/>
      <c r="D28" s="146"/>
      <c r="E28" s="14"/>
      <c r="F28" s="150"/>
      <c r="G28" s="25"/>
      <c r="H28" s="16"/>
      <c r="I28" s="28"/>
      <c r="J28" s="31"/>
      <c r="K28" s="112"/>
      <c r="L28" s="16"/>
      <c r="M28" s="28"/>
      <c r="N28" s="149"/>
      <c r="O28" s="18" t="str">
        <f t="shared" si="1"/>
        <v/>
      </c>
    </row>
    <row r="29" spans="1:15">
      <c r="A29" s="19"/>
      <c r="B29" s="145" t="s">
        <v>22</v>
      </c>
      <c r="C29" s="20"/>
      <c r="D29" s="146" t="s">
        <v>60</v>
      </c>
      <c r="E29" s="14"/>
      <c r="F29" s="150">
        <f>'[2]B. CurrentTariff'!C117</f>
        <v>12.1768</v>
      </c>
      <c r="G29" s="25">
        <f t="shared" ref="G29:G32" si="2">$F$18</f>
        <v>115</v>
      </c>
      <c r="H29" s="16">
        <f t="shared" si="0"/>
        <v>1400.3320000000001</v>
      </c>
      <c r="I29" s="28"/>
      <c r="J29" s="289">
        <v>12.7737</v>
      </c>
      <c r="K29" s="25">
        <f>$F$18</f>
        <v>115</v>
      </c>
      <c r="L29" s="16">
        <f t="shared" ref="L29:L31" si="3">K29*J29</f>
        <v>1468.9755</v>
      </c>
      <c r="M29" s="28"/>
      <c r="N29" s="149">
        <f t="shared" ref="N29:N63" si="4">L29-H29</f>
        <v>68.643499999999904</v>
      </c>
      <c r="O29" s="18">
        <f t="shared" si="1"/>
        <v>4.9019446816897634E-2</v>
      </c>
    </row>
    <row r="30" spans="1:15">
      <c r="A30" s="19"/>
      <c r="B30" s="145"/>
      <c r="C30" s="20"/>
      <c r="D30" s="146"/>
      <c r="E30" s="14"/>
      <c r="F30" s="150"/>
      <c r="G30" s="25"/>
      <c r="H30" s="16"/>
      <c r="I30" s="28"/>
      <c r="J30" s="31"/>
      <c r="K30" s="25"/>
      <c r="L30" s="16"/>
      <c r="M30" s="28"/>
      <c r="N30" s="149"/>
      <c r="O30" s="18" t="str">
        <f t="shared" si="1"/>
        <v/>
      </c>
    </row>
    <row r="31" spans="1:15" ht="25.5">
      <c r="A31" s="19"/>
      <c r="B31" s="164" t="str">
        <f>'[2]J. DVA'!$B$65</f>
        <v>Rate Rider Calculation for Group 2 Accounts</v>
      </c>
      <c r="C31" s="20"/>
      <c r="D31" s="242" t="s">
        <v>60</v>
      </c>
      <c r="E31" s="14"/>
      <c r="F31" s="150"/>
      <c r="G31" s="25">
        <f t="shared" si="2"/>
        <v>115</v>
      </c>
      <c r="H31" s="16">
        <f t="shared" si="0"/>
        <v>0</v>
      </c>
      <c r="I31" s="28"/>
      <c r="J31" s="31">
        <v>0.06</v>
      </c>
      <c r="K31" s="25">
        <f t="shared" ref="K31:K32" si="5">$F$18</f>
        <v>115</v>
      </c>
      <c r="L31" s="16">
        <f t="shared" si="3"/>
        <v>6.8999999999999995</v>
      </c>
      <c r="M31" s="28"/>
      <c r="N31" s="149">
        <f t="shared" si="4"/>
        <v>6.8999999999999995</v>
      </c>
      <c r="O31" s="18" t="str">
        <f t="shared" si="1"/>
        <v/>
      </c>
    </row>
    <row r="32" spans="1:15" ht="25.5">
      <c r="A32" s="19"/>
      <c r="B32" s="164" t="str">
        <f>'[2]J. DVA'!$B$77</f>
        <v>Rate Rider Calculation for Accounts 1575 and 1576</v>
      </c>
      <c r="C32" s="20"/>
      <c r="D32" s="242" t="s">
        <v>60</v>
      </c>
      <c r="E32" s="14"/>
      <c r="F32" s="150"/>
      <c r="G32" s="25">
        <f t="shared" si="2"/>
        <v>115</v>
      </c>
      <c r="H32" s="16">
        <f>G32*F32</f>
        <v>0</v>
      </c>
      <c r="I32" s="28"/>
      <c r="J32" s="31">
        <v>-0.14119999999999999</v>
      </c>
      <c r="K32" s="25">
        <f t="shared" si="5"/>
        <v>115</v>
      </c>
      <c r="L32" s="16">
        <f>K32*J32</f>
        <v>-16.238</v>
      </c>
      <c r="M32" s="28"/>
      <c r="N32" s="149">
        <f>L32-H32</f>
        <v>-16.238</v>
      </c>
      <c r="O32" s="18" t="str">
        <f>IF((H32)=0,"",(N32/H32))</f>
        <v/>
      </c>
    </row>
    <row r="33" spans="1:15">
      <c r="A33" s="19"/>
      <c r="B33" s="164"/>
      <c r="C33" s="20"/>
      <c r="D33" s="146"/>
      <c r="E33" s="14"/>
      <c r="F33" s="150"/>
      <c r="G33" s="25"/>
      <c r="H33" s="16"/>
      <c r="I33" s="28"/>
      <c r="J33" s="31"/>
      <c r="K33" s="25"/>
      <c r="L33" s="16"/>
      <c r="M33" s="28"/>
      <c r="N33" s="149"/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/>
      <c r="H34" s="16"/>
      <c r="I34" s="28"/>
      <c r="J34" s="31"/>
      <c r="K34" s="25"/>
      <c r="L34" s="16"/>
      <c r="M34" s="28"/>
      <c r="N34" s="149"/>
      <c r="O34" s="18" t="str">
        <f t="shared" si="1"/>
        <v/>
      </c>
    </row>
    <row r="35" spans="1:15">
      <c r="A35" s="19"/>
      <c r="B35" s="153" t="s">
        <v>24</v>
      </c>
      <c r="C35" s="154"/>
      <c r="D35" s="155"/>
      <c r="E35" s="154"/>
      <c r="F35" s="156"/>
      <c r="G35" s="240"/>
      <c r="H35" s="158">
        <f>SUM(H23:H34)</f>
        <v>6506.3320000000003</v>
      </c>
      <c r="I35" s="28"/>
      <c r="J35" s="159"/>
      <c r="K35" s="261"/>
      <c r="L35" s="158">
        <f>SUM(L23:L34)</f>
        <v>6818.6774999999989</v>
      </c>
      <c r="M35" s="28"/>
      <c r="N35" s="161">
        <f t="shared" si="4"/>
        <v>312.34549999999854</v>
      </c>
      <c r="O35" s="162">
        <f t="shared" si="1"/>
        <v>4.8006388238411218E-2</v>
      </c>
    </row>
    <row r="36" spans="1:15" ht="51">
      <c r="A36" s="163"/>
      <c r="B36" s="164" t="str">
        <f>'[2]J. DVA'!$B$16</f>
        <v>Rate Rider Calculation for Deferral / Variance Accounts Balances (excluding Global Adj.)</v>
      </c>
      <c r="C36" s="20"/>
      <c r="D36" s="146" t="s">
        <v>60</v>
      </c>
      <c r="E36" s="14"/>
      <c r="F36" s="172"/>
      <c r="G36" s="25">
        <f t="shared" ref="G36:G42" si="6">$F$18</f>
        <v>115</v>
      </c>
      <c r="H36" s="26">
        <f t="shared" ref="H36:H43" si="7">G36*F36</f>
        <v>0</v>
      </c>
      <c r="I36" s="173"/>
      <c r="J36" s="291">
        <v>-0.29699999999999999</v>
      </c>
      <c r="K36" s="25">
        <f t="shared" ref="K36:K42" si="8">$F$18</f>
        <v>115</v>
      </c>
      <c r="L36" s="26">
        <f t="shared" ref="L36:L43" si="9">K36*J36</f>
        <v>-34.155000000000001</v>
      </c>
      <c r="M36" s="173"/>
      <c r="N36" s="174">
        <f t="shared" si="4"/>
        <v>-34.155000000000001</v>
      </c>
      <c r="O36" s="27" t="str">
        <f t="shared" si="1"/>
        <v/>
      </c>
    </row>
    <row r="37" spans="1:15" ht="51">
      <c r="A37" s="169"/>
      <c r="B37" s="164" t="str">
        <f>'[2]J. DVA'!$B$28</f>
        <v>Rate Rider Calculation for Deferral / Variance Accounts Balances (excluding Global Adj.) - NON-WMP</v>
      </c>
      <c r="C37" s="20"/>
      <c r="D37" s="242" t="s">
        <v>60</v>
      </c>
      <c r="E37" s="20"/>
      <c r="F37" s="166"/>
      <c r="G37" s="21">
        <f t="shared" si="6"/>
        <v>115</v>
      </c>
      <c r="H37" s="22">
        <f t="shared" si="7"/>
        <v>0</v>
      </c>
      <c r="I37" s="167"/>
      <c r="J37" s="290">
        <v>-0.96209999999999996</v>
      </c>
      <c r="K37" s="21">
        <f t="shared" si="8"/>
        <v>115</v>
      </c>
      <c r="L37" s="22">
        <f t="shared" si="9"/>
        <v>-110.64149999999999</v>
      </c>
      <c r="M37" s="167"/>
      <c r="N37" s="168">
        <f t="shared" si="4"/>
        <v>-110.64149999999999</v>
      </c>
      <c r="O37" s="24" t="str">
        <f t="shared" si="1"/>
        <v/>
      </c>
    </row>
    <row r="38" spans="1:15">
      <c r="A38" s="169"/>
      <c r="B38" s="164"/>
      <c r="C38" s="20"/>
      <c r="D38" s="242"/>
      <c r="E38" s="20"/>
      <c r="F38" s="166"/>
      <c r="G38" s="21"/>
      <c r="H38" s="22"/>
      <c r="I38" s="167"/>
      <c r="J38" s="290"/>
      <c r="K38" s="21"/>
      <c r="L38" s="22"/>
      <c r="M38" s="167"/>
      <c r="N38" s="168"/>
      <c r="O38" s="24" t="str">
        <f t="shared" si="1"/>
        <v/>
      </c>
    </row>
    <row r="39" spans="1:15">
      <c r="A39" s="169"/>
      <c r="B39" s="164"/>
      <c r="C39" s="20"/>
      <c r="D39" s="242"/>
      <c r="E39" s="20"/>
      <c r="F39" s="166"/>
      <c r="G39" s="21"/>
      <c r="H39" s="22"/>
      <c r="I39" s="167"/>
      <c r="J39" s="166"/>
      <c r="K39" s="21"/>
      <c r="L39" s="22"/>
      <c r="M39" s="167"/>
      <c r="N39" s="168"/>
      <c r="O39" s="24" t="str">
        <f t="shared" si="1"/>
        <v/>
      </c>
    </row>
    <row r="40" spans="1:15">
      <c r="A40" s="163"/>
      <c r="B40" s="164"/>
      <c r="C40" s="20"/>
      <c r="D40" s="242"/>
      <c r="E40" s="20"/>
      <c r="F40" s="166"/>
      <c r="G40" s="21"/>
      <c r="H40" s="22"/>
      <c r="I40" s="167"/>
      <c r="J40" s="166"/>
      <c r="K40" s="21"/>
      <c r="L40" s="22"/>
      <c r="M40" s="167"/>
      <c r="N40" s="168"/>
      <c r="O40" s="24" t="str">
        <f t="shared" si="1"/>
        <v/>
      </c>
    </row>
    <row r="41" spans="1:15">
      <c r="A41" s="163"/>
      <c r="B41" s="164"/>
      <c r="C41" s="20"/>
      <c r="D41" s="146"/>
      <c r="E41" s="14"/>
      <c r="F41" s="172"/>
      <c r="G41" s="25"/>
      <c r="H41" s="26"/>
      <c r="I41" s="173"/>
      <c r="J41" s="172"/>
      <c r="K41" s="25"/>
      <c r="L41" s="22"/>
      <c r="M41" s="167"/>
      <c r="N41" s="168"/>
      <c r="O41" s="24" t="str">
        <f t="shared" si="1"/>
        <v/>
      </c>
    </row>
    <row r="42" spans="1:15">
      <c r="A42" s="163" t="s">
        <v>58</v>
      </c>
      <c r="B42" s="151" t="s">
        <v>25</v>
      </c>
      <c r="C42" s="20"/>
      <c r="D42" s="146" t="s">
        <v>60</v>
      </c>
      <c r="E42" s="14"/>
      <c r="F42" s="172">
        <v>0.30570000000000003</v>
      </c>
      <c r="G42" s="25">
        <f t="shared" si="6"/>
        <v>115</v>
      </c>
      <c r="H42" s="26">
        <f t="shared" si="7"/>
        <v>35.155500000000004</v>
      </c>
      <c r="I42" s="173"/>
      <c r="J42" s="291">
        <v>0.2155</v>
      </c>
      <c r="K42" s="25">
        <f t="shared" si="8"/>
        <v>115</v>
      </c>
      <c r="L42" s="26">
        <f t="shared" si="9"/>
        <v>24.782499999999999</v>
      </c>
      <c r="M42" s="173"/>
      <c r="N42" s="174">
        <f t="shared" si="4"/>
        <v>-10.373000000000005</v>
      </c>
      <c r="O42" s="27">
        <f t="shared" si="1"/>
        <v>-0.29506051684658174</v>
      </c>
    </row>
    <row r="43" spans="1:15">
      <c r="A43" s="19"/>
      <c r="B43" s="170" t="s">
        <v>26</v>
      </c>
      <c r="C43" s="20"/>
      <c r="D43" s="146" t="s">
        <v>60</v>
      </c>
      <c r="E43" s="14"/>
      <c r="F43" s="172">
        <f>IF(ISBLANK(D16)=1, 0, IF(D16="TOU", 0.64*$F$53+0.18*$F$54+0.18*$F$55, IF(AND(D16="non-TOU", G57&gt;0), F57,F56)))</f>
        <v>0.11183999999999999</v>
      </c>
      <c r="G43" s="25">
        <f>$F$18*(1+$F$72)-$F$18</f>
        <v>4.4849999999999852</v>
      </c>
      <c r="H43" s="26">
        <f t="shared" si="7"/>
        <v>0.50160239999999834</v>
      </c>
      <c r="I43" s="173"/>
      <c r="J43" s="172">
        <f>0.64*$F$53+0.18*$F$54+0.18*$F$55</f>
        <v>0.11183999999999999</v>
      </c>
      <c r="K43" s="25">
        <f>$F$18*(1+$J$72)-$F$18</f>
        <v>5.2555000000000121</v>
      </c>
      <c r="L43" s="26">
        <f t="shared" si="9"/>
        <v>0.58777512000000132</v>
      </c>
      <c r="M43" s="173"/>
      <c r="N43" s="174">
        <f t="shared" si="4"/>
        <v>8.6172720000002978E-2</v>
      </c>
      <c r="O43" s="27">
        <f t="shared" si="1"/>
        <v>0.17179487179487829</v>
      </c>
    </row>
    <row r="44" spans="1:15">
      <c r="A44" s="19"/>
      <c r="B44" s="170"/>
      <c r="C44" s="20"/>
      <c r="D44" s="146"/>
      <c r="E44" s="14"/>
      <c r="F44" s="172"/>
      <c r="G44" s="25"/>
      <c r="H44" s="26"/>
      <c r="I44" s="173"/>
      <c r="J44" s="172"/>
      <c r="K44" s="25"/>
      <c r="L44" s="26"/>
      <c r="M44" s="173"/>
      <c r="N44" s="174"/>
      <c r="O44" s="27"/>
    </row>
    <row r="45" spans="1:15" ht="25.5">
      <c r="B45" s="175" t="s">
        <v>28</v>
      </c>
      <c r="C45" s="176"/>
      <c r="D45" s="176"/>
      <c r="E45" s="176"/>
      <c r="F45" s="177"/>
      <c r="G45" s="243"/>
      <c r="H45" s="179">
        <f>SUM(H36:H44)+H35</f>
        <v>6541.9891024000008</v>
      </c>
      <c r="I45" s="28"/>
      <c r="J45" s="178"/>
      <c r="K45" s="262"/>
      <c r="L45" s="179">
        <f>SUM(L36:L44)+L35</f>
        <v>6699.2512751199993</v>
      </c>
      <c r="M45" s="28"/>
      <c r="N45" s="161">
        <f t="shared" si="4"/>
        <v>157.26217271999849</v>
      </c>
      <c r="O45" s="162">
        <f t="shared" ref="O45:O63" si="10">IF((H45)=0,"",(N45/H45))</f>
        <v>2.4038892492545597E-2</v>
      </c>
    </row>
    <row r="46" spans="1:15">
      <c r="B46" s="181" t="s">
        <v>29</v>
      </c>
      <c r="C46" s="28"/>
      <c r="D46" s="146" t="s">
        <v>60</v>
      </c>
      <c r="E46" s="28"/>
      <c r="F46" s="31">
        <v>1.786</v>
      </c>
      <c r="G46" s="100">
        <v>115</v>
      </c>
      <c r="H46" s="16">
        <f>G46*F46</f>
        <v>205.39000000000001</v>
      </c>
      <c r="I46" s="28"/>
      <c r="J46" s="289">
        <f>'[3]4.12 PowerSupplExp'!$N$62</f>
        <v>1.6749743229237766</v>
      </c>
      <c r="K46" s="113">
        <v>115</v>
      </c>
      <c r="L46" s="16">
        <f>K46*J46</f>
        <v>192.6220471362343</v>
      </c>
      <c r="M46" s="28"/>
      <c r="N46" s="149">
        <f t="shared" si="4"/>
        <v>-12.767952863765714</v>
      </c>
      <c r="O46" s="18">
        <f t="shared" si="10"/>
        <v>-6.2164432853428667E-2</v>
      </c>
    </row>
    <row r="47" spans="1:15" ht="25.5">
      <c r="B47" s="183" t="s">
        <v>30</v>
      </c>
      <c r="C47" s="28"/>
      <c r="D47" s="146" t="s">
        <v>60</v>
      </c>
      <c r="E47" s="28"/>
      <c r="F47" s="31">
        <v>1.2338</v>
      </c>
      <c r="G47" s="100">
        <v>115</v>
      </c>
      <c r="H47" s="16">
        <f>G47*F47</f>
        <v>141.887</v>
      </c>
      <c r="I47" s="28"/>
      <c r="J47" s="289">
        <f>'[3]4.12 PowerSupplExp'!$N$78</f>
        <v>1.2418007380417413</v>
      </c>
      <c r="K47" s="113">
        <v>115</v>
      </c>
      <c r="L47" s="16">
        <f>K47*J47</f>
        <v>142.80708487480024</v>
      </c>
      <c r="M47" s="28"/>
      <c r="N47" s="149">
        <f t="shared" si="4"/>
        <v>0.92008487480023859</v>
      </c>
      <c r="O47" s="18">
        <f t="shared" si="10"/>
        <v>6.4846312544506448E-3</v>
      </c>
    </row>
    <row r="48" spans="1:15" ht="25.5">
      <c r="B48" s="175" t="s">
        <v>31</v>
      </c>
      <c r="C48" s="154"/>
      <c r="D48" s="154"/>
      <c r="E48" s="154"/>
      <c r="F48" s="184"/>
      <c r="G48" s="243"/>
      <c r="H48" s="179">
        <f>SUM(H45:H47)</f>
        <v>6889.2661024000008</v>
      </c>
      <c r="I48" s="185"/>
      <c r="J48" s="186"/>
      <c r="K48" s="263"/>
      <c r="L48" s="179">
        <f>SUM(L45:L47)</f>
        <v>7034.6804071310335</v>
      </c>
      <c r="M48" s="185"/>
      <c r="N48" s="161">
        <f t="shared" si="4"/>
        <v>145.41430473103264</v>
      </c>
      <c r="O48" s="162">
        <f t="shared" si="10"/>
        <v>2.1107372333952223E-2</v>
      </c>
    </row>
    <row r="49" spans="2:19" ht="25.5">
      <c r="B49" s="145" t="s">
        <v>32</v>
      </c>
      <c r="C49" s="20"/>
      <c r="D49" s="188" t="s">
        <v>23</v>
      </c>
      <c r="E49" s="14"/>
      <c r="F49" s="31">
        <v>3.5999999999999999E-3</v>
      </c>
      <c r="G49" s="100">
        <f>G47</f>
        <v>115</v>
      </c>
      <c r="H49" s="99">
        <f t="shared" ref="H49:H55" si="11">G49*F49</f>
        <v>0.41399999999999998</v>
      </c>
      <c r="I49" s="19"/>
      <c r="J49" s="31">
        <v>3.5999999999999999E-3</v>
      </c>
      <c r="K49" s="113">
        <f>K47</f>
        <v>115</v>
      </c>
      <c r="L49" s="16">
        <f t="shared" ref="L49:L55" si="12">K49*J49</f>
        <v>0.41399999999999998</v>
      </c>
      <c r="M49" s="28"/>
      <c r="N49" s="149">
        <f t="shared" si="4"/>
        <v>0</v>
      </c>
      <c r="O49" s="18">
        <f t="shared" si="10"/>
        <v>0</v>
      </c>
    </row>
    <row r="50" spans="2:19" ht="25.5">
      <c r="B50" s="145" t="s">
        <v>33</v>
      </c>
      <c r="C50" s="20"/>
      <c r="D50" s="188" t="s">
        <v>23</v>
      </c>
      <c r="E50" s="14"/>
      <c r="F50" s="31">
        <v>1.2999999999999999E-3</v>
      </c>
      <c r="G50" s="100">
        <f>G47</f>
        <v>115</v>
      </c>
      <c r="H50" s="99">
        <f t="shared" si="11"/>
        <v>0.14949999999999999</v>
      </c>
      <c r="I50" s="19"/>
      <c r="J50" s="31">
        <v>1.2999999999999999E-3</v>
      </c>
      <c r="K50" s="113">
        <f>K47</f>
        <v>115</v>
      </c>
      <c r="L50" s="16">
        <f t="shared" si="12"/>
        <v>0.14949999999999999</v>
      </c>
      <c r="M50" s="28"/>
      <c r="N50" s="149">
        <f t="shared" si="4"/>
        <v>0</v>
      </c>
      <c r="O50" s="18">
        <f t="shared" si="10"/>
        <v>0</v>
      </c>
    </row>
    <row r="51" spans="2:19" ht="25.5">
      <c r="B51" s="145" t="s">
        <v>34</v>
      </c>
      <c r="C51" s="20"/>
      <c r="D51" s="188" t="s">
        <v>19</v>
      </c>
      <c r="E51" s="14"/>
      <c r="F51" s="102">
        <v>0.25</v>
      </c>
      <c r="G51" s="25">
        <v>1</v>
      </c>
      <c r="H51" s="99">
        <f t="shared" si="11"/>
        <v>0.25</v>
      </c>
      <c r="I51" s="19"/>
      <c r="J51" s="102">
        <v>0.25</v>
      </c>
      <c r="K51" s="112">
        <v>1</v>
      </c>
      <c r="L51" s="16">
        <f t="shared" si="12"/>
        <v>0.25</v>
      </c>
      <c r="M51" s="28"/>
      <c r="N51" s="149">
        <f t="shared" si="4"/>
        <v>0</v>
      </c>
      <c r="O51" s="18">
        <f t="shared" si="10"/>
        <v>0</v>
      </c>
    </row>
    <row r="52" spans="2:19">
      <c r="B52" s="145" t="s">
        <v>67</v>
      </c>
      <c r="C52" s="20"/>
      <c r="D52" s="188" t="s">
        <v>23</v>
      </c>
      <c r="E52" s="14"/>
      <c r="F52" s="31">
        <v>1.1000000000000001E-3</v>
      </c>
      <c r="G52" s="100">
        <f>F18</f>
        <v>115</v>
      </c>
      <c r="H52" s="99">
        <f t="shared" si="11"/>
        <v>0.1265</v>
      </c>
      <c r="I52" s="19"/>
      <c r="J52" s="31">
        <v>1.1000000000000001E-3</v>
      </c>
      <c r="K52" s="113">
        <f>F18</f>
        <v>115</v>
      </c>
      <c r="L52" s="16">
        <f t="shared" si="12"/>
        <v>0.1265</v>
      </c>
      <c r="M52" s="28"/>
      <c r="N52" s="149">
        <f t="shared" si="4"/>
        <v>0</v>
      </c>
      <c r="O52" s="18">
        <f t="shared" si="10"/>
        <v>0</v>
      </c>
    </row>
    <row r="53" spans="2:19">
      <c r="B53" s="170" t="s">
        <v>35</v>
      </c>
      <c r="C53" s="20"/>
      <c r="D53" s="188" t="s">
        <v>23</v>
      </c>
      <c r="E53" s="14"/>
      <c r="F53" s="31">
        <v>8.6999999999999994E-2</v>
      </c>
      <c r="G53" s="247">
        <f>0.64*$F$18</f>
        <v>73.600000000000009</v>
      </c>
      <c r="H53" s="99">
        <f t="shared" si="11"/>
        <v>6.4032</v>
      </c>
      <c r="I53" s="19"/>
      <c r="J53" s="31">
        <v>8.6999999999999994E-2</v>
      </c>
      <c r="K53" s="247">
        <f>G53</f>
        <v>73.600000000000009</v>
      </c>
      <c r="L53" s="16">
        <f t="shared" si="12"/>
        <v>6.4032</v>
      </c>
      <c r="M53" s="28"/>
      <c r="N53" s="149">
        <f t="shared" si="4"/>
        <v>0</v>
      </c>
      <c r="O53" s="18">
        <f t="shared" si="10"/>
        <v>0</v>
      </c>
      <c r="S53" s="190"/>
    </row>
    <row r="54" spans="2:19">
      <c r="B54" s="170" t="s">
        <v>36</v>
      </c>
      <c r="C54" s="20"/>
      <c r="D54" s="188" t="s">
        <v>23</v>
      </c>
      <c r="E54" s="14"/>
      <c r="F54" s="31">
        <v>0.13200000000000001</v>
      </c>
      <c r="G54" s="247">
        <f>0.18*$F$18</f>
        <v>20.7</v>
      </c>
      <c r="H54" s="99">
        <f t="shared" si="11"/>
        <v>2.7324000000000002</v>
      </c>
      <c r="I54" s="19"/>
      <c r="J54" s="31">
        <v>0.13200000000000001</v>
      </c>
      <c r="K54" s="247">
        <f>G54</f>
        <v>20.7</v>
      </c>
      <c r="L54" s="16">
        <f t="shared" si="12"/>
        <v>2.7324000000000002</v>
      </c>
      <c r="M54" s="28"/>
      <c r="N54" s="149">
        <f t="shared" si="4"/>
        <v>0</v>
      </c>
      <c r="O54" s="18">
        <f t="shared" si="10"/>
        <v>0</v>
      </c>
      <c r="S54" s="190"/>
    </row>
    <row r="55" spans="2:19">
      <c r="B55" s="135" t="s">
        <v>37</v>
      </c>
      <c r="C55" s="20"/>
      <c r="D55" s="188" t="s">
        <v>23</v>
      </c>
      <c r="E55" s="14"/>
      <c r="F55" s="31">
        <v>0.18</v>
      </c>
      <c r="G55" s="247">
        <f>0.18*$F$18</f>
        <v>20.7</v>
      </c>
      <c r="H55" s="99">
        <f t="shared" si="11"/>
        <v>3.7259999999999995</v>
      </c>
      <c r="I55" s="19"/>
      <c r="J55" s="31">
        <v>0.18</v>
      </c>
      <c r="K55" s="247">
        <f>G55</f>
        <v>20.7</v>
      </c>
      <c r="L55" s="16">
        <f t="shared" si="12"/>
        <v>3.7259999999999995</v>
      </c>
      <c r="M55" s="28"/>
      <c r="N55" s="149">
        <f t="shared" si="4"/>
        <v>0</v>
      </c>
      <c r="O55" s="18">
        <f t="shared" si="10"/>
        <v>0</v>
      </c>
      <c r="S55" s="190"/>
    </row>
    <row r="56" spans="2:19" s="195" customFormat="1">
      <c r="B56" s="191" t="s">
        <v>38</v>
      </c>
      <c r="C56" s="32"/>
      <c r="D56" s="188" t="s">
        <v>23</v>
      </c>
      <c r="E56" s="32"/>
      <c r="F56" s="31">
        <v>0.10299999999999999</v>
      </c>
      <c r="G56" s="249">
        <f>IF(AND($T$1=1, F18&gt;=600), 600, IF(AND($T$1=1, AND(F18&lt;600, F18&gt;=0)), F18, IF(AND($T$1=2, F18&gt;=1000), 1000, IF(AND($T$1=2, AND(F18&lt;1000, F18&gt;=0)), F18))))</f>
        <v>115</v>
      </c>
      <c r="H56" s="99">
        <f>G56*F56</f>
        <v>11.844999999999999</v>
      </c>
      <c r="I56" s="250"/>
      <c r="J56" s="31">
        <v>0.10299999999999999</v>
      </c>
      <c r="K56" s="249">
        <f>G56</f>
        <v>115</v>
      </c>
      <c r="L56" s="16">
        <f>K56*J56</f>
        <v>11.844999999999999</v>
      </c>
      <c r="M56" s="193"/>
      <c r="N56" s="194">
        <f t="shared" si="4"/>
        <v>0</v>
      </c>
      <c r="O56" s="18">
        <f t="shared" si="10"/>
        <v>0</v>
      </c>
    </row>
    <row r="57" spans="2:19" s="195" customFormat="1" ht="13.5" thickBot="1">
      <c r="B57" s="191" t="s">
        <v>39</v>
      </c>
      <c r="C57" s="32"/>
      <c r="D57" s="188" t="s">
        <v>23</v>
      </c>
      <c r="E57" s="32"/>
      <c r="F57" s="31">
        <v>0.121</v>
      </c>
      <c r="G57" s="249">
        <f>IF(AND($T$1=1, F18&gt;=600), F18-600, IF(AND($T$1=1, AND(F18&lt;600, F18&gt;=0)), 0, IF(AND($T$1=2, F18&gt;=1000), F18-1000, IF(AND($T$1=2, AND(F18&lt;1000, F18&gt;=0)), 0))))</f>
        <v>0</v>
      </c>
      <c r="H57" s="99">
        <f>G57*F57</f>
        <v>0</v>
      </c>
      <c r="I57" s="250"/>
      <c r="J57" s="31">
        <v>0.121</v>
      </c>
      <c r="K57" s="249">
        <f>G57</f>
        <v>0</v>
      </c>
      <c r="L57" s="16">
        <f>K57*J57</f>
        <v>0</v>
      </c>
      <c r="M57" s="193"/>
      <c r="N57" s="194">
        <f t="shared" si="4"/>
        <v>0</v>
      </c>
      <c r="O57" s="18" t="str">
        <f t="shared" si="10"/>
        <v/>
      </c>
    </row>
    <row r="58" spans="2:19" ht="13.5" thickBot="1">
      <c r="B58" s="196"/>
      <c r="C58" s="197"/>
      <c r="D58" s="198"/>
      <c r="E58" s="197"/>
      <c r="F58" s="199"/>
      <c r="G58" s="253"/>
      <c r="H58" s="201"/>
      <c r="I58" s="202"/>
      <c r="J58" s="199"/>
      <c r="K58" s="264"/>
      <c r="L58" s="201"/>
      <c r="M58" s="202"/>
      <c r="N58" s="204"/>
      <c r="O58" s="205"/>
    </row>
    <row r="59" spans="2:19" ht="26.25" thickBot="1">
      <c r="B59" s="33" t="s">
        <v>40</v>
      </c>
      <c r="C59" s="20"/>
      <c r="D59" s="20"/>
      <c r="E59" s="20"/>
      <c r="F59" s="34"/>
      <c r="G59" s="103"/>
      <c r="H59" s="36">
        <f>SUM(H49:H55,H48)</f>
        <v>6903.0677024000006</v>
      </c>
      <c r="I59" s="37"/>
      <c r="J59" s="38"/>
      <c r="K59" s="114"/>
      <c r="L59" s="315">
        <f>SUM(L49:L55,L48)</f>
        <v>7048.4820071310332</v>
      </c>
      <c r="M59" s="39"/>
      <c r="N59" s="40">
        <f>L59-H59</f>
        <v>145.41430473103264</v>
      </c>
      <c r="O59" s="41">
        <f>IF((H59)=0,"",(N59/H59))</f>
        <v>2.1065171457101052E-2</v>
      </c>
      <c r="S59" s="190"/>
    </row>
    <row r="60" spans="2:19">
      <c r="B60" s="42" t="s">
        <v>41</v>
      </c>
      <c r="C60" s="20"/>
      <c r="D60" s="20"/>
      <c r="E60" s="20"/>
      <c r="F60" s="43">
        <v>0.13</v>
      </c>
      <c r="G60" s="105"/>
      <c r="H60" s="45">
        <f>H59*F60</f>
        <v>897.39880131200016</v>
      </c>
      <c r="I60" s="46"/>
      <c r="J60" s="47">
        <v>0.13</v>
      </c>
      <c r="K60" s="115"/>
      <c r="L60" s="48">
        <f>L59*J60</f>
        <v>916.30266092703437</v>
      </c>
      <c r="M60" s="49"/>
      <c r="N60" s="50">
        <f t="shared" si="4"/>
        <v>18.903859615034207</v>
      </c>
      <c r="O60" s="18">
        <f t="shared" si="10"/>
        <v>2.106517145710101E-2</v>
      </c>
      <c r="S60" s="190"/>
    </row>
    <row r="61" spans="2:19">
      <c r="B61" s="206" t="s">
        <v>42</v>
      </c>
      <c r="C61" s="20"/>
      <c r="D61" s="20"/>
      <c r="E61" s="20"/>
      <c r="F61" s="51"/>
      <c r="G61" s="105"/>
      <c r="H61" s="45">
        <f>H59+H60</f>
        <v>7800.4665037120012</v>
      </c>
      <c r="I61" s="46"/>
      <c r="J61" s="46"/>
      <c r="K61" s="115"/>
      <c r="L61" s="48">
        <f>L59+L60</f>
        <v>7964.7846680580678</v>
      </c>
      <c r="M61" s="49"/>
      <c r="N61" s="50">
        <f t="shared" si="4"/>
        <v>164.31816434606662</v>
      </c>
      <c r="O61" s="18">
        <f t="shared" si="10"/>
        <v>2.1065171457101017E-2</v>
      </c>
      <c r="S61" s="190"/>
    </row>
    <row r="62" spans="2:19">
      <c r="B62" s="299"/>
      <c r="C62" s="299"/>
      <c r="D62" s="299"/>
      <c r="E62" s="20"/>
      <c r="F62" s="51"/>
      <c r="G62" s="105"/>
      <c r="H62" s="52"/>
      <c r="I62" s="46"/>
      <c r="J62" s="46"/>
      <c r="K62" s="115"/>
      <c r="L62" s="53"/>
      <c r="M62" s="49"/>
      <c r="N62" s="54"/>
      <c r="O62" s="55" t="str">
        <f t="shared" si="10"/>
        <v/>
      </c>
    </row>
    <row r="63" spans="2:19" ht="13.5" thickBot="1">
      <c r="B63" s="300" t="s">
        <v>68</v>
      </c>
      <c r="C63" s="300"/>
      <c r="D63" s="300"/>
      <c r="E63" s="14"/>
      <c r="F63" s="207"/>
      <c r="G63" s="255"/>
      <c r="H63" s="209">
        <f>H61+H62</f>
        <v>7800.4665037120012</v>
      </c>
      <c r="I63" s="210"/>
      <c r="J63" s="210"/>
      <c r="K63" s="265"/>
      <c r="L63" s="211">
        <f>L61+L62</f>
        <v>7964.7846680580678</v>
      </c>
      <c r="M63" s="212"/>
      <c r="N63" s="213">
        <f t="shared" si="4"/>
        <v>164.31816434606662</v>
      </c>
      <c r="O63" s="214">
        <f t="shared" si="10"/>
        <v>2.1065171457101017E-2</v>
      </c>
    </row>
    <row r="64" spans="2:19" s="195" customFormat="1" ht="13.5" thickBot="1">
      <c r="B64" s="215"/>
      <c r="C64" s="216"/>
      <c r="D64" s="217"/>
      <c r="E64" s="216"/>
      <c r="F64" s="199"/>
      <c r="G64" s="256"/>
      <c r="H64" s="201"/>
      <c r="I64" s="219"/>
      <c r="J64" s="199"/>
      <c r="K64" s="266"/>
      <c r="L64" s="201"/>
      <c r="M64" s="219"/>
      <c r="N64" s="221"/>
      <c r="O64" s="205"/>
    </row>
    <row r="65" spans="1:15" s="195" customFormat="1" ht="26.25" thickBot="1">
      <c r="B65" s="56" t="s">
        <v>43</v>
      </c>
      <c r="C65" s="32"/>
      <c r="D65" s="32"/>
      <c r="E65" s="32"/>
      <c r="F65" s="57"/>
      <c r="G65" s="107"/>
      <c r="H65" s="59">
        <f>SUM(H56:H57,H48,H49:H52)</f>
        <v>6902.0511024000016</v>
      </c>
      <c r="I65" s="60"/>
      <c r="J65" s="61"/>
      <c r="K65" s="116"/>
      <c r="L65" s="316">
        <f>SUM(L56:L57,L48,L49:L52)</f>
        <v>7047.4654071310342</v>
      </c>
      <c r="M65" s="62"/>
      <c r="N65" s="63">
        <f>L65-H65</f>
        <v>145.41430473103264</v>
      </c>
      <c r="O65" s="41">
        <f>IF((H65)=0,"",(N65/H65))</f>
        <v>2.1068274136722742E-2</v>
      </c>
    </row>
    <row r="66" spans="1:15" s="195" customFormat="1">
      <c r="B66" s="64" t="s">
        <v>41</v>
      </c>
      <c r="C66" s="32"/>
      <c r="D66" s="32"/>
      <c r="E66" s="32"/>
      <c r="F66" s="65">
        <v>0.13</v>
      </c>
      <c r="G66" s="107"/>
      <c r="H66" s="66">
        <f>H65*F66</f>
        <v>897.26664331200027</v>
      </c>
      <c r="I66" s="67"/>
      <c r="J66" s="68">
        <v>0.13</v>
      </c>
      <c r="K66" s="117"/>
      <c r="L66" s="70">
        <f>L65*J66</f>
        <v>916.17050292703448</v>
      </c>
      <c r="M66" s="71"/>
      <c r="N66" s="72">
        <f>L66-H66</f>
        <v>18.903859615034207</v>
      </c>
      <c r="O66" s="18">
        <f>IF((H66)=0,"",(N66/H66))</f>
        <v>2.1068274136722701E-2</v>
      </c>
    </row>
    <row r="67" spans="1:15" s="195" customFormat="1">
      <c r="B67" s="222" t="s">
        <v>42</v>
      </c>
      <c r="C67" s="32"/>
      <c r="D67" s="32"/>
      <c r="E67" s="32"/>
      <c r="F67" s="73"/>
      <c r="G67" s="110"/>
      <c r="H67" s="66">
        <f>H65+H66</f>
        <v>7799.3177457120019</v>
      </c>
      <c r="I67" s="67"/>
      <c r="J67" s="67"/>
      <c r="K67" s="118"/>
      <c r="L67" s="70">
        <f>L65+L66</f>
        <v>7963.6359100580685</v>
      </c>
      <c r="M67" s="71"/>
      <c r="N67" s="72">
        <f>L67-H67</f>
        <v>164.31816434606662</v>
      </c>
      <c r="O67" s="18">
        <f>IF((H67)=0,"",(N67/H67))</f>
        <v>2.1068274136722707E-2</v>
      </c>
    </row>
    <row r="68" spans="1:15" s="195" customFormat="1">
      <c r="B68" s="301"/>
      <c r="C68" s="301"/>
      <c r="D68" s="301"/>
      <c r="E68" s="32"/>
      <c r="F68" s="73"/>
      <c r="G68" s="110"/>
      <c r="H68" s="75"/>
      <c r="I68" s="67"/>
      <c r="J68" s="67"/>
      <c r="K68" s="118"/>
      <c r="L68" s="76"/>
      <c r="M68" s="71"/>
      <c r="N68" s="77"/>
      <c r="O68" s="55" t="str">
        <f>IF((H68)=0,"",(N68/H68))</f>
        <v/>
      </c>
    </row>
    <row r="69" spans="1:15" s="195" customFormat="1" ht="13.5" thickBot="1">
      <c r="B69" s="295" t="s">
        <v>69</v>
      </c>
      <c r="C69" s="295"/>
      <c r="D69" s="295"/>
      <c r="E69" s="32"/>
      <c r="F69" s="73"/>
      <c r="G69" s="110"/>
      <c r="H69" s="59">
        <f>SUM(H67:H68)</f>
        <v>7799.3177457120019</v>
      </c>
      <c r="I69" s="60"/>
      <c r="J69" s="60"/>
      <c r="K69" s="267"/>
      <c r="L69" s="223">
        <f>SUM(L67:L68)</f>
        <v>7963.6359100580685</v>
      </c>
      <c r="M69" s="62"/>
      <c r="N69" s="63">
        <f>L69-H69</f>
        <v>164.31816434606662</v>
      </c>
      <c r="O69" s="41">
        <f>IF((H69)=0,"",(N69/H69))</f>
        <v>2.1068274136722707E-2</v>
      </c>
    </row>
    <row r="70" spans="1:15" s="195" customFormat="1" ht="13.5" thickBot="1">
      <c r="B70" s="215"/>
      <c r="C70" s="216"/>
      <c r="D70" s="217"/>
      <c r="E70" s="216"/>
      <c r="F70" s="224"/>
      <c r="G70" s="259"/>
      <c r="H70" s="226"/>
      <c r="I70" s="227"/>
      <c r="J70" s="224"/>
      <c r="K70" s="256"/>
      <c r="L70" s="228"/>
      <c r="M70" s="219"/>
      <c r="N70" s="229"/>
      <c r="O70" s="205"/>
    </row>
    <row r="71" spans="1:15">
      <c r="L71" s="190"/>
    </row>
    <row r="72" spans="1:15">
      <c r="B72" s="230" t="s">
        <v>45</v>
      </c>
      <c r="F72" s="231">
        <v>3.9E-2</v>
      </c>
      <c r="J72" s="231">
        <v>4.5699999999999998E-2</v>
      </c>
    </row>
    <row r="74" spans="1:15" ht="14.25">
      <c r="A74" s="232" t="s">
        <v>46</v>
      </c>
    </row>
    <row r="76" spans="1:15">
      <c r="A76" s="12" t="s">
        <v>47</v>
      </c>
    </row>
    <row r="77" spans="1:15">
      <c r="A77" s="12" t="s">
        <v>48</v>
      </c>
    </row>
    <row r="79" spans="1:15">
      <c r="A79" s="233" t="s">
        <v>49</v>
      </c>
    </row>
    <row r="80" spans="1:15">
      <c r="A80" s="233" t="s">
        <v>50</v>
      </c>
    </row>
    <row r="82" spans="1:2">
      <c r="A82" s="12" t="s">
        <v>51</v>
      </c>
    </row>
    <row r="83" spans="1:2">
      <c r="A83" s="12" t="s">
        <v>52</v>
      </c>
    </row>
    <row r="84" spans="1:2">
      <c r="A84" s="12" t="s">
        <v>53</v>
      </c>
    </row>
    <row r="85" spans="1:2">
      <c r="A85" s="12" t="s">
        <v>54</v>
      </c>
    </row>
    <row r="86" spans="1:2">
      <c r="A86" s="12" t="s">
        <v>55</v>
      </c>
    </row>
    <row r="88" spans="1:2" ht="51">
      <c r="B88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9:D69"/>
    <mergeCell ref="D21:D22"/>
    <mergeCell ref="N21:N22"/>
    <mergeCell ref="O21:O22"/>
    <mergeCell ref="B62:D62"/>
    <mergeCell ref="B63:D63"/>
    <mergeCell ref="B68:D68"/>
  </mergeCells>
  <dataValidations count="3">
    <dataValidation type="list" allowBlank="1" showInputMessage="1" showErrorMessage="1" sqref="E70 E46:E47 E49:E58 E64 E36:E44 E23:E34">
      <formula1>"#REF!"</formula1>
      <formula2>0</formula2>
    </dataValidation>
    <dataValidation type="list" allowBlank="1" showInputMessage="1" showErrorMessage="1" prompt="Select Charge Unit - monthly, per kWh, per kW" sqref="D70 D36:D44 D46:D47 D64 D49:D58 D23:D3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5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2">
    <pageSetUpPr fitToPage="1"/>
  </sheetPr>
  <dimension ref="A1:T88"/>
  <sheetViews>
    <sheetView showGridLines="0" topLeftCell="A9" workbookViewId="0">
      <selection activeCell="B38" sqref="B38:O38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119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0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303" t="s">
        <v>0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0" ht="18.75" customHeight="1">
      <c r="B11" s="304" t="s">
        <v>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1:20" ht="7.5" customHeight="1"/>
    <row r="13" spans="1:20" ht="7.5" customHeight="1"/>
    <row r="14" spans="1:20" ht="15.75">
      <c r="B14" s="131" t="s">
        <v>2</v>
      </c>
      <c r="D14" s="305" t="s">
        <v>64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1800</v>
      </c>
      <c r="G18" s="235" t="s">
        <v>65</v>
      </c>
    </row>
    <row r="19" spans="1:15">
      <c r="B19" s="135"/>
    </row>
    <row r="20" spans="1:15">
      <c r="B20" s="135"/>
      <c r="D20" s="138"/>
      <c r="E20" s="138"/>
      <c r="F20" s="306" t="s">
        <v>8</v>
      </c>
      <c r="G20" s="306"/>
      <c r="H20" s="306"/>
      <c r="J20" s="306" t="s">
        <v>9</v>
      </c>
      <c r="K20" s="306"/>
      <c r="L20" s="306"/>
      <c r="N20" s="306" t="s">
        <v>10</v>
      </c>
      <c r="O20" s="306"/>
    </row>
    <row r="21" spans="1:15">
      <c r="B21" s="135"/>
      <c r="D21" s="296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7" t="s">
        <v>15</v>
      </c>
      <c r="O21" s="298" t="s">
        <v>16</v>
      </c>
    </row>
    <row r="22" spans="1:15">
      <c r="B22" s="135"/>
      <c r="D22" s="296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7"/>
      <c r="O22" s="298"/>
    </row>
    <row r="23" spans="1:15">
      <c r="B23" s="145" t="s">
        <v>18</v>
      </c>
      <c r="C23" s="20"/>
      <c r="D23" s="146" t="s">
        <v>19</v>
      </c>
      <c r="E23" s="14"/>
      <c r="F23" s="147">
        <f>'[2]B. CurrentTariff'!C137</f>
        <v>6.25</v>
      </c>
      <c r="G23" s="25">
        <v>1</v>
      </c>
      <c r="H23" s="16">
        <f>G23*F23</f>
        <v>6.25</v>
      </c>
      <c r="I23" s="28"/>
      <c r="J23" s="288">
        <v>10.130000000000001</v>
      </c>
      <c r="K23" s="120">
        <v>1</v>
      </c>
      <c r="L23" s="16">
        <f>K23*J23</f>
        <v>10.130000000000001</v>
      </c>
      <c r="M23" s="28"/>
      <c r="N23" s="149">
        <f>L23-H23</f>
        <v>3.8800000000000008</v>
      </c>
      <c r="O23" s="18">
        <f>IF((H23)=0,"",(N23/H23))</f>
        <v>0.62080000000000013</v>
      </c>
    </row>
    <row r="24" spans="1:15">
      <c r="A24" s="19"/>
      <c r="B24" s="145" t="s">
        <v>74</v>
      </c>
      <c r="C24" s="20"/>
      <c r="D24" s="146" t="s">
        <v>19</v>
      </c>
      <c r="E24" s="14"/>
      <c r="F24" s="150"/>
      <c r="G24" s="25">
        <v>1</v>
      </c>
      <c r="H24" s="16">
        <f t="shared" ref="H24:H29" si="0">G24*F24</f>
        <v>0</v>
      </c>
      <c r="I24" s="28"/>
      <c r="J24" s="294">
        <v>1.33</v>
      </c>
      <c r="K24" s="120">
        <v>1</v>
      </c>
      <c r="L24" s="16">
        <f>K24*J24</f>
        <v>1.33</v>
      </c>
      <c r="M24" s="28"/>
      <c r="N24" s="149">
        <f>L24-H24</f>
        <v>1.33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/>
      <c r="H25" s="16"/>
      <c r="I25" s="28"/>
      <c r="J25" s="31"/>
      <c r="K25" s="120"/>
      <c r="L25" s="16"/>
      <c r="M25" s="28"/>
      <c r="N25" s="149"/>
      <c r="O25" s="18" t="str">
        <f t="shared" ref="O25:O43" si="1">IF((H25)=0,"",(N25/H25))</f>
        <v/>
      </c>
    </row>
    <row r="26" spans="1:15">
      <c r="A26" s="19"/>
      <c r="B26" s="152"/>
      <c r="C26" s="20"/>
      <c r="D26" s="146"/>
      <c r="E26" s="14"/>
      <c r="F26" s="150"/>
      <c r="G26" s="25"/>
      <c r="H26" s="16"/>
      <c r="I26" s="28"/>
      <c r="J26" s="31"/>
      <c r="K26" s="120"/>
      <c r="L26" s="16"/>
      <c r="M26" s="28"/>
      <c r="N26" s="149"/>
      <c r="O26" s="18" t="str">
        <f t="shared" si="1"/>
        <v/>
      </c>
    </row>
    <row r="27" spans="1:15">
      <c r="A27" s="19"/>
      <c r="B27" s="145" t="s">
        <v>22</v>
      </c>
      <c r="C27" s="20"/>
      <c r="D27" s="146" t="s">
        <v>23</v>
      </c>
      <c r="E27" s="14"/>
      <c r="F27" s="150">
        <f>'[2]B. CurrentTariff'!C138</f>
        <v>2E-3</v>
      </c>
      <c r="G27" s="25">
        <f t="shared" ref="G27:G31" si="2">$F$18</f>
        <v>1800</v>
      </c>
      <c r="H27" s="16">
        <f t="shared" si="0"/>
        <v>3.6</v>
      </c>
      <c r="I27" s="28"/>
      <c r="J27" s="289">
        <v>3.3999999999999998E-3</v>
      </c>
      <c r="K27" s="121">
        <f>$F$18</f>
        <v>1800</v>
      </c>
      <c r="L27" s="16">
        <f t="shared" ref="L27:L29" si="3">K27*J27</f>
        <v>6.1199999999999992</v>
      </c>
      <c r="M27" s="28"/>
      <c r="N27" s="149">
        <f t="shared" ref="N27:N63" si="4">L27-H27</f>
        <v>2.5199999999999991</v>
      </c>
      <c r="O27" s="18">
        <f t="shared" si="1"/>
        <v>0.69999999999999973</v>
      </c>
    </row>
    <row r="28" spans="1:15">
      <c r="A28" s="19"/>
      <c r="B28" s="145"/>
      <c r="C28" s="20"/>
      <c r="D28" s="146"/>
      <c r="E28" s="14"/>
      <c r="F28" s="150"/>
      <c r="G28" s="25"/>
      <c r="H28" s="16">
        <f t="shared" si="0"/>
        <v>0</v>
      </c>
      <c r="I28" s="28"/>
      <c r="J28" s="31"/>
      <c r="K28" s="121"/>
      <c r="L28" s="16"/>
      <c r="M28" s="28"/>
      <c r="N28" s="149"/>
      <c r="O28" s="18" t="str">
        <f t="shared" si="1"/>
        <v/>
      </c>
    </row>
    <row r="29" spans="1:15" ht="25.5">
      <c r="A29" s="19"/>
      <c r="B29" s="164" t="str">
        <f>'[2]J. DVA'!$B$65</f>
        <v>Rate Rider Calculation for Group 2 Accounts</v>
      </c>
      <c r="C29" s="20"/>
      <c r="D29" s="242" t="s">
        <v>23</v>
      </c>
      <c r="E29" s="14"/>
      <c r="F29" s="150"/>
      <c r="G29" s="25">
        <f t="shared" si="2"/>
        <v>1800</v>
      </c>
      <c r="H29" s="16">
        <f t="shared" si="0"/>
        <v>0</v>
      </c>
      <c r="I29" s="28"/>
      <c r="J29" s="289">
        <v>2.0000000000000001E-4</v>
      </c>
      <c r="K29" s="121">
        <f t="shared" ref="K29:K31" si="5">$F$18</f>
        <v>1800</v>
      </c>
      <c r="L29" s="16">
        <f t="shared" si="3"/>
        <v>0.36000000000000004</v>
      </c>
      <c r="M29" s="28"/>
      <c r="N29" s="149">
        <f t="shared" si="4"/>
        <v>0.36000000000000004</v>
      </c>
      <c r="O29" s="18" t="str">
        <f t="shared" si="1"/>
        <v/>
      </c>
    </row>
    <row r="30" spans="1:15" ht="25.5">
      <c r="A30" s="19"/>
      <c r="B30" s="164" t="str">
        <f>'[2]J. DVA'!$B$77</f>
        <v>Rate Rider Calculation for Accounts 1575 and 1576</v>
      </c>
      <c r="C30" s="20"/>
      <c r="D30" s="242" t="s">
        <v>23</v>
      </c>
      <c r="E30" s="14"/>
      <c r="F30" s="150"/>
      <c r="G30" s="25">
        <f t="shared" si="2"/>
        <v>1800</v>
      </c>
      <c r="H30" s="16">
        <f>G30*F30</f>
        <v>0</v>
      </c>
      <c r="I30" s="28"/>
      <c r="J30" s="289">
        <v>-4.0000000000000002E-4</v>
      </c>
      <c r="K30" s="121">
        <f t="shared" si="5"/>
        <v>1800</v>
      </c>
      <c r="L30" s="16">
        <f>K30*J30</f>
        <v>-0.72000000000000008</v>
      </c>
      <c r="M30" s="28"/>
      <c r="N30" s="149">
        <f>L30-H30</f>
        <v>-0.72000000000000008</v>
      </c>
      <c r="O30" s="18" t="str">
        <f>IF((H30)=0,"",(N30/H30))</f>
        <v/>
      </c>
    </row>
    <row r="31" spans="1:15" ht="25.5">
      <c r="A31" s="19"/>
      <c r="B31" s="164" t="str">
        <f>'[2]J. DVA'!$B$91</f>
        <v>Rate Rider Calculation for Accounts 1568</v>
      </c>
      <c r="C31" s="20"/>
      <c r="D31" s="242" t="s">
        <v>23</v>
      </c>
      <c r="E31" s="14"/>
      <c r="F31" s="150"/>
      <c r="G31" s="25">
        <f t="shared" si="2"/>
        <v>1800</v>
      </c>
      <c r="H31" s="16">
        <f>G31*F31</f>
        <v>0</v>
      </c>
      <c r="I31" s="28"/>
      <c r="J31" s="289">
        <v>2.9999999999999997E-4</v>
      </c>
      <c r="K31" s="121">
        <f t="shared" si="5"/>
        <v>1800</v>
      </c>
      <c r="L31" s="16">
        <f>K31*J31</f>
        <v>0.53999999999999992</v>
      </c>
      <c r="M31" s="28"/>
      <c r="N31" s="149">
        <f>L31-H31</f>
        <v>0.53999999999999992</v>
      </c>
      <c r="O31" s="18" t="str">
        <f>IF((H31)=0,"",(N31/H31))</f>
        <v/>
      </c>
    </row>
    <row r="32" spans="1:15">
      <c r="A32" s="19"/>
      <c r="B32" s="151"/>
      <c r="C32" s="20"/>
      <c r="D32" s="146"/>
      <c r="E32" s="14"/>
      <c r="F32" s="150"/>
      <c r="G32" s="25"/>
      <c r="H32" s="16"/>
      <c r="I32" s="28"/>
      <c r="J32" s="31"/>
      <c r="K32" s="121"/>
      <c r="L32" s="16"/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/>
      <c r="H33" s="16"/>
      <c r="I33" s="28"/>
      <c r="J33" s="31"/>
      <c r="K33" s="121"/>
      <c r="L33" s="16"/>
      <c r="M33" s="28"/>
      <c r="N33" s="149">
        <f t="shared" si="4"/>
        <v>0</v>
      </c>
      <c r="O33" s="18" t="str">
        <f t="shared" si="1"/>
        <v/>
      </c>
    </row>
    <row r="34" spans="1:15">
      <c r="A34" s="19"/>
      <c r="B34" s="151"/>
      <c r="C34" s="20"/>
      <c r="D34" s="146"/>
      <c r="E34" s="14"/>
      <c r="F34" s="150"/>
      <c r="G34" s="25"/>
      <c r="H34" s="16"/>
      <c r="I34" s="28"/>
      <c r="J34" s="31"/>
      <c r="K34" s="121"/>
      <c r="L34" s="16"/>
      <c r="M34" s="28"/>
      <c r="N34" s="149">
        <f t="shared" si="4"/>
        <v>0</v>
      </c>
      <c r="O34" s="18" t="str">
        <f t="shared" si="1"/>
        <v/>
      </c>
    </row>
    <row r="35" spans="1:15">
      <c r="A35" s="19"/>
      <c r="B35" s="153" t="s">
        <v>24</v>
      </c>
      <c r="C35" s="154"/>
      <c r="D35" s="155"/>
      <c r="E35" s="154"/>
      <c r="F35" s="156"/>
      <c r="G35" s="240"/>
      <c r="H35" s="158">
        <f>SUM(H23:H34)</f>
        <v>9.85</v>
      </c>
      <c r="I35" s="28"/>
      <c r="J35" s="159"/>
      <c r="K35" s="241"/>
      <c r="L35" s="158">
        <f>SUM(L23:L34)</f>
        <v>17.759999999999998</v>
      </c>
      <c r="M35" s="28"/>
      <c r="N35" s="161">
        <f t="shared" si="4"/>
        <v>7.9099999999999984</v>
      </c>
      <c r="O35" s="162">
        <f t="shared" si="1"/>
        <v>0.80304568527918763</v>
      </c>
    </row>
    <row r="36" spans="1:15" ht="51">
      <c r="A36" s="163"/>
      <c r="B36" s="164" t="str">
        <f>'[2]J. DVA'!$B$16</f>
        <v>Rate Rider Calculation for Deferral / Variance Accounts Balances (excluding Global Adj.)</v>
      </c>
      <c r="C36" s="20"/>
      <c r="D36" s="242" t="s">
        <v>23</v>
      </c>
      <c r="E36" s="20"/>
      <c r="F36" s="166"/>
      <c r="G36" s="21">
        <f t="shared" ref="G36:G42" si="6">$F$18</f>
        <v>1800</v>
      </c>
      <c r="H36" s="22">
        <f t="shared" ref="H36:H43" si="7">G36*F36</f>
        <v>0</v>
      </c>
      <c r="I36" s="167"/>
      <c r="J36" s="290">
        <f>'[2]J. DVA'!F23</f>
        <v>-8.2963951844851433E-4</v>
      </c>
      <c r="K36" s="122">
        <f t="shared" ref="K36:K42" si="8">$F$18</f>
        <v>1800</v>
      </c>
      <c r="L36" s="22">
        <f t="shared" ref="L36:L43" si="9">K36*J36</f>
        <v>-1.4933511332073257</v>
      </c>
      <c r="M36" s="167"/>
      <c r="N36" s="168">
        <f t="shared" si="4"/>
        <v>-1.4933511332073257</v>
      </c>
      <c r="O36" s="27" t="str">
        <f t="shared" si="1"/>
        <v/>
      </c>
    </row>
    <row r="37" spans="1:15" ht="51">
      <c r="A37" s="169"/>
      <c r="B37" s="164" t="str">
        <f>'[2]J. DVA'!$B$28</f>
        <v>Rate Rider Calculation for Deferral / Variance Accounts Balances (excluding Global Adj.) - NON-WMP</v>
      </c>
      <c r="C37" s="20"/>
      <c r="D37" s="242" t="s">
        <v>23</v>
      </c>
      <c r="E37" s="20"/>
      <c r="F37" s="166"/>
      <c r="G37" s="21">
        <f t="shared" si="6"/>
        <v>1800</v>
      </c>
      <c r="H37" s="22">
        <f t="shared" si="7"/>
        <v>0</v>
      </c>
      <c r="I37" s="167"/>
      <c r="J37" s="290">
        <f>'[2]J. DVA'!F35</f>
        <v>-2.6878065725373349E-3</v>
      </c>
      <c r="K37" s="122">
        <f t="shared" si="8"/>
        <v>1800</v>
      </c>
      <c r="L37" s="22">
        <f t="shared" si="9"/>
        <v>-4.8380518305672027</v>
      </c>
      <c r="M37" s="167"/>
      <c r="N37" s="168">
        <f t="shared" si="4"/>
        <v>-4.8380518305672027</v>
      </c>
      <c r="O37" s="24" t="str">
        <f t="shared" si="1"/>
        <v/>
      </c>
    </row>
    <row r="38" spans="1:15">
      <c r="A38" s="169"/>
      <c r="B38" s="164"/>
      <c r="C38" s="20"/>
      <c r="D38" s="242"/>
      <c r="E38" s="20"/>
      <c r="F38" s="166"/>
      <c r="G38" s="21"/>
      <c r="H38" s="22"/>
      <c r="I38" s="167"/>
      <c r="J38" s="166"/>
      <c r="K38" s="21"/>
      <c r="L38" s="22"/>
      <c r="M38" s="167"/>
      <c r="N38" s="168"/>
      <c r="O38" s="24"/>
    </row>
    <row r="39" spans="1:15">
      <c r="A39" s="169"/>
      <c r="B39" s="164"/>
      <c r="C39" s="20"/>
      <c r="D39" s="242"/>
      <c r="E39" s="20"/>
      <c r="F39" s="166"/>
      <c r="G39" s="21"/>
      <c r="H39" s="22"/>
      <c r="I39" s="167"/>
      <c r="J39" s="166"/>
      <c r="K39" s="122"/>
      <c r="L39" s="22"/>
      <c r="M39" s="167"/>
      <c r="N39" s="168"/>
      <c r="O39" s="24" t="str">
        <f t="shared" si="1"/>
        <v/>
      </c>
    </row>
    <row r="40" spans="1:15">
      <c r="A40" s="163"/>
      <c r="B40" s="164"/>
      <c r="C40" s="20"/>
      <c r="D40" s="242"/>
      <c r="E40" s="20"/>
      <c r="F40" s="166"/>
      <c r="G40" s="21"/>
      <c r="H40" s="22"/>
      <c r="I40" s="167"/>
      <c r="J40" s="166"/>
      <c r="K40" s="122"/>
      <c r="L40" s="22"/>
      <c r="M40" s="167"/>
      <c r="N40" s="168"/>
      <c r="O40" s="24" t="str">
        <f t="shared" si="1"/>
        <v/>
      </c>
    </row>
    <row r="41" spans="1:15">
      <c r="A41" s="163"/>
      <c r="B41" s="164"/>
      <c r="C41" s="20"/>
      <c r="D41" s="242"/>
      <c r="E41" s="20"/>
      <c r="F41" s="166"/>
      <c r="G41" s="21"/>
      <c r="H41" s="22"/>
      <c r="I41" s="167"/>
      <c r="J41" s="166"/>
      <c r="K41" s="122"/>
      <c r="L41" s="22"/>
      <c r="M41" s="167"/>
      <c r="N41" s="168"/>
      <c r="O41" s="24" t="str">
        <f t="shared" si="1"/>
        <v/>
      </c>
    </row>
    <row r="42" spans="1:15">
      <c r="A42" s="163"/>
      <c r="B42" s="151" t="s">
        <v>25</v>
      </c>
      <c r="C42" s="20"/>
      <c r="D42" s="146" t="s">
        <v>23</v>
      </c>
      <c r="E42" s="14"/>
      <c r="F42" s="172">
        <v>1E-3</v>
      </c>
      <c r="G42" s="25">
        <f t="shared" si="6"/>
        <v>1800</v>
      </c>
      <c r="H42" s="26">
        <f t="shared" si="7"/>
        <v>1.8</v>
      </c>
      <c r="I42" s="173"/>
      <c r="J42" s="291">
        <f>'[3]4.12 PowerSupplExp'!$I$176</f>
        <v>6.9999999999999999E-4</v>
      </c>
      <c r="K42" s="121">
        <f t="shared" si="8"/>
        <v>1800</v>
      </c>
      <c r="L42" s="26">
        <f t="shared" si="9"/>
        <v>1.26</v>
      </c>
      <c r="M42" s="173"/>
      <c r="N42" s="174">
        <f t="shared" si="4"/>
        <v>-0.54</v>
      </c>
      <c r="O42" s="27">
        <f t="shared" si="1"/>
        <v>-0.3</v>
      </c>
    </row>
    <row r="43" spans="1:15">
      <c r="A43" s="19"/>
      <c r="B43" s="170" t="s">
        <v>26</v>
      </c>
      <c r="C43" s="20"/>
      <c r="D43" s="146" t="s">
        <v>23</v>
      </c>
      <c r="E43" s="14"/>
      <c r="F43" s="172">
        <f>IF(ISBLANK(D16)=1, 0, IF(D16="TOU", 0.64*$F$53+0.18*$F$54+0.18*$F$55, IF(AND(D16="non-TOU", G57&gt;0), F57,F56)))</f>
        <v>0.11183999999999999</v>
      </c>
      <c r="G43" s="25">
        <f>$F$18*(1+$F$72)-$F$18</f>
        <v>70.199999999999818</v>
      </c>
      <c r="H43" s="26">
        <f t="shared" si="7"/>
        <v>7.8511679999999791</v>
      </c>
      <c r="I43" s="173"/>
      <c r="J43" s="172">
        <f>0.64*$F$53+0.18*$F$54+0.18*$F$55</f>
        <v>0.11183999999999999</v>
      </c>
      <c r="K43" s="121">
        <f>$F$18*(1+$J$72)-$F$18</f>
        <v>82.260000000000218</v>
      </c>
      <c r="L43" s="26">
        <f t="shared" si="9"/>
        <v>9.1999584000000247</v>
      </c>
      <c r="M43" s="173"/>
      <c r="N43" s="174">
        <f t="shared" si="4"/>
        <v>1.3487904000000457</v>
      </c>
      <c r="O43" s="27">
        <f t="shared" si="1"/>
        <v>0.17179487179487807</v>
      </c>
    </row>
    <row r="44" spans="1:15">
      <c r="A44" s="19"/>
      <c r="B44" s="170"/>
      <c r="C44" s="20"/>
      <c r="D44" s="146"/>
      <c r="E44" s="14"/>
      <c r="F44" s="172"/>
      <c r="G44" s="25"/>
      <c r="H44" s="26"/>
      <c r="I44" s="173"/>
      <c r="J44" s="172"/>
      <c r="K44" s="121"/>
      <c r="L44" s="26"/>
      <c r="M44" s="173"/>
      <c r="N44" s="174"/>
      <c r="O44" s="27"/>
    </row>
    <row r="45" spans="1:15" ht="25.5">
      <c r="B45" s="175" t="s">
        <v>28</v>
      </c>
      <c r="C45" s="176"/>
      <c r="D45" s="176"/>
      <c r="E45" s="176"/>
      <c r="F45" s="177"/>
      <c r="G45" s="243"/>
      <c r="H45" s="179">
        <f>SUM(H36:H44)+H35</f>
        <v>19.501167999999979</v>
      </c>
      <c r="I45" s="28"/>
      <c r="J45" s="178"/>
      <c r="K45" s="244"/>
      <c r="L45" s="179">
        <f>SUM(L36:L44)+L35</f>
        <v>21.888555436225495</v>
      </c>
      <c r="M45" s="28"/>
      <c r="N45" s="161">
        <f t="shared" si="4"/>
        <v>2.3873874362255165</v>
      </c>
      <c r="O45" s="162">
        <f t="shared" ref="O45:O63" si="10">IF((H45)=0,"",(N45/H45))</f>
        <v>0.12242279212329842</v>
      </c>
    </row>
    <row r="46" spans="1:15">
      <c r="B46" s="181" t="s">
        <v>29</v>
      </c>
      <c r="C46" s="28"/>
      <c r="D46" s="146" t="s">
        <v>23</v>
      </c>
      <c r="E46" s="28"/>
      <c r="F46" s="31">
        <v>5.7999999999999996E-3</v>
      </c>
      <c r="G46" s="100">
        <f>F18*(1+F72)</f>
        <v>1870.1999999999998</v>
      </c>
      <c r="H46" s="16">
        <f>G46*F46</f>
        <v>10.847159999999999</v>
      </c>
      <c r="I46" s="28"/>
      <c r="J46" s="289">
        <f>'[3]4.12 PowerSupplExp'!$N$63</f>
        <v>5.4394385425159753E-3</v>
      </c>
      <c r="K46" s="124">
        <f>F18*(1+J72)</f>
        <v>1882.2600000000002</v>
      </c>
      <c r="L46" s="16">
        <f>K46*J46</f>
        <v>10.238437591036121</v>
      </c>
      <c r="M46" s="28"/>
      <c r="N46" s="149">
        <f t="shared" si="4"/>
        <v>-0.60872240896387808</v>
      </c>
      <c r="O46" s="18">
        <f t="shared" si="10"/>
        <v>-5.6118136817736454E-2</v>
      </c>
    </row>
    <row r="47" spans="1:15" ht="25.5">
      <c r="B47" s="183" t="s">
        <v>30</v>
      </c>
      <c r="C47" s="28"/>
      <c r="D47" s="146" t="s">
        <v>23</v>
      </c>
      <c r="E47" s="28"/>
      <c r="F47" s="31">
        <v>4.0000000000000001E-3</v>
      </c>
      <c r="G47" s="100">
        <f>G46</f>
        <v>1870.1999999999998</v>
      </c>
      <c r="H47" s="16">
        <f>G47*F47</f>
        <v>7.4807999999999995</v>
      </c>
      <c r="I47" s="28"/>
      <c r="J47" s="289">
        <f>'[3]4.12 PowerSupplExp'!$N$79</f>
        <v>4.0259349604509975E-3</v>
      </c>
      <c r="K47" s="124">
        <f>K46</f>
        <v>1882.2600000000002</v>
      </c>
      <c r="L47" s="16">
        <f>K47*J47</f>
        <v>7.5778563386584956</v>
      </c>
      <c r="M47" s="28"/>
      <c r="N47" s="149">
        <f t="shared" si="4"/>
        <v>9.7056338658496166E-2</v>
      </c>
      <c r="O47" s="18">
        <f t="shared" si="10"/>
        <v>1.297405874485298E-2</v>
      </c>
    </row>
    <row r="48" spans="1:15" ht="25.5">
      <c r="B48" s="175" t="s">
        <v>31</v>
      </c>
      <c r="C48" s="154"/>
      <c r="D48" s="154"/>
      <c r="E48" s="154"/>
      <c r="F48" s="184"/>
      <c r="G48" s="243"/>
      <c r="H48" s="179">
        <f>SUM(H45:H47)</f>
        <v>37.829127999999976</v>
      </c>
      <c r="I48" s="185"/>
      <c r="J48" s="186"/>
      <c r="K48" s="245"/>
      <c r="L48" s="179">
        <f>SUM(L45:L47)</f>
        <v>39.704849365920111</v>
      </c>
      <c r="M48" s="185"/>
      <c r="N48" s="161">
        <f t="shared" si="4"/>
        <v>1.8757213659201355</v>
      </c>
      <c r="O48" s="162">
        <f t="shared" si="10"/>
        <v>4.9584049780902605E-2</v>
      </c>
    </row>
    <row r="49" spans="2:19" ht="25.5">
      <c r="B49" s="145" t="s">
        <v>32</v>
      </c>
      <c r="C49" s="20"/>
      <c r="D49" s="188" t="s">
        <v>23</v>
      </c>
      <c r="E49" s="14"/>
      <c r="F49" s="31">
        <v>3.5999999999999999E-3</v>
      </c>
      <c r="G49" s="100">
        <f>G47</f>
        <v>1870.1999999999998</v>
      </c>
      <c r="H49" s="99">
        <f t="shared" ref="H49:H55" si="11">G49*F49</f>
        <v>6.7327199999999996</v>
      </c>
      <c r="I49" s="19"/>
      <c r="J49" s="31">
        <v>3.5999999999999999E-3</v>
      </c>
      <c r="K49" s="124">
        <f>K47</f>
        <v>1882.2600000000002</v>
      </c>
      <c r="L49" s="99">
        <f t="shared" ref="L49:L55" si="12">K49*J49</f>
        <v>6.7761360000000002</v>
      </c>
      <c r="M49" s="19"/>
      <c r="N49" s="246">
        <f t="shared" si="4"/>
        <v>4.3416000000000565E-2</v>
      </c>
      <c r="O49" s="123">
        <f t="shared" si="10"/>
        <v>6.4485081809432989E-3</v>
      </c>
    </row>
    <row r="50" spans="2:19" ht="25.5">
      <c r="B50" s="145" t="s">
        <v>33</v>
      </c>
      <c r="C50" s="20"/>
      <c r="D50" s="188" t="s">
        <v>23</v>
      </c>
      <c r="E50" s="14"/>
      <c r="F50" s="31">
        <v>1.2999999999999999E-3</v>
      </c>
      <c r="G50" s="100">
        <f>G47</f>
        <v>1870.1999999999998</v>
      </c>
      <c r="H50" s="99">
        <f t="shared" si="11"/>
        <v>2.4312599999999995</v>
      </c>
      <c r="I50" s="19"/>
      <c r="J50" s="31">
        <v>1.2999999999999999E-3</v>
      </c>
      <c r="K50" s="124">
        <f>K47</f>
        <v>1882.2600000000002</v>
      </c>
      <c r="L50" s="99">
        <f t="shared" si="12"/>
        <v>2.4469380000000003</v>
      </c>
      <c r="M50" s="19"/>
      <c r="N50" s="246">
        <f t="shared" si="4"/>
        <v>1.5678000000000747E-2</v>
      </c>
      <c r="O50" s="123">
        <f t="shared" si="10"/>
        <v>6.4485081809435227E-3</v>
      </c>
    </row>
    <row r="51" spans="2:19" ht="25.5">
      <c r="B51" s="145" t="s">
        <v>34</v>
      </c>
      <c r="C51" s="20"/>
      <c r="D51" s="188" t="s">
        <v>19</v>
      </c>
      <c r="E51" s="14"/>
      <c r="F51" s="102">
        <v>0.25</v>
      </c>
      <c r="G51" s="25">
        <v>1</v>
      </c>
      <c r="H51" s="99">
        <f t="shared" si="11"/>
        <v>0.25</v>
      </c>
      <c r="I51" s="19"/>
      <c r="J51" s="102">
        <v>0.25</v>
      </c>
      <c r="K51" s="120">
        <v>1</v>
      </c>
      <c r="L51" s="99">
        <f t="shared" si="12"/>
        <v>0.25</v>
      </c>
      <c r="M51" s="19"/>
      <c r="N51" s="246">
        <f t="shared" si="4"/>
        <v>0</v>
      </c>
      <c r="O51" s="123">
        <f t="shared" si="10"/>
        <v>0</v>
      </c>
    </row>
    <row r="52" spans="2:19">
      <c r="B52" s="145" t="s">
        <v>67</v>
      </c>
      <c r="C52" s="20"/>
      <c r="D52" s="188" t="s">
        <v>23</v>
      </c>
      <c r="E52" s="14"/>
      <c r="F52" s="31">
        <v>1.1000000000000001E-3</v>
      </c>
      <c r="G52" s="100">
        <f>F18</f>
        <v>1800</v>
      </c>
      <c r="H52" s="99">
        <f t="shared" si="11"/>
        <v>1.9800000000000002</v>
      </c>
      <c r="I52" s="19"/>
      <c r="J52" s="31">
        <v>1.1000000000000001E-3</v>
      </c>
      <c r="K52" s="124">
        <f>F18</f>
        <v>1800</v>
      </c>
      <c r="L52" s="99">
        <f t="shared" si="12"/>
        <v>1.9800000000000002</v>
      </c>
      <c r="M52" s="19"/>
      <c r="N52" s="246">
        <f t="shared" si="4"/>
        <v>0</v>
      </c>
      <c r="O52" s="123">
        <f t="shared" si="10"/>
        <v>0</v>
      </c>
    </row>
    <row r="53" spans="2:19">
      <c r="B53" s="170" t="s">
        <v>35</v>
      </c>
      <c r="C53" s="20"/>
      <c r="D53" s="188" t="s">
        <v>23</v>
      </c>
      <c r="E53" s="14"/>
      <c r="F53" s="31">
        <v>8.6999999999999994E-2</v>
      </c>
      <c r="G53" s="247">
        <f>0.64*$F$18</f>
        <v>1152</v>
      </c>
      <c r="H53" s="99">
        <f t="shared" si="11"/>
        <v>100.22399999999999</v>
      </c>
      <c r="I53" s="19"/>
      <c r="J53" s="31">
        <v>8.6999999999999994E-2</v>
      </c>
      <c r="K53" s="248">
        <f>G53</f>
        <v>1152</v>
      </c>
      <c r="L53" s="99">
        <f t="shared" si="12"/>
        <v>100.22399999999999</v>
      </c>
      <c r="M53" s="19"/>
      <c r="N53" s="246">
        <f t="shared" si="4"/>
        <v>0</v>
      </c>
      <c r="O53" s="123">
        <f t="shared" si="10"/>
        <v>0</v>
      </c>
      <c r="S53" s="190"/>
    </row>
    <row r="54" spans="2:19">
      <c r="B54" s="170" t="s">
        <v>36</v>
      </c>
      <c r="C54" s="20"/>
      <c r="D54" s="188" t="s">
        <v>23</v>
      </c>
      <c r="E54" s="14"/>
      <c r="F54" s="31">
        <v>0.13200000000000001</v>
      </c>
      <c r="G54" s="247">
        <f>0.18*$F$18</f>
        <v>324</v>
      </c>
      <c r="H54" s="99">
        <f t="shared" si="11"/>
        <v>42.768000000000001</v>
      </c>
      <c r="I54" s="19"/>
      <c r="J54" s="31">
        <v>0.13200000000000001</v>
      </c>
      <c r="K54" s="248">
        <f>G54</f>
        <v>324</v>
      </c>
      <c r="L54" s="99">
        <f t="shared" si="12"/>
        <v>42.768000000000001</v>
      </c>
      <c r="M54" s="19"/>
      <c r="N54" s="246">
        <f t="shared" si="4"/>
        <v>0</v>
      </c>
      <c r="O54" s="123">
        <f t="shared" si="10"/>
        <v>0</v>
      </c>
      <c r="S54" s="190"/>
    </row>
    <row r="55" spans="2:19">
      <c r="B55" s="135" t="s">
        <v>37</v>
      </c>
      <c r="C55" s="20"/>
      <c r="D55" s="188" t="s">
        <v>23</v>
      </c>
      <c r="E55" s="14"/>
      <c r="F55" s="31">
        <v>0.18</v>
      </c>
      <c r="G55" s="247">
        <f>0.18*$F$18</f>
        <v>324</v>
      </c>
      <c r="H55" s="99">
        <f t="shared" si="11"/>
        <v>58.32</v>
      </c>
      <c r="I55" s="19"/>
      <c r="J55" s="31">
        <v>0.18</v>
      </c>
      <c r="K55" s="248">
        <f>G55</f>
        <v>324</v>
      </c>
      <c r="L55" s="99">
        <f t="shared" si="12"/>
        <v>58.32</v>
      </c>
      <c r="M55" s="19"/>
      <c r="N55" s="246">
        <f t="shared" si="4"/>
        <v>0</v>
      </c>
      <c r="O55" s="123">
        <f t="shared" si="10"/>
        <v>0</v>
      </c>
      <c r="S55" s="190"/>
    </row>
    <row r="56" spans="2:19" s="195" customFormat="1">
      <c r="B56" s="191" t="s">
        <v>38</v>
      </c>
      <c r="C56" s="32"/>
      <c r="D56" s="188" t="s">
        <v>23</v>
      </c>
      <c r="E56" s="32"/>
      <c r="F56" s="31">
        <v>0.10299999999999999</v>
      </c>
      <c r="G56" s="249">
        <f>IF(AND($T$1=1, F18&gt;=600), 600, IF(AND($T$1=1, AND(F18&lt;600, F18&gt;=0)), F18, IF(AND($T$1=2, F18&gt;=1000), 1000, IF(AND($T$1=2, AND(F18&lt;1000, F18&gt;=0)), F18))))</f>
        <v>600</v>
      </c>
      <c r="H56" s="99">
        <f>G56*F56</f>
        <v>61.8</v>
      </c>
      <c r="I56" s="250"/>
      <c r="J56" s="31">
        <v>0.10299999999999999</v>
      </c>
      <c r="K56" s="251">
        <f>G56</f>
        <v>600</v>
      </c>
      <c r="L56" s="99">
        <f>K56*J56</f>
        <v>61.8</v>
      </c>
      <c r="M56" s="250"/>
      <c r="N56" s="252">
        <f t="shared" si="4"/>
        <v>0</v>
      </c>
      <c r="O56" s="123">
        <f t="shared" si="10"/>
        <v>0</v>
      </c>
    </row>
    <row r="57" spans="2:19" s="195" customFormat="1" ht="13.5" thickBot="1">
      <c r="B57" s="191" t="s">
        <v>39</v>
      </c>
      <c r="C57" s="32"/>
      <c r="D57" s="188" t="s">
        <v>23</v>
      </c>
      <c r="E57" s="32"/>
      <c r="F57" s="31">
        <v>0.121</v>
      </c>
      <c r="G57" s="249">
        <f>IF(AND($T$1=1, F18&gt;=600), F18-600, IF(AND($T$1=1, AND(F18&lt;600, F18&gt;=0)), 0, IF(AND($T$1=2, F18&gt;=1000), F18-1000, IF(AND($T$1=2, AND(F18&lt;1000, F18&gt;=0)), 0))))</f>
        <v>1200</v>
      </c>
      <c r="H57" s="99">
        <f>G57*F57</f>
        <v>145.19999999999999</v>
      </c>
      <c r="I57" s="250"/>
      <c r="J57" s="31">
        <v>0.121</v>
      </c>
      <c r="K57" s="251">
        <f>G57</f>
        <v>1200</v>
      </c>
      <c r="L57" s="99">
        <f>K57*J57</f>
        <v>145.19999999999999</v>
      </c>
      <c r="M57" s="250"/>
      <c r="N57" s="252">
        <f t="shared" si="4"/>
        <v>0</v>
      </c>
      <c r="O57" s="123">
        <f t="shared" si="10"/>
        <v>0</v>
      </c>
    </row>
    <row r="58" spans="2:19" ht="13.5" thickBot="1">
      <c r="B58" s="196"/>
      <c r="C58" s="197"/>
      <c r="D58" s="198"/>
      <c r="E58" s="197"/>
      <c r="F58" s="199"/>
      <c r="G58" s="253"/>
      <c r="H58" s="201"/>
      <c r="I58" s="202"/>
      <c r="J58" s="199"/>
      <c r="K58" s="254"/>
      <c r="L58" s="201"/>
      <c r="M58" s="202"/>
      <c r="N58" s="204"/>
      <c r="O58" s="205"/>
    </row>
    <row r="59" spans="2:19" ht="26.25" thickBot="1">
      <c r="B59" s="33" t="s">
        <v>40</v>
      </c>
      <c r="C59" s="20"/>
      <c r="D59" s="20"/>
      <c r="E59" s="20"/>
      <c r="F59" s="34"/>
      <c r="G59" s="103"/>
      <c r="H59" s="36">
        <f>SUM(H49:H55,H48)</f>
        <v>250.53510799999995</v>
      </c>
      <c r="I59" s="37"/>
      <c r="J59" s="38"/>
      <c r="K59" s="125"/>
      <c r="L59" s="315">
        <f>SUM(L49:L55,L48)</f>
        <v>252.46992336592007</v>
      </c>
      <c r="M59" s="39"/>
      <c r="N59" s="40">
        <f>L59-H59</f>
        <v>1.9348153659201159</v>
      </c>
      <c r="O59" s="41">
        <f>IF((H59)=0,"",(N59/H59))</f>
        <v>7.7227314820887951E-3</v>
      </c>
      <c r="S59" s="190"/>
    </row>
    <row r="60" spans="2:19">
      <c r="B60" s="42" t="s">
        <v>41</v>
      </c>
      <c r="C60" s="20"/>
      <c r="D60" s="20"/>
      <c r="E60" s="20"/>
      <c r="F60" s="43">
        <v>0.13</v>
      </c>
      <c r="G60" s="105"/>
      <c r="H60" s="45">
        <f>H59*F60</f>
        <v>32.569564039999996</v>
      </c>
      <c r="I60" s="46"/>
      <c r="J60" s="47">
        <v>0.13</v>
      </c>
      <c r="K60" s="126"/>
      <c r="L60" s="48">
        <f>L59*J60</f>
        <v>32.821090037569611</v>
      </c>
      <c r="M60" s="49"/>
      <c r="N60" s="50">
        <f t="shared" si="4"/>
        <v>0.25152599756961536</v>
      </c>
      <c r="O60" s="18">
        <f t="shared" si="10"/>
        <v>7.7227314820888029E-3</v>
      </c>
      <c r="S60" s="190"/>
    </row>
    <row r="61" spans="2:19">
      <c r="B61" s="206" t="s">
        <v>42</v>
      </c>
      <c r="C61" s="20"/>
      <c r="D61" s="20"/>
      <c r="E61" s="20"/>
      <c r="F61" s="51"/>
      <c r="G61" s="105"/>
      <c r="H61" s="45">
        <f>H59+H60</f>
        <v>283.10467203999997</v>
      </c>
      <c r="I61" s="46"/>
      <c r="J61" s="46"/>
      <c r="K61" s="126"/>
      <c r="L61" s="48">
        <f>L59+L60</f>
        <v>285.29101340348967</v>
      </c>
      <c r="M61" s="49"/>
      <c r="N61" s="50">
        <f t="shared" si="4"/>
        <v>2.1863413634897029</v>
      </c>
      <c r="O61" s="18">
        <f t="shared" si="10"/>
        <v>7.7227314820886945E-3</v>
      </c>
      <c r="S61" s="190"/>
    </row>
    <row r="62" spans="2:19">
      <c r="B62" s="299"/>
      <c r="C62" s="299"/>
      <c r="D62" s="299"/>
      <c r="E62" s="20"/>
      <c r="F62" s="51"/>
      <c r="G62" s="105"/>
      <c r="H62" s="52"/>
      <c r="I62" s="46"/>
      <c r="J62" s="46"/>
      <c r="K62" s="126"/>
      <c r="L62" s="53"/>
      <c r="M62" s="49"/>
      <c r="N62" s="54"/>
      <c r="O62" s="55" t="str">
        <f t="shared" si="10"/>
        <v/>
      </c>
    </row>
    <row r="63" spans="2:19" ht="13.5" thickBot="1">
      <c r="B63" s="300" t="s">
        <v>70</v>
      </c>
      <c r="C63" s="300"/>
      <c r="D63" s="300"/>
      <c r="E63" s="14"/>
      <c r="F63" s="207"/>
      <c r="G63" s="255"/>
      <c r="H63" s="209">
        <f>H61+H62</f>
        <v>283.10467203999997</v>
      </c>
      <c r="I63" s="210"/>
      <c r="J63" s="210"/>
      <c r="K63" s="238"/>
      <c r="L63" s="211">
        <f>L61+L62</f>
        <v>285.29101340348967</v>
      </c>
      <c r="M63" s="212"/>
      <c r="N63" s="213">
        <f t="shared" si="4"/>
        <v>2.1863413634897029</v>
      </c>
      <c r="O63" s="214">
        <f t="shared" si="10"/>
        <v>7.7227314820886945E-3</v>
      </c>
    </row>
    <row r="64" spans="2:19" s="195" customFormat="1" ht="13.5" thickBot="1">
      <c r="B64" s="215"/>
      <c r="C64" s="216"/>
      <c r="D64" s="217"/>
      <c r="E64" s="216"/>
      <c r="F64" s="199"/>
      <c r="G64" s="256"/>
      <c r="H64" s="201"/>
      <c r="I64" s="219"/>
      <c r="J64" s="199"/>
      <c r="K64" s="257"/>
      <c r="L64" s="201"/>
      <c r="M64" s="219"/>
      <c r="N64" s="221"/>
      <c r="O64" s="205"/>
    </row>
    <row r="65" spans="1:15" s="195" customFormat="1" ht="26.25" thickBot="1">
      <c r="B65" s="56" t="s">
        <v>43</v>
      </c>
      <c r="C65" s="32"/>
      <c r="D65" s="32"/>
      <c r="E65" s="32"/>
      <c r="F65" s="57"/>
      <c r="G65" s="107"/>
      <c r="H65" s="59">
        <f>SUM(H56:H57,H48,H49:H52)</f>
        <v>256.22310799999997</v>
      </c>
      <c r="I65" s="60"/>
      <c r="J65" s="61"/>
      <c r="K65" s="127"/>
      <c r="L65" s="316">
        <f>SUM(L56:L57,L48,L49:L52)</f>
        <v>258.15792336592011</v>
      </c>
      <c r="M65" s="62"/>
      <c r="N65" s="63">
        <f>L65-H65</f>
        <v>1.9348153659201444</v>
      </c>
      <c r="O65" s="41">
        <f>IF((H65)=0,"",(N65/H65))</f>
        <v>7.5512914546339224E-3</v>
      </c>
    </row>
    <row r="66" spans="1:15" s="195" customFormat="1">
      <c r="B66" s="64" t="s">
        <v>41</v>
      </c>
      <c r="C66" s="32"/>
      <c r="D66" s="32"/>
      <c r="E66" s="32"/>
      <c r="F66" s="65">
        <v>0.13</v>
      </c>
      <c r="G66" s="107"/>
      <c r="H66" s="66">
        <f>H65*F66</f>
        <v>33.309004039999998</v>
      </c>
      <c r="I66" s="67"/>
      <c r="J66" s="68">
        <v>0.13</v>
      </c>
      <c r="K66" s="128"/>
      <c r="L66" s="70">
        <f>L65*J66</f>
        <v>33.560530037569613</v>
      </c>
      <c r="M66" s="71"/>
      <c r="N66" s="72">
        <f>L66-H66</f>
        <v>0.25152599756961536</v>
      </c>
      <c r="O66" s="18">
        <f>IF((H66)=0,"",(N66/H66))</f>
        <v>7.5512914546338192E-3</v>
      </c>
    </row>
    <row r="67" spans="1:15" s="195" customFormat="1">
      <c r="B67" s="222" t="s">
        <v>42</v>
      </c>
      <c r="C67" s="32"/>
      <c r="D67" s="32"/>
      <c r="E67" s="32"/>
      <c r="F67" s="73"/>
      <c r="G67" s="110"/>
      <c r="H67" s="66">
        <f>H65+H66</f>
        <v>289.53211203999996</v>
      </c>
      <c r="I67" s="67"/>
      <c r="J67" s="67"/>
      <c r="K67" s="129"/>
      <c r="L67" s="70">
        <f>L65+L66</f>
        <v>291.71845340348972</v>
      </c>
      <c r="M67" s="71"/>
      <c r="N67" s="72">
        <f>L67-H67</f>
        <v>2.1863413634897597</v>
      </c>
      <c r="O67" s="18">
        <f>IF((H67)=0,"",(N67/H67))</f>
        <v>7.5512914546339112E-3</v>
      </c>
    </row>
    <row r="68" spans="1:15" s="195" customFormat="1">
      <c r="B68" s="301"/>
      <c r="C68" s="301"/>
      <c r="D68" s="301"/>
      <c r="E68" s="32"/>
      <c r="F68" s="73"/>
      <c r="G68" s="110"/>
      <c r="H68" s="75"/>
      <c r="I68" s="67"/>
      <c r="J68" s="67"/>
      <c r="K68" s="129"/>
      <c r="L68" s="76"/>
      <c r="M68" s="71"/>
      <c r="N68" s="77"/>
      <c r="O68" s="55" t="str">
        <f>IF((H68)=0,"",(N68/H68))</f>
        <v/>
      </c>
    </row>
    <row r="69" spans="1:15" s="195" customFormat="1" ht="13.5" thickBot="1">
      <c r="B69" s="295" t="s">
        <v>73</v>
      </c>
      <c r="C69" s="295"/>
      <c r="D69" s="295"/>
      <c r="E69" s="32"/>
      <c r="F69" s="73"/>
      <c r="G69" s="110"/>
      <c r="H69" s="59">
        <f>SUM(H67:H68)</f>
        <v>289.53211203999996</v>
      </c>
      <c r="I69" s="60"/>
      <c r="J69" s="60"/>
      <c r="K69" s="258"/>
      <c r="L69" s="223">
        <f>SUM(L67:L68)</f>
        <v>291.71845340348972</v>
      </c>
      <c r="M69" s="62"/>
      <c r="N69" s="63">
        <f>L69-H69</f>
        <v>2.1863413634897597</v>
      </c>
      <c r="O69" s="41">
        <f>IF((H69)=0,"",(N69/H69))</f>
        <v>7.5512914546339112E-3</v>
      </c>
    </row>
    <row r="70" spans="1:15" s="195" customFormat="1" ht="13.5" thickBot="1">
      <c r="B70" s="215"/>
      <c r="C70" s="216"/>
      <c r="D70" s="217"/>
      <c r="E70" s="216"/>
      <c r="F70" s="224"/>
      <c r="G70" s="259"/>
      <c r="H70" s="226"/>
      <c r="I70" s="227"/>
      <c r="J70" s="224"/>
      <c r="K70" s="260"/>
      <c r="L70" s="228"/>
      <c r="M70" s="219"/>
      <c r="N70" s="229"/>
      <c r="O70" s="205"/>
    </row>
    <row r="71" spans="1:15">
      <c r="L71" s="190"/>
    </row>
    <row r="72" spans="1:15">
      <c r="B72" s="230" t="s">
        <v>45</v>
      </c>
      <c r="F72" s="231">
        <v>3.9E-2</v>
      </c>
      <c r="J72" s="231">
        <v>4.5699999999999998E-2</v>
      </c>
    </row>
    <row r="74" spans="1:15" ht="14.25">
      <c r="A74" s="232" t="s">
        <v>46</v>
      </c>
    </row>
    <row r="76" spans="1:15">
      <c r="A76" s="12" t="s">
        <v>47</v>
      </c>
    </row>
    <row r="77" spans="1:15">
      <c r="A77" s="12" t="s">
        <v>48</v>
      </c>
    </row>
    <row r="79" spans="1:15">
      <c r="A79" s="233" t="s">
        <v>49</v>
      </c>
    </row>
    <row r="80" spans="1:15">
      <c r="A80" s="233" t="s">
        <v>50</v>
      </c>
    </row>
    <row r="82" spans="1:2">
      <c r="A82" s="12" t="s">
        <v>51</v>
      </c>
    </row>
    <row r="83" spans="1:2">
      <c r="A83" s="12" t="s">
        <v>52</v>
      </c>
    </row>
    <row r="84" spans="1:2">
      <c r="A84" s="12" t="s">
        <v>53</v>
      </c>
    </row>
    <row r="85" spans="1:2">
      <c r="A85" s="12" t="s">
        <v>54</v>
      </c>
    </row>
    <row r="86" spans="1:2">
      <c r="A86" s="12" t="s">
        <v>55</v>
      </c>
    </row>
    <row r="88" spans="1:2" ht="51">
      <c r="B88" s="13" t="s">
        <v>56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69:D69"/>
    <mergeCell ref="D21:D22"/>
    <mergeCell ref="N21:N22"/>
    <mergeCell ref="O21:O22"/>
    <mergeCell ref="B62:D62"/>
    <mergeCell ref="B63:D63"/>
    <mergeCell ref="B68:D68"/>
  </mergeCells>
  <dataValidations count="3">
    <dataValidation type="list" allowBlank="1" showInputMessage="1" showErrorMessage="1" sqref="E70 E46:E47 E49:E58 E64 E36:E44 E23:E34">
      <formula1>"#REF!"</formula1>
      <formula2>0</formula2>
    </dataValidation>
    <dataValidation type="list" allowBlank="1" showInputMessage="1" showErrorMessage="1" prompt="Select Charge Unit - monthly, per kWh, per kW" sqref="D70 D46:D47 D36:D44 D64 D49:D58 D23:D3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 - Res 10 Pct</vt:lpstr>
      <vt:lpstr>Bill Impact - Residential</vt:lpstr>
      <vt:lpstr>Bill Impact - GS&lt;50</vt:lpstr>
      <vt:lpstr>Bill Impact - GS&gt;50</vt:lpstr>
      <vt:lpstr>Bill Impact - Sentinel</vt:lpstr>
      <vt:lpstr>Bill Impact - StreetLight</vt:lpstr>
      <vt:lpstr>Bill Impact - USL</vt:lpstr>
      <vt:lpstr>'Bill Impact - GS&lt;50'!Print_Area</vt:lpstr>
      <vt:lpstr>'Bill Impact - GS&gt;50'!Print_Area</vt:lpstr>
      <vt:lpstr>'Bill Impact - Res 10 Pct'!Print_Area</vt:lpstr>
      <vt:lpstr>'Bill Impact - Residential'!Print_Area</vt:lpstr>
      <vt:lpstr>'Bill Impact - Sentinel'!Print_Area</vt:lpstr>
      <vt:lpstr>'Bill Impact - StreetLight'!Print_Area</vt:lpstr>
      <vt:lpstr>'Bill Impact - USL'!Print_Area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Jane Donnelly</cp:lastModifiedBy>
  <cp:lastPrinted>2016-06-30T12:46:56Z</cp:lastPrinted>
  <dcterms:created xsi:type="dcterms:W3CDTF">2016-02-19T02:36:04Z</dcterms:created>
  <dcterms:modified xsi:type="dcterms:W3CDTF">2016-06-30T13:02:31Z</dcterms:modified>
</cp:coreProperties>
</file>