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 activeTab="1"/>
  </bookViews>
  <sheets>
    <sheet name="Without Hydro One" sheetId="2" r:id="rId1"/>
    <sheet name="Rate Comparison" sheetId="3" r:id="rId2"/>
  </sheets>
  <calcPr calcId="145621"/>
</workbook>
</file>

<file path=xl/calcChain.xml><?xml version="1.0" encoding="utf-8"?>
<calcChain xmlns="http://schemas.openxmlformats.org/spreadsheetml/2006/main">
  <c r="E80" i="2" l="1"/>
  <c r="F80" i="2" s="1"/>
  <c r="D80" i="2"/>
  <c r="C80" i="2"/>
  <c r="D81" i="2"/>
  <c r="E81" i="2"/>
  <c r="F81" i="2" s="1"/>
  <c r="C81" i="2"/>
  <c r="B69" i="2"/>
  <c r="H44" i="2"/>
  <c r="H24" i="2"/>
  <c r="H5" i="2"/>
  <c r="F76" i="2"/>
  <c r="E76" i="2"/>
  <c r="E77" i="2" s="1"/>
  <c r="D77" i="2"/>
  <c r="C77" i="2"/>
  <c r="D76" i="2"/>
  <c r="C76" i="2"/>
  <c r="E75" i="2"/>
  <c r="F75" i="2"/>
  <c r="D75" i="2"/>
  <c r="C75" i="2"/>
  <c r="D82" i="2" l="1"/>
  <c r="C82" i="2"/>
  <c r="F77" i="2"/>
  <c r="E82" i="2" l="1"/>
  <c r="F82" i="2"/>
  <c r="H26" i="3" l="1"/>
  <c r="H25" i="3"/>
  <c r="H24" i="3"/>
  <c r="H23" i="3"/>
  <c r="H22" i="3"/>
  <c r="H21" i="3"/>
  <c r="H20" i="3"/>
  <c r="H19" i="3"/>
  <c r="H18" i="3"/>
  <c r="H11" i="3"/>
  <c r="H10" i="3"/>
  <c r="H9" i="3"/>
  <c r="H8" i="3"/>
  <c r="H7" i="3"/>
  <c r="H6" i="3"/>
  <c r="H5" i="3"/>
  <c r="H4" i="3"/>
  <c r="H3" i="3"/>
  <c r="G49" i="2" l="1"/>
  <c r="G47" i="2"/>
  <c r="G46" i="2"/>
  <c r="F49" i="2"/>
  <c r="F47" i="2"/>
  <c r="F46" i="2"/>
  <c r="E49" i="2"/>
  <c r="E47" i="2"/>
  <c r="E46" i="2"/>
  <c r="B49" i="2"/>
  <c r="B47" i="2"/>
  <c r="B46" i="2"/>
  <c r="G55" i="2" l="1"/>
  <c r="E55" i="2"/>
  <c r="D55" i="2"/>
  <c r="G53" i="2"/>
  <c r="F53" i="2"/>
  <c r="E53" i="2"/>
  <c r="D53" i="2"/>
  <c r="C53" i="2"/>
  <c r="B53" i="2"/>
  <c r="G52" i="2"/>
  <c r="F52" i="2"/>
  <c r="E52" i="2"/>
  <c r="D52" i="2"/>
  <c r="C52" i="2"/>
  <c r="H52" i="2" s="1"/>
  <c r="B52" i="2"/>
  <c r="F55" i="2"/>
  <c r="B55" i="2"/>
  <c r="E48" i="2"/>
  <c r="E54" i="2" s="1"/>
  <c r="D48" i="2"/>
  <c r="D54" i="2" s="1"/>
  <c r="G48" i="2"/>
  <c r="F48" i="2"/>
  <c r="B48" i="2"/>
  <c r="I52" i="2" l="1"/>
  <c r="H53" i="2"/>
  <c r="F54" i="2"/>
  <c r="F50" i="2"/>
  <c r="F56" i="2" s="1"/>
  <c r="G50" i="2"/>
  <c r="G56" i="2" s="1"/>
  <c r="G54" i="2"/>
  <c r="B50" i="2"/>
  <c r="B56" i="2" s="1"/>
  <c r="B54" i="2"/>
  <c r="D50" i="2"/>
  <c r="D56" i="2" s="1"/>
  <c r="E50" i="2"/>
  <c r="E56" i="2" s="1"/>
  <c r="I53" i="2" l="1"/>
  <c r="B60" i="2"/>
  <c r="G29" i="2"/>
  <c r="G27" i="2"/>
  <c r="G26" i="2"/>
  <c r="F29" i="2"/>
  <c r="F35" i="2" s="1"/>
  <c r="F27" i="2"/>
  <c r="F26" i="2"/>
  <c r="B29" i="2"/>
  <c r="B27" i="2"/>
  <c r="B26" i="2"/>
  <c r="G35" i="2"/>
  <c r="E35" i="2"/>
  <c r="D35" i="2"/>
  <c r="C35" i="2"/>
  <c r="B35" i="2"/>
  <c r="G33" i="2"/>
  <c r="F33" i="2"/>
  <c r="E33" i="2"/>
  <c r="D33" i="2"/>
  <c r="C33" i="2"/>
  <c r="B33" i="2"/>
  <c r="G32" i="2"/>
  <c r="F32" i="2"/>
  <c r="E32" i="2"/>
  <c r="D32" i="2"/>
  <c r="C32" i="2"/>
  <c r="B32" i="2"/>
  <c r="G28" i="2"/>
  <c r="G34" i="2" s="1"/>
  <c r="F28" i="2"/>
  <c r="F34" i="2" s="1"/>
  <c r="E28" i="2"/>
  <c r="E34" i="2" s="1"/>
  <c r="D28" i="2"/>
  <c r="D34" i="2" s="1"/>
  <c r="C28" i="2"/>
  <c r="B28" i="2"/>
  <c r="B30" i="2" s="1"/>
  <c r="B36" i="2" s="1"/>
  <c r="G16" i="2"/>
  <c r="F16" i="2"/>
  <c r="E16" i="2"/>
  <c r="D16" i="2"/>
  <c r="C16" i="2"/>
  <c r="B16" i="2"/>
  <c r="G14" i="2"/>
  <c r="F14" i="2"/>
  <c r="E14" i="2"/>
  <c r="D14" i="2"/>
  <c r="C14" i="2"/>
  <c r="B14" i="2"/>
  <c r="G13" i="2"/>
  <c r="F13" i="2"/>
  <c r="E13" i="2"/>
  <c r="D13" i="2"/>
  <c r="C13" i="2"/>
  <c r="B13" i="2"/>
  <c r="G11" i="2"/>
  <c r="G17" i="2" s="1"/>
  <c r="G9" i="2"/>
  <c r="G15" i="2" s="1"/>
  <c r="F9" i="2"/>
  <c r="F11" i="2" s="1"/>
  <c r="F17" i="2" s="1"/>
  <c r="E9" i="2"/>
  <c r="E11" i="2" s="1"/>
  <c r="E17" i="2" s="1"/>
  <c r="D9" i="2"/>
  <c r="D15" i="2" s="1"/>
  <c r="C9" i="2"/>
  <c r="C15" i="2" s="1"/>
  <c r="B9" i="2"/>
  <c r="B11" i="2" s="1"/>
  <c r="B17" i="2" s="1"/>
  <c r="C30" i="2" l="1"/>
  <c r="C48" i="2"/>
  <c r="C34" i="2"/>
  <c r="B34" i="2"/>
  <c r="H32" i="2"/>
  <c r="I32" i="2" s="1"/>
  <c r="E15" i="2"/>
  <c r="H35" i="2"/>
  <c r="I35" i="2" s="1"/>
  <c r="F15" i="2"/>
  <c r="F30" i="2"/>
  <c r="F36" i="2" s="1"/>
  <c r="H33" i="2"/>
  <c r="I33" i="2" s="1"/>
  <c r="G30" i="2"/>
  <c r="G36" i="2" s="1"/>
  <c r="D30" i="2"/>
  <c r="D36" i="2" s="1"/>
  <c r="E30" i="2"/>
  <c r="E36" i="2" s="1"/>
  <c r="H14" i="2"/>
  <c r="I14" i="2" s="1"/>
  <c r="H13" i="2"/>
  <c r="I13" i="2" s="1"/>
  <c r="H16" i="2"/>
  <c r="I16" i="2" s="1"/>
  <c r="C11" i="2"/>
  <c r="C17" i="2" s="1"/>
  <c r="D11" i="2"/>
  <c r="D17" i="2" s="1"/>
  <c r="B15" i="2"/>
  <c r="H17" i="2" l="1"/>
  <c r="I17" i="2"/>
  <c r="C54" i="2"/>
  <c r="H54" i="2" s="1"/>
  <c r="I54" i="2" s="1"/>
  <c r="H34" i="2"/>
  <c r="I34" i="2" s="1"/>
  <c r="C36" i="2"/>
  <c r="H36" i="2" s="1"/>
  <c r="C55" i="2"/>
  <c r="H55" i="2" s="1"/>
  <c r="I55" i="2" s="1"/>
  <c r="H15" i="2"/>
  <c r="I15" i="2" s="1"/>
  <c r="I36" i="2" l="1"/>
  <c r="C50" i="2"/>
  <c r="C56" i="2" l="1"/>
  <c r="H56" i="2" s="1"/>
  <c r="I56" i="2" s="1"/>
  <c r="B58" i="2"/>
  <c r="B59" i="2" l="1"/>
</calcChain>
</file>

<file path=xl/sharedStrings.xml><?xml version="1.0" encoding="utf-8"?>
<sst xmlns="http://schemas.openxmlformats.org/spreadsheetml/2006/main" count="120" uniqueCount="69">
  <si>
    <t>Canadian Niagara Power Inc.</t>
  </si>
  <si>
    <t>Grimsby Power Incorporated</t>
  </si>
  <si>
    <t>Horizon Utilities Corporation</t>
  </si>
  <si>
    <t>Niagara Peninsula Energy Inc.</t>
  </si>
  <si>
    <t>Niagara-on-the-Lake Hydro Inc.</t>
  </si>
  <si>
    <t>Welland Hydro-Electric System Corp.</t>
  </si>
  <si>
    <t>Average</t>
  </si>
  <si>
    <t xml:space="preserve">  km of line</t>
  </si>
  <si>
    <t>Total Customers</t>
  </si>
  <si>
    <t>Full-time Equivalent Number of Employees</t>
  </si>
  <si>
    <t xml:space="preserve">  Operating</t>
  </si>
  <si>
    <t xml:space="preserve">  Maintenance</t>
  </si>
  <si>
    <t xml:space="preserve">  Total O&amp;M</t>
  </si>
  <si>
    <t xml:space="preserve">  Administrative Expense</t>
  </si>
  <si>
    <t xml:space="preserve">  Total OM&amp;A</t>
  </si>
  <si>
    <t>Cust per km of line</t>
  </si>
  <si>
    <t>Customers per Employee</t>
  </si>
  <si>
    <t>O&amp;M  per Customer</t>
  </si>
  <si>
    <t>Admin per customer</t>
  </si>
  <si>
    <t>Total OM&amp;A per customer</t>
  </si>
  <si>
    <t>2014 Yearbook</t>
  </si>
  <si>
    <t>2015 Adjusted</t>
  </si>
  <si>
    <t>Niagara-on-the-Lake Hydro Inc. 1.30%</t>
  </si>
  <si>
    <t>Welland Hydro-Electric System Corp. 1.45%</t>
  </si>
  <si>
    <t>Canadian Niagara Power Inc. 1.15%</t>
  </si>
  <si>
    <t>2016 Adjusted</t>
  </si>
  <si>
    <t>Canadian Niagara Power Inc. 1.65%</t>
  </si>
  <si>
    <t>Grimsby Power Incorporated COS</t>
  </si>
  <si>
    <t>Niagara Peninsula Energy Inc. 1.80%</t>
  </si>
  <si>
    <t>Niagara-on-the-Lake Hydro Inc. 1.80%</t>
  </si>
  <si>
    <t>Welland Hydro-Electric System Corp. 1.95%</t>
  </si>
  <si>
    <t>Grimsby vs. Average</t>
  </si>
  <si>
    <t>Niagara Region LDC's</t>
  </si>
  <si>
    <t>2011 Monthly Bill for 800 kWh</t>
  </si>
  <si>
    <t>2012 Monthly Bill for 800 kWh</t>
  </si>
  <si>
    <t>2013 Monthly Bill for 800 kWh</t>
  </si>
  <si>
    <t>2014 Monthly Bill for 800 kWh</t>
  </si>
  <si>
    <t>2015 Monthly Bill for 800 kWh</t>
  </si>
  <si>
    <t>2016 Monthly Bill for 800 kWh</t>
  </si>
  <si>
    <t>Residential</t>
  </si>
  <si>
    <t>Grimsby Power Inc.</t>
  </si>
  <si>
    <t>Canadian Niagara Power Inc. - Fort Erie</t>
  </si>
  <si>
    <t>Canadian Niagara Power Inc. - Port Colborne</t>
  </si>
  <si>
    <t>Hydro One Networks Inc. - Urban</t>
  </si>
  <si>
    <t>Hydro One Networks Inc. - Medium Density</t>
  </si>
  <si>
    <t>Niagara Peninsula Energy Inc.*</t>
  </si>
  <si>
    <t xml:space="preserve">   *NPEI 2016 Subtotal A Bill Impact added</t>
  </si>
  <si>
    <t>Rate Change
 2012-2016
 (%)</t>
  </si>
  <si>
    <t>GS &lt;50 kW</t>
  </si>
  <si>
    <t>Average OM&amp;A</t>
  </si>
  <si>
    <t># customers req'd to achieve avg OM&amp;A/cust</t>
  </si>
  <si>
    <t># FTEs req'd to achieve avg custs/FTE</t>
  </si>
  <si>
    <t>Grimsby Power Incorporated (App. 2-JA)</t>
  </si>
  <si>
    <t>Ont GDP 2014-2017</t>
  </si>
  <si>
    <t>Ont GDP 2018-2020</t>
  </si>
  <si>
    <t>Group 2 Stretch Factor</t>
  </si>
  <si>
    <t>2017 to 2020 Forecast:</t>
  </si>
  <si>
    <t>Grimsby OM&amp;A per customer:</t>
  </si>
  <si>
    <t>Grimsby OM&amp;A:</t>
  </si>
  <si>
    <t>Grimsby Customer #</t>
  </si>
  <si>
    <t>Grimsby Customer growth 2015 to 2016</t>
  </si>
  <si>
    <t>Sample Cust Growth 2015 to 2016</t>
  </si>
  <si>
    <t>Average OM&amp;A per customer</t>
  </si>
  <si>
    <t>Average Customers per sample</t>
  </si>
  <si>
    <t>Average OM&amp;A per sample (GDP only - no stretch)</t>
  </si>
  <si>
    <t>EB-2015-0072 IRR 1-Staff-6</t>
  </si>
  <si>
    <t>Horizon Utilities Corporation EB-2014-0002</t>
  </si>
  <si>
    <t>Niagara Peninsula Energy Inc. EB-2014-0096</t>
  </si>
  <si>
    <t>Horizon Utilities Corporation EB-2015-0075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</si>
</sst>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6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3" borderId="1" xfId="1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3" borderId="1" xfId="0" applyNumberFormat="1" applyFill="1" applyBorder="1"/>
    <xf numFmtId="0" fontId="3" fillId="2" borderId="2" xfId="0" applyFont="1" applyFill="1" applyBorder="1" applyAlignment="1">
      <alignment horizontal="left" wrapText="1"/>
    </xf>
    <xf numFmtId="0" fontId="0" fillId="3" borderId="0" xfId="0" applyFill="1"/>
    <xf numFmtId="2" fontId="0" fillId="0" borderId="0" xfId="0" applyNumberFormat="1"/>
    <xf numFmtId="2" fontId="0" fillId="3" borderId="0" xfId="0" applyNumberFormat="1" applyFill="1"/>
    <xf numFmtId="1" fontId="0" fillId="0" borderId="0" xfId="0" applyNumberFormat="1"/>
    <xf numFmtId="1" fontId="0" fillId="3" borderId="0" xfId="0" applyNumberFormat="1" applyFill="1"/>
    <xf numFmtId="0" fontId="4" fillId="0" borderId="0" xfId="0" applyFont="1" applyFill="1" applyBorder="1"/>
    <xf numFmtId="164" fontId="4" fillId="0" borderId="4" xfId="1" applyNumberFormat="1" applyFont="1" applyFill="1" applyBorder="1" applyAlignment="1">
      <alignment horizontal="right"/>
    </xf>
    <xf numFmtId="164" fontId="4" fillId="3" borderId="4" xfId="1" applyNumberFormat="1" applyFont="1" applyFill="1" applyBorder="1" applyAlignment="1">
      <alignment horizontal="right"/>
    </xf>
    <xf numFmtId="164" fontId="4" fillId="2" borderId="4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9" fontId="0" fillId="0" borderId="0" xfId="3" applyFont="1"/>
    <xf numFmtId="0" fontId="2" fillId="3" borderId="0" xfId="0" applyFont="1" applyFill="1" applyAlignment="1">
      <alignment horizontal="center" wrapText="1"/>
    </xf>
    <xf numFmtId="9" fontId="0" fillId="3" borderId="0" xfId="3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0" fontId="9" fillId="0" borderId="0" xfId="0" applyFont="1"/>
    <xf numFmtId="44" fontId="0" fillId="0" borderId="0" xfId="2" applyFont="1"/>
    <xf numFmtId="164" fontId="0" fillId="0" borderId="0" xfId="0" applyNumberFormat="1"/>
    <xf numFmtId="43" fontId="0" fillId="0" borderId="0" xfId="0" applyNumberFormat="1"/>
    <xf numFmtId="10" fontId="0" fillId="0" borderId="0" xfId="3" applyNumberFormat="1" applyFont="1"/>
    <xf numFmtId="10" fontId="0" fillId="0" borderId="0" xfId="0" applyNumberFormat="1"/>
    <xf numFmtId="0" fontId="7" fillId="0" borderId="0" xfId="0" applyFont="1" applyFill="1" applyBorder="1"/>
    <xf numFmtId="166" fontId="0" fillId="0" borderId="0" xfId="2" applyNumberFormat="1" applyFont="1"/>
    <xf numFmtId="164" fontId="5" fillId="2" borderId="0" xfId="0" applyNumberFormat="1" applyFont="1" applyFill="1" applyBorder="1" applyAlignment="1">
      <alignment horizontal="right"/>
    </xf>
    <xf numFmtId="164" fontId="0" fillId="0" borderId="0" xfId="1" applyNumberFormat="1" applyFont="1"/>
    <xf numFmtId="0" fontId="2" fillId="0" borderId="0" xfId="0" applyFont="1"/>
    <xf numFmtId="166" fontId="2" fillId="3" borderId="0" xfId="2" applyNumberFormat="1" applyFont="1" applyFill="1"/>
    <xf numFmtId="1" fontId="2" fillId="0" borderId="0" xfId="0" applyNumberFormat="1" applyFont="1"/>
    <xf numFmtId="0" fontId="2" fillId="0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4" fillId="0" borderId="0" xfId="0" applyFont="1" applyBorder="1"/>
    <xf numFmtId="43" fontId="3" fillId="0" borderId="2" xfId="1" applyFont="1" applyFill="1" applyBorder="1" applyAlignment="1">
      <alignment horizontal="left"/>
    </xf>
    <xf numFmtId="164" fontId="3" fillId="0" borderId="2" xfId="1" applyNumberFormat="1" applyFont="1" applyFill="1" applyBorder="1"/>
    <xf numFmtId="0" fontId="6" fillId="2" borderId="2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"/>
  <sheetViews>
    <sheetView topLeftCell="A28" workbookViewId="0">
      <selection sqref="A1:I84"/>
    </sheetView>
  </sheetViews>
  <sheetFormatPr defaultRowHeight="15" x14ac:dyDescent="0.25"/>
  <cols>
    <col min="1" max="1" width="43.85546875" style="43" customWidth="1"/>
    <col min="2" max="7" width="16.7109375" customWidth="1"/>
    <col min="8" max="8" width="13.7109375" customWidth="1"/>
    <col min="9" max="9" width="16.7109375" customWidth="1"/>
  </cols>
  <sheetData>
    <row r="1" spans="1:21" x14ac:dyDescent="0.25">
      <c r="C1" s="1"/>
    </row>
    <row r="2" spans="1:21" x14ac:dyDescent="0.25">
      <c r="B2" s="41" t="s">
        <v>20</v>
      </c>
      <c r="C2" s="41"/>
      <c r="D2" s="41"/>
      <c r="E2" s="41"/>
      <c r="F2" s="41"/>
      <c r="G2" s="41"/>
    </row>
    <row r="3" spans="1:21" s="6" customFormat="1" ht="38.25" x14ac:dyDescent="0.2">
      <c r="A3" s="12"/>
      <c r="B3" s="3" t="s">
        <v>0</v>
      </c>
      <c r="C3" s="4" t="s">
        <v>1</v>
      </c>
      <c r="D3" s="2" t="s">
        <v>2</v>
      </c>
      <c r="E3" s="2" t="s">
        <v>3</v>
      </c>
      <c r="F3" s="2" t="s">
        <v>4</v>
      </c>
      <c r="G3" s="2" t="s">
        <v>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6" customFormat="1" ht="14.25" x14ac:dyDescent="0.2">
      <c r="A4" s="12" t="s">
        <v>7</v>
      </c>
      <c r="B4" s="8">
        <v>1011</v>
      </c>
      <c r="C4" s="9">
        <v>245</v>
      </c>
      <c r="D4" s="7">
        <v>3473</v>
      </c>
      <c r="E4" s="7">
        <v>1977</v>
      </c>
      <c r="F4" s="7">
        <v>326</v>
      </c>
      <c r="G4" s="7">
        <v>466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5" customFormat="1" ht="15" customHeight="1" x14ac:dyDescent="0.2">
      <c r="A5" s="46" t="s">
        <v>8</v>
      </c>
      <c r="B5" s="19">
        <v>28627</v>
      </c>
      <c r="C5" s="20">
        <v>10813</v>
      </c>
      <c r="D5" s="21">
        <v>240076</v>
      </c>
      <c r="E5" s="21">
        <v>51824</v>
      </c>
      <c r="F5" s="21">
        <v>8672</v>
      </c>
      <c r="G5" s="21">
        <v>22470</v>
      </c>
      <c r="H5" s="36">
        <f>AVERAGE(B5:G5)</f>
        <v>60413.666666666664</v>
      </c>
    </row>
    <row r="6" spans="1:21" s="6" customFormat="1" ht="15" customHeight="1" x14ac:dyDescent="0.2">
      <c r="A6" s="47" t="s">
        <v>9</v>
      </c>
      <c r="B6" s="19">
        <v>84</v>
      </c>
      <c r="C6" s="20">
        <v>18</v>
      </c>
      <c r="D6" s="19">
        <v>340</v>
      </c>
      <c r="E6" s="19">
        <v>128</v>
      </c>
      <c r="F6" s="19">
        <v>16</v>
      </c>
      <c r="G6" s="19">
        <v>39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6" customFormat="1" ht="15" customHeight="1" x14ac:dyDescent="0.2">
      <c r="A7" s="48" t="s">
        <v>10</v>
      </c>
      <c r="B7" s="8">
        <v>1726743.85</v>
      </c>
      <c r="C7" s="9">
        <v>594775.36</v>
      </c>
      <c r="D7" s="8">
        <v>27062496.93</v>
      </c>
      <c r="E7" s="8">
        <v>4297319.4000000004</v>
      </c>
      <c r="F7" s="8">
        <v>491399.67</v>
      </c>
      <c r="G7" s="8">
        <v>1275287.7400000002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s="6" customFormat="1" ht="15" customHeight="1" x14ac:dyDescent="0.2">
      <c r="A8" s="48" t="s">
        <v>11</v>
      </c>
      <c r="B8" s="8">
        <v>1893749.45</v>
      </c>
      <c r="C8" s="9">
        <v>436217.91000000003</v>
      </c>
      <c r="D8" s="8">
        <v>3748384.34</v>
      </c>
      <c r="E8" s="8">
        <v>2422914.73</v>
      </c>
      <c r="F8" s="8">
        <v>412258.79000000004</v>
      </c>
      <c r="G8" s="8">
        <v>1651435.7800000003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5">
      <c r="A9" s="44" t="s">
        <v>12</v>
      </c>
      <c r="B9" s="10">
        <f t="shared" ref="B9:G9" si="0">SUM(B7:B8)</f>
        <v>3620493.3</v>
      </c>
      <c r="C9" s="11">
        <f t="shared" si="0"/>
        <v>1030993.27</v>
      </c>
      <c r="D9" s="10">
        <f t="shared" si="0"/>
        <v>30810881.27</v>
      </c>
      <c r="E9" s="10">
        <f t="shared" si="0"/>
        <v>6720234.1300000008</v>
      </c>
      <c r="F9" s="10">
        <f t="shared" si="0"/>
        <v>903658.46</v>
      </c>
      <c r="G9" s="10">
        <f t="shared" si="0"/>
        <v>2926723.5200000005</v>
      </c>
    </row>
    <row r="10" spans="1:21" s="6" customFormat="1" ht="15" customHeight="1" x14ac:dyDescent="0.2">
      <c r="A10" s="48" t="s">
        <v>13</v>
      </c>
      <c r="B10" s="8">
        <v>5812475.6299999999</v>
      </c>
      <c r="C10" s="9">
        <v>1784213.3800000001</v>
      </c>
      <c r="D10" s="8">
        <v>29506875.370000001</v>
      </c>
      <c r="E10" s="8">
        <v>10341606.579999996</v>
      </c>
      <c r="F10" s="8">
        <v>1334355.7099999995</v>
      </c>
      <c r="G10" s="8">
        <v>3301868.62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12" t="s">
        <v>14</v>
      </c>
      <c r="B11" s="10">
        <f t="shared" ref="B11:G11" si="1">B9+B10</f>
        <v>9432968.9299999997</v>
      </c>
      <c r="C11" s="11">
        <f t="shared" si="1"/>
        <v>2815206.6500000004</v>
      </c>
      <c r="D11" s="10">
        <f t="shared" si="1"/>
        <v>60317756.640000001</v>
      </c>
      <c r="E11" s="10">
        <f t="shared" si="1"/>
        <v>17061840.709999997</v>
      </c>
      <c r="F11" s="10">
        <f t="shared" si="1"/>
        <v>2238014.1699999995</v>
      </c>
      <c r="G11" s="10">
        <f t="shared" si="1"/>
        <v>6228592.1400000006</v>
      </c>
    </row>
    <row r="12" spans="1:21" ht="30" x14ac:dyDescent="0.25">
      <c r="C12" s="13"/>
      <c r="H12" s="22" t="s">
        <v>6</v>
      </c>
      <c r="I12" s="24" t="s">
        <v>31</v>
      </c>
    </row>
    <row r="13" spans="1:21" x14ac:dyDescent="0.25">
      <c r="A13" s="45" t="s">
        <v>15</v>
      </c>
      <c r="B13" s="14">
        <f t="shared" ref="B13:G13" si="2">B5/B4</f>
        <v>28.315529179030662</v>
      </c>
      <c r="C13" s="15">
        <f t="shared" si="2"/>
        <v>44.134693877551022</v>
      </c>
      <c r="D13" s="14">
        <f t="shared" si="2"/>
        <v>69.126403685574431</v>
      </c>
      <c r="E13" s="14">
        <f t="shared" si="2"/>
        <v>26.213454729387962</v>
      </c>
      <c r="F13" s="14">
        <f t="shared" si="2"/>
        <v>26.60122699386503</v>
      </c>
      <c r="G13" s="14">
        <f t="shared" si="2"/>
        <v>48.218884120171673</v>
      </c>
      <c r="H13" s="16">
        <f>AVERAGE(B13:G13)</f>
        <v>40.435032097596796</v>
      </c>
      <c r="I13" s="25">
        <f>(C13-H13)/C13</f>
        <v>8.3826610199647225E-2</v>
      </c>
    </row>
    <row r="14" spans="1:21" x14ac:dyDescent="0.25">
      <c r="A14" s="45" t="s">
        <v>16</v>
      </c>
      <c r="B14" s="16">
        <f t="shared" ref="B14:G14" si="3">B5/B6</f>
        <v>340.79761904761904</v>
      </c>
      <c r="C14" s="17">
        <f t="shared" si="3"/>
        <v>600.72222222222217</v>
      </c>
      <c r="D14" s="16">
        <f t="shared" si="3"/>
        <v>706.10588235294119</v>
      </c>
      <c r="E14" s="16">
        <f t="shared" si="3"/>
        <v>404.875</v>
      </c>
      <c r="F14" s="16">
        <f t="shared" si="3"/>
        <v>542</v>
      </c>
      <c r="G14" s="16">
        <f t="shared" si="3"/>
        <v>576.15384615384619</v>
      </c>
      <c r="H14" s="16">
        <f>AVERAGE(B14:G14)</f>
        <v>528.44242829610482</v>
      </c>
      <c r="I14" s="25">
        <f t="shared" ref="I14:I17" si="4">(C14-H14)/C14</f>
        <v>0.12032149178489895</v>
      </c>
    </row>
    <row r="15" spans="1:21" x14ac:dyDescent="0.25">
      <c r="A15" s="18" t="s">
        <v>17</v>
      </c>
      <c r="B15" s="16">
        <f t="shared" ref="B15:G15" si="5">B9/B5</f>
        <v>126.47127886261221</v>
      </c>
      <c r="C15" s="17">
        <f t="shared" si="5"/>
        <v>95.347569592157583</v>
      </c>
      <c r="D15" s="16">
        <f t="shared" si="5"/>
        <v>128.3380315816658</v>
      </c>
      <c r="E15" s="16">
        <f t="shared" si="5"/>
        <v>129.6741689178759</v>
      </c>
      <c r="F15" s="16">
        <f t="shared" si="5"/>
        <v>104.2041582103321</v>
      </c>
      <c r="G15" s="16">
        <f t="shared" si="5"/>
        <v>130.25026791277261</v>
      </c>
      <c r="H15" s="16">
        <f>AVERAGE(B15:G15)</f>
        <v>119.04757917956938</v>
      </c>
      <c r="I15" s="25">
        <f t="shared" si="4"/>
        <v>-0.24856438070510761</v>
      </c>
    </row>
    <row r="16" spans="1:21" x14ac:dyDescent="0.25">
      <c r="A16" s="18" t="s">
        <v>18</v>
      </c>
      <c r="B16" s="16">
        <f t="shared" ref="B16:G16" si="6">B10/B5</f>
        <v>203.04173088343171</v>
      </c>
      <c r="C16" s="17">
        <f t="shared" si="6"/>
        <v>165.00632386941646</v>
      </c>
      <c r="D16" s="16">
        <f t="shared" si="6"/>
        <v>122.90639368366685</v>
      </c>
      <c r="E16" s="16">
        <f t="shared" si="6"/>
        <v>199.55245793454762</v>
      </c>
      <c r="F16" s="16">
        <f t="shared" si="6"/>
        <v>153.86943150368998</v>
      </c>
      <c r="G16" s="16">
        <f t="shared" si="6"/>
        <v>146.94564396973743</v>
      </c>
      <c r="H16" s="16">
        <f>AVERAGE(B16:G16)</f>
        <v>165.220330307415</v>
      </c>
      <c r="I16" s="25">
        <f t="shared" si="4"/>
        <v>-1.2969590072674801E-3</v>
      </c>
    </row>
    <row r="17" spans="1:21" x14ac:dyDescent="0.25">
      <c r="A17" s="18" t="s">
        <v>19</v>
      </c>
      <c r="B17" s="16">
        <f t="shared" ref="B17:G17" si="7">B11/B5</f>
        <v>329.51300974604391</v>
      </c>
      <c r="C17" s="17">
        <f t="shared" si="7"/>
        <v>260.35389346157405</v>
      </c>
      <c r="D17" s="16">
        <f t="shared" si="7"/>
        <v>251.24442526533264</v>
      </c>
      <c r="E17" s="16">
        <f t="shared" si="7"/>
        <v>329.22662685242352</v>
      </c>
      <c r="F17" s="16">
        <f t="shared" si="7"/>
        <v>258.07358971402209</v>
      </c>
      <c r="G17" s="16">
        <f t="shared" si="7"/>
        <v>277.19591188251002</v>
      </c>
      <c r="H17" s="16">
        <f>AVERAGE(B17:G17)</f>
        <v>284.26790948698437</v>
      </c>
      <c r="I17" s="25">
        <f t="shared" si="4"/>
        <v>-9.1851962371132426E-2</v>
      </c>
    </row>
    <row r="21" spans="1:21" x14ac:dyDescent="0.25">
      <c r="B21" s="41" t="s">
        <v>21</v>
      </c>
      <c r="C21" s="41"/>
      <c r="D21" s="41"/>
      <c r="E21" s="41"/>
      <c r="F21" s="41"/>
      <c r="G21" s="41"/>
    </row>
    <row r="22" spans="1:21" s="6" customFormat="1" ht="38.25" x14ac:dyDescent="0.2">
      <c r="A22" s="12"/>
      <c r="B22" s="3" t="s">
        <v>24</v>
      </c>
      <c r="C22" s="4" t="s">
        <v>52</v>
      </c>
      <c r="D22" s="2" t="s">
        <v>66</v>
      </c>
      <c r="E22" s="2" t="s">
        <v>67</v>
      </c>
      <c r="F22" s="2" t="s">
        <v>22</v>
      </c>
      <c r="G22" s="2" t="s">
        <v>23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s="6" customFormat="1" ht="14.25" x14ac:dyDescent="0.2">
      <c r="A23" s="12" t="s">
        <v>7</v>
      </c>
      <c r="B23" s="8">
        <v>1011</v>
      </c>
      <c r="C23" s="9">
        <v>245</v>
      </c>
      <c r="D23" s="7">
        <v>3473</v>
      </c>
      <c r="E23" s="7">
        <v>1977</v>
      </c>
      <c r="F23" s="7">
        <v>326</v>
      </c>
      <c r="G23" s="7">
        <v>466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s="5" customFormat="1" ht="15" customHeight="1" x14ac:dyDescent="0.2">
      <c r="A24" s="46" t="s">
        <v>8</v>
      </c>
      <c r="B24" s="19">
        <v>28627</v>
      </c>
      <c r="C24" s="20">
        <v>11093</v>
      </c>
      <c r="D24" s="21">
        <v>243319</v>
      </c>
      <c r="E24" s="21">
        <v>52314</v>
      </c>
      <c r="F24" s="21">
        <v>8672</v>
      </c>
      <c r="G24" s="21">
        <v>22470</v>
      </c>
      <c r="H24" s="36">
        <f>AVERAGE(B24:G24)</f>
        <v>61082.5</v>
      </c>
    </row>
    <row r="25" spans="1:21" s="6" customFormat="1" ht="15" customHeight="1" x14ac:dyDescent="0.2">
      <c r="A25" s="47" t="s">
        <v>9</v>
      </c>
      <c r="B25" s="19">
        <v>84</v>
      </c>
      <c r="C25" s="20">
        <v>20</v>
      </c>
      <c r="D25" s="19">
        <v>348</v>
      </c>
      <c r="E25" s="19">
        <v>130</v>
      </c>
      <c r="F25" s="19">
        <v>16</v>
      </c>
      <c r="G25" s="19">
        <v>39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s="6" customFormat="1" ht="15" customHeight="1" x14ac:dyDescent="0.2">
      <c r="A26" s="48" t="s">
        <v>10</v>
      </c>
      <c r="B26" s="8">
        <f>B7*1.0115</f>
        <v>1746601.4042750001</v>
      </c>
      <c r="C26" s="9">
        <v>648822</v>
      </c>
      <c r="D26" s="8">
        <v>29190228</v>
      </c>
      <c r="E26" s="8">
        <v>4181150</v>
      </c>
      <c r="F26" s="8">
        <f>F7*1.013</f>
        <v>497787.86570999993</v>
      </c>
      <c r="G26" s="8">
        <f>G7*1.0145</f>
        <v>1293779.4122300001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s="6" customFormat="1" ht="15" customHeight="1" x14ac:dyDescent="0.2">
      <c r="A27" s="48" t="s">
        <v>11</v>
      </c>
      <c r="B27" s="8">
        <f>B8*1.0115</f>
        <v>1915527.568675</v>
      </c>
      <c r="C27" s="9">
        <v>505940</v>
      </c>
      <c r="D27" s="8">
        <v>3900225</v>
      </c>
      <c r="E27" s="8">
        <v>2439001</v>
      </c>
      <c r="F27" s="8">
        <f>F8*1.013</f>
        <v>417618.15427</v>
      </c>
      <c r="G27" s="8">
        <f>G8*1.0145</f>
        <v>1675381.5988100001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44" t="s">
        <v>12</v>
      </c>
      <c r="B28" s="10">
        <f t="shared" ref="B28:G28" si="8">SUM(B26:B27)</f>
        <v>3662128.9729500003</v>
      </c>
      <c r="C28" s="11">
        <f t="shared" si="8"/>
        <v>1154762</v>
      </c>
      <c r="D28" s="10">
        <f t="shared" si="8"/>
        <v>33090453</v>
      </c>
      <c r="E28" s="10">
        <f t="shared" si="8"/>
        <v>6620151</v>
      </c>
      <c r="F28" s="10">
        <f t="shared" si="8"/>
        <v>915406.01997999987</v>
      </c>
      <c r="G28" s="10">
        <f t="shared" si="8"/>
        <v>2969161.0110400002</v>
      </c>
    </row>
    <row r="29" spans="1:21" s="6" customFormat="1" ht="15" customHeight="1" x14ac:dyDescent="0.2">
      <c r="A29" s="48" t="s">
        <v>13</v>
      </c>
      <c r="B29" s="8">
        <f>B10*1.0115</f>
        <v>5879319.0997450007</v>
      </c>
      <c r="C29" s="9">
        <v>1763632</v>
      </c>
      <c r="D29" s="8">
        <v>26444287</v>
      </c>
      <c r="E29" s="8">
        <v>9804844</v>
      </c>
      <c r="F29" s="8">
        <f>F10*1.013</f>
        <v>1351702.3342299995</v>
      </c>
      <c r="G29" s="8">
        <f>G10*1.0145</f>
        <v>3349745.7149899998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12" t="s">
        <v>14</v>
      </c>
      <c r="B30" s="10">
        <f t="shared" ref="B30:G30" si="9">B28+B29</f>
        <v>9541448.072695002</v>
      </c>
      <c r="C30" s="11">
        <f t="shared" si="9"/>
        <v>2918394</v>
      </c>
      <c r="D30" s="10">
        <f t="shared" si="9"/>
        <v>59534740</v>
      </c>
      <c r="E30" s="10">
        <f t="shared" si="9"/>
        <v>16424995</v>
      </c>
      <c r="F30" s="10">
        <f t="shared" si="9"/>
        <v>2267108.3542099996</v>
      </c>
      <c r="G30" s="10">
        <f t="shared" si="9"/>
        <v>6318906.7260299996</v>
      </c>
    </row>
    <row r="31" spans="1:21" ht="30" x14ac:dyDescent="0.25">
      <c r="C31" s="13"/>
      <c r="H31" s="22" t="s">
        <v>6</v>
      </c>
      <c r="I31" s="24" t="s">
        <v>31</v>
      </c>
    </row>
    <row r="32" spans="1:21" x14ac:dyDescent="0.25">
      <c r="A32" s="45" t="s">
        <v>15</v>
      </c>
      <c r="B32" s="14">
        <f t="shared" ref="B32:G32" si="10">B24/B23</f>
        <v>28.315529179030662</v>
      </c>
      <c r="C32" s="15">
        <f t="shared" si="10"/>
        <v>45.277551020408161</v>
      </c>
      <c r="D32" s="14">
        <f t="shared" si="10"/>
        <v>70.060178520011519</v>
      </c>
      <c r="E32" s="14">
        <f t="shared" si="10"/>
        <v>26.461305007587253</v>
      </c>
      <c r="F32" s="14">
        <f t="shared" si="10"/>
        <v>26.60122699386503</v>
      </c>
      <c r="G32" s="14">
        <f t="shared" si="10"/>
        <v>48.218884120171673</v>
      </c>
      <c r="H32" s="16">
        <f>AVERAGE(B32:G32)</f>
        <v>40.822445806845714</v>
      </c>
      <c r="I32" s="25">
        <f>(C32-H32)/C32</f>
        <v>9.8395454549968411E-2</v>
      </c>
    </row>
    <row r="33" spans="1:21" x14ac:dyDescent="0.25">
      <c r="A33" s="45" t="s">
        <v>16</v>
      </c>
      <c r="B33" s="16">
        <f t="shared" ref="B33:G33" si="11">B24/B25</f>
        <v>340.79761904761904</v>
      </c>
      <c r="C33" s="17">
        <f t="shared" si="11"/>
        <v>554.65</v>
      </c>
      <c r="D33" s="16">
        <f t="shared" si="11"/>
        <v>699.19252873563221</v>
      </c>
      <c r="E33" s="16">
        <f t="shared" si="11"/>
        <v>402.4153846153846</v>
      </c>
      <c r="F33" s="16">
        <f t="shared" si="11"/>
        <v>542</v>
      </c>
      <c r="G33" s="16">
        <f t="shared" si="11"/>
        <v>576.15384615384619</v>
      </c>
      <c r="H33" s="16">
        <f>AVERAGE(B33:G33)</f>
        <v>519.20156309208039</v>
      </c>
      <c r="I33" s="25">
        <f t="shared" ref="I33:I36" si="12">(C33-H33)/C33</f>
        <v>6.3911361954240672E-2</v>
      </c>
    </row>
    <row r="34" spans="1:21" x14ac:dyDescent="0.25">
      <c r="A34" s="18" t="s">
        <v>17</v>
      </c>
      <c r="B34" s="16">
        <f t="shared" ref="B34:G34" si="13">B28/B24</f>
        <v>127.92569856953227</v>
      </c>
      <c r="C34" s="17">
        <f t="shared" si="13"/>
        <v>104.09826016406743</v>
      </c>
      <c r="D34" s="16">
        <f t="shared" si="13"/>
        <v>135.99617374722072</v>
      </c>
      <c r="E34" s="16">
        <f t="shared" si="13"/>
        <v>126.54645028099553</v>
      </c>
      <c r="F34" s="16">
        <f t="shared" si="13"/>
        <v>105.5588122670664</v>
      </c>
      <c r="G34" s="16">
        <f t="shared" si="13"/>
        <v>132.13889679750781</v>
      </c>
      <c r="H34" s="16">
        <f>AVERAGE(B34:G34)</f>
        <v>122.04404863773171</v>
      </c>
      <c r="I34" s="25">
        <f t="shared" si="12"/>
        <v>-0.17239278010391568</v>
      </c>
    </row>
    <row r="35" spans="1:21" x14ac:dyDescent="0.25">
      <c r="A35" s="18" t="s">
        <v>18</v>
      </c>
      <c r="B35" s="16">
        <f t="shared" ref="B35:G35" si="14">B29/B24</f>
        <v>205.37671078859123</v>
      </c>
      <c r="C35" s="17">
        <f t="shared" si="14"/>
        <v>158.98602722437573</v>
      </c>
      <c r="D35" s="16">
        <f t="shared" si="14"/>
        <v>108.68155384495252</v>
      </c>
      <c r="E35" s="16">
        <f t="shared" si="14"/>
        <v>187.42294605650494</v>
      </c>
      <c r="F35" s="16">
        <f t="shared" si="14"/>
        <v>155.86973411323794</v>
      </c>
      <c r="G35" s="16">
        <f t="shared" si="14"/>
        <v>149.0763558072986</v>
      </c>
      <c r="H35" s="16">
        <f>AVERAGE(B35:G35)</f>
        <v>160.90222130582683</v>
      </c>
      <c r="I35" s="25">
        <f t="shared" si="12"/>
        <v>-1.2052594274506815E-2</v>
      </c>
    </row>
    <row r="36" spans="1:21" x14ac:dyDescent="0.25">
      <c r="A36" s="18" t="s">
        <v>19</v>
      </c>
      <c r="B36" s="16">
        <f t="shared" ref="B36:G36" si="15">B30/B24</f>
        <v>333.3024093581235</v>
      </c>
      <c r="C36" s="17">
        <f t="shared" si="15"/>
        <v>263.08428738844316</v>
      </c>
      <c r="D36" s="16">
        <f t="shared" si="15"/>
        <v>244.67772759217323</v>
      </c>
      <c r="E36" s="16">
        <f t="shared" si="15"/>
        <v>313.96939633750048</v>
      </c>
      <c r="F36" s="16">
        <f t="shared" si="15"/>
        <v>261.4285463803044</v>
      </c>
      <c r="G36" s="16">
        <f t="shared" si="15"/>
        <v>281.21525260480638</v>
      </c>
      <c r="H36" s="16">
        <f>AVERAGE(B36:G36)</f>
        <v>282.94626994355855</v>
      </c>
      <c r="I36" s="25">
        <f t="shared" si="12"/>
        <v>-7.5496650720874234E-2</v>
      </c>
    </row>
    <row r="41" spans="1:21" x14ac:dyDescent="0.25">
      <c r="B41" s="41" t="s">
        <v>25</v>
      </c>
      <c r="C41" s="41"/>
      <c r="D41" s="41"/>
      <c r="E41" s="41"/>
      <c r="F41" s="41"/>
      <c r="G41" s="41"/>
    </row>
    <row r="42" spans="1:21" s="6" customFormat="1" ht="38.25" x14ac:dyDescent="0.2">
      <c r="A42" s="12"/>
      <c r="B42" s="3" t="s">
        <v>26</v>
      </c>
      <c r="C42" s="4" t="s">
        <v>27</v>
      </c>
      <c r="D42" s="3" t="s">
        <v>68</v>
      </c>
      <c r="E42" s="2" t="s">
        <v>28</v>
      </c>
      <c r="F42" s="2" t="s">
        <v>29</v>
      </c>
      <c r="G42" s="2" t="s">
        <v>30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s="6" customFormat="1" ht="14.25" x14ac:dyDescent="0.2">
      <c r="A43" s="12" t="s">
        <v>7</v>
      </c>
      <c r="B43" s="8">
        <v>1011</v>
      </c>
      <c r="C43" s="9">
        <v>240</v>
      </c>
      <c r="D43" s="7">
        <v>3473</v>
      </c>
      <c r="E43" s="7">
        <v>1977</v>
      </c>
      <c r="F43" s="7">
        <v>326</v>
      </c>
      <c r="G43" s="7">
        <v>466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s="5" customFormat="1" ht="15" customHeight="1" x14ac:dyDescent="0.2">
      <c r="A44" s="46" t="s">
        <v>8</v>
      </c>
      <c r="B44" s="19">
        <v>28627</v>
      </c>
      <c r="C44" s="9">
        <v>11285</v>
      </c>
      <c r="D44" s="21">
        <v>245123</v>
      </c>
      <c r="E44" s="21">
        <v>51824</v>
      </c>
      <c r="F44" s="21">
        <v>8672</v>
      </c>
      <c r="G44" s="21">
        <v>22470</v>
      </c>
      <c r="H44" s="36">
        <f>AVERAGE(B44:G44)</f>
        <v>61333.5</v>
      </c>
    </row>
    <row r="45" spans="1:21" s="6" customFormat="1" ht="15" customHeight="1" x14ac:dyDescent="0.2">
      <c r="A45" s="47" t="s">
        <v>9</v>
      </c>
      <c r="B45" s="19">
        <v>84</v>
      </c>
      <c r="C45" s="9">
        <v>25</v>
      </c>
      <c r="D45" s="19">
        <v>345</v>
      </c>
      <c r="E45" s="19">
        <v>128</v>
      </c>
      <c r="F45" s="19">
        <v>16</v>
      </c>
      <c r="G45" s="19">
        <v>39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s="6" customFormat="1" ht="15" customHeight="1" x14ac:dyDescent="0.2">
      <c r="A46" s="48" t="s">
        <v>10</v>
      </c>
      <c r="B46" s="8">
        <f>B26*1.0165</f>
        <v>1775420.3274455376</v>
      </c>
      <c r="C46" s="9">
        <v>885613</v>
      </c>
      <c r="D46" s="8">
        <v>30153878</v>
      </c>
      <c r="E46" s="8">
        <f>E26*1.018</f>
        <v>4256410.7</v>
      </c>
      <c r="F46" s="8">
        <f>F26*1.018</f>
        <v>506748.04729277996</v>
      </c>
      <c r="G46" s="8">
        <f>G26*1.0195</f>
        <v>1319008.1107684851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s="6" customFormat="1" ht="15" customHeight="1" x14ac:dyDescent="0.2">
      <c r="A47" s="48" t="s">
        <v>11</v>
      </c>
      <c r="B47" s="8">
        <f>B27*1.0165</f>
        <v>1947133.7735581375</v>
      </c>
      <c r="C47" s="9">
        <v>757383</v>
      </c>
      <c r="D47" s="8">
        <v>3252557</v>
      </c>
      <c r="E47" s="8">
        <f>E27*1.018</f>
        <v>2482903.0180000002</v>
      </c>
      <c r="F47" s="8">
        <f>F27*1.018</f>
        <v>425135.28104685998</v>
      </c>
      <c r="G47" s="8">
        <f>G27*1.0195</f>
        <v>1708051.5399867953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25">
      <c r="A48" s="44" t="s">
        <v>12</v>
      </c>
      <c r="B48" s="10">
        <f t="shared" ref="B48:G48" si="16">SUM(B46:B47)</f>
        <v>3722554.1010036748</v>
      </c>
      <c r="C48" s="11">
        <f t="shared" si="16"/>
        <v>1642996</v>
      </c>
      <c r="D48" s="10">
        <f t="shared" si="16"/>
        <v>33406435</v>
      </c>
      <c r="E48" s="10">
        <f t="shared" si="16"/>
        <v>6739313.7180000003</v>
      </c>
      <c r="F48" s="10">
        <f t="shared" si="16"/>
        <v>931883.32833963993</v>
      </c>
      <c r="G48" s="10">
        <f t="shared" si="16"/>
        <v>3027059.6507552806</v>
      </c>
    </row>
    <row r="49" spans="1:21" s="6" customFormat="1" ht="15" customHeight="1" x14ac:dyDescent="0.2">
      <c r="A49" s="48" t="s">
        <v>13</v>
      </c>
      <c r="B49" s="8">
        <f>B29*1.0165</f>
        <v>5976327.8648907933</v>
      </c>
      <c r="C49" s="9">
        <v>2282367</v>
      </c>
      <c r="D49" s="8">
        <v>26997851</v>
      </c>
      <c r="E49" s="8">
        <f>E29*1.018</f>
        <v>9981331.1919999998</v>
      </c>
      <c r="F49" s="8">
        <f>F29*1.018</f>
        <v>1376032.9762461395</v>
      </c>
      <c r="G49" s="8">
        <f>G29*1.0195</f>
        <v>3415065.7564323051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5">
      <c r="A50" s="12" t="s">
        <v>14</v>
      </c>
      <c r="B50" s="10">
        <f t="shared" ref="B50:G50" si="17">B48+B49</f>
        <v>9698881.9658944681</v>
      </c>
      <c r="C50" s="11">
        <f t="shared" si="17"/>
        <v>3925363</v>
      </c>
      <c r="D50" s="10">
        <f t="shared" si="17"/>
        <v>60404286</v>
      </c>
      <c r="E50" s="10">
        <f t="shared" si="17"/>
        <v>16720644.91</v>
      </c>
      <c r="F50" s="10">
        <f t="shared" si="17"/>
        <v>2307916.3045857796</v>
      </c>
      <c r="G50" s="10">
        <f t="shared" si="17"/>
        <v>6442125.4071875857</v>
      </c>
    </row>
    <row r="51" spans="1:21" ht="30" x14ac:dyDescent="0.25">
      <c r="C51" s="13"/>
      <c r="H51" s="22" t="s">
        <v>6</v>
      </c>
      <c r="I51" s="24" t="s">
        <v>31</v>
      </c>
    </row>
    <row r="52" spans="1:21" x14ac:dyDescent="0.25">
      <c r="A52" s="45" t="s">
        <v>15</v>
      </c>
      <c r="B52" s="14">
        <f t="shared" ref="B52:G52" si="18">B44/B43</f>
        <v>28.315529179030662</v>
      </c>
      <c r="C52" s="15">
        <f t="shared" si="18"/>
        <v>47.020833333333336</v>
      </c>
      <c r="D52" s="14">
        <f t="shared" si="18"/>
        <v>70.579614166426722</v>
      </c>
      <c r="E52" s="14">
        <f t="shared" si="18"/>
        <v>26.213454729387962</v>
      </c>
      <c r="F52" s="14">
        <f t="shared" si="18"/>
        <v>26.60122699386503</v>
      </c>
      <c r="G52" s="14">
        <f t="shared" si="18"/>
        <v>48.218884120171673</v>
      </c>
      <c r="H52" s="16">
        <f>AVERAGE(B52:G52)</f>
        <v>41.158257087035899</v>
      </c>
      <c r="I52" s="25">
        <f>(C52-H52)/C52</f>
        <v>0.1246803986806721</v>
      </c>
    </row>
    <row r="53" spans="1:21" x14ac:dyDescent="0.25">
      <c r="A53" s="45" t="s">
        <v>16</v>
      </c>
      <c r="B53" s="16">
        <f t="shared" ref="B53:G53" si="19">B44/B45</f>
        <v>340.79761904761904</v>
      </c>
      <c r="C53" s="17">
        <f t="shared" si="19"/>
        <v>451.4</v>
      </c>
      <c r="D53" s="16">
        <f t="shared" si="19"/>
        <v>710.50144927536235</v>
      </c>
      <c r="E53" s="16">
        <f t="shared" si="19"/>
        <v>404.875</v>
      </c>
      <c r="F53" s="16">
        <f t="shared" si="19"/>
        <v>542</v>
      </c>
      <c r="G53" s="16">
        <f t="shared" si="19"/>
        <v>576.15384615384619</v>
      </c>
      <c r="H53" s="16">
        <f>AVERAGE(B53:G53)</f>
        <v>504.28798574613796</v>
      </c>
      <c r="I53" s="25">
        <f t="shared" ref="I53:I56" si="20">(C53-H53)/C53</f>
        <v>-0.11716434591523701</v>
      </c>
    </row>
    <row r="54" spans="1:21" x14ac:dyDescent="0.25">
      <c r="A54" s="18" t="s">
        <v>17</v>
      </c>
      <c r="B54" s="16">
        <f t="shared" ref="B54:G54" si="21">B48/B44</f>
        <v>130.03647259592952</v>
      </c>
      <c r="C54" s="17">
        <f t="shared" si="21"/>
        <v>145.59113867966326</v>
      </c>
      <c r="D54" s="16">
        <f t="shared" si="21"/>
        <v>136.28437559918899</v>
      </c>
      <c r="E54" s="16">
        <f t="shared" si="21"/>
        <v>130.04233015591234</v>
      </c>
      <c r="F54" s="16">
        <f t="shared" si="21"/>
        <v>107.45887088787362</v>
      </c>
      <c r="G54" s="16">
        <f t="shared" si="21"/>
        <v>134.71560528505921</v>
      </c>
      <c r="H54" s="16">
        <f>AVERAGE(B54:G54)</f>
        <v>130.68813220060449</v>
      </c>
      <c r="I54" s="25">
        <f t="shared" si="20"/>
        <v>0.10236204355712265</v>
      </c>
    </row>
    <row r="55" spans="1:21" x14ac:dyDescent="0.25">
      <c r="A55" s="18" t="s">
        <v>18</v>
      </c>
      <c r="B55" s="16">
        <f t="shared" ref="B55:G55" si="22">B49/B44</f>
        <v>208.76542651660299</v>
      </c>
      <c r="C55" s="17">
        <f t="shared" si="22"/>
        <v>202.24785112981834</v>
      </c>
      <c r="D55" s="16">
        <f t="shared" si="22"/>
        <v>110.14001542082954</v>
      </c>
      <c r="E55" s="16">
        <f t="shared" si="22"/>
        <v>192.60055557270763</v>
      </c>
      <c r="F55" s="16">
        <f t="shared" si="22"/>
        <v>158.67538932727624</v>
      </c>
      <c r="G55" s="16">
        <f t="shared" si="22"/>
        <v>151.98334474554096</v>
      </c>
      <c r="H55" s="16">
        <f>AVERAGE(B55:G55)</f>
        <v>170.73543045212929</v>
      </c>
      <c r="I55" s="25">
        <f t="shared" si="20"/>
        <v>0.15581090479652085</v>
      </c>
    </row>
    <row r="56" spans="1:21" x14ac:dyDescent="0.25">
      <c r="A56" s="18" t="s">
        <v>19</v>
      </c>
      <c r="B56" s="16">
        <f t="shared" ref="B56:G56" si="23">B50/B44</f>
        <v>338.80189911253251</v>
      </c>
      <c r="C56" s="17">
        <f t="shared" si="23"/>
        <v>347.83898980948163</v>
      </c>
      <c r="D56" s="16">
        <f t="shared" si="23"/>
        <v>246.42439102001853</v>
      </c>
      <c r="E56" s="16">
        <f t="shared" si="23"/>
        <v>322.64288572861994</v>
      </c>
      <c r="F56" s="16">
        <f t="shared" si="23"/>
        <v>266.13426021514988</v>
      </c>
      <c r="G56" s="16">
        <f t="shared" si="23"/>
        <v>286.69895003060014</v>
      </c>
      <c r="H56" s="16">
        <f>AVERAGE(B56:G56)</f>
        <v>301.42356265273378</v>
      </c>
      <c r="I56" s="25">
        <f t="shared" si="20"/>
        <v>0.13343940304728494</v>
      </c>
    </row>
    <row r="58" spans="1:21" x14ac:dyDescent="0.25">
      <c r="A58" s="18" t="s">
        <v>49</v>
      </c>
      <c r="B58" s="29">
        <f>AVERAGE(B50:G50)</f>
        <v>16583202.93127797</v>
      </c>
    </row>
    <row r="59" spans="1:21" x14ac:dyDescent="0.25">
      <c r="A59" s="18" t="s">
        <v>50</v>
      </c>
      <c r="B59" s="30">
        <f>C50/H56</f>
        <v>13022.747675908669</v>
      </c>
    </row>
    <row r="60" spans="1:21" x14ac:dyDescent="0.25">
      <c r="A60" s="18" t="s">
        <v>51</v>
      </c>
      <c r="B60" s="31">
        <f>C44/H53</f>
        <v>22.378086170946272</v>
      </c>
    </row>
    <row r="61" spans="1:21" x14ac:dyDescent="0.25">
      <c r="A61" s="18"/>
    </row>
    <row r="62" spans="1:21" x14ac:dyDescent="0.25">
      <c r="A62" s="34" t="s">
        <v>56</v>
      </c>
    </row>
    <row r="63" spans="1:21" x14ac:dyDescent="0.25">
      <c r="A63" s="18" t="s">
        <v>60</v>
      </c>
      <c r="B63" s="32">
        <v>1.7299999999999999E-2</v>
      </c>
    </row>
    <row r="64" spans="1:21" x14ac:dyDescent="0.25">
      <c r="A64" s="18" t="s">
        <v>53</v>
      </c>
      <c r="B64" s="33">
        <v>2.5000000000000001E-2</v>
      </c>
    </row>
    <row r="65" spans="1:6" x14ac:dyDescent="0.25">
      <c r="A65" s="18" t="s">
        <v>54</v>
      </c>
      <c r="B65" s="33">
        <v>2.1000000000000001E-2</v>
      </c>
    </row>
    <row r="66" spans="1:6" x14ac:dyDescent="0.25">
      <c r="A66" s="18" t="s">
        <v>55</v>
      </c>
      <c r="B66" s="33">
        <v>1.5E-3</v>
      </c>
    </row>
    <row r="69" spans="1:6" x14ac:dyDescent="0.25">
      <c r="A69" s="18" t="s">
        <v>61</v>
      </c>
      <c r="B69" s="32">
        <f>(H44-H24)/H24</f>
        <v>4.109196578398068E-3</v>
      </c>
    </row>
    <row r="73" spans="1:6" x14ac:dyDescent="0.25">
      <c r="C73" s="38">
        <v>2017</v>
      </c>
      <c r="D73" s="38">
        <v>2018</v>
      </c>
      <c r="E73" s="38">
        <v>2019</v>
      </c>
      <c r="F73" s="38">
        <v>2020</v>
      </c>
    </row>
    <row r="74" spans="1:6" x14ac:dyDescent="0.25">
      <c r="A74" s="18"/>
    </row>
    <row r="75" spans="1:6" x14ac:dyDescent="0.25">
      <c r="A75" s="18" t="s">
        <v>59</v>
      </c>
      <c r="C75" s="30">
        <f>C44*1.0173</f>
        <v>11480.230500000001</v>
      </c>
      <c r="D75" s="30">
        <f>C75*1.0173</f>
        <v>11678.838487650002</v>
      </c>
      <c r="E75" s="30">
        <f t="shared" ref="E75:F75" si="24">D75*1.0173</f>
        <v>11880.882393486349</v>
      </c>
      <c r="F75" s="30">
        <f t="shared" si="24"/>
        <v>12086.421658893663</v>
      </c>
    </row>
    <row r="76" spans="1:6" x14ac:dyDescent="0.25">
      <c r="A76" s="18" t="s">
        <v>58</v>
      </c>
      <c r="C76" s="35">
        <f>C50*(1+(B64-B66))</f>
        <v>4017609.0305000003</v>
      </c>
      <c r="D76" s="35">
        <f>C76*(1+(B65-B66))</f>
        <v>4095952.4065947505</v>
      </c>
      <c r="E76" s="35">
        <f>D76*(1+(B65-B66))</f>
        <v>4175823.4785233485</v>
      </c>
      <c r="F76" s="35">
        <f>E76*(1+(B65-B66))</f>
        <v>4257252.0363545539</v>
      </c>
    </row>
    <row r="77" spans="1:6" x14ac:dyDescent="0.25">
      <c r="A77" s="18" t="s">
        <v>57</v>
      </c>
      <c r="C77" s="39">
        <f>C76/C75</f>
        <v>349.95891680920516</v>
      </c>
      <c r="D77" s="39">
        <f t="shared" ref="D77:F77" si="25">D76/D75</f>
        <v>350.71573349747825</v>
      </c>
      <c r="E77" s="39">
        <f t="shared" si="25"/>
        <v>351.47418686786506</v>
      </c>
      <c r="F77" s="39">
        <f t="shared" si="25"/>
        <v>352.23428045983326</v>
      </c>
    </row>
    <row r="80" spans="1:6" x14ac:dyDescent="0.25">
      <c r="A80" s="18" t="s">
        <v>64</v>
      </c>
      <c r="B80" s="35">
        <v>16583202.93127797</v>
      </c>
      <c r="C80" s="35">
        <f>B80*(1+B64)</f>
        <v>16997783.004559919</v>
      </c>
      <c r="D80" s="35">
        <f>C80*(1+$B$65)</f>
        <v>17354736.447655678</v>
      </c>
      <c r="E80" s="35">
        <f t="shared" ref="E80:F80" si="26">D80*(1+$B$65)</f>
        <v>17719185.913056444</v>
      </c>
      <c r="F80" s="35">
        <f t="shared" si="26"/>
        <v>18091288.817230627</v>
      </c>
    </row>
    <row r="81" spans="1:6" x14ac:dyDescent="0.25">
      <c r="A81" s="18" t="s">
        <v>63</v>
      </c>
      <c r="B81" s="37">
        <v>61333.5</v>
      </c>
      <c r="C81" s="37">
        <f>B81*(1+$B$69)</f>
        <v>61585.531408341179</v>
      </c>
      <c r="D81" s="37">
        <f t="shared" ref="D81:F81" si="27">C81*(1+$B$69)</f>
        <v>61838.598463283168</v>
      </c>
      <c r="E81" s="37">
        <f t="shared" si="27"/>
        <v>62092.705420501428</v>
      </c>
      <c r="F81" s="37">
        <f t="shared" si="27"/>
        <v>62347.856553158839</v>
      </c>
    </row>
    <row r="82" spans="1:6" x14ac:dyDescent="0.25">
      <c r="A82" s="18" t="s">
        <v>62</v>
      </c>
      <c r="C82" s="40">
        <f>C80/C81</f>
        <v>276.00286326761693</v>
      </c>
      <c r="D82" s="40">
        <f t="shared" ref="D82:F82" si="28">D80/D81</f>
        <v>280.64569506632819</v>
      </c>
      <c r="E82" s="40">
        <f t="shared" si="28"/>
        <v>285.36662709507294</v>
      </c>
      <c r="F82" s="40">
        <f t="shared" si="28"/>
        <v>290.16697313091572</v>
      </c>
    </row>
  </sheetData>
  <mergeCells count="3">
    <mergeCell ref="B2:G2"/>
    <mergeCell ref="B21:G21"/>
    <mergeCell ref="B41:G41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rowBreaks count="2" manualBreakCount="2">
    <brk id="18" max="16383" man="1"/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B13" sqref="B13"/>
    </sheetView>
  </sheetViews>
  <sheetFormatPr defaultRowHeight="15" x14ac:dyDescent="0.25"/>
  <cols>
    <col min="1" max="1" width="41.28515625" customWidth="1"/>
    <col min="2" max="7" width="12.7109375" customWidth="1"/>
    <col min="8" max="8" width="18.42578125" customWidth="1"/>
  </cols>
  <sheetData>
    <row r="1" spans="1:8" x14ac:dyDescent="0.25">
      <c r="A1" s="42" t="s">
        <v>39</v>
      </c>
      <c r="B1" s="42"/>
      <c r="C1" s="42"/>
      <c r="D1" s="42"/>
      <c r="E1" s="42"/>
      <c r="F1" s="42"/>
      <c r="G1" s="42"/>
      <c r="H1" s="42"/>
    </row>
    <row r="2" spans="1:8" ht="45" x14ac:dyDescent="0.25">
      <c r="A2" s="26" t="s">
        <v>32</v>
      </c>
      <c r="B2" s="27" t="s">
        <v>33</v>
      </c>
      <c r="C2" s="27" t="s">
        <v>34</v>
      </c>
      <c r="D2" s="27" t="s">
        <v>35</v>
      </c>
      <c r="E2" s="27" t="s">
        <v>36</v>
      </c>
      <c r="F2" s="27" t="s">
        <v>37</v>
      </c>
      <c r="G2" s="27" t="s">
        <v>38</v>
      </c>
      <c r="H2" s="27" t="s">
        <v>47</v>
      </c>
    </row>
    <row r="3" spans="1:8" x14ac:dyDescent="0.25">
      <c r="A3" t="s">
        <v>40</v>
      </c>
      <c r="B3" s="29">
        <v>21.99</v>
      </c>
      <c r="C3" s="29">
        <v>24.39</v>
      </c>
      <c r="D3" s="29">
        <v>24.63</v>
      </c>
      <c r="E3" s="29">
        <v>24.99</v>
      </c>
      <c r="F3" s="29">
        <v>25.37</v>
      </c>
      <c r="G3" s="29">
        <v>32.229999999999997</v>
      </c>
      <c r="H3" s="23">
        <f>(G3-C3)/C3</f>
        <v>0.32144321443214419</v>
      </c>
    </row>
    <row r="4" spans="1:8" x14ac:dyDescent="0.25">
      <c r="A4" t="s">
        <v>2</v>
      </c>
      <c r="B4" s="29">
        <v>25.81</v>
      </c>
      <c r="C4" s="29">
        <v>25.97</v>
      </c>
      <c r="D4" s="29">
        <v>26.29</v>
      </c>
      <c r="E4" s="29">
        <v>26.68</v>
      </c>
      <c r="F4" s="29">
        <v>28.12</v>
      </c>
      <c r="G4" s="29">
        <v>28.48</v>
      </c>
      <c r="H4" s="23">
        <f t="shared" ref="H4:H11" si="0">(G4-C4)/C4</f>
        <v>9.6649980747015848E-2</v>
      </c>
    </row>
    <row r="5" spans="1:8" x14ac:dyDescent="0.25">
      <c r="A5" t="s">
        <v>5</v>
      </c>
      <c r="B5" s="29">
        <v>25.68</v>
      </c>
      <c r="C5" s="29">
        <v>25.89</v>
      </c>
      <c r="D5" s="29">
        <v>26.3</v>
      </c>
      <c r="E5" s="29">
        <v>26.7</v>
      </c>
      <c r="F5" s="29">
        <v>27.09</v>
      </c>
      <c r="G5" s="29">
        <v>27.16</v>
      </c>
      <c r="H5" s="23">
        <f t="shared" si="0"/>
        <v>4.9053688682889132E-2</v>
      </c>
    </row>
    <row r="6" spans="1:8" x14ac:dyDescent="0.25">
      <c r="A6" t="s">
        <v>4</v>
      </c>
      <c r="B6" s="29">
        <v>28.22</v>
      </c>
      <c r="C6" s="29">
        <v>28.46</v>
      </c>
      <c r="D6" s="29">
        <v>28.63</v>
      </c>
      <c r="E6" s="29">
        <v>28.02</v>
      </c>
      <c r="F6" s="29">
        <v>28.41</v>
      </c>
      <c r="G6" s="29">
        <v>28.9</v>
      </c>
      <c r="H6" s="23">
        <f t="shared" si="0"/>
        <v>1.5460295151089168E-2</v>
      </c>
    </row>
    <row r="7" spans="1:8" x14ac:dyDescent="0.25">
      <c r="A7" t="s">
        <v>45</v>
      </c>
      <c r="B7" s="29">
        <v>28.18</v>
      </c>
      <c r="C7" s="29">
        <v>28.4</v>
      </c>
      <c r="D7" s="29">
        <v>28.56</v>
      </c>
      <c r="E7" s="29">
        <v>28.94</v>
      </c>
      <c r="F7" s="29">
        <v>33.229999999999997</v>
      </c>
      <c r="G7" s="29">
        <v>33.770000000000003</v>
      </c>
      <c r="H7" s="23">
        <f t="shared" si="0"/>
        <v>0.18908450704225369</v>
      </c>
    </row>
    <row r="8" spans="1:8" x14ac:dyDescent="0.25">
      <c r="A8" t="s">
        <v>41</v>
      </c>
      <c r="B8" s="29">
        <v>30.09</v>
      </c>
      <c r="C8" s="29">
        <v>30.33</v>
      </c>
      <c r="D8" s="29">
        <v>34.36</v>
      </c>
      <c r="E8" s="29">
        <v>35.020000000000003</v>
      </c>
      <c r="F8" s="29">
        <v>35.590000000000003</v>
      </c>
      <c r="G8" s="29">
        <v>35.6</v>
      </c>
      <c r="H8" s="23">
        <f t="shared" si="0"/>
        <v>0.17375535773161896</v>
      </c>
    </row>
    <row r="9" spans="1:8" x14ac:dyDescent="0.25">
      <c r="A9" t="s">
        <v>42</v>
      </c>
      <c r="B9" s="29">
        <v>32.979999999999997</v>
      </c>
      <c r="C9" s="29">
        <v>33.17</v>
      </c>
      <c r="D9" s="29">
        <v>36.090000000000003</v>
      </c>
      <c r="E9" s="29">
        <v>35.869999999999997</v>
      </c>
      <c r="F9" s="29">
        <v>35.799999999999997</v>
      </c>
      <c r="G9" s="29">
        <v>35.6</v>
      </c>
      <c r="H9" s="23">
        <f t="shared" si="0"/>
        <v>7.3258968947844422E-2</v>
      </c>
    </row>
    <row r="10" spans="1:8" x14ac:dyDescent="0.25">
      <c r="A10" t="s">
        <v>43</v>
      </c>
      <c r="B10" s="29"/>
      <c r="C10" s="29">
        <v>37.86</v>
      </c>
      <c r="D10" s="29">
        <v>32.81</v>
      </c>
      <c r="E10" s="29">
        <v>33.18</v>
      </c>
      <c r="F10" s="29">
        <v>35.71</v>
      </c>
      <c r="G10" s="29">
        <v>35.25</v>
      </c>
      <c r="H10" s="23">
        <f t="shared" si="0"/>
        <v>-6.8938193343898557E-2</v>
      </c>
    </row>
    <row r="11" spans="1:8" x14ac:dyDescent="0.25">
      <c r="A11" t="s">
        <v>44</v>
      </c>
      <c r="B11" s="29"/>
      <c r="C11" s="29">
        <v>46.26</v>
      </c>
      <c r="D11" s="29">
        <v>46.61</v>
      </c>
      <c r="E11" s="29">
        <v>47.27</v>
      </c>
      <c r="F11" s="29">
        <v>52.51</v>
      </c>
      <c r="G11" s="29">
        <v>54.03</v>
      </c>
      <c r="H11" s="23">
        <f t="shared" si="0"/>
        <v>0.16796368352788593</v>
      </c>
    </row>
    <row r="12" spans="1:8" x14ac:dyDescent="0.25">
      <c r="A12" s="28" t="s">
        <v>46</v>
      </c>
    </row>
    <row r="16" spans="1:8" x14ac:dyDescent="0.25">
      <c r="A16" s="42" t="s">
        <v>48</v>
      </c>
      <c r="B16" s="42"/>
      <c r="C16" s="42"/>
      <c r="D16" s="42"/>
      <c r="E16" s="42"/>
      <c r="F16" s="42"/>
      <c r="G16" s="42"/>
      <c r="H16" s="42"/>
    </row>
    <row r="17" spans="1:8" ht="45" x14ac:dyDescent="0.25">
      <c r="A17" s="26" t="s">
        <v>32</v>
      </c>
      <c r="B17" s="27" t="s">
        <v>33</v>
      </c>
      <c r="C17" s="27" t="s">
        <v>34</v>
      </c>
      <c r="D17" s="27" t="s">
        <v>35</v>
      </c>
      <c r="E17" s="27" t="s">
        <v>36</v>
      </c>
      <c r="F17" s="27" t="s">
        <v>37</v>
      </c>
      <c r="G17" s="27" t="s">
        <v>38</v>
      </c>
      <c r="H17" s="27" t="s">
        <v>47</v>
      </c>
    </row>
    <row r="18" spans="1:8" x14ac:dyDescent="0.25">
      <c r="A18" t="s">
        <v>5</v>
      </c>
      <c r="B18" s="29">
        <v>41.78</v>
      </c>
      <c r="C18" s="29">
        <v>42.2</v>
      </c>
      <c r="D18" s="29">
        <v>44.23</v>
      </c>
      <c r="E18" s="29">
        <v>44.86</v>
      </c>
      <c r="F18" s="29">
        <v>43.53</v>
      </c>
      <c r="G18" s="29">
        <v>46.43</v>
      </c>
      <c r="H18" s="23">
        <f>(G18-C18)/C18</f>
        <v>0.10023696682464447</v>
      </c>
    </row>
    <row r="19" spans="1:8" x14ac:dyDescent="0.25">
      <c r="A19" t="s">
        <v>40</v>
      </c>
      <c r="B19" s="29">
        <v>45.56</v>
      </c>
      <c r="C19" s="29">
        <v>50.56</v>
      </c>
      <c r="D19" s="29">
        <v>51.29</v>
      </c>
      <c r="E19" s="29">
        <v>52.09</v>
      </c>
      <c r="F19" s="29">
        <v>39.89</v>
      </c>
      <c r="G19" s="29">
        <v>73.260000000000005</v>
      </c>
      <c r="H19" s="23">
        <f t="shared" ref="H19:H26" si="1">(G19-C19)/C19</f>
        <v>0.44897151898734183</v>
      </c>
    </row>
    <row r="20" spans="1:8" x14ac:dyDescent="0.25">
      <c r="A20" t="s">
        <v>2</v>
      </c>
      <c r="B20" s="29">
        <v>48.96</v>
      </c>
      <c r="C20" s="29">
        <v>49.15</v>
      </c>
      <c r="D20" s="29">
        <v>49.7</v>
      </c>
      <c r="E20" s="29">
        <v>50.41</v>
      </c>
      <c r="F20" s="29">
        <v>46.72</v>
      </c>
      <c r="G20" s="29">
        <v>62.41</v>
      </c>
      <c r="H20" s="23">
        <f t="shared" si="1"/>
        <v>0.26978636826042723</v>
      </c>
    </row>
    <row r="21" spans="1:8" x14ac:dyDescent="0.25">
      <c r="A21" t="s">
        <v>42</v>
      </c>
      <c r="B21" s="29">
        <v>59.48</v>
      </c>
      <c r="C21" s="29">
        <v>59.89</v>
      </c>
      <c r="D21" s="29">
        <v>68.55</v>
      </c>
      <c r="E21" s="29">
        <v>71.180000000000007</v>
      </c>
      <c r="F21" s="29">
        <v>61.36</v>
      </c>
      <c r="G21" s="29">
        <v>74.260000000000005</v>
      </c>
      <c r="H21" s="23">
        <f t="shared" si="1"/>
        <v>0.23993988979796302</v>
      </c>
    </row>
    <row r="22" spans="1:8" x14ac:dyDescent="0.25">
      <c r="A22" t="s">
        <v>45</v>
      </c>
      <c r="B22" s="29">
        <v>63.57</v>
      </c>
      <c r="C22" s="29">
        <v>64.09</v>
      </c>
      <c r="D22" s="29">
        <v>64.47</v>
      </c>
      <c r="E22" s="29">
        <v>65.39</v>
      </c>
      <c r="F22" s="29">
        <v>55.43</v>
      </c>
      <c r="G22" s="29">
        <v>68.08</v>
      </c>
      <c r="H22" s="23">
        <f t="shared" si="1"/>
        <v>6.2256202215634181E-2</v>
      </c>
    </row>
    <row r="23" spans="1:8" x14ac:dyDescent="0.25">
      <c r="A23" t="s">
        <v>41</v>
      </c>
      <c r="B23" s="29">
        <v>65.599999999999994</v>
      </c>
      <c r="C23" s="29">
        <v>66.180000000000007</v>
      </c>
      <c r="D23" s="29">
        <v>72.12</v>
      </c>
      <c r="E23" s="29">
        <v>72.36</v>
      </c>
      <c r="F23" s="29">
        <v>59.83</v>
      </c>
      <c r="G23" s="29">
        <v>74.260000000000005</v>
      </c>
      <c r="H23" s="23">
        <f t="shared" si="1"/>
        <v>0.12209126624357808</v>
      </c>
    </row>
    <row r="24" spans="1:8" x14ac:dyDescent="0.25">
      <c r="A24" t="s">
        <v>4</v>
      </c>
      <c r="B24" s="29">
        <v>72.55</v>
      </c>
      <c r="C24" s="29">
        <v>73.150000000000006</v>
      </c>
      <c r="D24" s="29">
        <v>73.569999999999993</v>
      </c>
      <c r="E24" s="29">
        <v>59.68</v>
      </c>
      <c r="F24" s="29">
        <v>43.77</v>
      </c>
      <c r="G24" s="29">
        <v>61.44</v>
      </c>
      <c r="H24" s="23">
        <f t="shared" si="1"/>
        <v>-0.16008202323991808</v>
      </c>
    </row>
    <row r="25" spans="1:8" x14ac:dyDescent="0.25">
      <c r="A25" t="s">
        <v>43</v>
      </c>
      <c r="B25" s="29"/>
      <c r="C25" s="29">
        <v>60.58</v>
      </c>
      <c r="D25" s="29">
        <v>43.41</v>
      </c>
      <c r="E25" s="29">
        <v>43.88</v>
      </c>
      <c r="F25" s="29">
        <v>60.67</v>
      </c>
      <c r="G25" s="29">
        <v>72.680000000000007</v>
      </c>
      <c r="H25" s="23">
        <f t="shared" si="1"/>
        <v>0.19973588643116555</v>
      </c>
    </row>
    <row r="26" spans="1:8" x14ac:dyDescent="0.25">
      <c r="A26" t="s">
        <v>44</v>
      </c>
      <c r="B26" s="29"/>
      <c r="C26" s="29">
        <v>114.25</v>
      </c>
      <c r="D26" s="29">
        <v>115.49</v>
      </c>
      <c r="E26" s="29">
        <v>116.76</v>
      </c>
      <c r="F26" s="29">
        <v>92.23</v>
      </c>
      <c r="G26" s="29">
        <v>140.54</v>
      </c>
      <c r="H26" s="23">
        <f t="shared" si="1"/>
        <v>0.23010940919037193</v>
      </c>
    </row>
    <row r="27" spans="1:8" x14ac:dyDescent="0.25">
      <c r="A27" s="28" t="s">
        <v>46</v>
      </c>
    </row>
    <row r="30" spans="1:8" x14ac:dyDescent="0.25">
      <c r="A30" t="s">
        <v>65</v>
      </c>
    </row>
  </sheetData>
  <mergeCells count="2">
    <mergeCell ref="A1:H1"/>
    <mergeCell ref="A16:H16"/>
  </mergeCells>
  <pageMargins left="0.70866141732283472" right="0.70866141732283472" top="0.74803149606299213" bottom="0.74803149606299213" header="0.31496062992125984" footer="0.31496062992125984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Without Hydro One</vt:lpstr>
      <vt:lpstr>Rate Comparison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McOuat</dc:creator>
  <cp:lastModifiedBy>Martha McOuat</cp:lastModifiedBy>
  <cp:lastPrinted>2016-07-12T14:43:39Z</cp:lastPrinted>
  <dcterms:created xsi:type="dcterms:W3CDTF">2016-06-15T17:54:34Z</dcterms:created>
  <dcterms:modified xsi:type="dcterms:W3CDTF">2016-07-12T14:59:02Z</dcterms:modified>
</cp:coreProperties>
</file>