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95" windowWidth="13530" windowHeight="10920" tabRatio="831"/>
  </bookViews>
  <sheets>
    <sheet name="1. Info and Instructions" sheetId="21" r:id="rId1"/>
    <sheet name="Table of Contents" sheetId="1" r:id="rId2"/>
    <sheet name="S. Summary " sheetId="26" r:id="rId3"/>
    <sheet name="A. Data Input Sheet" sheetId="2" r:id="rId4"/>
    <sheet name="B. Tax Rates &amp; Exemptions" sheetId="3" r:id="rId5"/>
    <sheet name="H0 PILs,Tax Provision Historic" sheetId="25" r:id="rId6"/>
    <sheet name="H1 Adj. Taxable Income Historic" sheetId="4" r:id="rId7"/>
    <sheet name="H4 Sch 4 Loss Cfwd Hist" sheetId="19" r:id="rId8"/>
    <sheet name="H8 Sch 8 Historical" sheetId="5" r:id="rId9"/>
    <sheet name="H10 Schedule 10 CEC Hist" sheetId="23" r:id="rId10"/>
    <sheet name="H13 Sch 13 Tax Reserves Histori" sheetId="17" r:id="rId11"/>
    <sheet name="B0 PILs,Tax Provision Bridge" sheetId="24" r:id="rId12"/>
    <sheet name="B1 Adj. Taxable Income Bridge" sheetId="18" r:id="rId13"/>
    <sheet name="B4 Sch 4 Loss Cfwd Bridge" sheetId="20" r:id="rId14"/>
    <sheet name="B8 Schedule 8 CCA Bridge Year" sheetId="15" r:id="rId15"/>
    <sheet name="B10 Schedule 10 CEC Bridge Year" sheetId="16" r:id="rId16"/>
    <sheet name="B13 Sch 13 Tax Reserves Bridge" sheetId="8" r:id="rId17"/>
    <sheet name="T0 PILs,Tax Provision " sheetId="13" r:id="rId18"/>
    <sheet name="T1 Taxable Income Test Year" sheetId="11" r:id="rId19"/>
    <sheet name="T4 Sch 4 Loss Cfwd" sheetId="9" r:id="rId20"/>
    <sheet name="T8 Schedule 8 CCA Test Year  " sheetId="6" r:id="rId21"/>
    <sheet name="T10 Schedule 10 CEC Test Year" sheetId="7" r:id="rId22"/>
    <sheet name="T13 Sch 13 Reserve Test Year" sheetId="22" r:id="rId23"/>
    <sheet name="Sheet1" sheetId="27"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INDEX_SHEET___ASAP_Utilities" localSheetId="2">#REF!</definedName>
    <definedName name="___INDEX_SHEET___ASAP_Utilities">#REF!</definedName>
    <definedName name="Fed_SB">'B. Tax Rates &amp; Exemptions'!$I$29</definedName>
    <definedName name="Fed_SM">'B. Tax Rates &amp; Exemptions'!$I$29</definedName>
    <definedName name="FedTax">'B. Tax Rates &amp; Exemptions'!$I$19</definedName>
    <definedName name="Index">'Table of Contents'!#REF!</definedName>
    <definedName name="LDC_LIST">[1]lists!$AM$1:$AM$80</definedName>
    <definedName name="ontario_SB">'B. Tax Rates &amp; Exemptions'!$I$31</definedName>
    <definedName name="ontariotax">'B. Tax Rates &amp; Exemptions'!$I$21</definedName>
    <definedName name="_xlnm.Print_Area" localSheetId="3">'A. Data Input Sheet'!$B$1:$K$49</definedName>
    <definedName name="_xlnm.Print_Area" localSheetId="4">'B. Tax Rates &amp; Exemptions'!$A$1:$J$43</definedName>
    <definedName name="_xlnm.Print_Area" localSheetId="11">'B0 PILs,Tax Provision Bridge'!$A$1:$L$43</definedName>
    <definedName name="_xlnm.Print_Area" localSheetId="12">'B1 Adj. Taxable Income Bridge'!$B$1:$J$117</definedName>
    <definedName name="_xlnm.Print_Area" localSheetId="15">'B10 Schedule 10 CEC Bridge Year'!$A$1:$L$47</definedName>
    <definedName name="_xlnm.Print_Area" localSheetId="16">'B13 Sch 13 Tax Reserves Bridge'!$A$1:$N$47</definedName>
    <definedName name="_xlnm.Print_Area" localSheetId="13">'B4 Sch 4 Loss Cfwd Bridge'!$A$1:$M$34</definedName>
    <definedName name="_xlnm.Print_Area" localSheetId="14">'B8 Schedule 8 CCA Bridge Year'!$A$4:$P$46</definedName>
    <definedName name="_xlnm.Print_Area" localSheetId="5">'H0 PILs,Tax Provision Historic'!$A$1:$L$42</definedName>
    <definedName name="_xlnm.Print_Area" localSheetId="6">'H1 Adj. Taxable Income Historic'!$A$1:$I$121</definedName>
    <definedName name="_xlnm.Print_Area" localSheetId="9">'H10 Schedule 10 CEC Hist'!$A$1:$L$46</definedName>
    <definedName name="_xlnm.Print_Area" localSheetId="10">'H13 Sch 13 Tax Reserves Histori'!$B$1:$J$57</definedName>
    <definedName name="_xlnm.Print_Area" localSheetId="7">'H4 Sch 4 Loss Cfwd Hist'!$A$1:$J$22</definedName>
    <definedName name="_xlnm.Print_Area" localSheetId="8">'H8 Sch 8 Historical'!$A$1:$I$50</definedName>
    <definedName name="_xlnm.Print_Area" localSheetId="2">'S. Summary '!$A$1:$K$41</definedName>
    <definedName name="_xlnm.Print_Area" localSheetId="17">'T0 PILs,Tax Provision '!$A$1:$L$47</definedName>
    <definedName name="_xlnm.Print_Area" localSheetId="18">'T1 Taxable Income Test Year'!$A$1:$J$126</definedName>
    <definedName name="_xlnm.Print_Area" localSheetId="21">'T10 Schedule 10 CEC Test Year'!$A$1:$L$43</definedName>
    <definedName name="_xlnm.Print_Area" localSheetId="22">'T13 Sch 13 Reserve Test Year'!$A$1:$N$47</definedName>
    <definedName name="_xlnm.Print_Area" localSheetId="19">'T4 Sch 4 Loss Cfwd'!$A$1:$K$33</definedName>
    <definedName name="_xlnm.Print_Area" localSheetId="20">'T8 Schedule 8 CCA Test Year  '!$A$1:$O$45</definedName>
    <definedName name="_xlnm.Print_Area" localSheetId="1">'Table of Contents'!$A$1:$H$53</definedName>
    <definedName name="_xlnm.Print_Titles" localSheetId="12">'B1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'B10 Schedule 10 CEC Bridge Year'!$A$1</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'T10 Schedule 10 CEC Test Year'!$A$1</definedName>
    <definedName name="Start_20">'T13 Sch 13 Reserve Test Year'!$A$1</definedName>
    <definedName name="Start_21">'T4 Sch 4 Loss Cfwd'!$A$1</definedName>
    <definedName name="Start_22">'T1 Taxable Income Test Year'!$A$1</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'H10 Schedule 10 CEC Hist'!$A$1</definedName>
    <definedName name="Start_8">'H13 Sch 13 Tax Reserves Histori'!$A$1</definedName>
    <definedName name="Start_9">'H4 Sch 4 Loss Cfwd Hist'!$A$1</definedName>
    <definedName name="units">[2]hidden1!$J$3:$J$8</definedName>
  </definedNames>
  <calcPr calcId="145621" iterate="1"/>
</workbook>
</file>

<file path=xl/calcChain.xml><?xml version="1.0" encoding="utf-8"?>
<calcChain xmlns="http://schemas.openxmlformats.org/spreadsheetml/2006/main">
  <c r="H17" i="15" l="1"/>
  <c r="H31" i="15"/>
  <c r="G29" i="15"/>
  <c r="G28" i="15"/>
  <c r="G16" i="15"/>
  <c r="G14" i="15"/>
  <c r="G13" i="15"/>
  <c r="G11" i="15"/>
  <c r="G30" i="6" l="1"/>
  <c r="G29" i="6"/>
  <c r="G15" i="6"/>
  <c r="G14" i="6"/>
  <c r="F31" i="11" l="1"/>
  <c r="F18" i="11"/>
  <c r="F26" i="18"/>
  <c r="F13" i="18"/>
  <c r="F12" i="18"/>
  <c r="E18" i="2" l="1"/>
  <c r="E17" i="2"/>
  <c r="E16" i="2"/>
  <c r="J27" i="22"/>
  <c r="I27" i="22"/>
  <c r="D32" i="17"/>
  <c r="E33" i="5"/>
  <c r="E31" i="5"/>
  <c r="E30" i="5"/>
  <c r="E28" i="5"/>
  <c r="E19" i="5"/>
  <c r="E18" i="5"/>
  <c r="E16" i="5"/>
  <c r="E15" i="5"/>
  <c r="E12" i="5"/>
  <c r="E13" i="2" l="1"/>
  <c r="E12" i="2"/>
  <c r="E14" i="2"/>
  <c r="I25" i="25" l="1"/>
  <c r="I20" i="25"/>
  <c r="I32" i="24"/>
  <c r="H19" i="3" l="1"/>
  <c r="H23" i="3" s="1"/>
  <c r="H16" i="3"/>
  <c r="E23" i="3"/>
  <c r="E19" i="3"/>
  <c r="G16" i="3"/>
  <c r="G19" i="3" s="1"/>
  <c r="G23" i="3" s="1"/>
  <c r="F16" i="3"/>
  <c r="F19" i="3" s="1"/>
  <c r="F23" i="3" s="1"/>
  <c r="E16" i="3"/>
  <c r="T15" i="13" l="1"/>
  <c r="T16" i="13" s="1"/>
  <c r="T17" i="13" s="1"/>
  <c r="T18" i="13" s="1"/>
  <c r="T19" i="13" s="1"/>
  <c r="T20" i="13" s="1"/>
  <c r="T21" i="13" s="1"/>
  <c r="T22" i="13" s="1"/>
  <c r="T23" i="13" s="1"/>
  <c r="T24" i="13" s="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T45" i="13" s="1"/>
  <c r="T46" i="13" s="1"/>
  <c r="T47" i="13" s="1"/>
  <c r="T48" i="13" s="1"/>
  <c r="T49" i="13" s="1"/>
  <c r="T50" i="13" s="1"/>
  <c r="T51" i="13" s="1"/>
  <c r="T52" i="13" s="1"/>
  <c r="S4" i="13"/>
  <c r="S5" i="13" s="1"/>
  <c r="S6" i="13" s="1"/>
  <c r="S7" i="13" s="1"/>
  <c r="S8" i="13" s="1"/>
  <c r="S9" i="13" s="1"/>
  <c r="S10" i="13" s="1"/>
  <c r="S11" i="13" s="1"/>
  <c r="S12" i="13" s="1"/>
  <c r="S13" i="13" s="1"/>
  <c r="S14" i="13" s="1"/>
  <c r="S15" i="13" s="1"/>
  <c r="S16" i="13" s="1"/>
  <c r="S17" i="13" s="1"/>
  <c r="S18" i="13" s="1"/>
  <c r="S19" i="13" s="1"/>
  <c r="S20" i="13" s="1"/>
  <c r="S21" i="13" s="1"/>
  <c r="S22" i="13" s="1"/>
  <c r="S23" i="13" s="1"/>
  <c r="S24" i="13" s="1"/>
  <c r="S25" i="13" s="1"/>
  <c r="S26" i="13" s="1"/>
  <c r="S27" i="13" s="1"/>
  <c r="S28" i="13" s="1"/>
  <c r="S29" i="13" s="1"/>
  <c r="S30" i="13" s="1"/>
  <c r="S31" i="13" s="1"/>
  <c r="S32" i="13" s="1"/>
  <c r="S33" i="13" l="1"/>
  <c r="S34" i="13" s="1"/>
  <c r="S35" i="13" s="1"/>
  <c r="S36" i="13" s="1"/>
  <c r="S37" i="13" s="1"/>
  <c r="S38" i="13" s="1"/>
  <c r="S39" i="13" s="1"/>
  <c r="S40" i="13" s="1"/>
  <c r="S41" i="13" s="1"/>
  <c r="S42" i="13" s="1"/>
  <c r="S43" i="13" s="1"/>
  <c r="S44" i="13" s="1"/>
  <c r="S45" i="13" s="1"/>
  <c r="S46" i="13" s="1"/>
  <c r="S47" i="13" s="1"/>
  <c r="S48" i="13" s="1"/>
  <c r="S49" i="13" s="1"/>
  <c r="S50" i="13" s="1"/>
  <c r="S51" i="13" s="1"/>
  <c r="S52" i="13" s="1"/>
  <c r="S53" i="13" s="1"/>
  <c r="F32" i="17"/>
  <c r="E27" i="8" s="1"/>
  <c r="G27" i="8" s="1"/>
  <c r="K27" i="8" s="1"/>
  <c r="F11" i="15"/>
  <c r="F12" i="15"/>
  <c r="I12" i="15" s="1"/>
  <c r="F22" i="15"/>
  <c r="I22" i="15" s="1"/>
  <c r="F32" i="15"/>
  <c r="I32" i="15" s="1"/>
  <c r="F33" i="15"/>
  <c r="I33" i="15" s="1"/>
  <c r="K24" i="23"/>
  <c r="K36" i="23" s="1"/>
  <c r="H14" i="19"/>
  <c r="G12" i="20"/>
  <c r="H15" i="9"/>
  <c r="H17" i="19"/>
  <c r="G20" i="20"/>
  <c r="G23" i="20"/>
  <c r="G25" i="20"/>
  <c r="G20" i="9" s="1"/>
  <c r="E16" i="24"/>
  <c r="F35" i="6"/>
  <c r="I35" i="6" s="1"/>
  <c r="E16" i="13"/>
  <c r="I16" i="3"/>
  <c r="I19" i="3"/>
  <c r="I23" i="3"/>
  <c r="F15" i="15"/>
  <c r="I15" i="15" s="1"/>
  <c r="F18" i="15"/>
  <c r="I18" i="15" s="1"/>
  <c r="F19" i="15"/>
  <c r="I19" i="15" s="1"/>
  <c r="F20" i="15"/>
  <c r="I20" i="15" s="1"/>
  <c r="F21" i="15"/>
  <c r="I21" i="15" s="1"/>
  <c r="K21" i="15" s="1"/>
  <c r="M21" i="15" s="1"/>
  <c r="O21" i="15" s="1"/>
  <c r="F22" i="6" s="1"/>
  <c r="I22" i="6" s="1"/>
  <c r="F23" i="15"/>
  <c r="I23" i="15" s="1"/>
  <c r="F24" i="15"/>
  <c r="I24" i="15" s="1"/>
  <c r="F25" i="15"/>
  <c r="I25" i="15" s="1"/>
  <c r="F27" i="15"/>
  <c r="I27" i="15"/>
  <c r="F30" i="15"/>
  <c r="I34" i="15"/>
  <c r="F35" i="15"/>
  <c r="I35" i="15"/>
  <c r="F36" i="15"/>
  <c r="I36" i="15"/>
  <c r="K36" i="15" s="1"/>
  <c r="M36" i="15" s="1"/>
  <c r="O36" i="15" s="1"/>
  <c r="F37" i="6" s="1"/>
  <c r="I37" i="6" s="1"/>
  <c r="F37" i="15"/>
  <c r="I37" i="15" s="1"/>
  <c r="K37" i="15" s="1"/>
  <c r="M37" i="15" s="1"/>
  <c r="F38" i="15"/>
  <c r="I38" i="15"/>
  <c r="K38" i="15" s="1"/>
  <c r="M38" i="15" s="1"/>
  <c r="O38" i="15" s="1"/>
  <c r="F39" i="6" s="1"/>
  <c r="I39" i="6" s="1"/>
  <c r="F39" i="15"/>
  <c r="I39" i="15" s="1"/>
  <c r="F40" i="15"/>
  <c r="I40" i="15" s="1"/>
  <c r="F41" i="15"/>
  <c r="I41" i="15" s="1"/>
  <c r="K41" i="15" s="1"/>
  <c r="M41" i="15" s="1"/>
  <c r="O41" i="15" s="1"/>
  <c r="F42" i="6" s="1"/>
  <c r="I42" i="6" s="1"/>
  <c r="F37" i="17"/>
  <c r="E32" i="8"/>
  <c r="G32" i="8" s="1"/>
  <c r="K32" i="8" s="1"/>
  <c r="F21" i="17"/>
  <c r="E19" i="8"/>
  <c r="G19" i="8" s="1"/>
  <c r="K19" i="8" s="1"/>
  <c r="E15" i="8"/>
  <c r="G15" i="8" s="1"/>
  <c r="F17" i="17"/>
  <c r="F31" i="17"/>
  <c r="E26" i="8"/>
  <c r="G26" i="8" s="1"/>
  <c r="K26" i="8" s="1"/>
  <c r="G12" i="5"/>
  <c r="F10" i="15" s="1"/>
  <c r="G24" i="5"/>
  <c r="J22" i="15"/>
  <c r="G30" i="5"/>
  <c r="F28" i="15" s="1"/>
  <c r="D51" i="17"/>
  <c r="G34" i="4"/>
  <c r="G15" i="4"/>
  <c r="G78" i="4"/>
  <c r="D27" i="17"/>
  <c r="G82" i="4"/>
  <c r="G76" i="4"/>
  <c r="G83" i="4"/>
  <c r="G12" i="4"/>
  <c r="I32" i="25"/>
  <c r="F33" i="17"/>
  <c r="E28" i="8"/>
  <c r="G28" i="8"/>
  <c r="K28" i="8" s="1"/>
  <c r="F34" i="17"/>
  <c r="E29" i="8"/>
  <c r="G29" i="8" s="1"/>
  <c r="K29" i="8" s="1"/>
  <c r="E29" i="22" s="1"/>
  <c r="G29" i="22" s="1"/>
  <c r="K29" i="22" s="1"/>
  <c r="M29" i="22" s="1"/>
  <c r="F35" i="17"/>
  <c r="E30" i="8"/>
  <c r="G30" i="8" s="1"/>
  <c r="K30" i="8" s="1"/>
  <c r="F36" i="17"/>
  <c r="E31" i="8"/>
  <c r="G31" i="8"/>
  <c r="K31" i="8"/>
  <c r="E31" i="22" s="1"/>
  <c r="G31" i="22" s="1"/>
  <c r="K31" i="22" s="1"/>
  <c r="M31" i="22" s="1"/>
  <c r="F38" i="17"/>
  <c r="E33" i="8"/>
  <c r="G33" i="8"/>
  <c r="K33" i="8" s="1"/>
  <c r="F39" i="17"/>
  <c r="E34" i="8"/>
  <c r="G34" i="8"/>
  <c r="K34" i="8"/>
  <c r="E34" i="22" s="1"/>
  <c r="G34" i="22" s="1"/>
  <c r="K34" i="22" s="1"/>
  <c r="M34" i="22" s="1"/>
  <c r="F40" i="17"/>
  <c r="E35" i="8"/>
  <c r="G35" i="8" s="1"/>
  <c r="K35" i="8" s="1"/>
  <c r="F41" i="17"/>
  <c r="E36" i="8"/>
  <c r="G36" i="8" s="1"/>
  <c r="K36" i="8" s="1"/>
  <c r="E36" i="22" s="1"/>
  <c r="G36" i="22" s="1"/>
  <c r="K36" i="22" s="1"/>
  <c r="M36" i="22" s="1"/>
  <c r="F42" i="17"/>
  <c r="E37" i="8"/>
  <c r="G37" i="8" s="1"/>
  <c r="K37" i="8" s="1"/>
  <c r="F43" i="17"/>
  <c r="E38" i="8"/>
  <c r="G38" i="8" s="1"/>
  <c r="K38" i="8" s="1"/>
  <c r="E38" i="22" s="1"/>
  <c r="G38" i="22" s="1"/>
  <c r="K38" i="22" s="1"/>
  <c r="M38" i="22" s="1"/>
  <c r="F44" i="17"/>
  <c r="E39" i="8"/>
  <c r="G39" i="8" s="1"/>
  <c r="K39" i="8" s="1"/>
  <c r="F45" i="17"/>
  <c r="E40" i="8"/>
  <c r="G40" i="8"/>
  <c r="K40" i="8" s="1"/>
  <c r="E40" i="22" s="1"/>
  <c r="G40" i="22" s="1"/>
  <c r="K40" i="22" s="1"/>
  <c r="M40" i="22" s="1"/>
  <c r="F49" i="17"/>
  <c r="E41" i="8"/>
  <c r="G41" i="8" s="1"/>
  <c r="K41" i="8" s="1"/>
  <c r="E41" i="22" s="1"/>
  <c r="G41" i="22" s="1"/>
  <c r="K41" i="22" s="1"/>
  <c r="M41" i="22" s="1"/>
  <c r="F50" i="17"/>
  <c r="E42" i="8"/>
  <c r="G42" i="8"/>
  <c r="K42" i="8" s="1"/>
  <c r="J42" i="6"/>
  <c r="J41" i="6"/>
  <c r="J40" i="6"/>
  <c r="J39" i="6"/>
  <c r="J38" i="6"/>
  <c r="J37" i="6"/>
  <c r="J36" i="6"/>
  <c r="J35" i="6"/>
  <c r="J34" i="6"/>
  <c r="J33" i="6"/>
  <c r="J32" i="6"/>
  <c r="J28" i="6"/>
  <c r="J27" i="6"/>
  <c r="J26" i="6"/>
  <c r="J25" i="6"/>
  <c r="J24" i="6"/>
  <c r="J23" i="6"/>
  <c r="J22" i="6"/>
  <c r="J21" i="6"/>
  <c r="J20" i="6"/>
  <c r="J19" i="6"/>
  <c r="J18" i="6"/>
  <c r="J16" i="6"/>
  <c r="J13" i="6"/>
  <c r="J12" i="6"/>
  <c r="J11" i="6"/>
  <c r="J41" i="15"/>
  <c r="J40" i="15"/>
  <c r="J39" i="15"/>
  <c r="J38" i="15"/>
  <c r="J37" i="15"/>
  <c r="J36" i="15"/>
  <c r="J35" i="15"/>
  <c r="J34" i="15"/>
  <c r="J33" i="15"/>
  <c r="J32" i="15"/>
  <c r="J31" i="15"/>
  <c r="J27" i="15"/>
  <c r="J26" i="15"/>
  <c r="J25" i="15"/>
  <c r="J24" i="15"/>
  <c r="J23" i="15"/>
  <c r="J21" i="15"/>
  <c r="J20" i="15"/>
  <c r="J19" i="15"/>
  <c r="J18" i="15"/>
  <c r="J17" i="15"/>
  <c r="J15" i="15"/>
  <c r="J12" i="15"/>
  <c r="L16" i="6"/>
  <c r="L23" i="6"/>
  <c r="L24" i="6"/>
  <c r="L25" i="6"/>
  <c r="L26" i="6"/>
  <c r="L27" i="6"/>
  <c r="L28" i="6"/>
  <c r="L29" i="6"/>
  <c r="L30" i="6"/>
  <c r="L31" i="6"/>
  <c r="L32" i="6"/>
  <c r="L33" i="6"/>
  <c r="L34" i="6"/>
  <c r="L35" i="6"/>
  <c r="L36" i="6"/>
  <c r="L37" i="6"/>
  <c r="L38" i="6"/>
  <c r="L39" i="6"/>
  <c r="L40" i="6"/>
  <c r="L41" i="6"/>
  <c r="L42" i="6"/>
  <c r="L12" i="6"/>
  <c r="L13" i="6"/>
  <c r="L14" i="6"/>
  <c r="L15" i="6"/>
  <c r="G13" i="5"/>
  <c r="G32" i="5"/>
  <c r="G29" i="5"/>
  <c r="G27" i="5"/>
  <c r="G26" i="5"/>
  <c r="G25" i="5"/>
  <c r="G23" i="5"/>
  <c r="G22" i="5"/>
  <c r="G21" i="5"/>
  <c r="G20" i="5"/>
  <c r="G17" i="5"/>
  <c r="G14" i="5"/>
  <c r="G16" i="23"/>
  <c r="J16" i="23"/>
  <c r="J20" i="23"/>
  <c r="K20" i="23"/>
  <c r="G33" i="23"/>
  <c r="K33" i="23"/>
  <c r="G16" i="16"/>
  <c r="J16" i="16"/>
  <c r="J20" i="16"/>
  <c r="K20" i="16"/>
  <c r="G33" i="16"/>
  <c r="K33" i="16"/>
  <c r="L11" i="6"/>
  <c r="G36" i="5"/>
  <c r="F19" i="17"/>
  <c r="E17" i="8"/>
  <c r="G17" i="8" s="1"/>
  <c r="K17" i="8" s="1"/>
  <c r="F109" i="4"/>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L17" i="6"/>
  <c r="C30" i="15"/>
  <c r="C31" i="6" s="1"/>
  <c r="D30" i="15"/>
  <c r="D31" i="6"/>
  <c r="C31" i="15"/>
  <c r="C32" i="6"/>
  <c r="D31" i="15"/>
  <c r="D32" i="6" s="1"/>
  <c r="C32" i="15"/>
  <c r="C33" i="6" s="1"/>
  <c r="D32" i="15"/>
  <c r="D33" i="6"/>
  <c r="C33" i="15"/>
  <c r="C34" i="6"/>
  <c r="D33" i="15"/>
  <c r="D34" i="6" s="1"/>
  <c r="C34" i="15"/>
  <c r="C35" i="6" s="1"/>
  <c r="D34" i="15"/>
  <c r="D35" i="6" s="1"/>
  <c r="C35" i="15"/>
  <c r="C36" i="6"/>
  <c r="D35" i="15"/>
  <c r="D36" i="6"/>
  <c r="C36" i="15"/>
  <c r="C37" i="6" s="1"/>
  <c r="D36" i="15"/>
  <c r="D37" i="6"/>
  <c r="C37" i="15"/>
  <c r="C38" i="6"/>
  <c r="D37" i="15"/>
  <c r="D38" i="6"/>
  <c r="C38" i="15"/>
  <c r="C39" i="6" s="1"/>
  <c r="D38" i="15"/>
  <c r="D39" i="6" s="1"/>
  <c r="C39" i="15"/>
  <c r="C40" i="6" s="1"/>
  <c r="D39" i="15"/>
  <c r="D40" i="6"/>
  <c r="C40" i="15"/>
  <c r="C41" i="6" s="1"/>
  <c r="D40" i="15"/>
  <c r="D41" i="6"/>
  <c r="C41" i="15"/>
  <c r="C42" i="6" s="1"/>
  <c r="D41" i="15"/>
  <c r="D42" i="6"/>
  <c r="C11" i="15"/>
  <c r="C12" i="6" s="1"/>
  <c r="D11" i="15"/>
  <c r="D12" i="6"/>
  <c r="C12" i="15"/>
  <c r="C13" i="6" s="1"/>
  <c r="D12" i="15"/>
  <c r="D13" i="6" s="1"/>
  <c r="C13" i="15"/>
  <c r="C14" i="6" s="1"/>
  <c r="D13" i="15"/>
  <c r="D14" i="6" s="1"/>
  <c r="C14" i="15"/>
  <c r="C15" i="6" s="1"/>
  <c r="D14" i="15"/>
  <c r="D15" i="6"/>
  <c r="C15" i="15"/>
  <c r="C16" i="6" s="1"/>
  <c r="D15" i="15"/>
  <c r="D16" i="6" s="1"/>
  <c r="C16" i="15"/>
  <c r="C17" i="6" s="1"/>
  <c r="D16" i="15"/>
  <c r="D17" i="6"/>
  <c r="C17" i="15"/>
  <c r="C18" i="6" s="1"/>
  <c r="D17" i="15"/>
  <c r="D18" i="6" s="1"/>
  <c r="C18" i="15"/>
  <c r="C19" i="6"/>
  <c r="D18" i="15"/>
  <c r="D19" i="6"/>
  <c r="C19" i="15"/>
  <c r="C20" i="6" s="1"/>
  <c r="D19" i="15"/>
  <c r="D20" i="6"/>
  <c r="C20" i="15"/>
  <c r="C21" i="6" s="1"/>
  <c r="D20" i="15"/>
  <c r="D21" i="6" s="1"/>
  <c r="C21" i="15"/>
  <c r="C22" i="6" s="1"/>
  <c r="D21" i="15"/>
  <c r="D22" i="6"/>
  <c r="C22" i="15"/>
  <c r="C23" i="6" s="1"/>
  <c r="D22" i="15"/>
  <c r="D23" i="6"/>
  <c r="C23" i="15"/>
  <c r="C24" i="6" s="1"/>
  <c r="D23" i="15"/>
  <c r="D24" i="6"/>
  <c r="C24" i="15"/>
  <c r="C25" i="6" s="1"/>
  <c r="D24" i="15"/>
  <c r="D25" i="6" s="1"/>
  <c r="C25" i="15"/>
  <c r="C26" i="6" s="1"/>
  <c r="D25" i="15"/>
  <c r="D26" i="6" s="1"/>
  <c r="C26" i="15"/>
  <c r="C27" i="6" s="1"/>
  <c r="D26" i="15"/>
  <c r="D27" i="6"/>
  <c r="C27" i="15"/>
  <c r="C28" i="6" s="1"/>
  <c r="D27" i="15"/>
  <c r="D28" i="6" s="1"/>
  <c r="C28" i="15"/>
  <c r="C29" i="6" s="1"/>
  <c r="D28" i="15"/>
  <c r="D29" i="6"/>
  <c r="C29" i="15"/>
  <c r="C30" i="6" s="1"/>
  <c r="D29" i="15"/>
  <c r="D30" i="6"/>
  <c r="D10" i="15"/>
  <c r="D11" i="6" s="1"/>
  <c r="C10" i="15"/>
  <c r="C11" i="6"/>
  <c r="F22" i="17"/>
  <c r="F23" i="17"/>
  <c r="F24" i="17"/>
  <c r="G35" i="5"/>
  <c r="G37" i="5"/>
  <c r="G38" i="5"/>
  <c r="G39" i="5"/>
  <c r="G34" i="5"/>
  <c r="G40" i="5"/>
  <c r="J18" i="23"/>
  <c r="K22" i="23"/>
  <c r="F26" i="17"/>
  <c r="E21" i="8"/>
  <c r="G21" i="8"/>
  <c r="K21" i="8" s="1"/>
  <c r="F25" i="17"/>
  <c r="E20" i="8"/>
  <c r="G20" i="8" s="1"/>
  <c r="K20" i="8" s="1"/>
  <c r="F20" i="17"/>
  <c r="E18" i="8"/>
  <c r="G18" i="8"/>
  <c r="K18" i="8"/>
  <c r="M18" i="8" s="1"/>
  <c r="F18" i="17"/>
  <c r="E16" i="8"/>
  <c r="G16" i="8"/>
  <c r="K16" i="8" s="1"/>
  <c r="M16" i="8" s="1"/>
  <c r="F15" i="17"/>
  <c r="E13" i="8"/>
  <c r="G13" i="8" s="1"/>
  <c r="K13" i="8" s="1"/>
  <c r="E13" i="22" s="1"/>
  <c r="G13" i="22" s="1"/>
  <c r="K13" i="22" s="1"/>
  <c r="M13" i="22" s="1"/>
  <c r="G15" i="5"/>
  <c r="F13" i="15" s="1"/>
  <c r="G16" i="5"/>
  <c r="F14" i="15" s="1"/>
  <c r="G18" i="5"/>
  <c r="F16" i="15" s="1"/>
  <c r="G28" i="5"/>
  <c r="F26" i="15" s="1"/>
  <c r="I26" i="15" s="1"/>
  <c r="G31" i="5"/>
  <c r="F29" i="15" s="1"/>
  <c r="G33" i="5"/>
  <c r="F31" i="15" s="1"/>
  <c r="I31" i="15" s="1"/>
  <c r="G41" i="5"/>
  <c r="G42" i="5"/>
  <c r="G43" i="5"/>
  <c r="G19" i="5"/>
  <c r="F17" i="15" s="1"/>
  <c r="I17" i="15" s="1"/>
  <c r="K17" i="15" s="1"/>
  <c r="M17" i="15" s="1"/>
  <c r="E27" i="17"/>
  <c r="F22" i="22"/>
  <c r="I22" i="22"/>
  <c r="J22" i="22"/>
  <c r="N22" i="22"/>
  <c r="F43" i="22"/>
  <c r="I43" i="22"/>
  <c r="J43" i="22"/>
  <c r="N43" i="22"/>
  <c r="G31" i="7"/>
  <c r="K31" i="7"/>
  <c r="J18" i="16"/>
  <c r="K22" i="16"/>
  <c r="I32" i="13"/>
  <c r="H43" i="6"/>
  <c r="H42" i="15"/>
  <c r="F30" i="17"/>
  <c r="E25" i="8"/>
  <c r="G25" i="8" s="1"/>
  <c r="F27" i="17"/>
  <c r="E51" i="17"/>
  <c r="I13" i="9"/>
  <c r="H17" i="9"/>
  <c r="I21" i="9"/>
  <c r="I22" i="9"/>
  <c r="H23" i="9"/>
  <c r="H25" i="9"/>
  <c r="I24" i="9"/>
  <c r="F22" i="8"/>
  <c r="I22" i="8"/>
  <c r="J22" i="8"/>
  <c r="N22" i="8"/>
  <c r="F43" i="8"/>
  <c r="I43" i="8"/>
  <c r="J43" i="8"/>
  <c r="N43" i="8"/>
  <c r="G14" i="7"/>
  <c r="J14" i="7"/>
  <c r="J16" i="7"/>
  <c r="K20" i="7"/>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109" i="4" s="1"/>
  <c r="G77" i="4"/>
  <c r="G79" i="4"/>
  <c r="G80" i="4"/>
  <c r="G81" i="4"/>
  <c r="G84" i="4"/>
  <c r="G85" i="4"/>
  <c r="G86" i="4"/>
  <c r="G89" i="4"/>
  <c r="G90" i="4"/>
  <c r="G91" i="4"/>
  <c r="G92" i="4"/>
  <c r="G93" i="4"/>
  <c r="F111" i="4"/>
  <c r="G113" i="4"/>
  <c r="G114" i="4"/>
  <c r="G115" i="4"/>
  <c r="G116" i="4"/>
  <c r="G117" i="4"/>
  <c r="F119" i="4"/>
  <c r="E71" i="4"/>
  <c r="E109" i="4"/>
  <c r="O37" i="15"/>
  <c r="F38" i="6" s="1"/>
  <c r="I38" i="6" s="1"/>
  <c r="J18" i="7"/>
  <c r="K18" i="7"/>
  <c r="K34" i="15"/>
  <c r="M34" i="15"/>
  <c r="O34" i="15"/>
  <c r="F51" i="17" l="1"/>
  <c r="G44" i="5"/>
  <c r="K15" i="15"/>
  <c r="M15" i="15" s="1"/>
  <c r="K24" i="15"/>
  <c r="M24" i="15" s="1"/>
  <c r="K25" i="15"/>
  <c r="M25" i="15" s="1"/>
  <c r="K27" i="15"/>
  <c r="M27" i="15" s="1"/>
  <c r="O27" i="15" s="1"/>
  <c r="F28" i="6" s="1"/>
  <c r="I28" i="6" s="1"/>
  <c r="K23" i="15"/>
  <c r="M23" i="15" s="1"/>
  <c r="O23" i="15" s="1"/>
  <c r="F24" i="6" s="1"/>
  <c r="I24" i="6" s="1"/>
  <c r="K18" i="15"/>
  <c r="M18" i="15" s="1"/>
  <c r="O18" i="15" s="1"/>
  <c r="F19" i="6" s="1"/>
  <c r="I19" i="6" s="1"/>
  <c r="I38" i="23"/>
  <c r="K38" i="23" s="1"/>
  <c r="K40" i="23" s="1"/>
  <c r="K10" i="16" s="1"/>
  <c r="K24" i="16" s="1"/>
  <c r="K36" i="16" s="1"/>
  <c r="K26" i="15"/>
  <c r="M26" i="15" s="1"/>
  <c r="O26" i="15" s="1"/>
  <c r="F27" i="6" s="1"/>
  <c r="I27" i="6" s="1"/>
  <c r="O20" i="15"/>
  <c r="F21" i="6" s="1"/>
  <c r="I21" i="6" s="1"/>
  <c r="K21" i="6" s="1"/>
  <c r="M21" i="6" s="1"/>
  <c r="K20" i="15"/>
  <c r="M20" i="15" s="1"/>
  <c r="E111" i="4"/>
  <c r="E119" i="4" s="1"/>
  <c r="G71" i="4"/>
  <c r="G111" i="4" s="1"/>
  <c r="G119" i="4" s="1"/>
  <c r="I10" i="25" s="1"/>
  <c r="E15" i="25" s="1"/>
  <c r="E32" i="22"/>
  <c r="G32" i="22" s="1"/>
  <c r="K32" i="22" s="1"/>
  <c r="M32" i="22" s="1"/>
  <c r="M32" i="8"/>
  <c r="E42" i="22"/>
  <c r="G42" i="22" s="1"/>
  <c r="K42" i="22" s="1"/>
  <c r="M42" i="22" s="1"/>
  <c r="M42" i="8"/>
  <c r="M27" i="8"/>
  <c r="E27" i="22"/>
  <c r="G27" i="22" s="1"/>
  <c r="K27" i="22" s="1"/>
  <c r="M27" i="22" s="1"/>
  <c r="E43" i="8"/>
  <c r="M34" i="8"/>
  <c r="G43" i="8"/>
  <c r="F79" i="18" s="1"/>
  <c r="E22" i="8"/>
  <c r="K33" i="15"/>
  <c r="M33" i="15" s="1"/>
  <c r="O33" i="15" s="1"/>
  <c r="F34" i="6" s="1"/>
  <c r="I34" i="6" s="1"/>
  <c r="K22" i="15"/>
  <c r="M22" i="15" s="1"/>
  <c r="O22" i="15" s="1"/>
  <c r="F23" i="6" s="1"/>
  <c r="I23" i="6" s="1"/>
  <c r="K40" i="15"/>
  <c r="M40" i="15" s="1"/>
  <c r="O40" i="15"/>
  <c r="F41" i="6" s="1"/>
  <c r="I41" i="6" s="1"/>
  <c r="K41" i="6" s="1"/>
  <c r="M41" i="6" s="1"/>
  <c r="O41" i="6" s="1"/>
  <c r="K39" i="15"/>
  <c r="M39" i="15" s="1"/>
  <c r="O39" i="15"/>
  <c r="F40" i="6" s="1"/>
  <c r="I40" i="6" s="1"/>
  <c r="K40" i="6" s="1"/>
  <c r="M40" i="6" s="1"/>
  <c r="O40" i="6" s="1"/>
  <c r="O15" i="15"/>
  <c r="F16" i="6" s="1"/>
  <c r="I16" i="6" s="1"/>
  <c r="K16" i="6" s="1"/>
  <c r="M16" i="6" s="1"/>
  <c r="O16" i="6" s="1"/>
  <c r="G23" i="9"/>
  <c r="G25" i="9" s="1"/>
  <c r="I20" i="9"/>
  <c r="I23" i="9" s="1"/>
  <c r="I25" i="9" s="1"/>
  <c r="K37" i="6"/>
  <c r="M37" i="6" s="1"/>
  <c r="O37"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38" i="6"/>
  <c r="M38" i="6" s="1"/>
  <c r="O38" i="6" s="1"/>
  <c r="K19" i="15"/>
  <c r="M19" i="15" s="1"/>
  <c r="O19" i="15" s="1"/>
  <c r="F20" i="6" s="1"/>
  <c r="I20" i="6" s="1"/>
  <c r="K12" i="15"/>
  <c r="M12" i="15" s="1"/>
  <c r="O12" i="15" s="1"/>
  <c r="F13" i="6" s="1"/>
  <c r="I13" i="6" s="1"/>
  <c r="K39" i="6"/>
  <c r="M39" i="6" s="1"/>
  <c r="O39" i="6" s="1"/>
  <c r="K35" i="6"/>
  <c r="M35" i="6" s="1"/>
  <c r="O35" i="6" s="1"/>
  <c r="K22" i="6"/>
  <c r="M22" i="6" s="1"/>
  <c r="O22" i="6" s="1"/>
  <c r="O17" i="15"/>
  <c r="F18" i="6" s="1"/>
  <c r="I18" i="6" s="1"/>
  <c r="K24" i="6"/>
  <c r="M24" i="6" s="1"/>
  <c r="O24" i="6" s="1"/>
  <c r="K31" i="15"/>
  <c r="M31" i="15" s="1"/>
  <c r="O31" i="15" s="1"/>
  <c r="F32" i="6" s="1"/>
  <c r="I32" i="6" s="1"/>
  <c r="K28" i="6"/>
  <c r="M28" i="6" s="1"/>
  <c r="O28" i="6" s="1"/>
  <c r="K42" i="6"/>
  <c r="M42" i="6" s="1"/>
  <c r="O42" i="6"/>
  <c r="K32" i="15"/>
  <c r="M32" i="15" s="1"/>
  <c r="O32" i="15" s="1"/>
  <c r="F33" i="6" s="1"/>
  <c r="I33" i="6" s="1"/>
  <c r="F42" i="15"/>
  <c r="O24" i="15"/>
  <c r="F25" i="6" s="1"/>
  <c r="I25" i="6" s="1"/>
  <c r="K35" i="15"/>
  <c r="M35" i="15" s="1"/>
  <c r="O35" i="15" s="1"/>
  <c r="F36" i="6" s="1"/>
  <c r="I36" i="6" s="1"/>
  <c r="O25" i="15"/>
  <c r="F26" i="6" s="1"/>
  <c r="I26" i="6" s="1"/>
  <c r="O21" i="6" l="1"/>
  <c r="I38" i="16"/>
  <c r="K38" i="16" s="1"/>
  <c r="F74" i="18" s="1"/>
  <c r="K40" i="16"/>
  <c r="K7" i="7" s="1"/>
  <c r="K22" i="7" s="1"/>
  <c r="K35" i="7" s="1"/>
  <c r="K23" i="6"/>
  <c r="M23" i="6" s="1"/>
  <c r="O23" i="6" s="1"/>
  <c r="K27" i="6"/>
  <c r="M27" i="6" s="1"/>
  <c r="O27" i="6" s="1"/>
  <c r="I28" i="25"/>
  <c r="I34" i="25" s="1"/>
  <c r="K34" i="6"/>
  <c r="M34" i="6" s="1"/>
  <c r="O34" i="6" s="1"/>
  <c r="K43" i="8"/>
  <c r="F31" i="18" s="1"/>
  <c r="F68" i="18" s="1"/>
  <c r="E25" i="22"/>
  <c r="M25" i="8"/>
  <c r="M43" i="8" s="1"/>
  <c r="E15" i="22"/>
  <c r="M15" i="8"/>
  <c r="M22" i="8" s="1"/>
  <c r="K22" i="8"/>
  <c r="F78" i="18" s="1"/>
  <c r="K33" i="6"/>
  <c r="M33" i="6" s="1"/>
  <c r="O33" i="6" s="1"/>
  <c r="K18" i="6"/>
  <c r="M18" i="6" s="1"/>
  <c r="O18" i="6" s="1"/>
  <c r="K36" i="6"/>
  <c r="M36" i="6" s="1"/>
  <c r="O36" i="6" s="1"/>
  <c r="K13" i="6"/>
  <c r="M13" i="6" s="1"/>
  <c r="O13" i="6" s="1"/>
  <c r="K26" i="6"/>
  <c r="M26" i="6" s="1"/>
  <c r="O26" i="6" s="1"/>
  <c r="K19" i="6"/>
  <c r="M19" i="6" s="1"/>
  <c r="O19" i="6" s="1"/>
  <c r="K20" i="6"/>
  <c r="M20" i="6" s="1"/>
  <c r="O20" i="6" s="1"/>
  <c r="K32" i="6"/>
  <c r="M32" i="6" s="1"/>
  <c r="O32" i="6" s="1"/>
  <c r="K25" i="6"/>
  <c r="M25" i="6" s="1"/>
  <c r="O25" i="6" s="1"/>
  <c r="I37" i="7" l="1"/>
  <c r="K37" i="7" s="1"/>
  <c r="F81" i="11" s="1"/>
  <c r="G15" i="22"/>
  <c r="E22" i="22"/>
  <c r="E43" i="22"/>
  <c r="G25" i="22"/>
  <c r="K39" i="7" l="1"/>
  <c r="K25" i="22"/>
  <c r="G43" i="22"/>
  <c r="F86" i="11" s="1"/>
  <c r="K15" i="22"/>
  <c r="G22" i="22"/>
  <c r="F35" i="11" s="1"/>
  <c r="K22" i="22" l="1"/>
  <c r="F85" i="11" s="1"/>
  <c r="M15" i="22"/>
  <c r="M22" i="22" s="1"/>
  <c r="K43" i="22"/>
  <c r="F36" i="11" s="1"/>
  <c r="M25" i="22"/>
  <c r="M43" i="22" s="1"/>
  <c r="G31" i="6" l="1"/>
  <c r="G10" i="15"/>
  <c r="I28" i="15" l="1"/>
  <c r="J28" i="15"/>
  <c r="J10" i="15"/>
  <c r="I10" i="15"/>
  <c r="J16" i="15"/>
  <c r="I16" i="15"/>
  <c r="J29" i="15"/>
  <c r="I29" i="15"/>
  <c r="G30" i="15"/>
  <c r="I13" i="15"/>
  <c r="J13" i="15"/>
  <c r="J31" i="6"/>
  <c r="J15" i="6"/>
  <c r="J29" i="6"/>
  <c r="J30" i="6"/>
  <c r="K13" i="15" l="1"/>
  <c r="M13" i="15" s="1"/>
  <c r="O13" i="15" s="1"/>
  <c r="F14" i="6" s="1"/>
  <c r="I14" i="6" s="1"/>
  <c r="G42" i="15"/>
  <c r="K28" i="15"/>
  <c r="M28" i="15" s="1"/>
  <c r="O28" i="15" s="1"/>
  <c r="F29" i="6" s="1"/>
  <c r="I29" i="6" s="1"/>
  <c r="K29" i="6" s="1"/>
  <c r="M29" i="6" s="1"/>
  <c r="O29" i="6" s="1"/>
  <c r="K16" i="15"/>
  <c r="M16" i="15" s="1"/>
  <c r="O16" i="15" s="1"/>
  <c r="F17" i="6" s="1"/>
  <c r="J11" i="15"/>
  <c r="I11" i="15"/>
  <c r="I14" i="15"/>
  <c r="J14" i="15"/>
  <c r="K10" i="15"/>
  <c r="I30" i="15"/>
  <c r="J30" i="15"/>
  <c r="K29" i="15"/>
  <c r="M29" i="15" s="1"/>
  <c r="O29" i="15" s="1"/>
  <c r="F30" i="6" s="1"/>
  <c r="I30" i="6" s="1"/>
  <c r="K30" i="6" s="1"/>
  <c r="M30" i="6" s="1"/>
  <c r="O30" i="6" s="1"/>
  <c r="J14" i="6"/>
  <c r="K11" i="15" l="1"/>
  <c r="M11" i="15" s="1"/>
  <c r="O11" i="15" s="1"/>
  <c r="F12" i="6" s="1"/>
  <c r="I12" i="6" s="1"/>
  <c r="K12" i="6" s="1"/>
  <c r="M12" i="6" s="1"/>
  <c r="O12" i="6" s="1"/>
  <c r="J42" i="15"/>
  <c r="K30" i="15"/>
  <c r="M30" i="15" s="1"/>
  <c r="O30" i="15" s="1"/>
  <c r="F31" i="6" s="1"/>
  <c r="I31" i="6" s="1"/>
  <c r="K31" i="6" s="1"/>
  <c r="M31" i="6" s="1"/>
  <c r="O31" i="6" s="1"/>
  <c r="M10" i="15"/>
  <c r="I42" i="15"/>
  <c r="K14" i="15"/>
  <c r="M14" i="15" s="1"/>
  <c r="O14" i="15" s="1"/>
  <c r="F15" i="6" s="1"/>
  <c r="I15" i="6" s="1"/>
  <c r="K15" i="6" s="1"/>
  <c r="M15" i="6" s="1"/>
  <c r="O15" i="6" s="1"/>
  <c r="K14" i="6"/>
  <c r="K42" i="15" l="1"/>
  <c r="M42" i="15"/>
  <c r="F72" i="18" s="1"/>
  <c r="F105" i="18" s="1"/>
  <c r="O10" i="15"/>
  <c r="M14" i="6"/>
  <c r="O42" i="15" l="1"/>
  <c r="F11" i="6"/>
  <c r="O14" i="6"/>
  <c r="I11" i="6" l="1"/>
  <c r="F43" i="6"/>
  <c r="K11" i="6" l="1"/>
  <c r="M11" i="6" l="1"/>
  <c r="O11" i="6" l="1"/>
  <c r="G17" i="6" l="1"/>
  <c r="J17" i="6" l="1"/>
  <c r="J43" i="6" s="1"/>
  <c r="G43" i="6"/>
  <c r="I17" i="6"/>
  <c r="K17" i="6" l="1"/>
  <c r="I43" i="6"/>
  <c r="M17" i="6" l="1"/>
  <c r="K43" i="6"/>
  <c r="M43" i="6" l="1"/>
  <c r="F79" i="11" s="1"/>
  <c r="F114" i="11" s="1"/>
  <c r="O17" i="6"/>
  <c r="O43" i="6" s="1"/>
  <c r="F8" i="18" l="1"/>
  <c r="F107" i="18" s="1"/>
  <c r="G14" i="20" l="1"/>
  <c r="G15" i="20" s="1"/>
  <c r="G16" i="20" s="1"/>
  <c r="F110" i="18" s="1"/>
  <c r="F114" i="18" s="1"/>
  <c r="I10" i="24" s="1"/>
  <c r="E15" i="24" l="1"/>
  <c r="G16" i="24" s="1"/>
  <c r="E13" i="24"/>
  <c r="G13" i="24" s="1"/>
  <c r="G17" i="20"/>
  <c r="G12" i="9" s="1"/>
  <c r="I12" i="9" l="1"/>
  <c r="I20" i="24"/>
  <c r="F17" i="11" l="1"/>
  <c r="F75" i="11" s="1"/>
  <c r="G9" i="2" l="1"/>
  <c r="G24" i="24" l="1"/>
  <c r="G12" i="2"/>
  <c r="G16" i="2" s="1"/>
  <c r="G14" i="2"/>
  <c r="G18" i="2" s="1"/>
  <c r="F12" i="11" s="1"/>
  <c r="G23" i="24"/>
  <c r="G24" i="13"/>
  <c r="H17" i="26" s="1"/>
  <c r="G13" i="2"/>
  <c r="G17" i="2" s="1"/>
  <c r="G23" i="13"/>
  <c r="I25" i="24" l="1"/>
  <c r="I28" i="24" s="1"/>
  <c r="I34" i="24" s="1"/>
  <c r="I25" i="13"/>
  <c r="G36" i="13" s="1"/>
  <c r="H18" i="26"/>
  <c r="H23" i="26"/>
  <c r="F116" i="11"/>
  <c r="G19" i="2"/>
  <c r="G14" i="9" l="1"/>
  <c r="G15" i="9" l="1"/>
  <c r="I14" i="9"/>
  <c r="I15" i="9" s="1"/>
  <c r="G17" i="9" l="1"/>
  <c r="G16" i="9"/>
  <c r="I16" i="9" s="1"/>
  <c r="F120" i="11" s="1"/>
  <c r="F124" i="11" s="1"/>
  <c r="I10" i="13" l="1"/>
  <c r="H24" i="26"/>
  <c r="H25" i="26" s="1"/>
  <c r="H14" i="26" s="1"/>
  <c r="I17" i="9"/>
  <c r="E13" i="13" l="1"/>
  <c r="G13" i="13" s="1"/>
  <c r="I28" i="13"/>
  <c r="I34" i="13" s="1"/>
  <c r="E15" i="13"/>
  <c r="G16" i="13" s="1"/>
  <c r="H15" i="26" l="1"/>
  <c r="I36" i="13"/>
  <c r="I39" i="13" s="1"/>
  <c r="H16" i="26" s="1"/>
  <c r="I20" i="13"/>
</calcChain>
</file>

<file path=xl/comments1.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<sst xmlns="http://schemas.openxmlformats.org/spreadsheetml/2006/main" count="1142" uniqueCount="494">
  <si>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</si>
  <si>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</si>
  <si>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</si>
  <si>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</si>
  <si>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</si>
  <si>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</si>
  <si>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</si>
  <si>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</si>
  <si>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</si>
  <si>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</si>
  <si>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</si>
  <si>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</si>
  <si>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</si>
  <si>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</si>
  <si>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</si>
  <si>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</si>
  <si>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</si>
  <si>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</si>
  <si>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</si>
  <si>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</si>
  <si>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</si>
  <si>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</si>
  <si>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</si>
  <si>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</si>
  <si>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</si>
  <si>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</si>
  <si>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</si>
  <si>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</si>
  <si>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</si>
  <si>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</si>
  <si>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</si>
  <si>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</si>
  <si>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</si>
  <si>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</si>
  <si>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</si>
  <si>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</si>
  <si>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</si>
  <si>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</si>
  <si>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</si>
  <si>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</si>
  <si>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</si>
  <si>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</si>
  <si>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</si>
  <si>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</si>
  <si>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</si>
  <si>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</si>
  <si>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</si>
  <si>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</si>
  <si>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</si>
  <si>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</si>
  <si>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</si>
  <si>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</si>
  <si>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</si>
  <si>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</si>
  <si>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</si>
  <si>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</si>
  <si>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</si>
  <si>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</si>
  <si>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</si>
  <si>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</si>
  <si>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</si>
  <si>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</si>
  <si>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</si>
  <si>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</si>
  <si>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</si>
  <si>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</si>
  <si>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</si>
  <si>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</si>
  <si>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</si>
  <si>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</si>
  <si>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</si>
  <si>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</si>
  <si>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</si>
  <si>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</si>
  <si>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</si>
  <si>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</si>
  <si>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</si>
  <si>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</si>
  <si>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</si>
  <si>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</si>
  <si>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</si>
  <si>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</si>
  <si>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</si>
  <si>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</si>
  <si>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</si>
  <si>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</si>
  <si>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</si>
  <si>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</si>
  <si>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</si>
  <si>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</si>
  <si>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</si>
  <si>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</si>
  <si>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</si>
  <si>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</si>
  <si>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</si>
  <si>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</si>
  <si>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</si>
  <si>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</si>
  <si>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</si>
  <si>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</si>
  <si>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</si>
  <si>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</si>
  <si>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</si>
  <si>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</si>
  <si>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</si>
  <si>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</si>
  <si>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</si>
  <si>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</si>
  <si>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</si>
  <si>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</si>
  <si>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</si>
  <si>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</si>
  <si>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</si>
  <si>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</si>
  <si>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</si>
  <si>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</si>
  <si>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</si>
  <si>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</si>
  <si>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</si>
  <si>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</si>
  <si>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Current Year Deduction (Carry Forward to Tab "Test Year Taxable Income")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</si>
  <si>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</si>
  <si>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</si>
  <si>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</si>
  <si>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</si>
  <si>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</si>
  <si>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</si>
  <si>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</si>
  <si>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</si>
  <si>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</si>
  <si>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</si>
  <si>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</si>
  <si>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</si>
  <si>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</si>
  <si>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</si>
  <si>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</si>
  <si>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</si>
  <si>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</si>
  <si>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</si>
  <si>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</si>
  <si>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</si>
  <si>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</si>
  <si>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</si>
  <si>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</si>
  <si>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</si>
  <si>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</si>
  <si>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</si>
  <si>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</si>
  <si>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</si>
  <si>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</si>
  <si>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</si>
  <si>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</si>
  <si>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</si>
  <si>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</si>
  <si>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</si>
  <si>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Other Adjustments Add (+) Deduct (-)</t>
  </si>
  <si>
    <t>Balance available for use in Test Year</t>
  </si>
  <si>
    <t xml:space="preserve">Amount to be used in Test Year </t>
  </si>
  <si>
    <t>Balance available for use post Test Year</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</si>
  <si>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</si>
  <si>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</si>
  <si>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</si>
  <si>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</si>
  <si>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</si>
  <si>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</si>
  <si>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Cumulative eligible capital deduction from Schedule 10 CEC</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</si>
  <si>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</si>
  <si>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</si>
  <si>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</si>
  <si>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</si>
  <si>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</si>
  <si>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</si>
  <si>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</si>
  <si>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</si>
  <si>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</si>
  <si>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</si>
  <si>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</si>
  <si>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</si>
  <si>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</si>
  <si>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</si>
  <si>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</si>
  <si>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</si>
  <si>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</si>
  <si>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</si>
  <si>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</si>
  <si>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Bridge</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</si>
  <si>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</si>
  <si>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</si>
  <si>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</si>
  <si>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</si>
  <si>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</si>
  <si>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</si>
  <si>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</si>
  <si>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</si>
  <si>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</si>
  <si>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</si>
  <si>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</si>
  <si>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</si>
  <si>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</si>
  <si>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</si>
  <si>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</si>
  <si>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</si>
  <si>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</si>
  <si>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</si>
  <si>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</si>
  <si>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</si>
  <si>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</si>
  <si>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</si>
  <si>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</si>
  <si>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</si>
  <si>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</si>
  <si>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</si>
  <si>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</si>
  <si>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</si>
  <si>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</si>
  <si>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</si>
  <si>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</si>
  <si>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</si>
  <si>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</si>
  <si>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</si>
  <si>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</si>
  <si>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</si>
  <si>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</si>
  <si>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</si>
  <si>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</si>
  <si>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</si>
  <si>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</si>
  <si>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</si>
  <si>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</si>
  <si>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</si>
  <si>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</si>
  <si>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</si>
  <si>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</si>
  <si>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</si>
  <si>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t>Actual/Estimated Bridge Year</t>
  </si>
  <si>
    <r>
      <t>Return on Equity (</t>
    </r>
    <r>
      <rPr>
        <b/>
        <sz val="10"/>
        <color indexed="10"/>
        <rFont val="Arial"/>
        <family val="2"/>
      </rPr>
      <t>Regulatory Income</t>
    </r>
    <r>
      <rPr>
        <b/>
        <sz val="10"/>
        <rFont val="Arial"/>
        <family val="2"/>
      </rPr>
      <t>)</t>
    </r>
  </si>
  <si>
    <t>Application of  Loss Carry Forward to reduce taxable income in Bridge Year</t>
  </si>
  <si>
    <t>A. Data Input Sheet</t>
  </si>
  <si>
    <t>B. Tax Rates &amp; Exemptions</t>
  </si>
  <si>
    <t>Current Year Deduction</t>
  </si>
  <si>
    <t>UCC End of Bridge Year</t>
  </si>
  <si>
    <t>Income tax payable</t>
  </si>
  <si>
    <t>Small business credit</t>
  </si>
  <si>
    <t>Ontario Income tax</t>
  </si>
  <si>
    <t>Effective Ontario Tax Rate</t>
  </si>
  <si>
    <t>Combined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</si>
  <si>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</si>
  <si>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</si>
  <si>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</si>
  <si>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</si>
  <si>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</si>
  <si>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</si>
  <si>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</si>
  <si>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</si>
  <si>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</si>
  <si>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</si>
  <si>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</si>
  <si>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</si>
  <si>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</si>
  <si>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</si>
  <si>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</si>
  <si>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</si>
  <si>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</si>
  <si>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</si>
  <si>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</si>
  <si>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</si>
  <si>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Enersource Hydro Mississauga Inc.</t>
  </si>
  <si>
    <t>Essex Powerlines Corporation</t>
  </si>
  <si>
    <t>Festival Hydro Inc.</t>
  </si>
  <si>
    <t>Fort Albany Power Corporation</t>
  </si>
  <si>
    <t>Fort Frances Power Corporation</t>
  </si>
  <si>
    <t>Greater Sudbury Hydro Inc.</t>
  </si>
  <si>
    <t>Haldimand County Hydro Inc.</t>
  </si>
  <si>
    <t>Horizon Utilities Corporation</t>
  </si>
  <si>
    <t>Hydro Hawkesbury Inc.</t>
  </si>
  <si>
    <t>Hydro One Brampton Networks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</si>
  <si>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</si>
  <si>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</si>
  <si>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</si>
  <si>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</si>
  <si>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</si>
  <si>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</si>
  <si>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</si>
  <si>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</si>
  <si>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</si>
  <si>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</si>
  <si>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</si>
  <si>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</si>
  <si>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</si>
  <si>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</si>
  <si>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</si>
  <si>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</si>
  <si>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</si>
  <si>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</si>
  <si>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</si>
  <si>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</si>
  <si>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</si>
  <si>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</si>
  <si>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</si>
  <si>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</si>
  <si>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</si>
  <si>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</si>
  <si>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</si>
  <si>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</si>
  <si>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</si>
  <si>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</si>
  <si>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</si>
  <si>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</si>
  <si>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</si>
  <si>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</si>
  <si>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</si>
  <si>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</si>
  <si>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</si>
  <si>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</si>
  <si>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</si>
  <si>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</si>
  <si>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</si>
  <si>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</si>
  <si>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</si>
  <si>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</si>
  <si>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</si>
  <si>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</si>
  <si>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</si>
  <si>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</si>
  <si>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</si>
  <si>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</si>
  <si>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</si>
  <si>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</si>
  <si>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</si>
  <si>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</si>
  <si>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</si>
  <si>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</si>
  <si>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</si>
  <si>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</si>
  <si>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</si>
  <si>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</si>
  <si>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</si>
  <si>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</si>
  <si>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</si>
  <si>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</si>
  <si>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</si>
  <si>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</si>
  <si>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</si>
  <si>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</si>
  <si>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</si>
  <si>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</si>
  <si>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</si>
  <si>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</si>
  <si>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</si>
  <si>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</si>
  <si>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</si>
  <si>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</si>
  <si>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</si>
  <si>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</si>
  <si>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10 CEC - Historical Year</t>
  </si>
  <si>
    <t>Schedule 13 Tax Reserves - Historical</t>
  </si>
  <si>
    <t>Continuity of Reserves</t>
  </si>
  <si>
    <t>Corporation Loss Continuity and Application</t>
  </si>
  <si>
    <t>Wires Only</t>
  </si>
  <si>
    <t>Schedule 8 CCA - Bridge Year</t>
  </si>
  <si>
    <t>Schedule 10 CEC - Bridge Year</t>
  </si>
  <si>
    <t>Schedule 13 Tax Reserves - Bridge Year</t>
  </si>
  <si>
    <t>Adjusted Taxable Income - Bridge Year</t>
  </si>
  <si>
    <t>PILS Tax Provision - Bridge Year</t>
  </si>
  <si>
    <t>Schedule 8 CCA - Test Year</t>
  </si>
  <si>
    <t>Schedule 10 CEC - Test Year</t>
  </si>
  <si>
    <t>Schedule 13 Tax Reserves - Test Year</t>
  </si>
  <si>
    <t>Schedule 7-1 Loss Carry Forward - Test Year</t>
  </si>
  <si>
    <t>Taxable Income - Test Year</t>
  </si>
  <si>
    <t>PILs Tax Provision - Test Year</t>
  </si>
  <si>
    <t>M = K + L</t>
  </si>
  <si>
    <t>Version</t>
  </si>
  <si>
    <t>Bluewater Power Distribution Corporation</t>
  </si>
  <si>
    <t>Brant County Power Inc.</t>
  </si>
  <si>
    <t>Cambridge and North Dumfries Hydro Inc.</t>
  </si>
  <si>
    <t>Erie Thames Powerlines Corporation</t>
  </si>
  <si>
    <t>Hearst Power Distribution Company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</si>
  <si>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</si>
  <si>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</si>
  <si>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</si>
  <si>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</si>
  <si>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</si>
  <si>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</si>
  <si>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Historical</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</si>
  <si>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</si>
  <si>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</si>
  <si>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</si>
  <si>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</si>
  <si>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</si>
  <si>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</si>
  <si>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</si>
  <si>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</si>
  <si>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</si>
  <si>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Canadian Niagara Power Inc.</t>
  </si>
  <si>
    <t>Chapleau Public Utilities Corporation</t>
  </si>
  <si>
    <t>Entegrus Powerlines Inc.</t>
  </si>
  <si>
    <t>Niagara Peninsula Energy Inc.</t>
  </si>
  <si>
    <t>PowerStream Inc.</t>
  </si>
  <si>
    <t>Federal tax rate (Maximum 15%)</t>
  </si>
  <si>
    <t>Federal Tax Rate</t>
  </si>
  <si>
    <t>Attawapiskat Power Corporation</t>
  </si>
  <si>
    <t>COLLUS PowerStream Corp.</t>
  </si>
  <si>
    <t>EnWin Utilities Ltd.</t>
  </si>
  <si>
    <t>Hydro One Networks Inc.</t>
  </si>
  <si>
    <t>Hydro One Remote Communities Inc.</t>
  </si>
  <si>
    <t>Innpower Corporation</t>
  </si>
  <si>
    <t>Milton Hydro Distribution Inc.</t>
  </si>
  <si>
    <t>Newmarket-Tay Power Distribution Ltd.</t>
  </si>
  <si>
    <t>Notes</t>
  </si>
  <si>
    <t>1.  The Ontario Energy Board's proxy for taxable capital is rate base.</t>
  </si>
  <si>
    <t>2.  If taxable capital exceds $15 million the maximum tax rates apply.</t>
  </si>
  <si>
    <t>3.  If taxable capital is below $10 million the minimum tax rates apply.</t>
  </si>
  <si>
    <t>4.  Where taxable capital is between $10 million and $15 million, the tax rate will be calculated.</t>
  </si>
  <si>
    <t>Ontario Tax Rate (Maximum 11.5%)</t>
  </si>
  <si>
    <t>Combined tax rate (Maximum 26.5%)</t>
  </si>
  <si>
    <t>C</t>
  </si>
  <si>
    <t>D = B + C</t>
  </si>
  <si>
    <t>E = A * D</t>
  </si>
  <si>
    <t>F</t>
  </si>
  <si>
    <t>G</t>
  </si>
  <si>
    <t>H = F + G</t>
  </si>
  <si>
    <t>I = H + E</t>
  </si>
  <si>
    <t>J</t>
  </si>
  <si>
    <t>K = J * I</t>
  </si>
  <si>
    <t>L = K + I</t>
  </si>
  <si>
    <t>As of June 15, 2015</t>
  </si>
  <si>
    <t>T1</t>
  </si>
  <si>
    <t>T0</t>
  </si>
  <si>
    <t>A.</t>
  </si>
  <si>
    <t>H8</t>
  </si>
  <si>
    <t>Reference</t>
  </si>
  <si>
    <t>H10</t>
  </si>
  <si>
    <t>H13</t>
  </si>
  <si>
    <t>B1</t>
  </si>
  <si>
    <t>B8</t>
  </si>
  <si>
    <t>Working Paper Reference</t>
  </si>
  <si>
    <t>B13</t>
  </si>
  <si>
    <t>T8</t>
  </si>
  <si>
    <t>B10</t>
  </si>
  <si>
    <t>B4</t>
  </si>
  <si>
    <t>calculated</t>
  </si>
  <si>
    <t>H4</t>
  </si>
  <si>
    <t>Schedule 4 Loss Carry Forward - Bridge Year</t>
  </si>
  <si>
    <t>T13</t>
  </si>
  <si>
    <t>T10</t>
  </si>
  <si>
    <t>T4</t>
  </si>
  <si>
    <t>H1</t>
  </si>
  <si>
    <t>S</t>
  </si>
  <si>
    <t>T1 Taxable Income Test Year</t>
  </si>
  <si>
    <t>T8 Schedule 8 CCA Test Year</t>
  </si>
  <si>
    <t>T0 PILs, Tax Provision Test Year</t>
  </si>
  <si>
    <t>T10 Schedule 10 CEC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</si>
  <si>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</si>
  <si>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</si>
  <si>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</si>
  <si>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</si>
  <si>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</si>
  <si>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</si>
  <si>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</si>
  <si>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H8 - Schedule 8 Historical'!A1</t>
  </si>
  <si>
    <t>H10 - Schedule 10 CEC Historical Year</t>
  </si>
  <si>
    <t>H13 - Schedule 13 Tax Reserves Historical</t>
  </si>
  <si>
    <t>B0 - PILs,Tax Provision Bridge Year</t>
  </si>
  <si>
    <t>B1 - Adj. Taxable Income Bridge Year</t>
  </si>
  <si>
    <t>B4 - Schedule 4 Loss Carry Forward Bridge Year</t>
  </si>
  <si>
    <t>B8 - Schedule 8 CCA Bridge Year</t>
  </si>
  <si>
    <t>B10 - Schedule 10 CEC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</si>
  <si>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</si>
  <si>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</si>
  <si>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</si>
  <si>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</si>
  <si>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</si>
  <si>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</si>
  <si>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</si>
  <si>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</si>
  <si>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</si>
  <si>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</si>
  <si>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</si>
  <si>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Ontario Tax Rate</t>
  </si>
  <si>
    <t>Inputs on Service Revenue Requirement Worksheet</t>
  </si>
  <si>
    <t>The Service Revenue Requirement is in the 'Revenue Requirement Workform' - Tab 3.</t>
  </si>
  <si>
    <t>Federal Income Tax</t>
  </si>
  <si>
    <t>H0</t>
  </si>
  <si>
    <t>No inputs required on this worksheet.</t>
  </si>
  <si>
    <t>No</t>
  </si>
  <si>
    <t>Yes</t>
  </si>
  <si>
    <t>Provision for Income Taxes - current  Line 101</t>
  </si>
  <si>
    <t>Provision for Income Taxes - deferred  Line 102</t>
  </si>
  <si>
    <t>Cameron McKenzie</t>
  </si>
  <si>
    <t>289-429-5212</t>
  </si>
  <si>
    <t>cameronmckenzie@miltonhydro.com</t>
  </si>
  <si>
    <t>Overhead Capitalized for accounting</t>
  </si>
  <si>
    <t>Repair Costs capitalized for accounting</t>
  </si>
  <si>
    <t>EB-2015-0089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</si>
</sst>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0_);_(* \(#,##0\);_(* &quot;-&quot;_);_(@_)"/>
    <numFmt numFmtId="165" formatCode="_-&quot;$&quot;* #,##0_-;\-&quot;$&quot;* #,##0_-;_-&quot;$&quot;* &quot;-&quot;??_-;_-@_-"/>
    <numFmt numFmtId="166" formatCode="0.0"/>
    <numFmt numFmtId="167" formatCode="[$-F800]dddd\,\ mmmm\ dd\,\ yyyy"/>
    <numFmt numFmtId="168" formatCode="[$-1009]mmmm\ d\,\ yyyy;@"/>
    <numFmt numFmtId="169" formatCode="_-* #,##0_-;\-* #,##0_-;_-* &quot;-&quot;??_-;_-@_-"/>
    <numFmt numFmtId="170" formatCode="0.0%"/>
    <numFmt numFmtId="171" formatCode="mmmm\ d\,\ yyyy"/>
  </numFmts>
  <fonts count="89"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u/>
      <sz val="10"/>
      <color indexed="12"/>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sz val="11"/>
      <color rgb="FF00000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48">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1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2"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cellStyleXfs>
  <cellXfs count="628">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24" borderId="0" xfId="0" applyFill="1" applyBorder="1" applyAlignment="1" applyProtection="1"/>
    <xf numFmtId="0" fontId="0" fillId="24" borderId="0" xfId="0" applyFill="1" applyBorder="1" applyAlignment="1" applyProtection="1">
      <alignment horizontal="left"/>
    </xf>
    <xf numFmtId="0" fontId="0" fillId="0" borderId="0" xfId="0" applyProtection="1"/>
    <xf numFmtId="0" fontId="0" fillId="24" borderId="0" xfId="0" applyFill="1" applyProtection="1"/>
    <xf numFmtId="0" fontId="0" fillId="24" borderId="0" xfId="0" applyFill="1" applyAlignment="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7" fillId="25" borderId="10" xfId="40" applyFont="1" applyFill="1" applyBorder="1" applyAlignment="1" applyProtection="1">
      <alignment vertical="center" wrapText="1"/>
    </xf>
    <xf numFmtId="3" fontId="13" fillId="25" borderId="11" xfId="40" applyNumberFormat="1" applyFont="1" applyFill="1" applyBorder="1" applyAlignment="1" applyProtection="1">
      <alignment horizontal="center" vertical="center" wrapText="1"/>
    </xf>
    <xf numFmtId="3" fontId="13" fillId="25" borderId="12" xfId="40" applyNumberFormat="1" applyFont="1" applyFill="1" applyBorder="1" applyAlignment="1" applyProtection="1">
      <alignment horizontal="center" vertical="center" wrapText="1"/>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4" fillId="24" borderId="0" xfId="0" applyFont="1" applyFill="1" applyAlignment="1" applyProtection="1">
      <alignment horizontal="left" vertical="top" wrapText="1" indent="7"/>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0" fontId="20" fillId="25" borderId="16"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0" xfId="40" applyFont="1" applyFill="1" applyBorder="1" applyAlignment="1" applyProtection="1">
      <alignment horizontal="left" vertical="center" wrapText="1" indent="1"/>
    </xf>
    <xf numFmtId="0" fontId="18" fillId="25" borderId="10" xfId="40" applyFont="1" applyFill="1" applyBorder="1" applyAlignment="1" applyProtection="1">
      <alignment horizontal="left"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xf>
    <xf numFmtId="0" fontId="18"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xf>
    <xf numFmtId="0" fontId="18" fillId="24" borderId="10" xfId="0" applyFont="1" applyFill="1" applyBorder="1" applyAlignment="1" applyProtection="1">
      <alignment wrapText="1"/>
    </xf>
    <xf numFmtId="0" fontId="6" fillId="24" borderId="10" xfId="0" applyFont="1" applyFill="1" applyBorder="1" applyAlignment="1" applyProtection="1">
      <alignment horizontal="center"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12" fillId="24" borderId="10" xfId="0" applyFont="1" applyFill="1" applyBorder="1" applyAlignment="1" applyProtection="1">
      <alignment horizontal="center" vertical="center"/>
    </xf>
    <xf numFmtId="0" fontId="12" fillId="24" borderId="10" xfId="0" applyFont="1" applyFill="1" applyBorder="1" applyAlignment="1" applyProtection="1">
      <alignment horizontal="center" vertical="center" wrapText="1"/>
    </xf>
    <xf numFmtId="0" fontId="12" fillId="24" borderId="14" xfId="0" applyFont="1" applyFill="1" applyBorder="1" applyProtection="1"/>
    <xf numFmtId="0" fontId="28" fillId="24" borderId="0" xfId="0" applyFont="1" applyFill="1" applyProtection="1"/>
    <xf numFmtId="0" fontId="0" fillId="24" borderId="0" xfId="0" applyFill="1" applyAlignment="1" applyProtection="1">
      <alignment horizontal="right"/>
    </xf>
    <xf numFmtId="3" fontId="13" fillId="24" borderId="0" xfId="0" applyNumberFormat="1" applyFont="1" applyFill="1" applyAlignment="1" applyProtection="1">
      <alignment horizontal="right"/>
    </xf>
    <xf numFmtId="0" fontId="11" fillId="24" borderId="0" xfId="0" applyFont="1" applyFill="1" applyAlignment="1" applyProtection="1">
      <alignment horizontal="left"/>
    </xf>
    <xf numFmtId="0" fontId="28" fillId="24" borderId="0" xfId="0" applyFont="1" applyFill="1" applyAlignment="1" applyProtection="1">
      <alignment horizontal="right"/>
    </xf>
    <xf numFmtId="0" fontId="0" fillId="24" borderId="0" xfId="0" applyFill="1" applyBorder="1" applyAlignment="1" applyProtection="1">
      <alignment horizontal="right"/>
    </xf>
    <xf numFmtId="0" fontId="6"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0" fillId="24" borderId="18" xfId="0" applyNumberFormat="1" applyFill="1" applyBorder="1" applyAlignment="1" applyProtection="1">
      <alignment horizontal="right"/>
    </xf>
    <xf numFmtId="3" fontId="6" fillId="24" borderId="0" xfId="0" applyNumberFormat="1" applyFont="1" applyFill="1" applyProtection="1"/>
    <xf numFmtId="3" fontId="0" fillId="24" borderId="0" xfId="0" applyNumberFormat="1" applyFill="1" applyAlignment="1" applyProtection="1"/>
    <xf numFmtId="3" fontId="6" fillId="24" borderId="12" xfId="0" applyNumberFormat="1" applyFont="1" applyFill="1" applyBorder="1" applyProtection="1"/>
    <xf numFmtId="0" fontId="0" fillId="24" borderId="0" xfId="0" applyFill="1" applyAlignment="1" applyProtection="1">
      <alignment horizontal="center"/>
    </xf>
    <xf numFmtId="3" fontId="13" fillId="24" borderId="0" xfId="0" applyNumberFormat="1" applyFont="1" applyFill="1" applyProtection="1"/>
    <xf numFmtId="3" fontId="6" fillId="24" borderId="16" xfId="0" applyNumberFormat="1" applyFont="1" applyFill="1" applyBorder="1" applyProtection="1"/>
    <xf numFmtId="0" fontId="0" fillId="24" borderId="16" xfId="0" applyFill="1" applyBorder="1" applyProtection="1"/>
    <xf numFmtId="0" fontId="6" fillId="24" borderId="0" xfId="0" applyFont="1" applyFill="1" applyProtection="1"/>
    <xf numFmtId="0" fontId="31" fillId="25" borderId="0" xfId="40" applyFont="1" applyFill="1" applyAlignment="1" applyProtection="1">
      <alignment horizontal="center" vertical="top"/>
    </xf>
    <xf numFmtId="0" fontId="32" fillId="25" borderId="0" xfId="40" applyFont="1" applyFill="1" applyProtection="1">
      <alignment vertical="top"/>
    </xf>
    <xf numFmtId="0" fontId="31" fillId="25" borderId="0" xfId="40" applyFont="1" applyFill="1" applyProtection="1">
      <alignment vertical="top"/>
    </xf>
    <xf numFmtId="0" fontId="33" fillId="25" borderId="14" xfId="40" applyFont="1" applyFill="1" applyBorder="1" applyAlignment="1" applyProtection="1">
      <alignment horizontal="center" vertical="center" wrapText="1"/>
    </xf>
    <xf numFmtId="0" fontId="33" fillId="25" borderId="15"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3" fillId="25" borderId="17" xfId="40" applyFont="1" applyFill="1" applyBorder="1" applyAlignment="1" applyProtection="1">
      <alignment horizontal="center" vertical="center" wrapText="1"/>
    </xf>
    <xf numFmtId="0" fontId="35" fillId="25" borderId="0" xfId="40" applyFont="1" applyFill="1" applyBorder="1" applyAlignment="1" applyProtection="1">
      <alignment horizontal="right" vertical="center"/>
    </xf>
    <xf numFmtId="0" fontId="35" fillId="25" borderId="0" xfId="40" applyFont="1" applyFill="1" applyBorder="1" applyAlignment="1" applyProtection="1">
      <alignment horizontal="center" vertical="center"/>
    </xf>
    <xf numFmtId="3" fontId="35" fillId="25" borderId="10" xfId="40" applyNumberFormat="1" applyFont="1" applyFill="1" applyBorder="1" applyAlignment="1" applyProtection="1">
      <alignment vertical="center"/>
    </xf>
    <xf numFmtId="3" fontId="35" fillId="25" borderId="10" xfId="40" applyNumberFormat="1" applyFont="1" applyFill="1" applyBorder="1" applyAlignment="1" applyProtection="1">
      <alignment horizontal="right" vertical="center"/>
    </xf>
    <xf numFmtId="3" fontId="35" fillId="24" borderId="10" xfId="40" applyNumberFormat="1" applyFont="1" applyFill="1" applyBorder="1" applyAlignment="1" applyProtection="1">
      <alignment horizontal="right" vertical="center"/>
    </xf>
    <xf numFmtId="3" fontId="35" fillId="24" borderId="10" xfId="40" applyNumberFormat="1" applyFont="1" applyFill="1" applyBorder="1" applyAlignment="1" applyProtection="1">
      <alignment horizontal="center" vertical="center"/>
    </xf>
    <xf numFmtId="3" fontId="35" fillId="24" borderId="10" xfId="40" applyNumberFormat="1" applyFont="1" applyFill="1" applyBorder="1" applyAlignment="1" applyProtection="1">
      <alignment vertical="center"/>
    </xf>
    <xf numFmtId="0" fontId="37" fillId="25" borderId="14" xfId="40" applyFont="1" applyFill="1" applyBorder="1" applyAlignment="1" applyProtection="1">
      <alignment vertical="center"/>
    </xf>
    <xf numFmtId="3" fontId="33" fillId="25" borderId="15" xfId="40" applyNumberFormat="1" applyFont="1" applyFill="1" applyBorder="1" applyAlignment="1" applyProtection="1">
      <alignment horizontal="right" vertical="center"/>
    </xf>
    <xf numFmtId="3" fontId="33" fillId="25" borderId="17" xfId="40" applyNumberFormat="1" applyFont="1" applyFill="1" applyBorder="1" applyAlignment="1" applyProtection="1">
      <alignment horizontal="right" vertical="center"/>
    </xf>
    <xf numFmtId="3" fontId="38" fillId="25" borderId="19" xfId="40" applyNumberFormat="1" applyFont="1" applyFill="1" applyBorder="1" applyAlignment="1" applyProtection="1">
      <alignment horizontal="right" vertical="center"/>
    </xf>
    <xf numFmtId="3" fontId="35" fillId="25" borderId="19" xfId="40" applyNumberFormat="1" applyFont="1" applyFill="1" applyBorder="1" applyAlignment="1" applyProtection="1">
      <alignment horizontal="right" vertical="center"/>
    </xf>
    <xf numFmtId="3" fontId="35" fillId="25" borderId="19" xfId="40" applyNumberFormat="1" applyFont="1" applyFill="1" applyBorder="1" applyAlignment="1" applyProtection="1">
      <alignment horizontal="center" vertical="center"/>
    </xf>
    <xf numFmtId="3" fontId="35" fillId="25" borderId="19" xfId="40" applyNumberFormat="1" applyFont="1" applyFill="1" applyBorder="1" applyAlignment="1" applyProtection="1">
      <alignment vertical="center"/>
    </xf>
    <xf numFmtId="3" fontId="33" fillId="25" borderId="15" xfId="40" applyNumberFormat="1" applyFont="1" applyFill="1" applyBorder="1" applyAlignment="1" applyProtection="1">
      <alignment vertical="center"/>
    </xf>
    <xf numFmtId="3" fontId="33" fillId="25" borderId="17" xfId="40" applyNumberFormat="1" applyFont="1" applyFill="1" applyBorder="1" applyAlignment="1" applyProtection="1">
      <alignment vertical="center"/>
    </xf>
    <xf numFmtId="0" fontId="36" fillId="25" borderId="0" xfId="40" applyFont="1" applyFill="1" applyProtection="1">
      <alignment vertical="top"/>
    </xf>
    <xf numFmtId="3" fontId="38" fillId="25" borderId="0" xfId="40" applyNumberFormat="1" applyFont="1" applyFill="1" applyBorder="1" applyAlignment="1" applyProtection="1">
      <alignment horizontal="right" vertical="top"/>
    </xf>
    <xf numFmtId="3" fontId="35" fillId="25" borderId="0" xfId="40" applyNumberFormat="1" applyFont="1" applyFill="1" applyBorder="1" applyAlignment="1" applyProtection="1">
      <alignment horizontal="right" vertical="top"/>
    </xf>
    <xf numFmtId="3" fontId="35" fillId="25" borderId="0" xfId="40" applyNumberFormat="1" applyFont="1" applyFill="1" applyBorder="1" applyAlignment="1" applyProtection="1">
      <alignment horizontal="center" vertical="top"/>
    </xf>
    <xf numFmtId="3" fontId="35"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164"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20" xfId="0" applyFont="1" applyFill="1" applyBorder="1" applyProtection="1"/>
    <xf numFmtId="0" fontId="18" fillId="24" borderId="10" xfId="0" applyFont="1" applyFill="1" applyBorder="1" applyProtection="1"/>
    <xf numFmtId="0" fontId="23"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13" fillId="25" borderId="19" xfId="40" applyNumberFormat="1" applyFont="1" applyFill="1" applyBorder="1" applyAlignment="1" applyProtection="1">
      <alignment horizontal="right" vertical="center" wrapText="1"/>
    </xf>
    <xf numFmtId="3" fontId="6" fillId="24" borderId="15" xfId="40" applyNumberFormat="1" applyFont="1" applyFill="1" applyBorder="1" applyAlignment="1" applyProtection="1">
      <alignment horizontal="right" vertical="center" wrapText="1"/>
    </xf>
    <xf numFmtId="3" fontId="13" fillId="24" borderId="21" xfId="0" applyNumberFormat="1" applyFont="1" applyFill="1" applyBorder="1" applyAlignment="1" applyProtection="1">
      <alignment horizontal="right" vertical="center"/>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2"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40" fillId="24" borderId="0" xfId="0" applyFont="1" applyFill="1" applyProtection="1"/>
    <xf numFmtId="165" fontId="43" fillId="24" borderId="0" xfId="29" applyNumberFormat="1" applyFont="1" applyFill="1" applyProtection="1"/>
    <xf numFmtId="0" fontId="10" fillId="24" borderId="0" xfId="0" applyFont="1" applyFill="1" applyProtection="1"/>
    <xf numFmtId="165" fontId="10" fillId="24" borderId="0" xfId="0" applyNumberFormat="1" applyFont="1" applyFill="1" applyBorder="1" applyProtection="1"/>
    <xf numFmtId="0" fontId="39" fillId="24" borderId="0" xfId="0" applyFont="1" applyFill="1" applyAlignment="1" applyProtection="1">
      <alignment horizontal="center" wrapText="1"/>
    </xf>
    <xf numFmtId="0" fontId="6" fillId="24" borderId="19" xfId="0" applyFont="1" applyFill="1" applyBorder="1" applyAlignment="1" applyProtection="1">
      <alignment horizontal="center" vertical="center"/>
    </xf>
    <xf numFmtId="0" fontId="18" fillId="24" borderId="19" xfId="0" applyFont="1" applyFill="1" applyBorder="1" applyAlignment="1" applyProtection="1">
      <alignment horizontal="center" vertical="center"/>
    </xf>
    <xf numFmtId="0" fontId="18" fillId="24" borderId="19" xfId="0" applyFont="1" applyFill="1" applyBorder="1" applyAlignment="1" applyProtection="1">
      <alignment horizontal="center" vertical="center" wrapText="1"/>
    </xf>
    <xf numFmtId="0" fontId="0" fillId="24" borderId="0" xfId="0" applyFill="1" applyAlignment="1" applyProtection="1">
      <alignment horizontal="left"/>
    </xf>
    <xf numFmtId="0" fontId="28" fillId="24" borderId="0" xfId="0" applyFont="1" applyFill="1" applyAlignment="1" applyProtection="1">
      <alignment horizontal="left"/>
    </xf>
    <xf numFmtId="0" fontId="46" fillId="24" borderId="0" xfId="0" applyFont="1" applyFill="1" applyBorder="1" applyAlignment="1" applyProtection="1">
      <alignment horizontal="center"/>
    </xf>
    <xf numFmtId="0" fontId="6" fillId="26" borderId="1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10" fillId="24" borderId="0" xfId="0" applyFont="1" applyFill="1" applyAlignment="1" applyProtection="1">
      <alignment horizontal="left"/>
    </xf>
    <xf numFmtId="0" fontId="9" fillId="25" borderId="10" xfId="40" applyFont="1" applyFill="1" applyBorder="1" applyProtection="1">
      <alignment vertical="top"/>
    </xf>
    <xf numFmtId="0" fontId="47"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6" fontId="9" fillId="0" borderId="0" xfId="0" applyNumberFormat="1" applyFont="1" applyFill="1" applyBorder="1" applyAlignment="1" applyProtection="1">
      <alignment horizontal="left"/>
    </xf>
    <xf numFmtId="0" fontId="10" fillId="0" borderId="0" xfId="0" applyFont="1" applyFill="1" applyBorder="1" applyAlignment="1" applyProtection="1"/>
    <xf numFmtId="165" fontId="10" fillId="24" borderId="16" xfId="29" applyNumberFormat="1" applyFont="1" applyFill="1" applyBorder="1" applyProtection="1"/>
    <xf numFmtId="165" fontId="10" fillId="24" borderId="23" xfId="29" applyNumberFormat="1" applyFont="1" applyFill="1" applyBorder="1" applyProtection="1"/>
    <xf numFmtId="0" fontId="35" fillId="25" borderId="16" xfId="40" applyFont="1" applyFill="1" applyBorder="1" applyAlignment="1" applyProtection="1">
      <alignment horizontal="right" vertical="center"/>
    </xf>
    <xf numFmtId="0" fontId="35" fillId="25" borderId="16" xfId="40" applyFont="1" applyFill="1" applyBorder="1" applyAlignment="1" applyProtection="1">
      <alignment vertical="center"/>
    </xf>
    <xf numFmtId="0" fontId="35" fillId="25" borderId="24" xfId="40" applyFont="1" applyFill="1" applyBorder="1" applyAlignment="1" applyProtection="1">
      <alignment vertical="center" wrapText="1"/>
    </xf>
    <xf numFmtId="0" fontId="35" fillId="25" borderId="25" xfId="40" applyFont="1" applyFill="1" applyBorder="1" applyAlignment="1" applyProtection="1">
      <alignment vertical="center"/>
    </xf>
    <xf numFmtId="0" fontId="35" fillId="25" borderId="26" xfId="40" applyFont="1" applyFill="1" applyBorder="1" applyAlignment="1" applyProtection="1">
      <alignment vertical="center" wrapText="1"/>
    </xf>
    <xf numFmtId="3" fontId="35" fillId="25" borderId="27" xfId="40" applyNumberFormat="1" applyFont="1" applyFill="1" applyBorder="1" applyAlignment="1" applyProtection="1">
      <alignment vertical="center"/>
    </xf>
    <xf numFmtId="0" fontId="35" fillId="25" borderId="26" xfId="40" applyFont="1" applyFill="1" applyBorder="1" applyAlignment="1" applyProtection="1">
      <alignment horizontal="left" vertical="center" wrapText="1"/>
    </xf>
    <xf numFmtId="0" fontId="35" fillId="25" borderId="28" xfId="40" applyFont="1" applyFill="1" applyBorder="1" applyAlignment="1" applyProtection="1">
      <alignment vertical="center" wrapText="1"/>
    </xf>
    <xf numFmtId="3" fontId="38" fillId="25" borderId="29" xfId="40" applyNumberFormat="1" applyFont="1" applyFill="1" applyBorder="1" applyAlignment="1" applyProtection="1">
      <alignment horizontal="right" vertical="center"/>
    </xf>
    <xf numFmtId="0" fontId="35" fillId="25" borderId="26" xfId="40" quotePrefix="1" applyFont="1" applyFill="1" applyBorder="1" applyAlignment="1" applyProtection="1">
      <alignment horizontal="left" vertical="center" wrapText="1" indent="1"/>
    </xf>
    <xf numFmtId="165" fontId="40" fillId="24" borderId="0" xfId="29" applyNumberFormat="1" applyFont="1" applyFill="1" applyAlignment="1" applyProtection="1">
      <alignment horizontal="center"/>
    </xf>
    <xf numFmtId="0" fontId="40" fillId="24" borderId="0" xfId="0" applyFont="1" applyFill="1" applyAlignment="1" applyProtection="1">
      <alignment horizontal="center"/>
    </xf>
    <xf numFmtId="0" fontId="40" fillId="24" borderId="0" xfId="0" applyFont="1" applyFill="1" applyAlignment="1" applyProtection="1">
      <alignment horizontal="right"/>
    </xf>
    <xf numFmtId="165" fontId="3" fillId="24" borderId="0" xfId="29" applyNumberFormat="1" applyFont="1" applyFill="1" applyAlignment="1" applyProtection="1">
      <alignment horizontal="center"/>
    </xf>
    <xf numFmtId="165"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5" fontId="3" fillId="24" borderId="0" xfId="29" applyNumberFormat="1" applyFont="1" applyFill="1" applyBorder="1" applyAlignment="1" applyProtection="1">
      <alignment horizontal="center"/>
    </xf>
    <xf numFmtId="0" fontId="9" fillId="25" borderId="31" xfId="40" applyFont="1" applyFill="1" applyBorder="1" applyProtection="1">
      <alignment vertical="top"/>
    </xf>
    <xf numFmtId="0" fontId="17" fillId="25" borderId="32"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5" borderId="33" xfId="40" applyFont="1" applyFill="1" applyBorder="1" applyAlignment="1" applyProtection="1">
      <alignment horizontal="center" vertical="center" wrapText="1"/>
    </xf>
    <xf numFmtId="0" fontId="18" fillId="24" borderId="26" xfId="40" applyFont="1" applyFill="1" applyBorder="1" applyAlignment="1" applyProtection="1">
      <alignment vertical="center"/>
    </xf>
    <xf numFmtId="3" fontId="19" fillId="0" borderId="27" xfId="40" applyNumberFormat="1" applyFont="1" applyFill="1" applyBorder="1" applyAlignment="1" applyProtection="1">
      <alignment horizontal="right" vertical="top"/>
    </xf>
    <xf numFmtId="0" fontId="18" fillId="25" borderId="26" xfId="40" applyFont="1" applyFill="1" applyBorder="1" applyAlignment="1" applyProtection="1">
      <alignment vertical="center" wrapText="1"/>
    </xf>
    <xf numFmtId="3" fontId="19" fillId="25" borderId="34" xfId="40" applyNumberFormat="1" applyFont="1" applyFill="1" applyBorder="1" applyAlignment="1" applyProtection="1">
      <alignment horizontal="center" vertical="center" wrapText="1"/>
    </xf>
    <xf numFmtId="0" fontId="19" fillId="25" borderId="26" xfId="40" applyFont="1" applyFill="1" applyBorder="1" applyAlignment="1" applyProtection="1">
      <alignment horizontal="left" vertical="center" wrapText="1" indent="1"/>
    </xf>
    <xf numFmtId="0" fontId="19" fillId="24" borderId="26" xfId="40" applyFont="1" applyFill="1" applyBorder="1" applyAlignment="1" applyProtection="1">
      <alignment horizontal="left" vertical="center" wrapText="1" indent="1"/>
    </xf>
    <xf numFmtId="3" fontId="19" fillId="0" borderId="27" xfId="40" applyNumberFormat="1" applyFont="1" applyFill="1" applyBorder="1" applyAlignment="1" applyProtection="1">
      <alignment vertical="center" wrapText="1"/>
    </xf>
    <xf numFmtId="3" fontId="19" fillId="24" borderId="27" xfId="40" applyNumberFormat="1" applyFont="1" applyFill="1" applyBorder="1" applyAlignment="1" applyProtection="1">
      <alignment horizontal="right" vertical="top"/>
    </xf>
    <xf numFmtId="0" fontId="18" fillId="25" borderId="35" xfId="40" applyFont="1" applyFill="1" applyBorder="1" applyAlignment="1" applyProtection="1">
      <alignment horizontal="center" vertical="center" wrapText="1"/>
    </xf>
    <xf numFmtId="0" fontId="18" fillId="25" borderId="36" xfId="40" applyFont="1" applyFill="1" applyBorder="1" applyAlignment="1" applyProtection="1">
      <alignment horizontal="center" vertical="center" wrapText="1"/>
    </xf>
    <xf numFmtId="0" fontId="18" fillId="25" borderId="24" xfId="40" applyFont="1" applyFill="1" applyBorder="1" applyAlignment="1" applyProtection="1">
      <alignment vertical="center" wrapText="1"/>
    </xf>
    <xf numFmtId="0" fontId="20" fillId="25" borderId="25" xfId="40" applyFont="1" applyFill="1" applyBorder="1" applyAlignment="1" applyProtection="1">
      <alignment horizontal="center" vertical="center" wrapText="1"/>
    </xf>
    <xf numFmtId="3" fontId="19" fillId="24" borderId="27" xfId="40" applyNumberFormat="1" applyFont="1" applyFill="1" applyBorder="1" applyAlignment="1" applyProtection="1">
      <alignment horizontal="right" vertical="center"/>
    </xf>
    <xf numFmtId="0" fontId="22" fillId="25" borderId="26" xfId="40" applyFont="1" applyFill="1" applyBorder="1" applyAlignment="1" applyProtection="1">
      <alignment horizontal="left" vertical="center" wrapText="1" indent="1"/>
    </xf>
    <xf numFmtId="0" fontId="18" fillId="25" borderId="26" xfId="40" applyFont="1" applyFill="1" applyBorder="1" applyAlignment="1" applyProtection="1">
      <alignment horizontal="left" vertical="center" wrapText="1"/>
    </xf>
    <xf numFmtId="0" fontId="19" fillId="25" borderId="26" xfId="40" applyFont="1" applyFill="1" applyBorder="1" applyAlignment="1" applyProtection="1">
      <alignment vertical="center" wrapText="1"/>
    </xf>
    <xf numFmtId="3" fontId="0" fillId="24" borderId="27" xfId="0" applyNumberFormat="1" applyFill="1" applyBorder="1" applyProtection="1"/>
    <xf numFmtId="0" fontId="6" fillId="25" borderId="26" xfId="40" applyFont="1" applyFill="1" applyBorder="1" applyAlignment="1" applyProtection="1">
      <alignment vertical="center" wrapText="1"/>
    </xf>
    <xf numFmtId="3" fontId="6" fillId="24" borderId="27" xfId="40" applyNumberFormat="1" applyFont="1" applyFill="1" applyBorder="1" applyAlignment="1" applyProtection="1">
      <alignment vertical="center" wrapText="1"/>
    </xf>
    <xf numFmtId="0" fontId="6" fillId="24" borderId="37" xfId="40" applyFont="1" applyFill="1" applyBorder="1" applyAlignment="1" applyProtection="1">
      <alignment vertical="center" wrapText="1"/>
    </xf>
    <xf numFmtId="0" fontId="20" fillId="25" borderId="38" xfId="40"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3" fontId="6" fillId="24" borderId="39" xfId="40" applyNumberFormat="1" applyFont="1" applyFill="1" applyBorder="1" applyAlignment="1" applyProtection="1">
      <alignment vertical="center" wrapText="1"/>
    </xf>
    <xf numFmtId="0" fontId="6" fillId="24" borderId="16" xfId="0" applyFont="1" applyFill="1" applyBorder="1" applyProtection="1"/>
    <xf numFmtId="0" fontId="29" fillId="24" borderId="16" xfId="0" applyFont="1" applyFill="1" applyBorder="1" applyProtection="1"/>
    <xf numFmtId="0" fontId="30" fillId="24" borderId="16" xfId="0" applyFont="1" applyFill="1" applyBorder="1" applyProtection="1"/>
    <xf numFmtId="3" fontId="29" fillId="24" borderId="16" xfId="0" applyNumberFormat="1" applyFont="1" applyFill="1" applyBorder="1" applyProtection="1"/>
    <xf numFmtId="0" fontId="6" fillId="24" borderId="16" xfId="0" applyFont="1" applyFill="1" applyBorder="1" applyAlignment="1" applyProtection="1">
      <alignment horizontal="right"/>
    </xf>
    <xf numFmtId="0" fontId="28" fillId="24" borderId="16" xfId="0" applyFont="1" applyFill="1" applyBorder="1" applyProtection="1"/>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35" fillId="25" borderId="40" xfId="40" applyFont="1" applyFill="1" applyBorder="1" applyAlignment="1" applyProtection="1">
      <alignment vertical="center" wrapText="1"/>
    </xf>
    <xf numFmtId="0" fontId="35" fillId="25" borderId="0" xfId="40" applyFont="1" applyFill="1" applyBorder="1" applyAlignment="1" applyProtection="1">
      <alignment vertical="center"/>
    </xf>
    <xf numFmtId="0" fontId="35" fillId="25" borderId="41" xfId="40" applyFont="1" applyFill="1" applyBorder="1" applyAlignment="1" applyProtection="1">
      <alignment vertical="center"/>
    </xf>
    <xf numFmtId="0" fontId="33" fillId="25" borderId="26" xfId="40" applyFont="1" applyFill="1" applyBorder="1" applyAlignment="1" applyProtection="1">
      <alignment horizontal="left" vertical="center" wrapText="1"/>
    </xf>
    <xf numFmtId="3" fontId="35" fillId="25" borderId="29" xfId="40" applyNumberFormat="1" applyFont="1" applyFill="1" applyBorder="1" applyAlignment="1" applyProtection="1">
      <alignment vertical="center"/>
    </xf>
    <xf numFmtId="0" fontId="35" fillId="25" borderId="26"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8" fillId="24" borderId="0" xfId="0" applyFont="1" applyFill="1" applyBorder="1" applyProtection="1"/>
    <xf numFmtId="3" fontId="6" fillId="0" borderId="0" xfId="0" applyNumberFormat="1" applyFont="1" applyFill="1" applyBorder="1" applyAlignment="1" applyProtection="1">
      <alignment horizontal="right"/>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9" xfId="40" applyFont="1" applyFill="1" applyBorder="1" applyAlignment="1" applyProtection="1">
      <alignment horizontal="center" vertical="center" wrapText="1"/>
    </xf>
    <xf numFmtId="0" fontId="21" fillId="25" borderId="43"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8" fillId="25" borderId="19" xfId="40" applyFont="1" applyFill="1" applyBorder="1" applyAlignment="1" applyProtection="1">
      <alignment horizontal="left" vertical="center" wrapText="1"/>
    </xf>
    <xf numFmtId="0" fontId="19" fillId="25" borderId="21"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9"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3" fontId="13" fillId="24" borderId="16" xfId="40" applyNumberFormat="1" applyFont="1" applyFill="1" applyBorder="1" applyAlignment="1" applyProtection="1">
      <alignment horizontal="right" vertical="center"/>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13" fillId="24" borderId="33"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3" fontId="13" fillId="25" borderId="0" xfId="40" applyNumberFormat="1" applyFont="1" applyFill="1" applyBorder="1" applyAlignment="1" applyProtection="1">
      <alignment horizontal="right" vertical="center"/>
    </xf>
    <xf numFmtId="0" fontId="15" fillId="24" borderId="22"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0" fontId="6" fillId="0" borderId="10" xfId="0" applyFont="1" applyFill="1" applyBorder="1" applyAlignment="1" applyProtection="1">
      <alignment horizontal="center"/>
    </xf>
    <xf numFmtId="0" fontId="18" fillId="0" borderId="10" xfId="0" applyFont="1" applyFill="1" applyBorder="1" applyAlignment="1" applyProtection="1">
      <alignment wrapText="1"/>
    </xf>
    <xf numFmtId="3" fontId="6" fillId="24" borderId="10" xfId="0" applyNumberFormat="1" applyFont="1" applyFill="1" applyBorder="1" applyAlignment="1" applyProtection="1">
      <alignment horizontal="right"/>
    </xf>
    <xf numFmtId="0" fontId="6" fillId="0" borderId="10" xfId="0" applyFont="1" applyFill="1" applyBorder="1" applyAlignment="1" applyProtection="1">
      <alignment horizontal="left"/>
    </xf>
    <xf numFmtId="3" fontId="19" fillId="0" borderId="10" xfId="28" applyNumberFormat="1" applyFont="1" applyFill="1" applyBorder="1" applyAlignment="1" applyProtection="1">
      <alignment vertical="center"/>
      <protection locked="0"/>
    </xf>
    <xf numFmtId="3" fontId="19" fillId="0" borderId="10" xfId="28" applyNumberFormat="1" applyFont="1" applyFill="1" applyBorder="1" applyProtection="1">
      <protection locked="0"/>
    </xf>
    <xf numFmtId="3" fontId="13" fillId="0" borderId="10" xfId="40" applyNumberFormat="1" applyFont="1" applyFill="1" applyBorder="1" applyAlignment="1" applyProtection="1">
      <alignment vertical="center" wrapText="1"/>
      <protection locked="0"/>
    </xf>
    <xf numFmtId="3" fontId="13" fillId="0" borderId="10" xfId="40" applyNumberFormat="1" applyFont="1" applyFill="1" applyBorder="1" applyAlignment="1" applyProtection="1">
      <alignment horizontal="right" vertical="top"/>
      <protection locked="0"/>
    </xf>
    <xf numFmtId="3" fontId="13" fillId="0" borderId="20" xfId="40" applyNumberFormat="1" applyFont="1" applyFill="1" applyBorder="1" applyAlignment="1" applyProtection="1">
      <alignment horizontal="right" vertical="top"/>
      <protection locked="0"/>
    </xf>
    <xf numFmtId="165" fontId="19" fillId="0" borderId="10" xfId="29" applyNumberFormat="1" applyFont="1" applyFill="1" applyBorder="1" applyProtection="1"/>
    <xf numFmtId="9" fontId="12" fillId="0" borderId="10" xfId="44" applyNumberFormat="1" applyFont="1" applyFill="1" applyBorder="1" applyAlignment="1" applyProtection="1">
      <alignment horizontal="center"/>
      <protection locked="0"/>
    </xf>
    <xf numFmtId="165" fontId="19" fillId="0" borderId="10" xfId="29" applyNumberFormat="1" applyFont="1" applyFill="1" applyBorder="1" applyProtection="1">
      <protection locked="0"/>
    </xf>
    <xf numFmtId="0" fontId="6" fillId="26" borderId="10" xfId="0" applyFont="1" applyFill="1" applyBorder="1" applyAlignment="1" applyProtection="1">
      <alignment horizontal="left"/>
    </xf>
    <xf numFmtId="165" fontId="19" fillId="24" borderId="10" xfId="29" applyNumberFormat="1" applyFont="1" applyFill="1" applyBorder="1" applyProtection="1"/>
    <xf numFmtId="3" fontId="13" fillId="24" borderId="10" xfId="40" applyNumberFormat="1" applyFont="1" applyFill="1" applyBorder="1" applyAlignment="1" applyProtection="1">
      <alignment vertical="center" wrapText="1"/>
      <protection locked="0"/>
    </xf>
    <xf numFmtId="3" fontId="13" fillId="24" borderId="10" xfId="40" applyNumberFormat="1" applyFont="1" applyFill="1" applyBorder="1" applyAlignment="1" applyProtection="1">
      <alignment horizontal="right" vertical="center" wrapText="1"/>
      <protection locked="0"/>
    </xf>
    <xf numFmtId="3" fontId="13" fillId="24" borderId="13" xfId="40" applyNumberFormat="1" applyFont="1" applyFill="1" applyBorder="1" applyAlignment="1" applyProtection="1">
      <alignment horizontal="right" vertical="center" wrapText="1"/>
      <protection locked="0"/>
    </xf>
    <xf numFmtId="3" fontId="13" fillId="25" borderId="47" xfId="40" applyNumberFormat="1" applyFont="1" applyFill="1" applyBorder="1" applyAlignment="1" applyProtection="1">
      <alignment horizontal="right" vertical="center"/>
    </xf>
    <xf numFmtId="3" fontId="6" fillId="24" borderId="17" xfId="0" applyNumberFormat="1" applyFont="1" applyFill="1" applyBorder="1" applyAlignment="1" applyProtection="1">
      <alignment horizontal="right" vertical="center"/>
    </xf>
    <xf numFmtId="3" fontId="19" fillId="24" borderId="10" xfId="28" applyNumberFormat="1" applyFont="1" applyFill="1" applyBorder="1" applyAlignment="1" applyProtection="1">
      <alignment vertical="center"/>
      <protection locked="0"/>
    </xf>
    <xf numFmtId="3" fontId="19" fillId="24" borderId="10" xfId="28" applyNumberFormat="1" applyFont="1" applyFill="1" applyBorder="1" applyProtection="1">
      <protection locked="0"/>
    </xf>
    <xf numFmtId="165"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65" fontId="13" fillId="25" borderId="0" xfId="29" applyNumberFormat="1" applyFont="1" applyFill="1" applyBorder="1" applyAlignment="1" applyProtection="1">
      <alignment vertical="top"/>
    </xf>
    <xf numFmtId="10" fontId="13" fillId="25" borderId="0" xfId="44"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5" fontId="6" fillId="24" borderId="10" xfId="29" applyNumberFormat="1" applyFont="1" applyFill="1" applyBorder="1" applyAlignment="1" applyProtection="1">
      <alignment vertical="top"/>
    </xf>
    <xf numFmtId="3" fontId="35" fillId="25" borderId="10" xfId="40" applyNumberFormat="1" applyFont="1" applyFill="1" applyBorder="1" applyAlignment="1" applyProtection="1">
      <alignment horizontal="right" vertical="center"/>
      <protection locked="0"/>
    </xf>
    <xf numFmtId="3" fontId="13" fillId="0" borderId="21" xfId="40" applyNumberFormat="1" applyFont="1" applyFill="1" applyBorder="1" applyAlignment="1" applyProtection="1">
      <alignment vertical="center" wrapText="1"/>
      <protection locked="0"/>
    </xf>
    <xf numFmtId="3" fontId="19" fillId="24" borderId="26" xfId="40" applyNumberFormat="1" applyFont="1" applyFill="1" applyBorder="1" applyAlignment="1" applyProtection="1">
      <alignment vertical="center" wrapText="1"/>
      <protection locked="0"/>
    </xf>
    <xf numFmtId="3" fontId="19" fillId="24" borderId="48" xfId="40" applyNumberFormat="1" applyFont="1" applyFill="1" applyBorder="1" applyAlignment="1" applyProtection="1">
      <alignment vertical="center" wrapText="1"/>
      <protection locked="0"/>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3" fillId="0" borderId="49" xfId="40" applyNumberFormat="1" applyFont="1" applyFill="1" applyBorder="1" applyAlignment="1" applyProtection="1">
      <alignment vertical="center" wrapText="1"/>
      <protection locked="0"/>
    </xf>
    <xf numFmtId="3" fontId="19" fillId="24" borderId="0" xfId="40" applyNumberFormat="1" applyFont="1" applyFill="1" applyBorder="1" applyAlignment="1" applyProtection="1">
      <alignment horizontal="right" vertical="center"/>
    </xf>
    <xf numFmtId="3" fontId="13" fillId="26" borderId="10" xfId="40" applyNumberFormat="1" applyFont="1" applyFill="1" applyBorder="1" applyAlignment="1" applyProtection="1">
      <alignment vertical="center" wrapText="1"/>
      <protection locked="0"/>
    </xf>
    <xf numFmtId="165" fontId="6" fillId="0" borderId="10" xfId="29" applyNumberFormat="1" applyFont="1" applyFill="1" applyBorder="1" applyAlignment="1" applyProtection="1">
      <alignment horizontal="left"/>
    </xf>
    <xf numFmtId="165" fontId="6" fillId="0" borderId="10" xfId="29" applyNumberFormat="1" applyFont="1" applyFill="1" applyBorder="1" applyAlignment="1" applyProtection="1">
      <alignment horizontal="right"/>
    </xf>
    <xf numFmtId="3" fontId="13" fillId="26" borderId="10" xfId="40" applyNumberFormat="1" applyFont="1" applyFill="1" applyBorder="1" applyAlignment="1" applyProtection="1">
      <alignment horizontal="right" vertical="center" wrapText="1"/>
      <protection locked="0"/>
    </xf>
    <xf numFmtId="0" fontId="40"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42" fillId="24" borderId="0" xfId="0" applyFont="1" applyFill="1" applyAlignment="1" applyProtection="1">
      <alignment horizontal="center"/>
    </xf>
    <xf numFmtId="0" fontId="0" fillId="0" borderId="0" xfId="0" applyAlignment="1" applyProtection="1"/>
    <xf numFmtId="0" fontId="42" fillId="24" borderId="0" xfId="0" applyFont="1" applyFill="1" applyProtection="1"/>
    <xf numFmtId="0" fontId="44" fillId="24" borderId="0" xfId="0" applyFont="1" applyFill="1" applyProtection="1"/>
    <xf numFmtId="3" fontId="19" fillId="24" borderId="26" xfId="40" applyNumberFormat="1" applyFont="1" applyFill="1" applyBorder="1" applyAlignment="1" applyProtection="1">
      <alignment vertical="center" wrapText="1"/>
    </xf>
    <xf numFmtId="0" fontId="44"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protection locked="0"/>
    </xf>
    <xf numFmtId="3" fontId="19" fillId="24" borderId="10" xfId="40" applyNumberFormat="1" applyFont="1" applyFill="1" applyBorder="1" applyAlignment="1" applyProtection="1">
      <alignment vertical="center" wrapText="1"/>
    </xf>
    <xf numFmtId="3" fontId="19" fillId="24" borderId="21" xfId="40" applyNumberFormat="1" applyFont="1" applyFill="1" applyBorder="1" applyAlignment="1" applyProtection="1">
      <alignment vertical="center" wrapText="1"/>
      <protection locked="0"/>
    </xf>
    <xf numFmtId="0" fontId="18" fillId="25" borderId="32" xfId="40" applyFont="1" applyFill="1" applyBorder="1" applyAlignment="1" applyProtection="1">
      <alignment horizontal="left" vertical="center" wrapText="1"/>
    </xf>
    <xf numFmtId="0" fontId="20" fillId="25" borderId="32" xfId="40" applyFont="1" applyFill="1" applyBorder="1" applyAlignment="1" applyProtection="1">
      <alignment horizontal="center" vertical="center" wrapText="1"/>
    </xf>
    <xf numFmtId="3" fontId="6" fillId="24" borderId="32" xfId="40" applyNumberFormat="1" applyFont="1" applyFill="1" applyBorder="1" applyAlignment="1" applyProtection="1">
      <alignment vertical="center" wrapText="1"/>
    </xf>
    <xf numFmtId="0" fontId="13" fillId="24" borderId="10" xfId="40" applyFont="1" applyFill="1" applyBorder="1" applyAlignment="1" applyProtection="1">
      <alignment horizontal="center" vertical="top"/>
      <protection locked="0"/>
    </xf>
    <xf numFmtId="0" fontId="23" fillId="25" borderId="32"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66" fillId="24" borderId="0" xfId="0" applyFont="1" applyFill="1" applyAlignment="1" applyProtection="1">
      <alignment horizontal="left" indent="1"/>
    </xf>
    <xf numFmtId="0" fontId="6" fillId="24" borderId="0" xfId="41" applyFont="1" applyFill="1" applyProtection="1"/>
    <xf numFmtId="165" fontId="0" fillId="24" borderId="0" xfId="29" applyNumberFormat="1" applyFont="1" applyFill="1" applyBorder="1" applyProtection="1"/>
    <xf numFmtId="0" fontId="14" fillId="24" borderId="0" xfId="0" applyFont="1" applyFill="1" applyProtection="1"/>
    <xf numFmtId="165" fontId="0" fillId="24" borderId="0" xfId="29" applyNumberFormat="1"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65" fontId="1" fillId="24" borderId="0" xfId="29" applyNumberFormat="1" applyFont="1" applyFill="1" applyBorder="1" applyProtection="1"/>
    <xf numFmtId="165" fontId="1" fillId="24" borderId="0" xfId="29" applyNumberFormat="1" applyFont="1" applyFill="1" applyProtection="1"/>
    <xf numFmtId="10" fontId="1" fillId="24" borderId="0" xfId="44" applyNumberFormat="1" applyFont="1" applyFill="1" applyProtection="1"/>
    <xf numFmtId="3" fontId="0" fillId="24" borderId="0" xfId="0" applyNumberFormat="1" applyFill="1" applyProtection="1"/>
    <xf numFmtId="165" fontId="6" fillId="24" borderId="0" xfId="29" applyNumberFormat="1" applyFont="1" applyFill="1" applyBorder="1" applyAlignment="1" applyProtection="1">
      <alignment vertical="top"/>
    </xf>
    <xf numFmtId="165" fontId="13" fillId="26" borderId="10" xfId="29" applyNumberFormat="1" applyFont="1" applyFill="1" applyBorder="1" applyAlignment="1" applyProtection="1">
      <alignment vertical="top"/>
      <protection locked="0"/>
    </xf>
    <xf numFmtId="0" fontId="2" fillId="24" borderId="0" xfId="36" applyFill="1" applyBorder="1" applyAlignment="1" applyProtection="1"/>
    <xf numFmtId="0" fontId="2" fillId="24" borderId="0" xfId="36" applyFill="1" applyAlignment="1" applyProtection="1"/>
    <xf numFmtId="0" fontId="20" fillId="25" borderId="10" xfId="40" applyFont="1" applyFill="1" applyBorder="1" applyAlignment="1" applyProtection="1">
      <alignment vertical="center" wrapText="1"/>
      <protection locked="0"/>
    </xf>
    <xf numFmtId="0" fontId="20" fillId="25" borderId="13" xfId="40" applyFont="1" applyFill="1" applyBorder="1" applyAlignment="1" applyProtection="1">
      <alignment vertical="center" wrapText="1"/>
      <protection locked="0"/>
    </xf>
    <xf numFmtId="0" fontId="20" fillId="25" borderId="21" xfId="40" applyFont="1" applyFill="1" applyBorder="1" applyAlignment="1" applyProtection="1">
      <alignment vertical="center" wrapText="1"/>
      <protection locked="0"/>
    </xf>
    <xf numFmtId="0" fontId="20" fillId="25" borderId="10" xfId="40" applyFont="1" applyFill="1" applyBorder="1" applyAlignment="1" applyProtection="1">
      <alignment horizontal="center" vertical="center" wrapText="1"/>
      <protection locked="0"/>
    </xf>
    <xf numFmtId="0" fontId="20" fillId="25" borderId="13" xfId="40" applyFont="1" applyFill="1" applyBorder="1" applyAlignment="1" applyProtection="1">
      <alignment horizontal="center" vertical="center" wrapText="1"/>
      <protection locked="0"/>
    </xf>
    <xf numFmtId="0" fontId="21" fillId="25" borderId="10" xfId="40" applyFont="1" applyFill="1" applyBorder="1" applyAlignment="1" applyProtection="1">
      <alignment horizontal="center" vertical="center" wrapText="1"/>
      <protection locked="0"/>
    </xf>
    <xf numFmtId="0" fontId="21" fillId="25" borderId="13" xfId="40" applyFont="1" applyFill="1" applyBorder="1" applyAlignment="1" applyProtection="1">
      <alignment horizontal="center" vertical="center" wrapText="1"/>
      <protection locked="0"/>
    </xf>
    <xf numFmtId="3" fontId="33" fillId="0" borderId="15" xfId="40" applyNumberFormat="1" applyFont="1" applyFill="1" applyBorder="1" applyAlignment="1" applyProtection="1">
      <alignment horizontal="right" vertical="center"/>
    </xf>
    <xf numFmtId="165"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5"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 fillId="24" borderId="50" xfId="41" applyNumberFormat="1" applyFill="1" applyBorder="1" applyAlignment="1" applyProtection="1">
      <alignment horizontal="center"/>
    </xf>
    <xf numFmtId="10" fontId="13" fillId="24" borderId="50" xfId="41" applyNumberFormat="1" applyFont="1" applyFill="1" applyBorder="1" applyAlignment="1" applyProtection="1">
      <alignment horizontal="center"/>
    </xf>
    <xf numFmtId="0" fontId="13" fillId="24" borderId="0" xfId="41" applyFont="1" applyFill="1" applyProtection="1"/>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1" xfId="40" applyFont="1" applyFill="1" applyBorder="1" applyAlignment="1" applyProtection="1">
      <alignment vertical="center" wrapText="1"/>
    </xf>
    <xf numFmtId="0" fontId="21" fillId="25" borderId="20" xfId="40" applyFont="1" applyFill="1" applyBorder="1" applyAlignment="1" applyProtection="1">
      <alignment horizontal="center" vertical="center" wrapText="1"/>
    </xf>
    <xf numFmtId="3" fontId="33" fillId="0" borderId="17" xfId="40" applyNumberFormat="1" applyFont="1" applyFill="1" applyBorder="1" applyAlignment="1" applyProtection="1">
      <alignment horizontal="right" vertical="center"/>
    </xf>
    <xf numFmtId="3" fontId="33" fillId="0" borderId="15" xfId="40" applyNumberFormat="1" applyFont="1" applyFill="1" applyBorder="1" applyAlignment="1" applyProtection="1">
      <alignment vertical="center"/>
    </xf>
    <xf numFmtId="3" fontId="33" fillId="0" borderId="17" xfId="40" applyNumberFormat="1" applyFont="1" applyFill="1" applyBorder="1" applyAlignment="1" applyProtection="1">
      <alignment vertical="center"/>
    </xf>
    <xf numFmtId="0" fontId="22" fillId="25" borderId="10" xfId="40" applyFont="1" applyFill="1" applyBorder="1" applyAlignment="1" applyProtection="1">
      <alignment horizontal="left" vertical="center" wrapText="1" indent="1"/>
      <protection locked="0"/>
    </xf>
    <xf numFmtId="0" fontId="19" fillId="25" borderId="10" xfId="40" applyFont="1" applyFill="1" applyBorder="1" applyAlignment="1" applyProtection="1">
      <alignment horizontal="left" vertical="center" wrapText="1" indent="1"/>
      <protection locked="0"/>
    </xf>
    <xf numFmtId="9" fontId="12" fillId="24" borderId="10" xfId="44" applyNumberFormat="1" applyFont="1" applyFill="1" applyBorder="1" applyAlignment="1" applyProtection="1">
      <alignment horizontal="center"/>
      <protection locked="0"/>
    </xf>
    <xf numFmtId="0" fontId="6" fillId="24" borderId="38" xfId="40" applyFont="1" applyFill="1" applyBorder="1" applyAlignment="1" applyProtection="1">
      <alignment horizontal="left" vertical="center" wrapText="1"/>
      <protection locked="0"/>
    </xf>
    <xf numFmtId="3" fontId="6" fillId="24" borderId="38" xfId="40" applyNumberFormat="1" applyFont="1" applyFill="1" applyBorder="1" applyAlignment="1" applyProtection="1">
      <alignment horizontal="right" vertical="center" wrapText="1"/>
      <protection locked="0"/>
    </xf>
    <xf numFmtId="3" fontId="13" fillId="24" borderId="10" xfId="40" applyNumberFormat="1" applyFont="1" applyFill="1" applyBorder="1" applyAlignment="1" applyProtection="1">
      <alignment horizontal="right" vertical="center" wrapText="1"/>
    </xf>
    <xf numFmtId="3" fontId="13" fillId="24" borderId="13" xfId="40" applyNumberFormat="1" applyFont="1" applyFill="1" applyBorder="1" applyAlignment="1" applyProtection="1">
      <alignment horizontal="right" vertical="center" wrapText="1"/>
    </xf>
    <xf numFmtId="0" fontId="10" fillId="0" borderId="0" xfId="0" applyFont="1" applyAlignment="1" applyProtection="1">
      <alignment horizontal="center"/>
    </xf>
    <xf numFmtId="0" fontId="67" fillId="0" borderId="0" xfId="0" applyFont="1" applyProtection="1"/>
    <xf numFmtId="0" fontId="68" fillId="0" borderId="0" xfId="0" applyFont="1" applyAlignment="1" applyProtection="1">
      <alignment horizontal="left" vertical="center" wrapText="1"/>
    </xf>
    <xf numFmtId="168" fontId="64"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8"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64" fillId="0" borderId="0" xfId="0" applyFont="1" applyFill="1" applyBorder="1" applyAlignment="1" applyProtection="1"/>
    <xf numFmtId="0" fontId="65" fillId="0" borderId="0" xfId="0" applyFont="1" applyFill="1" applyBorder="1" applyAlignment="1" applyProtection="1">
      <alignment horizontal="left"/>
    </xf>
    <xf numFmtId="0" fontId="47" fillId="0" borderId="0" xfId="0" applyFont="1" applyFill="1" applyBorder="1" applyAlignment="1" applyProtection="1">
      <alignment horizontal="left"/>
    </xf>
    <xf numFmtId="168" fontId="64" fillId="0" borderId="0" xfId="0" applyNumberFormat="1" applyFont="1" applyFill="1" applyBorder="1" applyAlignment="1" applyProtection="1"/>
    <xf numFmtId="168" fontId="64"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43" fillId="29" borderId="0" xfId="44" applyNumberFormat="1" applyFont="1" applyFill="1" applyAlignment="1" applyProtection="1">
      <alignment horizontal="center"/>
      <protection locked="0"/>
    </xf>
    <xf numFmtId="165"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3" fontId="13" fillId="29" borderId="10" xfId="0" applyNumberFormat="1" applyFont="1" applyFill="1" applyBorder="1" applyProtection="1">
      <protection locked="0"/>
    </xf>
    <xf numFmtId="3" fontId="19" fillId="29" borderId="10" xfId="0" applyNumberFormat="1" applyFont="1" applyFill="1" applyBorder="1" applyProtection="1">
      <protection locked="0"/>
    </xf>
    <xf numFmtId="3" fontId="19" fillId="29" borderId="13" xfId="0" applyNumberFormat="1" applyFont="1" applyFill="1" applyBorder="1" applyProtection="1">
      <protection locked="0"/>
    </xf>
    <xf numFmtId="3" fontId="6" fillId="29" borderId="0" xfId="0" applyNumberFormat="1" applyFont="1" applyFill="1" applyBorder="1" applyAlignment="1" applyProtection="1">
      <alignment horizontal="right"/>
      <protection locked="0"/>
    </xf>
    <xf numFmtId="0" fontId="69" fillId="25" borderId="0" xfId="40" applyFont="1" applyFill="1" applyAlignment="1" applyProtection="1">
      <alignment horizontal="left" vertical="top"/>
    </xf>
    <xf numFmtId="3" fontId="35" fillId="29" borderId="10" xfId="40" applyNumberFormat="1" applyFont="1" applyFill="1" applyBorder="1" applyAlignment="1" applyProtection="1">
      <alignment horizontal="right" vertical="center"/>
      <protection locked="0"/>
    </xf>
    <xf numFmtId="3" fontId="35" fillId="29" borderId="10" xfId="40" applyNumberFormat="1" applyFont="1" applyFill="1" applyBorder="1" applyAlignment="1" applyProtection="1">
      <alignment vertical="center"/>
      <protection locked="0"/>
    </xf>
    <xf numFmtId="0" fontId="35" fillId="29" borderId="26" xfId="40" applyFont="1" applyFill="1" applyBorder="1" applyAlignment="1" applyProtection="1">
      <alignment vertical="center" wrapText="1"/>
      <protection locked="0"/>
    </xf>
    <xf numFmtId="0" fontId="36" fillId="29" borderId="37" xfId="40" applyFont="1" applyFill="1" applyBorder="1" applyAlignment="1" applyProtection="1">
      <alignment vertical="center"/>
      <protection locked="0"/>
    </xf>
    <xf numFmtId="0" fontId="70"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5" fontId="1" fillId="29" borderId="0" xfId="29" applyNumberFormat="1" applyFont="1" applyFill="1" applyProtection="1">
      <protection locked="0"/>
    </xf>
    <xf numFmtId="165" fontId="13" fillId="30" borderId="0" xfId="29" applyNumberFormat="1" applyFont="1" applyFill="1" applyBorder="1" applyAlignment="1" applyProtection="1">
      <alignment vertical="top"/>
      <protection locked="0"/>
    </xf>
    <xf numFmtId="165" fontId="1" fillId="29" borderId="0" xfId="29" applyNumberFormat="1" applyFont="1" applyFill="1" applyBorder="1" applyProtection="1">
      <protection locked="0"/>
    </xf>
    <xf numFmtId="165" fontId="13" fillId="29" borderId="10" xfId="29" applyNumberFormat="1" applyFont="1" applyFill="1" applyBorder="1" applyAlignment="1" applyProtection="1">
      <alignment vertical="top"/>
      <protection locked="0"/>
    </xf>
    <xf numFmtId="165" fontId="6" fillId="29" borderId="10" xfId="29" applyNumberFormat="1" applyFont="1" applyFill="1" applyBorder="1" applyAlignment="1" applyProtection="1">
      <alignment horizontal="left"/>
      <protection locked="0"/>
    </xf>
    <xf numFmtId="165" fontId="18" fillId="0" borderId="15" xfId="29" applyNumberFormat="1" applyFont="1" applyFill="1" applyBorder="1" applyProtection="1"/>
    <xf numFmtId="3" fontId="18" fillId="0" borderId="15" xfId="0" applyNumberFormat="1" applyFont="1" applyFill="1" applyBorder="1" applyProtection="1"/>
    <xf numFmtId="165" fontId="18" fillId="0" borderId="17" xfId="29" applyNumberFormat="1" applyFont="1" applyFill="1" applyBorder="1" applyProtection="1"/>
    <xf numFmtId="0" fontId="7" fillId="24" borderId="0" xfId="0" applyFont="1" applyFill="1" applyAlignment="1" applyProtection="1">
      <alignment horizontal="left" vertical="center"/>
    </xf>
    <xf numFmtId="0" fontId="69" fillId="25" borderId="0" xfId="40" applyFont="1" applyFill="1" applyAlignment="1" applyProtection="1">
      <alignment horizontal="left" vertical="center"/>
    </xf>
    <xf numFmtId="0" fontId="35" fillId="30" borderId="26" xfId="40" applyFont="1" applyFill="1" applyBorder="1" applyAlignment="1" applyProtection="1">
      <alignment vertical="center" wrapText="1"/>
      <protection locked="0"/>
    </xf>
    <xf numFmtId="0" fontId="36" fillId="30" borderId="35" xfId="40" applyFont="1" applyFill="1" applyBorder="1" applyAlignment="1" applyProtection="1">
      <alignment vertical="center"/>
      <protection locked="0"/>
    </xf>
    <xf numFmtId="0" fontId="35" fillId="30" borderId="30" xfId="40" applyFont="1" applyFill="1" applyBorder="1" applyAlignment="1" applyProtection="1">
      <alignment vertical="center" wrapText="1"/>
      <protection locked="0"/>
    </xf>
    <xf numFmtId="3" fontId="35" fillId="30" borderId="10" xfId="40" applyNumberFormat="1" applyFont="1" applyFill="1" applyBorder="1" applyAlignment="1" applyProtection="1">
      <alignment horizontal="right" vertical="center"/>
      <protection locked="0"/>
    </xf>
    <xf numFmtId="3" fontId="35" fillId="30" borderId="10" xfId="40" applyNumberFormat="1" applyFont="1" applyFill="1" applyBorder="1" applyAlignment="1" applyProtection="1">
      <alignment horizontal="center" vertical="center"/>
      <protection locked="0"/>
    </xf>
    <xf numFmtId="3" fontId="35" fillId="29" borderId="10" xfId="40" applyNumberFormat="1" applyFont="1" applyFill="1" applyBorder="1" applyAlignment="1" applyProtection="1">
      <alignment horizontal="center" vertical="center"/>
      <protection locked="0"/>
    </xf>
    <xf numFmtId="3" fontId="35" fillId="30" borderId="27"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71" fillId="24" borderId="0" xfId="0" applyFont="1" applyFill="1" applyBorder="1" applyProtection="1"/>
    <xf numFmtId="0" fontId="72" fillId="24" borderId="0" xfId="0" applyFont="1" applyFill="1" applyProtection="1"/>
    <xf numFmtId="0" fontId="44"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7" fillId="24" borderId="0" xfId="0" applyFont="1" applyFill="1" applyProtection="1">
      <protection locked="0"/>
    </xf>
    <xf numFmtId="3" fontId="13" fillId="29" borderId="10" xfId="0" applyNumberFormat="1" applyFont="1" applyFill="1" applyBorder="1" applyAlignment="1" applyProtection="1">
      <alignment horizontal="right"/>
      <protection locked="0"/>
    </xf>
    <xf numFmtId="0" fontId="18" fillId="0" borderId="15" xfId="0" applyFont="1" applyFill="1" applyBorder="1" applyAlignment="1" applyProtection="1">
      <alignment wrapText="1"/>
    </xf>
    <xf numFmtId="0" fontId="73" fillId="24" borderId="0" xfId="0" applyFont="1" applyFill="1" applyProtection="1"/>
    <xf numFmtId="3" fontId="13" fillId="29" borderId="10" xfId="40" applyNumberFormat="1" applyFont="1" applyFill="1" applyBorder="1" applyAlignment="1" applyProtection="1">
      <alignment horizontal="left" vertical="center" wrapText="1"/>
      <protection locked="0"/>
    </xf>
    <xf numFmtId="0" fontId="28" fillId="30" borderId="19" xfId="40" applyFont="1" applyFill="1" applyBorder="1" applyAlignment="1" applyProtection="1">
      <alignment horizontal="left" vertical="center" wrapText="1"/>
      <protection locked="0"/>
    </xf>
    <xf numFmtId="0" fontId="28" fillId="30" borderId="21"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Alignment="1" applyProtection="1">
      <alignment vertical="center"/>
      <protection locked="0"/>
    </xf>
    <xf numFmtId="3" fontId="19" fillId="29" borderId="10" xfId="28" applyNumberFormat="1" applyFont="1" applyFill="1" applyBorder="1" applyProtection="1">
      <protection locked="0"/>
    </xf>
    <xf numFmtId="3" fontId="1" fillId="0" borderId="10" xfId="40" applyNumberFormat="1" applyFont="1" applyFill="1" applyBorder="1" applyAlignment="1" applyProtection="1">
      <alignment vertical="center" wrapText="1"/>
      <protection locked="0"/>
    </xf>
    <xf numFmtId="0" fontId="6" fillId="0" borderId="0" xfId="0" applyFont="1" applyProtection="1"/>
    <xf numFmtId="0" fontId="6" fillId="0" borderId="0" xfId="0" applyFont="1" applyAlignment="1" applyProtection="1"/>
    <xf numFmtId="9" fontId="12" fillId="29" borderId="10" xfId="44" applyFont="1" applyFill="1" applyBorder="1" applyAlignment="1" applyProtection="1">
      <alignment horizontal="center"/>
      <protection locked="0"/>
    </xf>
    <xf numFmtId="0" fontId="44" fillId="24" borderId="0" xfId="0" applyFont="1" applyFill="1" applyAlignment="1" applyProtection="1"/>
    <xf numFmtId="165" fontId="6" fillId="0" borderId="10" xfId="29" applyNumberFormat="1" applyFont="1" applyFill="1" applyBorder="1" applyAlignment="1" applyProtection="1">
      <alignment horizontal="right"/>
      <protection locked="0"/>
    </xf>
    <xf numFmtId="3" fontId="19" fillId="31" borderId="10" xfId="28" applyNumberFormat="1" applyFont="1" applyFill="1" applyBorder="1" applyProtection="1">
      <protection locked="0"/>
    </xf>
    <xf numFmtId="3" fontId="13" fillId="29" borderId="10" xfId="40" applyNumberFormat="1" applyFont="1" applyFill="1" applyBorder="1" applyAlignment="1" applyProtection="1">
      <alignment vertical="center" wrapText="1"/>
      <protection locked="0"/>
    </xf>
    <xf numFmtId="0" fontId="0" fillId="24" borderId="0" xfId="0" applyFill="1" applyAlignment="1" applyProtection="1">
      <alignment horizontal="left"/>
    </xf>
    <xf numFmtId="0" fontId="4" fillId="24" borderId="0" xfId="0" applyFont="1" applyFill="1" applyAlignment="1" applyProtection="1">
      <alignment horizontal="left" vertical="top" wrapText="1" indent="7"/>
    </xf>
    <xf numFmtId="165" fontId="0" fillId="0" borderId="0" xfId="29" applyNumberFormat="1" applyFont="1" applyProtection="1"/>
    <xf numFmtId="9" fontId="0" fillId="0" borderId="0" xfId="44" applyFont="1" applyProtection="1"/>
    <xf numFmtId="165"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33" fillId="25" borderId="12" xfId="40" applyFont="1" applyFill="1" applyBorder="1" applyAlignment="1" applyProtection="1">
      <alignment horizontal="left" vertical="center" wrapText="1"/>
    </xf>
    <xf numFmtId="0" fontId="18" fillId="24" borderId="20" xfId="0" applyFont="1" applyFill="1" applyBorder="1" applyAlignment="1" applyProtection="1">
      <alignment horizontal="left"/>
    </xf>
    <xf numFmtId="0" fontId="19" fillId="24" borderId="10" xfId="0" applyFont="1" applyFill="1" applyBorder="1" applyAlignment="1" applyProtection="1">
      <alignment horizontal="left"/>
    </xf>
    <xf numFmtId="0" fontId="19" fillId="24" borderId="10" xfId="0" applyFont="1" applyFill="1" applyBorder="1" applyAlignment="1" applyProtection="1">
      <alignment horizontal="left" vertical="center" wrapText="1"/>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4" xfId="36" quotePrefix="1" applyFill="1" applyBorder="1" applyAlignment="1" applyProtection="1">
      <alignment horizontal="center" vertical="top"/>
    </xf>
    <xf numFmtId="3" fontId="2" fillId="24" borderId="0" xfId="36" quotePrefix="1" applyNumberFormat="1" applyFill="1" applyAlignment="1" applyProtection="1">
      <alignment horizontal="center"/>
    </xf>
    <xf numFmtId="0" fontId="33" fillId="25" borderId="42" xfId="40" applyFont="1" applyFill="1" applyBorder="1" applyAlignment="1" applyProtection="1">
      <alignment horizontal="center" vertical="center" wrapText="1"/>
    </xf>
    <xf numFmtId="0" fontId="35" fillId="25" borderId="0" xfId="40" applyFont="1" applyFill="1" applyBorder="1" applyAlignment="1" applyProtection="1">
      <alignment vertical="center" wrapText="1"/>
    </xf>
    <xf numFmtId="0" fontId="33" fillId="25" borderId="20" xfId="40" applyFont="1" applyFill="1" applyBorder="1" applyAlignment="1" applyProtection="1">
      <alignment horizontal="left" vertical="center" wrapText="1"/>
    </xf>
    <xf numFmtId="0" fontId="35" fillId="30" borderId="20" xfId="40" applyFont="1" applyFill="1" applyBorder="1" applyAlignment="1" applyProtection="1">
      <alignment vertical="center" wrapText="1"/>
      <protection locked="0"/>
    </xf>
    <xf numFmtId="0" fontId="36" fillId="30" borderId="0" xfId="40" applyFont="1" applyFill="1" applyBorder="1" applyAlignment="1" applyProtection="1">
      <alignment vertical="center"/>
      <protection locked="0"/>
    </xf>
    <xf numFmtId="0" fontId="37" fillId="25" borderId="42" xfId="40" applyFont="1" applyFill="1" applyBorder="1" applyAlignment="1" applyProtection="1">
      <alignment vertical="center"/>
    </xf>
    <xf numFmtId="0" fontId="35" fillId="25" borderId="61" xfId="40" applyFont="1" applyFill="1" applyBorder="1" applyAlignment="1" applyProtection="1">
      <alignment vertical="center" wrapText="1"/>
    </xf>
    <xf numFmtId="0" fontId="35" fillId="30" borderId="62" xfId="40" applyFont="1" applyFill="1" applyBorder="1" applyAlignment="1" applyProtection="1">
      <alignment vertical="center" wrapText="1"/>
      <protection locked="0"/>
    </xf>
    <xf numFmtId="0" fontId="2" fillId="25" borderId="20" xfId="36" quotePrefix="1" applyFill="1" applyBorder="1" applyAlignment="1" applyProtection="1">
      <alignment horizontal="center" vertical="center" wrapText="1"/>
    </xf>
    <xf numFmtId="0" fontId="1" fillId="25" borderId="0" xfId="40" applyFont="1" applyFill="1" applyBorder="1" applyProtection="1">
      <alignment vertical="top"/>
    </xf>
    <xf numFmtId="0" fontId="6" fillId="0" borderId="10" xfId="0" applyFont="1" applyFill="1" applyBorder="1" applyAlignment="1" applyProtection="1">
      <alignment horizontal="left"/>
      <protection locked="0"/>
    </xf>
    <xf numFmtId="0" fontId="2" fillId="0" borderId="10" xfId="36" quotePrefix="1" applyFill="1" applyBorder="1" applyAlignment="1" applyProtection="1">
      <alignment horizontal="center"/>
    </xf>
    <xf numFmtId="0" fontId="18" fillId="0" borderId="10" xfId="0" applyFont="1" applyFill="1" applyBorder="1" applyAlignment="1" applyProtection="1">
      <alignment horizontal="center" vertical="center" wrapText="1"/>
    </xf>
    <xf numFmtId="0" fontId="18" fillId="24" borderId="0" xfId="0" applyFont="1" applyFill="1" applyBorder="1" applyAlignment="1" applyProtection="1">
      <alignment horizontal="center" vertical="center" wrapText="1"/>
    </xf>
    <xf numFmtId="0" fontId="18" fillId="24" borderId="32" xfId="0" applyFont="1" applyFill="1" applyBorder="1" applyAlignment="1" applyProtection="1">
      <alignment horizontal="center" vertical="center" wrapText="1"/>
    </xf>
    <xf numFmtId="0" fontId="18" fillId="0" borderId="46" xfId="0" applyFont="1" applyFill="1" applyBorder="1" applyAlignment="1" applyProtection="1">
      <alignment horizontal="center" vertical="center" wrapText="1"/>
    </xf>
    <xf numFmtId="0" fontId="2" fillId="24" borderId="0" xfId="36" quotePrefix="1" applyFill="1" applyBorder="1" applyAlignment="1" applyProtection="1">
      <alignment horizontal="center"/>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74" fillId="25" borderId="10" xfId="40" applyFont="1" applyFill="1" applyBorder="1" applyAlignment="1" applyProtection="1">
      <alignment horizontal="center" vertical="center" wrapText="1"/>
    </xf>
    <xf numFmtId="0" fontId="2" fillId="24" borderId="20" xfId="36" quotePrefix="1" applyFill="1" applyBorder="1" applyAlignment="1" applyProtection="1">
      <alignment horizontal="center"/>
    </xf>
    <xf numFmtId="0" fontId="2" fillId="24" borderId="10" xfId="36" quotePrefix="1" applyFill="1" applyBorder="1" applyAlignment="1" applyProtection="1">
      <alignment horizontal="center"/>
    </xf>
    <xf numFmtId="0" fontId="74" fillId="24" borderId="20" xfId="0" applyFont="1" applyFill="1" applyBorder="1" applyAlignment="1" applyProtection="1">
      <alignment horizontal="center"/>
    </xf>
    <xf numFmtId="0" fontId="33" fillId="25" borderId="63"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33" fillId="25" borderId="64"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41" fillId="25" borderId="66"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5" xfId="36" quotePrefix="1" applyFill="1" applyBorder="1" applyAlignment="1" applyProtection="1">
      <alignment horizontal="center" vertical="center" wrapText="1"/>
    </xf>
    <xf numFmtId="0" fontId="75" fillId="25" borderId="63" xfId="40" applyFont="1" applyFill="1" applyBorder="1" applyAlignment="1" applyProtection="1">
      <alignment horizontal="center" vertical="center" wrapText="1"/>
    </xf>
    <xf numFmtId="0" fontId="18" fillId="24" borderId="20" xfId="0" applyFont="1" applyFill="1" applyBorder="1" applyAlignment="1" applyProtection="1">
      <alignment horizontal="center" wrapText="1"/>
    </xf>
    <xf numFmtId="165" fontId="2" fillId="0" borderId="17" xfId="36" quotePrefix="1" applyNumberFormat="1" applyFill="1" applyBorder="1" applyAlignment="1" applyProtection="1">
      <alignment horizontal="center"/>
    </xf>
    <xf numFmtId="0" fontId="18" fillId="24" borderId="46" xfId="0" applyFont="1" applyFill="1" applyBorder="1" applyAlignment="1" applyProtection="1">
      <alignment horizontal="center" vertical="center" wrapText="1"/>
    </xf>
    <xf numFmtId="164" fontId="2" fillId="24" borderId="0" xfId="36" quotePrefix="1" applyNumberFormat="1" applyFill="1" applyAlignment="1" applyProtection="1">
      <alignment horizontal="center"/>
    </xf>
    <xf numFmtId="0" fontId="75"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70" fillId="25" borderId="0" xfId="40" applyFont="1" applyFill="1" applyBorder="1" applyProtection="1">
      <alignment vertical="top"/>
    </xf>
    <xf numFmtId="0" fontId="1" fillId="24" borderId="50" xfId="0" applyFont="1" applyFill="1" applyBorder="1" applyProtection="1"/>
    <xf numFmtId="0" fontId="6" fillId="24" borderId="50" xfId="0" applyFont="1" applyFill="1" applyBorder="1" applyAlignment="1" applyProtection="1">
      <alignment horizontal="center" wrapText="1"/>
    </xf>
    <xf numFmtId="0" fontId="0" fillId="24" borderId="50" xfId="0" applyFill="1" applyBorder="1" applyProtection="1"/>
    <xf numFmtId="0" fontId="75" fillId="24" borderId="0" xfId="0" applyFont="1" applyFill="1" applyProtection="1"/>
    <xf numFmtId="0" fontId="75" fillId="24" borderId="0" xfId="0" applyFont="1" applyFill="1" applyAlignment="1" applyProtection="1">
      <alignment horizontal="center"/>
    </xf>
    <xf numFmtId="0" fontId="76" fillId="25" borderId="0" xfId="40" applyFont="1" applyFill="1" applyBorder="1" applyProtection="1">
      <alignment vertical="top"/>
    </xf>
    <xf numFmtId="0" fontId="6" fillId="24" borderId="50" xfId="0" applyFont="1" applyFill="1" applyBorder="1" applyProtection="1"/>
    <xf numFmtId="0" fontId="75"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0" fontId="2" fillId="24" borderId="0" xfId="36" quotePrefix="1" applyFont="1" applyFill="1" applyAlignment="1" applyProtection="1">
      <alignment horizontal="center"/>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77"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78" fillId="0" borderId="0" xfId="36" applyFont="1" applyAlignment="1" applyProtection="1">
      <protection locked="0"/>
    </xf>
    <xf numFmtId="0" fontId="43" fillId="24" borderId="0" xfId="0" applyFont="1" applyFill="1" applyBorder="1" applyAlignment="1" applyProtection="1"/>
    <xf numFmtId="0" fontId="43" fillId="24" borderId="0" xfId="0" applyFont="1" applyFill="1" applyBorder="1" applyProtection="1"/>
    <xf numFmtId="0" fontId="43" fillId="24" borderId="0" xfId="0" applyFont="1" applyFill="1" applyBorder="1" applyAlignment="1" applyProtection="1">
      <alignment horizontal="left"/>
    </xf>
    <xf numFmtId="0" fontId="1" fillId="0" borderId="0" xfId="0" applyFont="1" applyProtection="1"/>
    <xf numFmtId="0" fontId="79"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80" fillId="0" borderId="0" xfId="0" applyFont="1" applyAlignment="1">
      <alignment vertical="center"/>
    </xf>
    <xf numFmtId="0" fontId="1" fillId="0" borderId="0" xfId="0" applyFont="1" applyAlignment="1" applyProtection="1">
      <alignment horizontal="left"/>
      <protection locked="0"/>
    </xf>
    <xf numFmtId="0" fontId="1" fillId="0" borderId="0" xfId="0" applyFont="1" applyAlignment="1" applyProtection="1">
      <alignment horizontal="center"/>
    </xf>
    <xf numFmtId="0" fontId="81" fillId="0" borderId="0" xfId="0" applyFont="1" applyAlignment="1" applyProtection="1">
      <alignment horizontal="right"/>
    </xf>
    <xf numFmtId="166" fontId="82" fillId="0" borderId="0" xfId="0" applyNumberFormat="1" applyFont="1" applyAlignment="1" applyProtection="1">
      <alignment horizontal="right"/>
    </xf>
    <xf numFmtId="0" fontId="83" fillId="0" borderId="0" xfId="0" applyFont="1" applyAlignment="1" applyProtection="1">
      <alignment horizontal="right" vertical="center"/>
    </xf>
    <xf numFmtId="0" fontId="83" fillId="0" borderId="0" xfId="0" applyFont="1" applyAlignment="1" applyProtection="1">
      <alignment horizontal="right" vertical="center" indent="1"/>
    </xf>
    <xf numFmtId="0" fontId="1" fillId="29" borderId="58" xfId="0" applyFont="1" applyFill="1" applyBorder="1" applyAlignment="1" applyProtection="1">
      <alignment horizontal="center" vertical="center"/>
      <protection locked="0"/>
    </xf>
    <xf numFmtId="0" fontId="1" fillId="29" borderId="58"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77" fillId="0" borderId="0" xfId="0" applyFont="1" applyFill="1" applyBorder="1" applyAlignment="1" applyProtection="1">
      <alignment horizontal="left" vertical="top" wrapText="1" indent="5"/>
    </xf>
    <xf numFmtId="0" fontId="0" fillId="24" borderId="0" xfId="0" applyFill="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84" fillId="24" borderId="0" xfId="0" applyFont="1" applyFill="1" applyAlignment="1" applyProtection="1">
      <alignment horizontal="center"/>
    </xf>
    <xf numFmtId="0" fontId="85" fillId="25" borderId="12" xfId="40" applyFont="1" applyFill="1" applyBorder="1" applyAlignment="1" applyProtection="1">
      <alignment horizontal="center" vertical="top"/>
    </xf>
    <xf numFmtId="0" fontId="86" fillId="25" borderId="10" xfId="40" applyFont="1" applyFill="1" applyBorder="1" applyAlignment="1" applyProtection="1">
      <alignment horizontal="center" vertical="center" wrapText="1"/>
    </xf>
    <xf numFmtId="0" fontId="85" fillId="25" borderId="19" xfId="40" applyFont="1" applyFill="1" applyBorder="1" applyAlignment="1" applyProtection="1">
      <alignment horizontal="center" vertical="center" wrapText="1"/>
    </xf>
    <xf numFmtId="0" fontId="84" fillId="25" borderId="10" xfId="40" applyFont="1" applyFill="1" applyBorder="1" applyAlignment="1" applyProtection="1">
      <alignment horizontal="center" vertical="center" wrapText="1"/>
    </xf>
    <xf numFmtId="0" fontId="84" fillId="25" borderId="11" xfId="40" applyFont="1" applyFill="1" applyBorder="1" applyAlignment="1" applyProtection="1">
      <alignment horizontal="center" vertical="center" wrapText="1"/>
    </xf>
    <xf numFmtId="0" fontId="84" fillId="25" borderId="10" xfId="40" applyFont="1" applyFill="1" applyBorder="1" applyAlignment="1" applyProtection="1">
      <alignment horizontal="center" vertical="center" wrapText="1"/>
      <protection locked="0"/>
    </xf>
    <xf numFmtId="0" fontId="87" fillId="25" borderId="13" xfId="40" applyFont="1" applyFill="1" applyBorder="1" applyAlignment="1" applyProtection="1">
      <alignment vertical="center" wrapText="1"/>
    </xf>
    <xf numFmtId="0" fontId="87" fillId="25" borderId="13" xfId="40" applyFont="1" applyFill="1" applyBorder="1" applyAlignment="1" applyProtection="1">
      <alignment vertical="center" wrapText="1"/>
      <protection locked="0"/>
    </xf>
    <xf numFmtId="0" fontId="87" fillId="25" borderId="10" xfId="40" applyFont="1" applyFill="1" applyBorder="1" applyAlignment="1" applyProtection="1">
      <alignment vertical="center" wrapText="1"/>
      <protection locked="0"/>
    </xf>
    <xf numFmtId="0" fontId="87" fillId="25" borderId="21" xfId="40" applyFont="1" applyFill="1" applyBorder="1" applyAlignment="1" applyProtection="1">
      <alignment vertical="center" wrapText="1"/>
      <protection locked="0"/>
    </xf>
    <xf numFmtId="0" fontId="84" fillId="25" borderId="15" xfId="40" applyFont="1" applyFill="1" applyBorder="1" applyAlignment="1" applyProtection="1">
      <alignment horizontal="center" vertical="center" wrapText="1"/>
    </xf>
    <xf numFmtId="0" fontId="84" fillId="25" borderId="19" xfId="40" applyFont="1" applyFill="1" applyBorder="1" applyAlignment="1" applyProtection="1">
      <alignment horizontal="center" vertical="center" wrapText="1"/>
    </xf>
    <xf numFmtId="0" fontId="84" fillId="25" borderId="13" xfId="40" applyFont="1" applyFill="1" applyBorder="1" applyAlignment="1" applyProtection="1">
      <alignment horizontal="center" vertical="center" wrapText="1"/>
      <protection locked="0"/>
    </xf>
    <xf numFmtId="0" fontId="84" fillId="25" borderId="42" xfId="40" applyFont="1" applyFill="1" applyBorder="1" applyAlignment="1" applyProtection="1">
      <alignment horizontal="center" vertical="center" wrapText="1"/>
    </xf>
    <xf numFmtId="0" fontId="84" fillId="25" borderId="43" xfId="40" applyFont="1" applyFill="1" applyBorder="1" applyAlignment="1" applyProtection="1">
      <alignment horizontal="center" vertical="center" wrapText="1"/>
    </xf>
    <xf numFmtId="0" fontId="88" fillId="25" borderId="45" xfId="40" applyFont="1" applyFill="1" applyBorder="1" applyAlignment="1" applyProtection="1">
      <alignment horizontal="center" vertical="center" wrapText="1"/>
    </xf>
    <xf numFmtId="0" fontId="84" fillId="25" borderId="20" xfId="40" applyFont="1" applyFill="1" applyBorder="1" applyAlignment="1" applyProtection="1">
      <alignment horizontal="center" vertical="center" wrapText="1"/>
    </xf>
    <xf numFmtId="0" fontId="85" fillId="24" borderId="15" xfId="0" applyFont="1" applyFill="1" applyBorder="1" applyAlignment="1" applyProtection="1">
      <alignment horizontal="center"/>
    </xf>
    <xf numFmtId="0" fontId="84" fillId="24" borderId="0" xfId="0" applyFont="1" applyFill="1" applyProtection="1"/>
    <xf numFmtId="171" fontId="6" fillId="24" borderId="0" xfId="41" applyNumberFormat="1" applyFont="1" applyFill="1" applyAlignment="1" applyProtection="1">
      <alignment horizontal="center"/>
    </xf>
    <xf numFmtId="3" fontId="1" fillId="26" borderId="10" xfId="40" applyNumberFormat="1" applyFont="1" applyFill="1" applyBorder="1" applyAlignment="1" applyProtection="1">
      <alignment vertical="center" wrapText="1"/>
      <protection locked="0"/>
    </xf>
    <xf numFmtId="3" fontId="1" fillId="29" borderId="10" xfId="0" applyNumberFormat="1" applyFont="1" applyFill="1" applyBorder="1" applyProtection="1">
      <protection locked="0"/>
    </xf>
    <xf numFmtId="3" fontId="1" fillId="24" borderId="10" xfId="40" applyNumberFormat="1" applyFont="1" applyFill="1" applyBorder="1" applyAlignment="1" applyProtection="1">
      <alignment vertical="center" wrapText="1"/>
      <protection locked="0"/>
    </xf>
    <xf numFmtId="3" fontId="1" fillId="26" borderId="10" xfId="40" applyNumberFormat="1" applyFont="1" applyFill="1" applyBorder="1" applyAlignment="1" applyProtection="1">
      <alignment horizontal="right" vertical="center" wrapText="1"/>
      <protection locked="0"/>
    </xf>
    <xf numFmtId="3" fontId="1" fillId="24" borderId="10" xfId="40" applyNumberFormat="1" applyFont="1" applyFill="1" applyBorder="1" applyAlignment="1" applyProtection="1">
      <alignment horizontal="right" vertical="center" wrapText="1"/>
      <protection locked="0"/>
    </xf>
    <xf numFmtId="3" fontId="1" fillId="29" borderId="10" xfId="0" applyNumberFormat="1" applyFont="1" applyFill="1" applyBorder="1" applyAlignment="1" applyProtection="1">
      <alignment horizontal="right"/>
      <protection locked="0"/>
    </xf>
    <xf numFmtId="15" fontId="1" fillId="29" borderId="58" xfId="0" applyNumberFormat="1" applyFont="1" applyFill="1" applyBorder="1" applyAlignment="1" applyProtection="1">
      <alignment vertical="center"/>
      <protection locked="0"/>
    </xf>
    <xf numFmtId="0" fontId="1" fillId="29" borderId="59" xfId="0" applyFont="1" applyFill="1" applyBorder="1" applyAlignment="1" applyProtection="1">
      <alignment horizontal="left" vertical="center"/>
      <protection locked="0"/>
    </xf>
    <xf numFmtId="0" fontId="1" fillId="29" borderId="60" xfId="0" applyFont="1" applyFill="1" applyBorder="1" applyAlignment="1" applyProtection="1">
      <alignment horizontal="left" vertical="center"/>
      <protection locked="0"/>
    </xf>
    <xf numFmtId="0" fontId="5" fillId="24" borderId="0" xfId="0" applyFont="1" applyFill="1" applyBorder="1" applyAlignment="1" applyProtection="1"/>
    <xf numFmtId="0" fontId="1" fillId="28" borderId="56" xfId="0" applyFont="1" applyFill="1" applyBorder="1" applyAlignment="1" applyProtection="1">
      <alignment horizontal="left" vertical="center" wrapText="1"/>
      <protection locked="0"/>
    </xf>
    <xf numFmtId="0" fontId="1" fillId="28" borderId="57"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77"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45" fillId="27" borderId="0" xfId="0" applyFont="1" applyFill="1" applyAlignment="1" applyProtection="1">
      <alignment horizontal="left" wrapText="1"/>
    </xf>
    <xf numFmtId="0" fontId="9" fillId="25" borderId="51"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4" xfId="40" applyFont="1" applyFill="1" applyBorder="1" applyAlignment="1" applyProtection="1">
      <alignment horizontal="left" vertical="center" wrapText="1"/>
    </xf>
    <xf numFmtId="0" fontId="23" fillId="25" borderId="52" xfId="40" applyFont="1" applyFill="1" applyBorder="1" applyAlignment="1" applyProtection="1">
      <alignment horizontal="center" vertical="center" wrapText="1"/>
    </xf>
    <xf numFmtId="0" fontId="23" fillId="25" borderId="22" xfId="40" applyFont="1" applyFill="1" applyBorder="1" applyAlignment="1" applyProtection="1">
      <alignment horizontal="center" vertical="center" wrapText="1"/>
    </xf>
    <xf numFmtId="0" fontId="23" fillId="25" borderId="53" xfId="40" applyFont="1" applyFill="1" applyBorder="1" applyAlignment="1" applyProtection="1">
      <alignment horizontal="center"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20"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44" fillId="24" borderId="50" xfId="0" applyFont="1" applyFill="1" applyBorder="1" applyAlignment="1" applyProtection="1">
      <alignment horizontal="center"/>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7" fontId="0" fillId="24" borderId="0" xfId="0" applyNumberFormat="1" applyFill="1" applyAlignment="1" applyProtection="1">
      <alignment horizontal="left"/>
    </xf>
    <xf numFmtId="0" fontId="28"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0" fontId="6" fillId="24" borderId="0" xfId="0" applyFont="1" applyFill="1" applyAlignment="1" applyProtection="1">
      <alignment horizontal="right" vertical="center"/>
    </xf>
    <xf numFmtId="0" fontId="10"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0" fontId="33" fillId="25" borderId="51" xfId="40" applyFont="1" applyFill="1" applyBorder="1" applyAlignment="1" applyProtection="1">
      <alignment horizontal="left" vertical="center" wrapText="1"/>
    </xf>
    <xf numFmtId="0" fontId="33" fillId="25" borderId="12" xfId="40" applyFont="1" applyFill="1" applyBorder="1" applyAlignment="1" applyProtection="1">
      <alignment horizontal="left" vertical="center" wrapText="1"/>
    </xf>
    <xf numFmtId="0" fontId="33" fillId="25" borderId="34" xfId="40" applyFont="1" applyFill="1" applyBorder="1" applyAlignment="1" applyProtection="1">
      <alignment horizontal="left" vertical="center" wrapText="1"/>
    </xf>
    <xf numFmtId="0" fontId="18" fillId="25" borderId="19"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2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20"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0" xfId="0" applyFont="1" applyFill="1" applyBorder="1" applyAlignment="1" applyProtection="1">
      <alignment horizontal="left"/>
    </xf>
    <xf numFmtId="0" fontId="19" fillId="24" borderId="10" xfId="0" applyFont="1" applyFill="1" applyBorder="1" applyAlignment="1" applyProtection="1">
      <alignment horizontal="left" vertical="center" wrapText="1"/>
    </xf>
    <xf numFmtId="0" fontId="31" fillId="25" borderId="54" xfId="40" applyFont="1" applyFill="1" applyBorder="1" applyAlignment="1" applyProtection="1">
      <alignment horizontal="center" vertical="top"/>
    </xf>
    <xf numFmtId="0" fontId="31" fillId="25" borderId="55" xfId="40" applyFont="1" applyFill="1" applyBorder="1" applyAlignment="1" applyProtection="1">
      <alignment horizontal="center" vertical="top"/>
    </xf>
    <xf numFmtId="0" fontId="0" fillId="24" borderId="0" xfId="0" applyFill="1" applyAlignment="1" applyProtection="1">
      <alignment horizontal="right"/>
    </xf>
    <xf numFmtId="0" fontId="30" fillId="24" borderId="0" xfId="0" applyFont="1" applyFill="1" applyAlignment="1" applyProtection="1">
      <alignment horizontal="right"/>
    </xf>
    <xf numFmtId="3" fontId="35" fillId="0" borderId="11" xfId="40" applyNumberFormat="1" applyFont="1" applyFill="1" applyBorder="1" applyAlignment="1" applyProtection="1">
      <alignment horizontal="center" vertical="center"/>
      <protection locked="0"/>
    </xf>
    <xf numFmtId="3" fontId="35" fillId="0" borderId="12" xfId="40" applyNumberFormat="1" applyFont="1" applyFill="1" applyBorder="1" applyAlignment="1" applyProtection="1">
      <alignment horizontal="center" vertical="center"/>
      <protection locked="0"/>
    </xf>
    <xf numFmtId="3" fontId="35" fillId="0" borderId="34" xfId="40" applyNumberFormat="1" applyFont="1" applyFill="1" applyBorder="1" applyAlignment="1" applyProtection="1">
      <alignment horizontal="center" vertical="center"/>
      <protection locked="0"/>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cellStyle name="Normal_Tax Rates for 2006-2012_Sep42008" xfId="41"/>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50">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xdr:cNvGrpSpPr/>
      </xdr:nvGrpSpPr>
      <xdr:grpSpPr>
        <a:xfrm>
          <a:off x="38100" y="47625"/>
          <a:ext cx="9066970" cy="1915766"/>
          <a:chOff x="-7962901" y="-2409824"/>
          <a:chExt cx="8857420" cy="1915766"/>
        </a:xfrm>
      </xdr:grpSpPr>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Revenue Requirement Workform.  The Revenue Requirement Workform is on tab </a:t>
          </a:r>
          <a:r>
            <a:rPr lang="en-CA" sz="1100" baseline="0">
              <a:solidFill>
                <a:srgbClr val="FF0000"/>
              </a:solidFill>
              <a:effectLst/>
              <a:latin typeface="Arial" pitchFamily="34" charset="0"/>
              <a:ea typeface="+mn-ea"/>
              <a:cs typeface="Arial" pitchFamily="34" charset="0"/>
            </a:rPr>
            <a:t>3</a:t>
          </a:r>
          <a:r>
            <a:rPr lang="en-CA" sz="1100" baseline="0">
              <a:solidFill>
                <a:schemeClr val="dk1"/>
              </a:solidFill>
              <a:effectLst/>
              <a:latin typeface="Arial" pitchFamily="34" charset="0"/>
              <a:ea typeface="+mn-ea"/>
              <a:cs typeface="Arial" pitchFamily="34" charset="0"/>
            </a:rPr>
            <a:t> of the Revenue Requirement Workform.</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subsequent two (2) years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additions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cumulative eligible expenditures (Schedule 10 - </a:t>
          </a:r>
          <a:r>
            <a:rPr lang="en-CA" sz="1100" baseline="0">
              <a:solidFill>
                <a:srgbClr val="FF0000"/>
              </a:solidFill>
              <a:effectLst/>
              <a:latin typeface="Arial" pitchFamily="34" charset="0"/>
              <a:ea typeface="+mn-ea"/>
              <a:cs typeface="Arial" pitchFamily="34" charset="0"/>
            </a:rPr>
            <a:t>B10</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T10</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For the 2016 Application, the "Test Year" is 2016, the "Historical Year" is 2014, and the "Bridge Year" is 2015.</a:t>
          </a: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15, 2015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10" name="Group 9"/>
        <xdr:cNvGrpSpPr/>
      </xdr:nvGrpSpPr>
      <xdr:grpSpPr>
        <a:xfrm>
          <a:off x="0" y="0"/>
          <a:ext cx="8883878" cy="1929524"/>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xdr:cNvGrpSpPr/>
      </xdr:nvGrpSpPr>
      <xdr:grpSpPr>
        <a:xfrm>
          <a:off x="0" y="0"/>
          <a:ext cx="8828845" cy="191576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544166</xdr:rowOff>
    </xdr:to>
    <xdr:grpSp>
      <xdr:nvGrpSpPr>
        <xdr:cNvPr id="10" name="Group 9"/>
        <xdr:cNvGrpSpPr/>
      </xdr:nvGrpSpPr>
      <xdr:grpSpPr>
        <a:xfrm>
          <a:off x="0" y="0"/>
          <a:ext cx="8852658" cy="1913385"/>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xdr:cNvGrpSpPr/>
      </xdr:nvGrpSpPr>
      <xdr:grpSpPr>
        <a:xfrm>
          <a:off x="38100" y="28575"/>
          <a:ext cx="9624183" cy="1922910"/>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xdr:cNvGrpSpPr/>
      </xdr:nvGrpSpPr>
      <xdr:grpSpPr>
        <a:xfrm>
          <a:off x="0" y="0"/>
          <a:ext cx="9752770" cy="191576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xdr:cNvGrpSpPr/>
      </xdr:nvGrpSpPr>
      <xdr:grpSpPr>
        <a:xfrm>
          <a:off x="0" y="0"/>
          <a:ext cx="9562598" cy="1922444"/>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6" name="Group 5"/>
        <xdr:cNvGrpSpPr/>
      </xdr:nvGrpSpPr>
      <xdr:grpSpPr>
        <a:xfrm>
          <a:off x="0" y="0"/>
          <a:ext cx="8845514" cy="1911004"/>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xdr:cNvGrpSpPr/>
      </xdr:nvGrpSpPr>
      <xdr:grpSpPr>
        <a:xfrm>
          <a:off x="0" y="0"/>
          <a:ext cx="10133770" cy="1903860"/>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544166</xdr:rowOff>
    </xdr:to>
    <xdr:grpSp>
      <xdr:nvGrpSpPr>
        <xdr:cNvPr id="10" name="Group 9"/>
        <xdr:cNvGrpSpPr/>
      </xdr:nvGrpSpPr>
      <xdr:grpSpPr>
        <a:xfrm>
          <a:off x="0" y="0"/>
          <a:ext cx="8852658" cy="1913385"/>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10" name="Group 9"/>
        <xdr:cNvGrpSpPr/>
      </xdr:nvGrpSpPr>
      <xdr:grpSpPr>
        <a:xfrm>
          <a:off x="0" y="0"/>
          <a:ext cx="9545601" cy="1932435"/>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xdr:cNvGrpSpPr/>
      </xdr:nvGrpSpPr>
      <xdr:grpSpPr>
        <a:xfrm>
          <a:off x="28575" y="47625"/>
          <a:ext cx="8874353" cy="1912591"/>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xdr:cNvGrpSpPr/>
      </xdr:nvGrpSpPr>
      <xdr:grpSpPr>
        <a:xfrm>
          <a:off x="0" y="0"/>
          <a:ext cx="9737953" cy="1923174"/>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xdr:cNvGrpSpPr/>
      </xdr:nvGrpSpPr>
      <xdr:grpSpPr>
        <a:xfrm>
          <a:off x="0" y="0"/>
          <a:ext cx="9933745" cy="191576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561145</xdr:colOff>
      <xdr:row>3</xdr:row>
      <xdr:rowOff>20291</xdr:rowOff>
    </xdr:to>
    <xdr:grpSp>
      <xdr:nvGrpSpPr>
        <xdr:cNvPr id="10" name="Group 9"/>
        <xdr:cNvGrpSpPr/>
      </xdr:nvGrpSpPr>
      <xdr:grpSpPr>
        <a:xfrm>
          <a:off x="0" y="0"/>
          <a:ext cx="8869062" cy="1904124"/>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xdr:cNvGrpSpPr/>
      </xdr:nvGrpSpPr>
      <xdr:grpSpPr>
        <a:xfrm>
          <a:off x="0" y="0"/>
          <a:ext cx="10379039" cy="1908622"/>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xdr:cNvGrpSpPr/>
      </xdr:nvGrpSpPr>
      <xdr:grpSpPr>
        <a:xfrm>
          <a:off x="0" y="0"/>
          <a:ext cx="8322733" cy="1931641"/>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xdr:cNvGrpSpPr/>
      </xdr:nvGrpSpPr>
      <xdr:grpSpPr>
        <a:xfrm>
          <a:off x="0" y="0"/>
          <a:ext cx="8855039" cy="1903860"/>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1114424</xdr:colOff>
      <xdr:row>5</xdr:row>
      <xdr:rowOff>115541</xdr:rowOff>
    </xdr:to>
    <xdr:grpSp>
      <xdr:nvGrpSpPr>
        <xdr:cNvPr id="10" name="Group 9"/>
        <xdr:cNvGrpSpPr/>
      </xdr:nvGrpSpPr>
      <xdr:grpSpPr>
        <a:xfrm>
          <a:off x="0" y="0"/>
          <a:ext cx="9767887" cy="1913385"/>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xdr:cNvGrpSpPr/>
      </xdr:nvGrpSpPr>
      <xdr:grpSpPr>
        <a:xfrm>
          <a:off x="0" y="0"/>
          <a:ext cx="8860595" cy="1918941"/>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xdr:cNvGrpSpPr/>
      </xdr:nvGrpSpPr>
      <xdr:grpSpPr>
        <a:xfrm>
          <a:off x="0" y="0"/>
          <a:ext cx="8862183" cy="191576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xdr:cNvGrpSpPr/>
      </xdr:nvGrpSpPr>
      <xdr:grpSpPr>
        <a:xfrm>
          <a:off x="0" y="0"/>
          <a:ext cx="8843133" cy="190624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xdr:cNvGrpSpPr/>
      </xdr:nvGrpSpPr>
      <xdr:grpSpPr>
        <a:xfrm>
          <a:off x="0" y="0"/>
          <a:ext cx="8862183" cy="1911004"/>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LTON_EB-2015-0089_COS_2016_Cost_Allocation_Model_V3_3_20150828_revised_2015120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Department/2016%20Rate%20Rebasing/Intervenors/Revised%20Models/2016_Rev_Reqt_Work_Form_V6_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ing%20%20Department/2016%20Rate%20Rebasing/Intervenors/Revised%20Models/MILTON_EB-2015-0089-COS_2016_Rev_Reqt_Work_Form_V6_20150828_201512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ing%20%20Department/2016%20Rate%20Rebasing/Intervenors/Revised%20Models/Revenue_%20Requirement_%20Model%20-%20Revised_2016_201511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LTON_EB-2015-0089-COS_2016_Rev_Reqt_Work_Form_V6_20150828_20151215_WorkingCopy.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venue_%20Requirement_%20Model%20-%20Revised_2016_2015112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counting%20%20Department/2016%20Rate%20Rebasing/Supporting%20Data/Revenue_Requirement_2016/Revenue_%20Requirement_%20Model%20-%202016_20150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refreshError="1"/>
      <sheetData sheetId="1" refreshError="1"/>
      <sheetData sheetId="2" refreshError="1"/>
      <sheetData sheetId="3">
        <row r="15">
          <cell r="F15">
            <v>88072561.675636098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9">
          <cell r="D19">
            <v>1534188.4122322267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Data_Input_Sheet"/>
      <sheetName val="4. Rate_Base"/>
      <sheetName val="5. Utility Income"/>
      <sheetName val="6. Taxes_PILs"/>
      <sheetName val="7. Cost_of_Capital"/>
      <sheetName val="8. Rev_Def_Suff"/>
      <sheetName val="9. Rev_Reqt"/>
      <sheetName val="10. Tracking_Sheet"/>
    </sheetNames>
    <sheetDataSet>
      <sheetData sheetId="0"/>
      <sheetData sheetId="1"/>
      <sheetData sheetId="2">
        <row r="55">
          <cell r="E55">
            <v>0.56000000000000005</v>
          </cell>
        </row>
        <row r="56">
          <cell r="E56">
            <v>0.04</v>
          </cell>
        </row>
        <row r="57">
          <cell r="E57">
            <v>0.4</v>
          </cell>
        </row>
      </sheetData>
      <sheetData sheetId="3"/>
      <sheetData sheetId="4">
        <row r="34">
          <cell r="F34">
            <v>3676570.8961951509</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Data_Input_Sheet"/>
      <sheetName val="4. Rate_Base"/>
      <sheetName val="5. Utility Income"/>
      <sheetName val="6. Taxes_PILs"/>
      <sheetName val="7. Cost_of_Capital"/>
      <sheetName val="8. Rev_Def_Suff"/>
      <sheetName val="9. Rev_Reqt"/>
      <sheetName val="10. Tracking_Sheet"/>
    </sheetNames>
    <sheetDataSet>
      <sheetData sheetId="0"/>
      <sheetData sheetId="1"/>
      <sheetData sheetId="2">
        <row r="16">
          <cell r="E16">
            <v>146122187.96500003</v>
          </cell>
        </row>
        <row r="62">
          <cell r="E62">
            <v>4.1013059004787029E-2</v>
          </cell>
        </row>
        <row r="63">
          <cell r="E63">
            <v>1.6500000000000001E-2</v>
          </cell>
        </row>
        <row r="64">
          <cell r="E64">
            <v>9.1899999999999996E-2</v>
          </cell>
        </row>
      </sheetData>
      <sheetData sheetId="3"/>
      <sheetData sheetId="4">
        <row r="34">
          <cell r="F34">
            <v>3571946.2480381392</v>
          </cell>
        </row>
      </sheetData>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5P CGAAP Revis"/>
      <sheetName val="FA Continuity 2016 CGAAP revise"/>
      <sheetName val="FA Continuity 2015 MIFRS"/>
      <sheetName val="Depr Continuity 2015 MIFRS"/>
      <sheetName val="FA Continuity 2016 MIFRS"/>
      <sheetName val="Depr Continuity 2016 MIFRS"/>
      <sheetName val="FA Continuity 2015P MIFRS"/>
      <sheetName val="FA Continuity 2016REVISED MIFRS"/>
      <sheetName val="Pivot 2015 Admin OM&amp;A"/>
      <sheetName val="2015 Budget"/>
      <sheetName val="Pivot 2016 Test Year"/>
      <sheetName val="2016 Budget"/>
      <sheetName val="2016 Revised Test Year"/>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J10">
            <v>3059</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38">
          <cell r="BX38">
            <v>90365591.272590667</v>
          </cell>
        </row>
      </sheetData>
      <sheetData sheetId="73"/>
      <sheetData sheetId="74"/>
      <sheetData sheetId="75">
        <row r="6">
          <cell r="D6">
            <v>23497120</v>
          </cell>
        </row>
        <row r="10">
          <cell r="D10">
            <v>3623969</v>
          </cell>
        </row>
        <row r="11">
          <cell r="D11">
            <v>933865</v>
          </cell>
        </row>
        <row r="13">
          <cell r="D13">
            <v>71196</v>
          </cell>
        </row>
        <row r="14">
          <cell r="D14">
            <v>56942</v>
          </cell>
        </row>
        <row r="15">
          <cell r="D15">
            <v>5172305</v>
          </cell>
        </row>
        <row r="21">
          <cell r="D21">
            <v>1558</v>
          </cell>
        </row>
        <row r="22">
          <cell r="D22">
            <v>156988</v>
          </cell>
        </row>
        <row r="24">
          <cell r="D24">
            <v>32679515</v>
          </cell>
        </row>
      </sheetData>
      <sheetData sheetId="76"/>
      <sheetData sheetId="77">
        <row r="18">
          <cell r="C18">
            <v>288978</v>
          </cell>
        </row>
        <row r="50">
          <cell r="D50">
            <v>319821</v>
          </cell>
          <cell r="E50">
            <v>304086</v>
          </cell>
        </row>
      </sheetData>
      <sheetData sheetId="78"/>
      <sheetData sheetId="79"/>
      <sheetData sheetId="80"/>
      <sheetData sheetId="81"/>
      <sheetData sheetId="82"/>
      <sheetData sheetId="83"/>
      <sheetData sheetId="8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Data_Input_Sheet"/>
      <sheetName val="4. Rate_Base"/>
      <sheetName val="5. Utility Income"/>
      <sheetName val="6. Taxes_PILs"/>
      <sheetName val="7. Cost_of_Capital"/>
      <sheetName val="8. Rev_Def_Suff"/>
      <sheetName val="9. Rev_Reqt"/>
      <sheetName val="10. Tracking_Sheet"/>
    </sheetNames>
    <sheetDataSet>
      <sheetData sheetId="0" refreshError="1"/>
      <sheetData sheetId="1" refreshError="1"/>
      <sheetData sheetId="2" refreshError="1"/>
      <sheetData sheetId="3" refreshError="1"/>
      <sheetData sheetId="4">
        <row r="34">
          <cell r="N34">
            <v>3562405.3242899906</v>
          </cell>
        </row>
      </sheetData>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5P CGAAP Revis"/>
      <sheetName val="FA Continuity 2016 CGAAP revise"/>
      <sheetName val="FA Continuity 2015 MIFRS"/>
      <sheetName val="Depr Continuity 2015 MIFRS"/>
      <sheetName val="FA Continuity 2016 MIFRS"/>
      <sheetName val="Depr Continuity 2016 MIFRS"/>
      <sheetName val="FA Continuity 2015P MIFRS"/>
      <sheetName val="FA Continuity 2016REVISED MIFRS"/>
      <sheetName val="Pivot 2015 Admin OM&amp;A"/>
      <sheetName val="2015 Budget"/>
      <sheetName val="Pivot 2016 Test Year"/>
      <sheetName val="2016 Budget"/>
      <sheetName val="2016 Revised Test Year"/>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7">
          <cell r="H7">
            <v>8524798</v>
          </cell>
        </row>
        <row r="10">
          <cell r="H10">
            <v>866377.87</v>
          </cell>
        </row>
        <row r="11">
          <cell r="H11">
            <v>440676.6</v>
          </cell>
        </row>
        <row r="13">
          <cell r="H13">
            <v>291170.08999999997</v>
          </cell>
        </row>
        <row r="14">
          <cell r="I14">
            <v>56942</v>
          </cell>
        </row>
        <row r="15">
          <cell r="I15">
            <v>5172305</v>
          </cell>
        </row>
        <row r="22">
          <cell r="H22">
            <v>106393.23999999999</v>
          </cell>
        </row>
        <row r="24">
          <cell r="H24">
            <v>4688934.2299999995</v>
          </cell>
        </row>
      </sheetData>
      <sheetData sheetId="76">
        <row r="10">
          <cell r="H10">
            <v>878180</v>
          </cell>
        </row>
        <row r="11">
          <cell r="H11">
            <v>645000</v>
          </cell>
        </row>
        <row r="13">
          <cell r="H13">
            <v>80000</v>
          </cell>
        </row>
        <row r="22">
          <cell r="H22">
            <v>98000</v>
          </cell>
        </row>
        <row r="24">
          <cell r="H24">
            <v>5657553</v>
          </cell>
        </row>
      </sheetData>
      <sheetData sheetId="77" refreshError="1"/>
      <sheetData sheetId="78" refreshError="1"/>
      <sheetData sheetId="79">
        <row r="7">
          <cell r="F7">
            <v>2812518.7206187113</v>
          </cell>
        </row>
        <row r="8">
          <cell r="F8">
            <v>143776.50899999999</v>
          </cell>
        </row>
        <row r="21">
          <cell r="F21">
            <v>4545</v>
          </cell>
        </row>
      </sheetData>
      <sheetData sheetId="80">
        <row r="7">
          <cell r="F7">
            <v>3185685.4280118588</v>
          </cell>
        </row>
        <row r="8">
          <cell r="F8">
            <v>180893.51799999998</v>
          </cell>
        </row>
        <row r="21">
          <cell r="F21">
            <v>4545</v>
          </cell>
        </row>
      </sheetData>
      <sheetData sheetId="81" refreshError="1"/>
      <sheetData sheetId="82" refreshError="1"/>
      <sheetData sheetId="83">
        <row r="64">
          <cell r="D64">
            <v>18236911.092278332</v>
          </cell>
        </row>
      </sheetData>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6 CGAAP"/>
      <sheetName val="FA Continuity 2015 MIFRS"/>
      <sheetName val="Depr Continuity 2015 MIFRS"/>
      <sheetName val="FA Continuity 2016 MIFRS"/>
      <sheetName val="Depr Continuity 2016 MIFRS"/>
      <sheetName val="Pivot 2015 Admin OM&amp;A"/>
      <sheetName val="2015 Budget"/>
      <sheetName val="Pivot 2016 Test Year"/>
      <sheetName val="2016 Budget"/>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84">
          <cell r="AD284">
            <v>535000</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8">
          <cell r="BV8" t="str">
            <v>Long-Term Debt</v>
          </cell>
        </row>
      </sheetData>
      <sheetData sheetId="69"/>
      <sheetData sheetId="70"/>
      <sheetData sheetId="71">
        <row r="6">
          <cell r="H6">
            <v>0</v>
          </cell>
        </row>
        <row r="20">
          <cell r="H20">
            <v>0</v>
          </cell>
        </row>
      </sheetData>
      <sheetData sheetId="72">
        <row r="20">
          <cell r="H20">
            <v>0</v>
          </cell>
        </row>
      </sheetData>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240"/>
  <sheetViews>
    <sheetView showGridLines="0" tabSelected="1" topLeftCell="A7" zoomScaleNormal="100" workbookViewId="0">
      <selection activeCell="E26" sqref="E26"/>
    </sheetView>
  </sheetViews>
  <sheetFormatPr defaultRowHeight="15.75" customHeight="1" zeroHeight="1" x14ac:dyDescent="0.25"/>
  <cols>
    <col min="1" max="1" width="14.7109375" style="506" customWidth="1"/>
    <col min="2" max="2" width="11.42578125" style="506" hidden="1" customWidth="1"/>
    <col min="3" max="3" width="29.85546875" style="506" customWidth="1"/>
    <col min="4" max="4" width="34.42578125" style="506" customWidth="1"/>
    <col min="5" max="5" width="30.7109375" style="352" customWidth="1"/>
    <col min="6" max="6" width="13.5703125" style="506" customWidth="1"/>
    <col min="7" max="25" width="9.140625" style="506"/>
    <col min="26" max="26" width="8.5703125" style="506" customWidth="1"/>
    <col min="27" max="27" width="3.85546875" style="509" customWidth="1"/>
    <col min="28" max="28" width="67.7109375" style="509" hidden="1" customWidth="1"/>
    <col min="29" max="29" width="17" style="509" customWidth="1"/>
    <col min="30" max="30" width="16.28515625" style="509" customWidth="1"/>
    <col min="31" max="31" width="16.140625" style="509" customWidth="1"/>
    <col min="32" max="32" width="13.7109375" style="512" customWidth="1"/>
    <col min="33" max="33" width="24.42578125" style="512" customWidth="1"/>
    <col min="34" max="34" width="6.28515625" style="506" customWidth="1"/>
    <col min="35" max="35" width="9.140625" style="506" customWidth="1"/>
    <col min="36" max="36" width="45.140625" style="506" customWidth="1"/>
    <col min="37" max="16384" width="9.140625" style="506"/>
  </cols>
  <sheetData>
    <row r="1" spans="1:34" ht="12.75" customHeight="1" x14ac:dyDescent="0.25">
      <c r="AB1" s="510" t="s">
        <v>260</v>
      </c>
      <c r="AC1" s="511"/>
      <c r="AD1" s="511"/>
      <c r="AE1" s="511"/>
    </row>
    <row r="2" spans="1:34" ht="12.75" customHeight="1" x14ac:dyDescent="0.25">
      <c r="C2" s="567"/>
      <c r="D2" s="567"/>
      <c r="E2" s="567"/>
      <c r="F2" s="567"/>
      <c r="G2" s="567"/>
      <c r="H2" s="567"/>
      <c r="I2" s="567"/>
      <c r="J2" s="567"/>
      <c r="AB2" s="510" t="s">
        <v>299</v>
      </c>
      <c r="AC2" s="511"/>
      <c r="AD2" s="511"/>
      <c r="AE2" s="511"/>
      <c r="AF2" s="509"/>
      <c r="AG2" s="509"/>
      <c r="AH2" s="509"/>
    </row>
    <row r="3" spans="1:34" ht="12.75" customHeight="1" x14ac:dyDescent="0.25">
      <c r="C3" s="567"/>
      <c r="D3" s="567"/>
      <c r="E3" s="567"/>
      <c r="F3" s="567"/>
      <c r="G3" s="567"/>
      <c r="H3" s="567"/>
      <c r="I3" s="567"/>
      <c r="J3" s="567"/>
      <c r="AB3" s="510" t="s">
        <v>400</v>
      </c>
    </row>
    <row r="4" spans="1:34" ht="12.75" customHeight="1" x14ac:dyDescent="0.25">
      <c r="C4" s="567"/>
      <c r="D4" s="567"/>
      <c r="E4" s="567"/>
      <c r="F4" s="567"/>
      <c r="G4" s="567"/>
      <c r="H4" s="567"/>
      <c r="I4" s="567"/>
      <c r="J4" s="567"/>
      <c r="AB4" s="510" t="s">
        <v>372</v>
      </c>
    </row>
    <row r="5" spans="1:34" ht="18" x14ac:dyDescent="0.25">
      <c r="C5" s="567"/>
      <c r="D5" s="567"/>
      <c r="E5" s="567"/>
      <c r="F5" s="567"/>
      <c r="G5" s="567"/>
      <c r="H5" s="567"/>
      <c r="I5" s="567"/>
      <c r="J5" s="567"/>
      <c r="AB5" s="510" t="s">
        <v>373</v>
      </c>
    </row>
    <row r="6" spans="1:34" x14ac:dyDescent="0.25">
      <c r="AB6" s="510" t="s">
        <v>261</v>
      </c>
    </row>
    <row r="7" spans="1:34" x14ac:dyDescent="0.25">
      <c r="AB7" s="510" t="s">
        <v>262</v>
      </c>
    </row>
    <row r="8" spans="1:34" x14ac:dyDescent="0.25">
      <c r="AB8" s="510" t="s">
        <v>374</v>
      </c>
    </row>
    <row r="9" spans="1:34" x14ac:dyDescent="0.25">
      <c r="AB9" s="510" t="s">
        <v>393</v>
      </c>
    </row>
    <row r="10" spans="1:34" ht="26.25" x14ac:dyDescent="0.4">
      <c r="C10" s="353"/>
      <c r="AB10" s="510" t="s">
        <v>263</v>
      </c>
    </row>
    <row r="11" spans="1:34" x14ac:dyDescent="0.25">
      <c r="AB11" s="510" t="s">
        <v>394</v>
      </c>
    </row>
    <row r="12" spans="1:34" ht="20.25" x14ac:dyDescent="0.3">
      <c r="F12" s="513" t="s">
        <v>371</v>
      </c>
      <c r="G12" s="514">
        <v>1</v>
      </c>
      <c r="AB12" s="510" t="s">
        <v>401</v>
      </c>
    </row>
    <row r="13" spans="1:34" ht="16.5" thickBot="1" x14ac:dyDescent="0.3">
      <c r="F13" s="352"/>
      <c r="G13" s="352"/>
      <c r="H13" s="352"/>
      <c r="AB13" s="510" t="s">
        <v>264</v>
      </c>
    </row>
    <row r="14" spans="1:34" ht="17.25" thickTop="1" thickBot="1" x14ac:dyDescent="0.3">
      <c r="A14" s="417"/>
      <c r="B14" s="417"/>
      <c r="C14" s="515" t="s">
        <v>343</v>
      </c>
      <c r="D14" s="568" t="s">
        <v>406</v>
      </c>
      <c r="E14" s="569"/>
      <c r="F14" s="352"/>
      <c r="G14" s="352"/>
      <c r="H14" s="352"/>
      <c r="AB14" s="510" t="s">
        <v>265</v>
      </c>
    </row>
    <row r="15" spans="1:34" ht="16.5" thickBot="1" x14ac:dyDescent="0.3">
      <c r="A15" s="417"/>
      <c r="B15" s="417"/>
      <c r="C15" s="417"/>
      <c r="AB15" s="510" t="s">
        <v>266</v>
      </c>
    </row>
    <row r="16" spans="1:34" ht="16.5" thickTop="1" x14ac:dyDescent="0.25">
      <c r="A16" s="417"/>
      <c r="B16" s="417"/>
      <c r="C16" s="516" t="s">
        <v>344</v>
      </c>
      <c r="D16" s="517" t="s">
        <v>493</v>
      </c>
      <c r="AB16" s="510" t="s">
        <v>395</v>
      </c>
    </row>
    <row r="17" spans="1:33" ht="16.5" thickBot="1" x14ac:dyDescent="0.3">
      <c r="A17" s="417"/>
      <c r="B17" s="417"/>
      <c r="C17" s="417"/>
      <c r="AB17" s="510" t="s">
        <v>402</v>
      </c>
    </row>
    <row r="18" spans="1:33" ht="16.5" thickTop="1" x14ac:dyDescent="0.2">
      <c r="A18" s="417"/>
      <c r="B18" s="417"/>
      <c r="C18" s="516" t="s">
        <v>345</v>
      </c>
      <c r="D18" s="565" t="s">
        <v>488</v>
      </c>
      <c r="E18" s="566"/>
      <c r="F18" s="354"/>
      <c r="G18" s="354"/>
      <c r="H18" s="354"/>
      <c r="AB18" s="510" t="s">
        <v>375</v>
      </c>
    </row>
    <row r="19" spans="1:33" ht="16.5" thickBot="1" x14ac:dyDescent="0.3">
      <c r="A19" s="417"/>
      <c r="B19" s="417"/>
      <c r="C19" s="417"/>
      <c r="AA19" s="237"/>
      <c r="AB19" s="510" t="s">
        <v>300</v>
      </c>
      <c r="AC19" s="237"/>
      <c r="AD19" s="237"/>
      <c r="AE19" s="237"/>
      <c r="AF19" s="238"/>
      <c r="AG19" s="238"/>
    </row>
    <row r="20" spans="1:33" ht="16.5" thickTop="1" x14ac:dyDescent="0.25">
      <c r="A20" s="417"/>
      <c r="B20" s="417"/>
      <c r="C20" s="516" t="s">
        <v>346</v>
      </c>
      <c r="D20" s="518" t="s">
        <v>489</v>
      </c>
      <c r="AB20" s="510" t="s">
        <v>267</v>
      </c>
      <c r="AC20" s="506"/>
      <c r="AE20" s="506"/>
      <c r="AF20" s="519"/>
      <c r="AG20" s="520"/>
    </row>
    <row r="21" spans="1:33" ht="15" customHeight="1" thickBot="1" x14ac:dyDescent="0.25">
      <c r="A21" s="417"/>
      <c r="B21" s="417"/>
      <c r="C21" s="417"/>
      <c r="E21" s="354"/>
      <c r="AB21" s="510" t="s">
        <v>268</v>
      </c>
      <c r="AC21" s="506"/>
      <c r="AE21" s="506"/>
      <c r="AF21" s="519"/>
      <c r="AG21" s="520"/>
    </row>
    <row r="22" spans="1:33" thickTop="1" x14ac:dyDescent="0.2">
      <c r="A22" s="417"/>
      <c r="B22" s="417"/>
      <c r="C22" s="516" t="s">
        <v>347</v>
      </c>
      <c r="D22" s="565" t="s">
        <v>490</v>
      </c>
      <c r="E22" s="566"/>
      <c r="AB22" s="510" t="s">
        <v>269</v>
      </c>
      <c r="AC22" s="506"/>
      <c r="AE22" s="506"/>
      <c r="AF22" s="519"/>
      <c r="AG22" s="520"/>
    </row>
    <row r="23" spans="1:33" ht="16.5" thickBot="1" x14ac:dyDescent="0.3">
      <c r="A23" s="417"/>
      <c r="B23" s="417"/>
      <c r="C23" s="417"/>
      <c r="AB23" s="510" t="s">
        <v>270</v>
      </c>
      <c r="AC23" s="506"/>
      <c r="AE23" s="506"/>
      <c r="AF23" s="519"/>
      <c r="AG23" s="520"/>
    </row>
    <row r="24" spans="1:33" ht="16.5" thickTop="1" x14ac:dyDescent="0.25">
      <c r="A24" s="417"/>
      <c r="B24" s="417"/>
      <c r="C24" s="516" t="s">
        <v>348</v>
      </c>
      <c r="D24" s="564">
        <v>42244</v>
      </c>
      <c r="F24" s="355"/>
      <c r="G24" s="355"/>
      <c r="H24" s="355"/>
      <c r="AB24" s="510" t="s">
        <v>271</v>
      </c>
      <c r="AC24" s="506"/>
      <c r="AE24" s="506"/>
      <c r="AF24" s="519"/>
      <c r="AG24" s="520"/>
    </row>
    <row r="25" spans="1:33" ht="16.5" thickBot="1" x14ac:dyDescent="0.3">
      <c r="A25" s="417"/>
      <c r="B25" s="417"/>
      <c r="C25" s="418"/>
      <c r="D25" s="356"/>
      <c r="F25" s="521"/>
      <c r="I25" s="521"/>
      <c r="AB25" s="510" t="s">
        <v>301</v>
      </c>
      <c r="AC25" s="506"/>
      <c r="AE25" s="506"/>
      <c r="AF25" s="519"/>
      <c r="AG25" s="520"/>
    </row>
    <row r="26" spans="1:33" ht="16.5" thickTop="1" x14ac:dyDescent="0.25">
      <c r="A26" s="417"/>
      <c r="B26" s="417"/>
      <c r="C26" s="522" t="s">
        <v>349</v>
      </c>
      <c r="D26" s="357">
        <v>2011</v>
      </c>
      <c r="AB26" s="510" t="s">
        <v>302</v>
      </c>
      <c r="AC26" s="506"/>
      <c r="AE26" s="506"/>
      <c r="AF26" s="519"/>
      <c r="AG26" s="520"/>
    </row>
    <row r="27" spans="1:33" x14ac:dyDescent="0.25">
      <c r="AB27" s="510" t="s">
        <v>272</v>
      </c>
      <c r="AC27" s="506"/>
      <c r="AE27" s="506"/>
      <c r="AF27" s="519"/>
      <c r="AG27" s="520"/>
    </row>
    <row r="28" spans="1:33" x14ac:dyDescent="0.25">
      <c r="C28" s="522"/>
      <c r="AB28" s="510" t="s">
        <v>303</v>
      </c>
      <c r="AC28" s="506"/>
      <c r="AE28" s="506"/>
      <c r="AF28" s="519"/>
      <c r="AG28" s="520"/>
    </row>
    <row r="29" spans="1:33" x14ac:dyDescent="0.25">
      <c r="A29" s="358" t="s">
        <v>350</v>
      </c>
      <c r="C29" s="522"/>
      <c r="AB29" s="510" t="s">
        <v>376</v>
      </c>
      <c r="AC29" s="506"/>
      <c r="AE29" s="506"/>
      <c r="AF29" s="519"/>
      <c r="AG29" s="520"/>
    </row>
    <row r="30" spans="1:33" x14ac:dyDescent="0.25">
      <c r="C30" s="522"/>
      <c r="AB30" s="510" t="s">
        <v>273</v>
      </c>
      <c r="AC30" s="506"/>
      <c r="AE30" s="506"/>
      <c r="AF30" s="519"/>
      <c r="AG30" s="520"/>
    </row>
    <row r="31" spans="1:33" x14ac:dyDescent="0.25">
      <c r="AB31" s="510" t="s">
        <v>304</v>
      </c>
      <c r="AC31" s="506"/>
      <c r="AE31" s="506"/>
      <c r="AF31" s="519"/>
      <c r="AG31" s="520"/>
    </row>
    <row r="32" spans="1:33" x14ac:dyDescent="0.25">
      <c r="C32" s="523"/>
      <c r="AB32" s="510" t="s">
        <v>274</v>
      </c>
      <c r="AC32" s="506"/>
      <c r="AE32" s="506"/>
      <c r="AF32" s="519"/>
      <c r="AG32" s="520"/>
    </row>
    <row r="33" spans="3:33" x14ac:dyDescent="0.25">
      <c r="F33" s="524"/>
      <c r="G33" s="524"/>
      <c r="H33" s="524"/>
      <c r="I33" s="524"/>
      <c r="J33" s="524"/>
      <c r="K33" s="524"/>
      <c r="AB33" s="510" t="s">
        <v>275</v>
      </c>
      <c r="AC33" s="506"/>
      <c r="AE33" s="506"/>
      <c r="AF33" s="519"/>
      <c r="AG33" s="520"/>
    </row>
    <row r="34" spans="3:33" x14ac:dyDescent="0.25">
      <c r="F34" s="524"/>
      <c r="G34" s="524"/>
      <c r="H34" s="524"/>
      <c r="I34" s="524"/>
      <c r="J34" s="524"/>
      <c r="K34" s="524"/>
      <c r="AB34" s="510" t="s">
        <v>403</v>
      </c>
      <c r="AC34" s="506"/>
      <c r="AE34" s="506"/>
      <c r="AF34" s="519"/>
      <c r="AG34" s="520"/>
    </row>
    <row r="35" spans="3:33" x14ac:dyDescent="0.25">
      <c r="F35" s="524"/>
      <c r="G35" s="524"/>
      <c r="H35" s="524"/>
      <c r="I35" s="524"/>
      <c r="J35" s="524"/>
      <c r="K35" s="524"/>
      <c r="AB35" s="510" t="s">
        <v>404</v>
      </c>
      <c r="AC35" s="506"/>
      <c r="AE35" s="506"/>
      <c r="AF35" s="519"/>
      <c r="AG35" s="520"/>
    </row>
    <row r="36" spans="3:33" x14ac:dyDescent="0.25">
      <c r="D36" s="525"/>
      <c r="E36" s="506"/>
      <c r="F36" s="360"/>
      <c r="G36" s="360"/>
      <c r="H36" s="360"/>
      <c r="I36" s="360"/>
      <c r="J36" s="360"/>
      <c r="K36" s="360"/>
      <c r="AB36" s="510" t="s">
        <v>305</v>
      </c>
      <c r="AC36" s="506"/>
      <c r="AE36" s="506"/>
      <c r="AF36" s="519"/>
      <c r="AG36" s="520"/>
    </row>
    <row r="37" spans="3:33" x14ac:dyDescent="0.25">
      <c r="D37" s="358"/>
      <c r="E37" s="506"/>
      <c r="F37" s="361"/>
      <c r="G37" s="524"/>
      <c r="H37" s="524"/>
      <c r="I37" s="524"/>
      <c r="J37" s="524"/>
      <c r="K37" s="524"/>
      <c r="AB37" s="510" t="s">
        <v>405</v>
      </c>
      <c r="AC37" s="506"/>
      <c r="AE37" s="506"/>
      <c r="AF37" s="519"/>
      <c r="AG37" s="520"/>
    </row>
    <row r="38" spans="3:33" x14ac:dyDescent="0.25">
      <c r="D38" s="525"/>
      <c r="E38" s="506"/>
      <c r="F38" s="360"/>
      <c r="G38" s="360"/>
      <c r="H38" s="360"/>
      <c r="I38" s="360"/>
      <c r="J38" s="360"/>
      <c r="K38" s="360"/>
      <c r="AB38" s="510" t="s">
        <v>306</v>
      </c>
      <c r="AC38" s="506"/>
      <c r="AE38" s="506"/>
      <c r="AF38" s="519"/>
      <c r="AG38" s="520"/>
    </row>
    <row r="39" spans="3:33" x14ac:dyDescent="0.25">
      <c r="D39" s="358"/>
      <c r="E39" s="506"/>
      <c r="F39" s="361"/>
      <c r="G39" s="524"/>
      <c r="H39" s="524"/>
      <c r="I39" s="524"/>
      <c r="J39" s="524"/>
      <c r="K39" s="524"/>
      <c r="AB39" s="510" t="s">
        <v>276</v>
      </c>
      <c r="AC39" s="506"/>
      <c r="AE39" s="506"/>
      <c r="AF39" s="519"/>
      <c r="AG39" s="520"/>
    </row>
    <row r="40" spans="3:33" x14ac:dyDescent="0.25">
      <c r="D40" s="525"/>
      <c r="E40" s="526"/>
      <c r="F40" s="360"/>
      <c r="G40" s="360"/>
      <c r="H40" s="360"/>
      <c r="I40" s="360"/>
      <c r="J40" s="360"/>
      <c r="K40" s="360"/>
      <c r="AB40" s="510" t="s">
        <v>277</v>
      </c>
      <c r="AC40" s="506"/>
      <c r="AE40" s="506"/>
      <c r="AF40" s="519"/>
      <c r="AG40" s="520"/>
    </row>
    <row r="41" spans="3:33" ht="12.75" customHeight="1" x14ac:dyDescent="0.25">
      <c r="D41" s="358"/>
      <c r="E41" s="506"/>
      <c r="F41" s="362"/>
      <c r="G41" s="524"/>
      <c r="H41" s="524"/>
      <c r="I41" s="524"/>
      <c r="J41" s="524"/>
      <c r="K41" s="524"/>
      <c r="AB41" s="510" t="s">
        <v>278</v>
      </c>
      <c r="AC41" s="506"/>
      <c r="AE41" s="506"/>
      <c r="AF41" s="519"/>
      <c r="AG41" s="520"/>
    </row>
    <row r="42" spans="3:33" x14ac:dyDescent="0.25">
      <c r="D42" s="527"/>
      <c r="E42" s="528"/>
      <c r="F42" s="360"/>
      <c r="G42" s="360"/>
      <c r="H42" s="360"/>
      <c r="I42" s="360"/>
      <c r="J42" s="360"/>
      <c r="K42" s="360"/>
      <c r="AB42" s="510" t="s">
        <v>307</v>
      </c>
      <c r="AC42" s="506"/>
      <c r="AE42" s="506"/>
      <c r="AF42" s="519"/>
      <c r="AG42" s="520"/>
    </row>
    <row r="43" spans="3:33" ht="14.25" x14ac:dyDescent="0.2">
      <c r="E43" s="506"/>
      <c r="F43" s="524"/>
      <c r="G43" s="524"/>
      <c r="H43" s="524"/>
      <c r="I43" s="524"/>
      <c r="J43" s="524"/>
      <c r="K43" s="524"/>
      <c r="AB43" s="510" t="s">
        <v>279</v>
      </c>
      <c r="AC43" s="506"/>
      <c r="AE43" s="506"/>
      <c r="AF43" s="519"/>
      <c r="AG43" s="520"/>
    </row>
    <row r="44" spans="3:33" x14ac:dyDescent="0.25">
      <c r="D44" s="527"/>
      <c r="E44" s="527"/>
      <c r="F44" s="529"/>
      <c r="G44" s="529"/>
      <c r="H44" s="363"/>
      <c r="I44" s="363"/>
      <c r="J44" s="363"/>
      <c r="K44" s="363"/>
      <c r="AB44" s="510" t="s">
        <v>280</v>
      </c>
      <c r="AC44" s="506"/>
      <c r="AE44" s="506"/>
      <c r="AF44" s="519"/>
      <c r="AG44" s="520"/>
    </row>
    <row r="45" spans="3:33" ht="14.25" x14ac:dyDescent="0.2">
      <c r="E45" s="506"/>
      <c r="F45" s="524"/>
      <c r="G45" s="524"/>
      <c r="H45" s="524"/>
      <c r="I45" s="524"/>
      <c r="J45" s="524"/>
      <c r="K45" s="524"/>
      <c r="AB45" s="510" t="s">
        <v>281</v>
      </c>
      <c r="AC45" s="506"/>
      <c r="AE45" s="506"/>
      <c r="AF45" s="519"/>
      <c r="AG45" s="520"/>
    </row>
    <row r="46" spans="3:33" x14ac:dyDescent="0.2">
      <c r="D46" s="530"/>
      <c r="E46" s="530"/>
      <c r="F46" s="531"/>
      <c r="G46" s="531"/>
      <c r="H46" s="531"/>
      <c r="I46" s="364"/>
      <c r="J46" s="364"/>
      <c r="K46" s="364"/>
      <c r="AB46" s="510" t="s">
        <v>406</v>
      </c>
      <c r="AC46" s="506"/>
      <c r="AE46" s="506"/>
      <c r="AF46" s="519"/>
      <c r="AG46" s="520"/>
    </row>
    <row r="47" spans="3:33" x14ac:dyDescent="0.2">
      <c r="C47" s="530"/>
      <c r="D47" s="530"/>
      <c r="E47" s="530"/>
      <c r="F47" s="531"/>
      <c r="G47" s="531"/>
      <c r="H47" s="531"/>
      <c r="I47" s="364"/>
      <c r="J47" s="364"/>
      <c r="K47" s="364"/>
      <c r="AB47" s="510" t="s">
        <v>407</v>
      </c>
      <c r="AC47" s="506"/>
      <c r="AE47" s="506"/>
      <c r="AF47" s="519"/>
      <c r="AG47" s="520"/>
    </row>
    <row r="48" spans="3:33" ht="14.25" x14ac:dyDescent="0.2">
      <c r="E48" s="506"/>
      <c r="F48" s="524"/>
      <c r="G48" s="524"/>
      <c r="H48" s="524"/>
      <c r="I48" s="524"/>
      <c r="J48" s="524"/>
      <c r="K48" s="524"/>
      <c r="AB48" s="510" t="s">
        <v>396</v>
      </c>
      <c r="AC48" s="506"/>
      <c r="AE48" s="506"/>
      <c r="AF48" s="519"/>
      <c r="AG48" s="520"/>
    </row>
    <row r="49" spans="6:33" s="506" customFormat="1" ht="14.25" x14ac:dyDescent="0.2">
      <c r="F49" s="524"/>
      <c r="G49" s="524"/>
      <c r="H49" s="524"/>
      <c r="I49" s="524"/>
      <c r="J49" s="524"/>
      <c r="K49" s="524"/>
      <c r="AA49" s="509"/>
      <c r="AB49" s="510" t="s">
        <v>282</v>
      </c>
      <c r="AD49" s="509"/>
      <c r="AF49" s="519"/>
      <c r="AG49" s="520"/>
    </row>
    <row r="50" spans="6:33" s="506" customFormat="1" ht="14.25" x14ac:dyDescent="0.2">
      <c r="AA50" s="509"/>
      <c r="AB50" s="510" t="s">
        <v>377</v>
      </c>
      <c r="AD50" s="509"/>
      <c r="AF50" s="519"/>
      <c r="AG50" s="520"/>
    </row>
    <row r="51" spans="6:33" s="506" customFormat="1" ht="14.25" x14ac:dyDescent="0.2">
      <c r="AA51" s="509"/>
      <c r="AB51" s="510" t="s">
        <v>283</v>
      </c>
      <c r="AD51" s="509"/>
      <c r="AF51" s="519"/>
      <c r="AG51" s="520"/>
    </row>
    <row r="52" spans="6:33" s="506" customFormat="1" ht="14.25" x14ac:dyDescent="0.2">
      <c r="AA52" s="509"/>
      <c r="AB52" s="510" t="s">
        <v>284</v>
      </c>
      <c r="AD52" s="509"/>
      <c r="AF52" s="519"/>
      <c r="AG52" s="520"/>
    </row>
    <row r="53" spans="6:33" s="506" customFormat="1" ht="14.25" x14ac:dyDescent="0.2">
      <c r="AA53" s="509"/>
      <c r="AB53" s="510" t="s">
        <v>378</v>
      </c>
      <c r="AD53" s="509"/>
      <c r="AF53" s="519"/>
      <c r="AG53" s="520"/>
    </row>
    <row r="54" spans="6:33" s="506" customFormat="1" ht="14.25" x14ac:dyDescent="0.2">
      <c r="AA54" s="509"/>
      <c r="AB54" s="510" t="s">
        <v>285</v>
      </c>
      <c r="AD54" s="509"/>
      <c r="AF54" s="519"/>
      <c r="AG54" s="520"/>
    </row>
    <row r="55" spans="6:33" s="506" customFormat="1" ht="14.25" x14ac:dyDescent="0.2">
      <c r="AA55" s="509"/>
      <c r="AB55" s="510" t="s">
        <v>379</v>
      </c>
      <c r="AD55" s="509"/>
      <c r="AF55" s="519"/>
      <c r="AG55" s="520"/>
    </row>
    <row r="56" spans="6:33" s="506" customFormat="1" ht="14.25" x14ac:dyDescent="0.2">
      <c r="AA56" s="509"/>
      <c r="AB56" s="510" t="s">
        <v>308</v>
      </c>
      <c r="AD56" s="509"/>
      <c r="AF56" s="519"/>
      <c r="AG56" s="520"/>
    </row>
    <row r="57" spans="6:33" s="506" customFormat="1" ht="14.25" x14ac:dyDescent="0.2">
      <c r="AA57" s="509"/>
      <c r="AB57" s="510" t="s">
        <v>286</v>
      </c>
      <c r="AD57" s="509"/>
      <c r="AF57" s="519"/>
      <c r="AG57" s="520"/>
    </row>
    <row r="58" spans="6:33" s="506" customFormat="1" ht="14.25" x14ac:dyDescent="0.2">
      <c r="AA58" s="509"/>
      <c r="AB58" s="510" t="s">
        <v>380</v>
      </c>
      <c r="AD58" s="509"/>
      <c r="AF58" s="519"/>
      <c r="AG58" s="520"/>
    </row>
    <row r="59" spans="6:33" s="506" customFormat="1" ht="14.25" x14ac:dyDescent="0.2">
      <c r="AA59" s="509"/>
      <c r="AB59" s="510" t="s">
        <v>397</v>
      </c>
      <c r="AD59" s="509"/>
      <c r="AF59" s="519"/>
      <c r="AG59" s="520"/>
    </row>
    <row r="60" spans="6:33" s="506" customFormat="1" ht="14.25" x14ac:dyDescent="0.2">
      <c r="AA60" s="509"/>
      <c r="AB60" s="510" t="s">
        <v>287</v>
      </c>
      <c r="AD60" s="509"/>
      <c r="AF60" s="519"/>
      <c r="AG60" s="520"/>
    </row>
    <row r="61" spans="6:33" s="506" customFormat="1" ht="14.25" x14ac:dyDescent="0.2">
      <c r="AA61" s="509"/>
      <c r="AB61" s="510" t="s">
        <v>288</v>
      </c>
      <c r="AD61" s="509"/>
      <c r="AF61" s="519"/>
      <c r="AG61" s="520"/>
    </row>
    <row r="62" spans="6:33" s="506" customFormat="1" ht="14.25" x14ac:dyDescent="0.2">
      <c r="AA62" s="509"/>
      <c r="AB62" s="510" t="s">
        <v>309</v>
      </c>
      <c r="AD62" s="509"/>
      <c r="AF62" s="519"/>
      <c r="AG62" s="520"/>
    </row>
    <row r="63" spans="6:33" s="506" customFormat="1" ht="14.25" x14ac:dyDescent="0.2">
      <c r="AA63" s="509"/>
      <c r="AB63" s="510" t="s">
        <v>289</v>
      </c>
      <c r="AD63" s="509"/>
      <c r="AF63" s="519"/>
      <c r="AG63" s="520"/>
    </row>
    <row r="64" spans="6:33" s="506" customFormat="1" ht="14.25" x14ac:dyDescent="0.2">
      <c r="AB64" s="510" t="s">
        <v>290</v>
      </c>
      <c r="AD64" s="509"/>
      <c r="AF64" s="519"/>
      <c r="AG64" s="520"/>
    </row>
    <row r="65" spans="28:33" s="506" customFormat="1" ht="14.25" x14ac:dyDescent="0.2">
      <c r="AB65" s="510" t="s">
        <v>381</v>
      </c>
      <c r="AD65" s="509"/>
      <c r="AF65" s="519"/>
      <c r="AG65" s="520"/>
    </row>
    <row r="66" spans="28:33" s="506" customFormat="1" ht="14.25" x14ac:dyDescent="0.2">
      <c r="AB66" s="510" t="s">
        <v>291</v>
      </c>
      <c r="AD66" s="509"/>
      <c r="AF66" s="519"/>
      <c r="AG66" s="520"/>
    </row>
    <row r="67" spans="28:33" s="506" customFormat="1" ht="14.25" x14ac:dyDescent="0.2">
      <c r="AB67" s="510" t="s">
        <v>310</v>
      </c>
      <c r="AD67" s="509"/>
      <c r="AF67" s="519"/>
      <c r="AG67" s="520"/>
    </row>
    <row r="68" spans="28:33" s="506" customFormat="1" ht="14.25" x14ac:dyDescent="0.2">
      <c r="AB68" s="510" t="s">
        <v>292</v>
      </c>
      <c r="AD68" s="509"/>
      <c r="AF68" s="519"/>
      <c r="AG68" s="520"/>
    </row>
    <row r="69" spans="28:33" s="506" customFormat="1" ht="14.25" x14ac:dyDescent="0.2">
      <c r="AB69" s="510" t="s">
        <v>293</v>
      </c>
      <c r="AD69" s="509"/>
      <c r="AF69" s="519"/>
      <c r="AG69" s="520"/>
    </row>
    <row r="70" spans="28:33" s="506" customFormat="1" ht="14.25" x14ac:dyDescent="0.2">
      <c r="AB70" s="510" t="s">
        <v>294</v>
      </c>
      <c r="AD70" s="509"/>
      <c r="AF70" s="519"/>
      <c r="AG70" s="520"/>
    </row>
    <row r="71" spans="28:33" s="506" customFormat="1" ht="14.25" x14ac:dyDescent="0.2">
      <c r="AB71" s="510" t="s">
        <v>382</v>
      </c>
      <c r="AD71" s="509"/>
      <c r="AF71" s="519"/>
      <c r="AG71" s="520"/>
    </row>
    <row r="72" spans="28:33" s="506" customFormat="1" ht="14.25" x14ac:dyDescent="0.2">
      <c r="AB72" s="510" t="s">
        <v>311</v>
      </c>
      <c r="AD72" s="509"/>
      <c r="AF72" s="519"/>
      <c r="AG72" s="520"/>
    </row>
    <row r="73" spans="28:33" s="506" customFormat="1" ht="14.25" x14ac:dyDescent="0.2">
      <c r="AB73" s="510" t="s">
        <v>295</v>
      </c>
      <c r="AD73" s="509"/>
      <c r="AF73" s="519"/>
      <c r="AG73" s="520"/>
    </row>
    <row r="74" spans="28:33" s="506" customFormat="1" ht="14.25" x14ac:dyDescent="0.2">
      <c r="AB74" s="510" t="s">
        <v>296</v>
      </c>
      <c r="AD74" s="509"/>
      <c r="AF74" s="519"/>
      <c r="AG74" s="520"/>
    </row>
    <row r="75" spans="28:33" s="506" customFormat="1" ht="14.25" x14ac:dyDescent="0.2">
      <c r="AB75" s="510" t="s">
        <v>297</v>
      </c>
      <c r="AD75" s="509"/>
      <c r="AF75" s="519"/>
      <c r="AG75" s="520"/>
    </row>
    <row r="76" spans="28:33" s="506" customFormat="1" ht="14.25" x14ac:dyDescent="0.2">
      <c r="AB76" s="510" t="s">
        <v>298</v>
      </c>
      <c r="AD76" s="509"/>
      <c r="AF76" s="519"/>
      <c r="AG76" s="520"/>
    </row>
    <row r="77" spans="28:33" s="506" customFormat="1" ht="14.25" x14ac:dyDescent="0.2">
      <c r="AB77" s="510" t="s">
        <v>297</v>
      </c>
      <c r="AD77" s="509"/>
      <c r="AF77" s="519"/>
      <c r="AG77" s="520"/>
    </row>
    <row r="78" spans="28:33" s="506" customFormat="1" ht="14.25" x14ac:dyDescent="0.2">
      <c r="AB78" s="510" t="s">
        <v>298</v>
      </c>
      <c r="AD78" s="509"/>
      <c r="AF78" s="519"/>
      <c r="AG78" s="520"/>
    </row>
    <row r="79" spans="28:33" s="506" customFormat="1" ht="12.75" x14ac:dyDescent="0.2">
      <c r="AB79" s="509"/>
      <c r="AD79" s="509"/>
      <c r="AF79" s="519"/>
      <c r="AG79" s="520"/>
    </row>
    <row r="80" spans="28:33" s="506" customFormat="1" ht="12.75" x14ac:dyDescent="0.2">
      <c r="AD80" s="509"/>
      <c r="AF80" s="519"/>
      <c r="AG80" s="520"/>
    </row>
    <row r="81" spans="29:33" s="506" customFormat="1" ht="12.75" x14ac:dyDescent="0.2">
      <c r="AD81" s="509"/>
      <c r="AF81" s="519"/>
      <c r="AG81" s="520"/>
    </row>
    <row r="82" spans="29:33" s="506" customFormat="1" ht="12.75" x14ac:dyDescent="0.2">
      <c r="AD82" s="509"/>
      <c r="AF82" s="519"/>
      <c r="AG82" s="520"/>
    </row>
    <row r="83" spans="29:33" s="506" customFormat="1" ht="12.75" x14ac:dyDescent="0.2">
      <c r="AD83" s="509"/>
      <c r="AF83" s="519"/>
      <c r="AG83" s="520"/>
    </row>
    <row r="84" spans="29:33" s="506" customFormat="1" ht="12.75" x14ac:dyDescent="0.2">
      <c r="AD84" s="509"/>
      <c r="AF84" s="519"/>
      <c r="AG84" s="520"/>
    </row>
    <row r="85" spans="29:33" s="506" customFormat="1" ht="12.75" x14ac:dyDescent="0.2">
      <c r="AD85" s="509"/>
      <c r="AF85" s="519"/>
      <c r="AG85" s="520"/>
    </row>
    <row r="86" spans="29:33" s="506" customFormat="1" ht="12.75" x14ac:dyDescent="0.2">
      <c r="AD86" s="509"/>
      <c r="AF86" s="519"/>
      <c r="AG86" s="520"/>
    </row>
    <row r="87" spans="29:33" s="506" customFormat="1" ht="12.75" x14ac:dyDescent="0.2">
      <c r="AD87" s="509"/>
      <c r="AF87" s="520"/>
      <c r="AG87" s="520"/>
    </row>
    <row r="88" spans="29:33" s="506" customFormat="1" ht="12.75" x14ac:dyDescent="0.2">
      <c r="AD88" s="509"/>
      <c r="AF88" s="520"/>
      <c r="AG88" s="520"/>
    </row>
    <row r="89" spans="29:33" s="506" customFormat="1" ht="12.75" x14ac:dyDescent="0.2">
      <c r="AD89" s="509"/>
      <c r="AF89" s="520"/>
      <c r="AG89" s="520"/>
    </row>
    <row r="90" spans="29:33" s="506" customFormat="1" ht="12.75" x14ac:dyDescent="0.2">
      <c r="AC90" s="532"/>
      <c r="AD90" s="509"/>
      <c r="AE90" s="509"/>
      <c r="AF90" s="520"/>
      <c r="AG90" s="520"/>
    </row>
    <row r="91" spans="29:33" s="506" customFormat="1" ht="12.75" x14ac:dyDescent="0.2">
      <c r="AC91" s="532"/>
      <c r="AD91" s="509"/>
      <c r="AE91" s="509"/>
      <c r="AF91" s="520"/>
      <c r="AG91" s="520"/>
    </row>
    <row r="92" spans="29:33" s="506" customFormat="1" ht="12.75" x14ac:dyDescent="0.2">
      <c r="AC92" s="532"/>
      <c r="AD92" s="509"/>
      <c r="AE92" s="509"/>
      <c r="AF92" s="520"/>
      <c r="AG92" s="520"/>
    </row>
    <row r="93" spans="29:33" s="506" customFormat="1" ht="12.75" x14ac:dyDescent="0.2">
      <c r="AC93" s="532"/>
      <c r="AD93" s="509"/>
      <c r="AE93" s="509"/>
      <c r="AF93" s="520"/>
      <c r="AG93" s="520"/>
    </row>
    <row r="94" spans="29:33" s="506" customFormat="1" ht="12.75" x14ac:dyDescent="0.2">
      <c r="AC94" s="532"/>
      <c r="AD94" s="509"/>
      <c r="AE94" s="509"/>
      <c r="AF94" s="520"/>
      <c r="AG94" s="520"/>
    </row>
    <row r="95" spans="29:33" s="506" customFormat="1" ht="12.75" x14ac:dyDescent="0.2">
      <c r="AC95" s="532"/>
      <c r="AD95" s="509"/>
      <c r="AE95" s="509"/>
      <c r="AF95" s="520"/>
      <c r="AG95" s="520"/>
    </row>
    <row r="96" spans="29:33" s="506" customFormat="1" ht="12.75" x14ac:dyDescent="0.2">
      <c r="AC96" s="532"/>
      <c r="AD96" s="509"/>
      <c r="AE96" s="509"/>
      <c r="AF96" s="520"/>
      <c r="AG96" s="520"/>
    </row>
    <row r="97" spans="5:33" ht="12.75" x14ac:dyDescent="0.2">
      <c r="E97" s="506"/>
      <c r="AA97" s="506"/>
      <c r="AB97" s="506"/>
      <c r="AC97" s="532"/>
      <c r="AF97" s="520"/>
      <c r="AG97" s="520"/>
    </row>
    <row r="98" spans="5:33" ht="12.75" x14ac:dyDescent="0.2">
      <c r="E98" s="506"/>
      <c r="AA98" s="506"/>
      <c r="AB98" s="506"/>
      <c r="AC98" s="532"/>
      <c r="AF98" s="520"/>
      <c r="AG98" s="520"/>
    </row>
    <row r="99" spans="5:33" ht="12.75" x14ac:dyDescent="0.2">
      <c r="E99" s="506"/>
      <c r="AA99" s="506"/>
      <c r="AB99" s="506"/>
      <c r="AC99" s="532"/>
      <c r="AF99" s="520"/>
      <c r="AG99" s="520"/>
    </row>
    <row r="100" spans="5:33" ht="12.75" x14ac:dyDescent="0.2">
      <c r="E100" s="506"/>
      <c r="AA100" s="506"/>
      <c r="AB100" s="506"/>
      <c r="AC100" s="532"/>
      <c r="AF100" s="520"/>
      <c r="AG100" s="520"/>
    </row>
    <row r="101" spans="5:33" ht="12.75" x14ac:dyDescent="0.2">
      <c r="E101" s="506"/>
      <c r="AA101" s="506"/>
      <c r="AB101" s="506"/>
      <c r="AC101" s="532"/>
      <c r="AF101" s="520"/>
      <c r="AG101" s="520"/>
    </row>
    <row r="102" spans="5:33" ht="12.75" x14ac:dyDescent="0.2">
      <c r="E102" s="506"/>
      <c r="AA102" s="506"/>
      <c r="AB102" s="506"/>
      <c r="AC102" s="532"/>
      <c r="AF102" s="520"/>
      <c r="AG102" s="520"/>
    </row>
    <row r="103" spans="5:33" ht="12.75" x14ac:dyDescent="0.2">
      <c r="E103" s="506"/>
      <c r="AA103" s="506"/>
      <c r="AB103" s="506"/>
      <c r="AC103" s="532"/>
      <c r="AF103" s="520"/>
      <c r="AG103" s="520"/>
    </row>
    <row r="104" spans="5:33" ht="12.75" x14ac:dyDescent="0.2">
      <c r="E104" s="506"/>
      <c r="AA104" s="506"/>
      <c r="AB104" s="506"/>
      <c r="AC104" s="532"/>
      <c r="AF104" s="520"/>
      <c r="AG104" s="520"/>
    </row>
    <row r="105" spans="5:33" ht="12.75" x14ac:dyDescent="0.2">
      <c r="E105" s="506"/>
      <c r="AA105" s="506"/>
      <c r="AB105" s="506"/>
      <c r="AC105" s="532"/>
      <c r="AF105" s="520"/>
      <c r="AG105" s="520"/>
    </row>
    <row r="106" spans="5:33" ht="12.75" x14ac:dyDescent="0.2">
      <c r="E106" s="506"/>
      <c r="AA106" s="506"/>
      <c r="AB106" s="506"/>
      <c r="AC106" s="532"/>
      <c r="AF106" s="520"/>
      <c r="AG106" s="520"/>
    </row>
    <row r="107" spans="5:33" ht="12.75" x14ac:dyDescent="0.2">
      <c r="E107" s="506"/>
      <c r="AA107" s="506"/>
      <c r="AB107" s="506"/>
      <c r="AC107" s="532"/>
      <c r="AF107" s="520"/>
      <c r="AG107" s="520"/>
    </row>
    <row r="108" spans="5:33" ht="12.75" x14ac:dyDescent="0.2">
      <c r="E108" s="506"/>
      <c r="AA108" s="506"/>
      <c r="AB108" s="506"/>
      <c r="AC108" s="532"/>
      <c r="AF108" s="520"/>
      <c r="AG108" s="520"/>
    </row>
    <row r="109" spans="5:33" ht="12.75" x14ac:dyDescent="0.2">
      <c r="E109" s="506"/>
      <c r="AA109" s="506"/>
      <c r="AB109" s="506"/>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sheetProtection password="C2FC" sheet="1" objects="1" scenarios="1"/>
  <mergeCells count="7">
    <mergeCell ref="D22:E22"/>
    <mergeCell ref="D18:E18"/>
    <mergeCell ref="C2:J2"/>
    <mergeCell ref="C3:J3"/>
    <mergeCell ref="C4:J4"/>
    <mergeCell ref="C5:J5"/>
    <mergeCell ref="D14:E14"/>
  </mergeCells>
  <phoneticPr fontId="3" type="noConversion"/>
  <dataValidations count="4">
    <dataValidation type="list" allowBlank="1" showInputMessage="1" showErrorMessage="1" sqref="D14:E14">
      <formula1>$AB$1:$AB$78</formula1>
    </dataValidation>
    <dataValidation type="list" allowBlank="1" showInputMessage="1" showErrorMessage="1" sqref="D26">
      <formula1>"2008,2009,2010,2011,2012, 2013, 2014, 2015"</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s>
  <hyperlinks>
    <hyperlink ref="A1" location="Index" display="Back to Index"/>
  </hyperlinks>
  <pageMargins left="0.75" right="0.75" top="1" bottom="1" header="0.5" footer="0.5"/>
  <pageSetup scale="64" orientation="portrait" r:id="rId1"/>
  <headerFooter alignWithMargins="0"/>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40"/>
  <sheetViews>
    <sheetView zoomScale="90" zoomScaleNormal="90" workbookViewId="0"/>
  </sheetViews>
  <sheetFormatPr defaultRowHeight="12.75" x14ac:dyDescent="0.2"/>
  <cols>
    <col min="1" max="1" width="3.85546875" style="11" customWidth="1"/>
    <col min="2" max="2" width="3.7109375" style="11" customWidth="1"/>
    <col min="3" max="3" width="36.140625" style="11" customWidth="1"/>
    <col min="4" max="5" width="9.140625" style="11"/>
    <col min="6" max="6" width="7.85546875" style="11" bestFit="1" customWidth="1"/>
    <col min="7" max="8" width="9.140625" style="11"/>
    <col min="9" max="9" width="11.5703125" style="11" customWidth="1"/>
    <col min="10" max="10" width="9.140625" style="11"/>
    <col min="11" max="11" width="11.28515625" style="11" customWidth="1"/>
    <col min="12" max="16384" width="9.140625" style="11"/>
  </cols>
  <sheetData>
    <row r="1" spans="1:11" ht="21.75" x14ac:dyDescent="0.2">
      <c r="A1" s="312"/>
      <c r="C1" s="574"/>
      <c r="D1" s="574"/>
      <c r="E1" s="574"/>
    </row>
    <row r="2" spans="1:11" ht="18" x14ac:dyDescent="0.25">
      <c r="C2" s="575"/>
      <c r="D2" s="575"/>
      <c r="E2" s="575"/>
      <c r="F2" s="575"/>
      <c r="G2" s="575"/>
      <c r="H2" s="575"/>
      <c r="I2" s="575"/>
    </row>
    <row r="3" spans="1:11" ht="41.25" customHeight="1" x14ac:dyDescent="0.25">
      <c r="C3" s="575"/>
      <c r="D3" s="575"/>
      <c r="E3" s="575"/>
      <c r="F3" s="575"/>
      <c r="G3" s="575"/>
      <c r="H3" s="575"/>
      <c r="I3" s="575"/>
    </row>
    <row r="4" spans="1:11" ht="41.25" customHeight="1" x14ac:dyDescent="0.25">
      <c r="C4" s="575"/>
      <c r="D4" s="575"/>
      <c r="E4" s="575"/>
      <c r="F4" s="575"/>
      <c r="G4" s="575"/>
      <c r="H4" s="575"/>
      <c r="I4" s="575"/>
    </row>
    <row r="5" spans="1:11" ht="41.25" customHeight="1" x14ac:dyDescent="0.2"/>
    <row r="8" spans="1:11" ht="23.25" x14ac:dyDescent="0.35">
      <c r="C8" s="284" t="s">
        <v>354</v>
      </c>
    </row>
    <row r="10" spans="1:11" ht="15.75" x14ac:dyDescent="0.25">
      <c r="C10" s="605" t="s">
        <v>106</v>
      </c>
      <c r="D10" s="605"/>
      <c r="E10" s="605"/>
      <c r="F10" s="605"/>
      <c r="G10" s="53"/>
      <c r="H10" s="53"/>
      <c r="I10" s="53"/>
      <c r="J10" s="55"/>
      <c r="K10" s="374">
        <v>85338</v>
      </c>
    </row>
    <row r="11" spans="1:11" ht="30.75" customHeight="1" x14ac:dyDescent="0.25">
      <c r="C11" s="56" t="s">
        <v>107</v>
      </c>
      <c r="D11" s="54"/>
      <c r="E11" s="57"/>
      <c r="F11" s="57"/>
      <c r="G11" s="53"/>
      <c r="H11" s="53"/>
    </row>
    <row r="12" spans="1:11" ht="15.75" x14ac:dyDescent="0.25">
      <c r="C12" s="576" t="s">
        <v>108</v>
      </c>
      <c r="D12" s="576"/>
      <c r="E12" s="576"/>
      <c r="F12" s="576"/>
      <c r="G12" s="606"/>
      <c r="H12" s="607"/>
      <c r="I12" s="53"/>
      <c r="J12" s="53"/>
    </row>
    <row r="13" spans="1:11" x14ac:dyDescent="0.2">
      <c r="C13" s="54"/>
      <c r="D13" s="54"/>
      <c r="E13" s="58"/>
      <c r="F13" s="58"/>
      <c r="G13" s="8"/>
      <c r="H13" s="8"/>
      <c r="I13" s="2"/>
    </row>
    <row r="14" spans="1:11" x14ac:dyDescent="0.2">
      <c r="C14" s="576" t="s">
        <v>109</v>
      </c>
      <c r="D14" s="576"/>
      <c r="E14" s="576"/>
      <c r="F14" s="576"/>
      <c r="G14" s="606">
        <v>0</v>
      </c>
      <c r="H14" s="606"/>
    </row>
    <row r="15" spans="1:11" x14ac:dyDescent="0.2">
      <c r="C15" s="136"/>
      <c r="D15" s="136"/>
      <c r="E15" s="136"/>
      <c r="F15" s="136"/>
      <c r="G15" s="12"/>
      <c r="H15" s="12"/>
    </row>
    <row r="16" spans="1:11" ht="16.5" thickBot="1" x14ac:dyDescent="0.3">
      <c r="C16" s="601" t="s">
        <v>110</v>
      </c>
      <c r="D16" s="601"/>
      <c r="E16" s="601"/>
      <c r="F16" s="601"/>
      <c r="G16" s="602">
        <f>SUM(G12,G14)</f>
        <v>0</v>
      </c>
      <c r="H16" s="602"/>
      <c r="I16" s="59" t="s">
        <v>111</v>
      </c>
      <c r="J16" s="60">
        <f>3/4*G16</f>
        <v>0</v>
      </c>
      <c r="K16" s="61"/>
    </row>
    <row r="17" spans="3:11" ht="13.5" thickTop="1" x14ac:dyDescent="0.2">
      <c r="C17" s="54"/>
      <c r="D17" s="54"/>
      <c r="E17" s="54"/>
      <c r="F17" s="54"/>
      <c r="G17" s="12"/>
      <c r="H17" s="12"/>
      <c r="J17" s="54"/>
    </row>
    <row r="18" spans="3:11" x14ac:dyDescent="0.2">
      <c r="C18" s="576" t="s">
        <v>112</v>
      </c>
      <c r="D18" s="576"/>
      <c r="E18" s="576"/>
      <c r="F18" s="576"/>
      <c r="G18" s="603">
        <v>0</v>
      </c>
      <c r="H18" s="603"/>
      <c r="I18" s="604" t="s">
        <v>113</v>
      </c>
      <c r="J18" s="598">
        <f>IF((G18*0.5)&lt;0, 0, G18*0.5)</f>
        <v>0</v>
      </c>
    </row>
    <row r="19" spans="3:11" x14ac:dyDescent="0.2">
      <c r="C19" s="576" t="s">
        <v>114</v>
      </c>
      <c r="D19" s="576"/>
      <c r="E19" s="576"/>
      <c r="F19" s="576"/>
      <c r="G19" s="603"/>
      <c r="H19" s="603"/>
      <c r="I19" s="604"/>
      <c r="J19" s="599"/>
    </row>
    <row r="20" spans="3:11" ht="13.5" thickBot="1" x14ac:dyDescent="0.25">
      <c r="C20" s="600"/>
      <c r="D20" s="600"/>
      <c r="E20" s="600"/>
      <c r="F20" s="600"/>
      <c r="G20" s="62"/>
      <c r="H20" s="62"/>
      <c r="J20" s="63">
        <f>IF((J16-J18)&lt;0,0,J16-J18)</f>
        <v>0</v>
      </c>
      <c r="K20" s="64">
        <f>J20</f>
        <v>0</v>
      </c>
    </row>
    <row r="21" spans="3:11" ht="13.5" thickTop="1" x14ac:dyDescent="0.2">
      <c r="C21" s="136"/>
      <c r="D21" s="136"/>
      <c r="E21" s="136"/>
      <c r="F21" s="136"/>
      <c r="G21" s="60"/>
      <c r="H21" s="60"/>
    </row>
    <row r="22" spans="3:11" x14ac:dyDescent="0.2">
      <c r="C22" s="576" t="s">
        <v>115</v>
      </c>
      <c r="D22" s="576"/>
      <c r="E22" s="576"/>
      <c r="F22" s="576"/>
      <c r="G22" s="593">
        <v>0</v>
      </c>
      <c r="H22" s="593"/>
      <c r="K22" s="64">
        <f>G22</f>
        <v>0</v>
      </c>
    </row>
    <row r="23" spans="3:11" x14ac:dyDescent="0.2">
      <c r="C23" s="136"/>
      <c r="D23" s="136"/>
      <c r="E23" s="136"/>
      <c r="F23" s="136"/>
      <c r="G23" s="65"/>
      <c r="H23" s="65"/>
    </row>
    <row r="24" spans="3:11" x14ac:dyDescent="0.2">
      <c r="C24" s="136"/>
      <c r="D24" s="136"/>
      <c r="E24" s="136"/>
      <c r="F24" s="202" t="s">
        <v>110</v>
      </c>
      <c r="G24" s="595"/>
      <c r="H24" s="595"/>
      <c r="K24" s="66">
        <f>SUM(K10,K20,K22)</f>
        <v>85338</v>
      </c>
    </row>
    <row r="25" spans="3:11" x14ac:dyDescent="0.2">
      <c r="C25" s="136"/>
      <c r="D25" s="136"/>
      <c r="E25" s="136"/>
      <c r="F25" s="136"/>
    </row>
    <row r="26" spans="3:11" x14ac:dyDescent="0.2">
      <c r="C26" s="56" t="s">
        <v>116</v>
      </c>
    </row>
    <row r="28" spans="3:11" x14ac:dyDescent="0.2">
      <c r="C28" s="576" t="s">
        <v>117</v>
      </c>
      <c r="D28" s="576"/>
      <c r="E28" s="576"/>
      <c r="F28" s="576"/>
      <c r="G28" s="596"/>
      <c r="H28" s="597"/>
    </row>
    <row r="29" spans="3:11" x14ac:dyDescent="0.2">
      <c r="C29" s="576" t="s">
        <v>118</v>
      </c>
      <c r="D29" s="576"/>
      <c r="E29" s="576"/>
      <c r="F29" s="576"/>
      <c r="G29" s="597"/>
      <c r="H29" s="597"/>
    </row>
    <row r="30" spans="3:11" x14ac:dyDescent="0.2">
      <c r="C30" s="136"/>
      <c r="D30" s="136"/>
      <c r="E30" s="136"/>
      <c r="F30" s="136"/>
    </row>
    <row r="31" spans="3:11" x14ac:dyDescent="0.2">
      <c r="C31" s="576" t="s">
        <v>109</v>
      </c>
      <c r="D31" s="576"/>
      <c r="E31" s="576"/>
      <c r="F31" s="576"/>
      <c r="G31" s="593">
        <v>0</v>
      </c>
      <c r="H31" s="593"/>
    </row>
    <row r="32" spans="3:11" x14ac:dyDescent="0.2">
      <c r="C32" s="576"/>
      <c r="D32" s="576"/>
      <c r="E32" s="576"/>
      <c r="F32" s="576"/>
      <c r="G32" s="8"/>
      <c r="H32" s="8"/>
    </row>
    <row r="33" spans="3:12" ht="16.5" thickBot="1" x14ac:dyDescent="0.3">
      <c r="C33" s="137"/>
      <c r="D33" s="137"/>
      <c r="E33" s="137"/>
      <c r="F33" s="202" t="s">
        <v>110</v>
      </c>
      <c r="G33" s="594">
        <f>SUM(G31,G28)</f>
        <v>0</v>
      </c>
      <c r="H33" s="594"/>
      <c r="I33" s="203" t="s">
        <v>111</v>
      </c>
      <c r="J33" s="68"/>
      <c r="K33" s="69">
        <f>G33*3/4</f>
        <v>0</v>
      </c>
    </row>
    <row r="34" spans="3:12" ht="13.5" thickTop="1" x14ac:dyDescent="0.2"/>
    <row r="35" spans="3:12" ht="15.75" x14ac:dyDescent="0.25">
      <c r="C35" s="53"/>
      <c r="D35" s="53"/>
      <c r="E35" s="53"/>
    </row>
    <row r="36" spans="3:12" ht="15.75" x14ac:dyDescent="0.25">
      <c r="C36" s="196" t="s">
        <v>119</v>
      </c>
      <c r="D36" s="70"/>
      <c r="E36" s="201"/>
      <c r="F36" s="70"/>
      <c r="G36" s="70"/>
      <c r="H36" s="70"/>
      <c r="I36" s="70"/>
      <c r="J36" s="70"/>
      <c r="K36" s="69">
        <f>K24-K33</f>
        <v>85338</v>
      </c>
    </row>
    <row r="37" spans="3:12" x14ac:dyDescent="0.2">
      <c r="C37" s="2"/>
      <c r="D37" s="2"/>
      <c r="E37" s="2"/>
      <c r="F37" s="2"/>
      <c r="G37" s="2"/>
      <c r="H37" s="2"/>
      <c r="I37" s="2"/>
      <c r="J37" s="2"/>
      <c r="K37" s="2"/>
    </row>
    <row r="38" spans="3:12" ht="15.75" x14ac:dyDescent="0.25">
      <c r="C38" s="197" t="s">
        <v>239</v>
      </c>
      <c r="D38" s="197"/>
      <c r="E38" s="198"/>
      <c r="F38" s="198"/>
      <c r="G38" s="198"/>
      <c r="H38" s="197"/>
      <c r="I38" s="199">
        <f>K36</f>
        <v>85338</v>
      </c>
      <c r="J38" s="200" t="s">
        <v>121</v>
      </c>
      <c r="K38" s="69">
        <f>I38*0.07</f>
        <v>5973.6600000000008</v>
      </c>
      <c r="L38" s="440"/>
    </row>
    <row r="39" spans="3:12" x14ac:dyDescent="0.2">
      <c r="C39" s="2"/>
      <c r="D39" s="2"/>
      <c r="E39" s="2"/>
      <c r="F39" s="2"/>
      <c r="G39" s="2"/>
      <c r="H39" s="2"/>
      <c r="I39" s="2"/>
      <c r="J39" s="2"/>
      <c r="K39" s="2"/>
    </row>
    <row r="40" spans="3:12" x14ac:dyDescent="0.2">
      <c r="C40" s="196" t="s">
        <v>122</v>
      </c>
      <c r="D40" s="196"/>
      <c r="E40" s="196"/>
      <c r="F40" s="196"/>
      <c r="G40" s="70"/>
      <c r="H40" s="70"/>
      <c r="I40" s="70"/>
      <c r="J40" s="70"/>
      <c r="K40" s="69">
        <f>K36-K38</f>
        <v>79364.34</v>
      </c>
      <c r="L40" s="440" t="s">
        <v>438</v>
      </c>
    </row>
  </sheetData>
  <sheetProtection password="C2FC" sheet="1" objects="1" scenarios="1"/>
  <mergeCells count="27">
    <mergeCell ref="C1:E1"/>
    <mergeCell ref="C2:I2"/>
    <mergeCell ref="C3:I3"/>
    <mergeCell ref="C4:I4"/>
    <mergeCell ref="I18:I19"/>
    <mergeCell ref="C10:F10"/>
    <mergeCell ref="C12:F12"/>
    <mergeCell ref="G12:H12"/>
    <mergeCell ref="C14:F14"/>
    <mergeCell ref="G14:H14"/>
    <mergeCell ref="J18:J19"/>
    <mergeCell ref="C19:F19"/>
    <mergeCell ref="C20:F20"/>
    <mergeCell ref="C16:F16"/>
    <mergeCell ref="G16:H16"/>
    <mergeCell ref="C18:F18"/>
    <mergeCell ref="G18:H19"/>
    <mergeCell ref="C31:F31"/>
    <mergeCell ref="G31:H31"/>
    <mergeCell ref="C32:F32"/>
    <mergeCell ref="G33:H33"/>
    <mergeCell ref="C22:F22"/>
    <mergeCell ref="G22:H22"/>
    <mergeCell ref="G24:H24"/>
    <mergeCell ref="C28:F28"/>
    <mergeCell ref="G28:H29"/>
    <mergeCell ref="C29:F29"/>
  </mergeCells>
  <phoneticPr fontId="3" type="noConversion"/>
  <hyperlinks>
    <hyperlink ref="L40" location="'B10 Schedule 10 CEC Bridge Year'!A1" display="'B10"/>
  </hyperlinks>
  <pageMargins left="0.35433070866141736" right="0.35433070866141736" top="0.39370078740157483" bottom="0.39370078740157483" header="0.31496062992125984" footer="0.31496062992125984"/>
  <pageSetup scale="78" orientation="portrait" r:id="rId1"/>
  <headerFooter alignWithMargins="0"/>
  <colBreaks count="1" manualBreakCount="1">
    <brk id="1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zoomScale="80" zoomScaleNormal="80" workbookViewId="0"/>
  </sheetViews>
  <sheetFormatPr defaultRowHeight="12.75" x14ac:dyDescent="0.2"/>
  <cols>
    <col min="1" max="1" width="2.5703125" style="11" customWidth="1"/>
    <col min="2" max="2" width="4.28515625" style="11" customWidth="1"/>
    <col min="3" max="3" width="35.5703125" style="11" customWidth="1"/>
    <col min="4" max="6" width="18.28515625" style="11" customWidth="1"/>
    <col min="7" max="16384" width="9.140625" style="11"/>
  </cols>
  <sheetData>
    <row r="1" spans="1:9" ht="21.75" x14ac:dyDescent="0.2">
      <c r="A1" s="312"/>
      <c r="C1" s="574"/>
      <c r="D1" s="574"/>
      <c r="E1" s="574"/>
    </row>
    <row r="2" spans="1:9" ht="18" x14ac:dyDescent="0.25">
      <c r="C2" s="575"/>
      <c r="D2" s="575"/>
      <c r="E2" s="575"/>
      <c r="F2" s="575"/>
      <c r="G2" s="575"/>
      <c r="H2" s="575"/>
      <c r="I2" s="575"/>
    </row>
    <row r="3" spans="1:9" ht="18" x14ac:dyDescent="0.25">
      <c r="C3" s="575"/>
      <c r="D3" s="575"/>
      <c r="E3" s="575"/>
      <c r="F3" s="575"/>
      <c r="G3" s="575"/>
      <c r="H3" s="575"/>
      <c r="I3" s="575"/>
    </row>
    <row r="4" spans="1:9" ht="18" x14ac:dyDescent="0.25">
      <c r="C4" s="575"/>
      <c r="D4" s="575"/>
      <c r="E4" s="575"/>
      <c r="F4" s="575"/>
      <c r="G4" s="575"/>
      <c r="H4" s="575"/>
      <c r="I4" s="575"/>
    </row>
    <row r="6" spans="1:9" ht="48.75" customHeight="1" x14ac:dyDescent="0.2"/>
    <row r="8" spans="1:9" ht="18" x14ac:dyDescent="0.25">
      <c r="C8" s="368" t="s">
        <v>355</v>
      </c>
    </row>
    <row r="10" spans="1:9" ht="18" x14ac:dyDescent="0.2">
      <c r="C10" s="375" t="s">
        <v>356</v>
      </c>
      <c r="D10" s="72"/>
      <c r="E10" s="72"/>
      <c r="F10" s="72"/>
    </row>
    <row r="11" spans="1:9" x14ac:dyDescent="0.2">
      <c r="C11" s="74"/>
      <c r="D11" s="72"/>
      <c r="F11" s="72"/>
    </row>
    <row r="12" spans="1:9" ht="13.5" thickBot="1" x14ac:dyDescent="0.25"/>
    <row r="13" spans="1:9" ht="24.75" thickBot="1" x14ac:dyDescent="0.25">
      <c r="C13" s="75" t="s">
        <v>123</v>
      </c>
      <c r="D13" s="76" t="s">
        <v>225</v>
      </c>
      <c r="E13" s="77" t="s">
        <v>124</v>
      </c>
      <c r="F13" s="78" t="s">
        <v>226</v>
      </c>
    </row>
    <row r="14" spans="1:9" x14ac:dyDescent="0.2">
      <c r="C14" s="154"/>
      <c r="D14" s="152"/>
      <c r="E14" s="153"/>
      <c r="F14" s="155"/>
    </row>
    <row r="15" spans="1:9" x14ac:dyDescent="0.2">
      <c r="C15" s="156" t="s">
        <v>128</v>
      </c>
      <c r="D15" s="376"/>
      <c r="E15" s="377"/>
      <c r="F15" s="157">
        <f>D15-E15</f>
        <v>0</v>
      </c>
      <c r="G15" s="440" t="s">
        <v>436</v>
      </c>
    </row>
    <row r="16" spans="1:9" x14ac:dyDescent="0.2">
      <c r="C16" s="608" t="s">
        <v>129</v>
      </c>
      <c r="D16" s="609"/>
      <c r="E16" s="609"/>
      <c r="F16" s="610"/>
    </row>
    <row r="17" spans="3:7" x14ac:dyDescent="0.2">
      <c r="C17" s="158" t="s">
        <v>130</v>
      </c>
      <c r="D17" s="376"/>
      <c r="E17" s="376"/>
      <c r="F17" s="157">
        <f t="shared" ref="F17:F26" si="0">D17-E17</f>
        <v>0</v>
      </c>
      <c r="G17" s="440" t="s">
        <v>436</v>
      </c>
    </row>
    <row r="18" spans="3:7" ht="24" x14ac:dyDescent="0.2">
      <c r="C18" s="156" t="s">
        <v>131</v>
      </c>
      <c r="D18" s="376"/>
      <c r="E18" s="376"/>
      <c r="F18" s="157">
        <f t="shared" si="0"/>
        <v>0</v>
      </c>
      <c r="G18" s="440" t="s">
        <v>436</v>
      </c>
    </row>
    <row r="19" spans="3:7" x14ac:dyDescent="0.2">
      <c r="C19" s="156" t="s">
        <v>132</v>
      </c>
      <c r="D19" s="376"/>
      <c r="E19" s="376"/>
      <c r="F19" s="157">
        <f t="shared" si="0"/>
        <v>0</v>
      </c>
      <c r="G19" s="440" t="s">
        <v>436</v>
      </c>
    </row>
    <row r="20" spans="3:7" x14ac:dyDescent="0.2">
      <c r="C20" s="156" t="s">
        <v>133</v>
      </c>
      <c r="D20" s="376"/>
      <c r="E20" s="376"/>
      <c r="F20" s="157">
        <f t="shared" si="0"/>
        <v>0</v>
      </c>
      <c r="G20" s="440" t="s">
        <v>436</v>
      </c>
    </row>
    <row r="21" spans="3:7" x14ac:dyDescent="0.2">
      <c r="C21" s="156" t="s">
        <v>134</v>
      </c>
      <c r="D21" s="376"/>
      <c r="E21" s="376"/>
      <c r="F21" s="157">
        <f t="shared" si="0"/>
        <v>0</v>
      </c>
      <c r="G21" s="440" t="s">
        <v>436</v>
      </c>
    </row>
    <row r="22" spans="3:7" x14ac:dyDescent="0.2">
      <c r="C22" s="378"/>
      <c r="D22" s="376"/>
      <c r="E22" s="376"/>
      <c r="F22" s="157">
        <f t="shared" si="0"/>
        <v>0</v>
      </c>
    </row>
    <row r="23" spans="3:7" x14ac:dyDescent="0.2">
      <c r="C23" s="378"/>
      <c r="D23" s="376"/>
      <c r="E23" s="376"/>
      <c r="F23" s="157">
        <f t="shared" si="0"/>
        <v>0</v>
      </c>
    </row>
    <row r="24" spans="3:7" x14ac:dyDescent="0.2">
      <c r="C24" s="378"/>
      <c r="D24" s="376"/>
      <c r="E24" s="376"/>
      <c r="F24" s="157">
        <f t="shared" si="0"/>
        <v>0</v>
      </c>
    </row>
    <row r="25" spans="3:7" x14ac:dyDescent="0.2">
      <c r="C25" s="378"/>
      <c r="D25" s="376"/>
      <c r="E25" s="376"/>
      <c r="F25" s="157">
        <f t="shared" si="0"/>
        <v>0</v>
      </c>
    </row>
    <row r="26" spans="3:7" ht="16.5" thickBot="1" x14ac:dyDescent="0.25">
      <c r="C26" s="379"/>
      <c r="D26" s="376"/>
      <c r="E26" s="376"/>
      <c r="F26" s="157">
        <f t="shared" si="0"/>
        <v>0</v>
      </c>
    </row>
    <row r="27" spans="3:7" ht="19.5" thickBot="1" x14ac:dyDescent="0.25">
      <c r="C27" s="86" t="s">
        <v>3</v>
      </c>
      <c r="D27" s="320">
        <f>SUM(D17:D26)</f>
        <v>0</v>
      </c>
      <c r="E27" s="87">
        <f>SUM(E17:E26)</f>
        <v>0</v>
      </c>
      <c r="F27" s="342">
        <f>SUM(F17:F26)</f>
        <v>0</v>
      </c>
    </row>
    <row r="28" spans="3:7" x14ac:dyDescent="0.2">
      <c r="C28" s="159"/>
      <c r="D28" s="89"/>
      <c r="E28" s="89"/>
      <c r="F28" s="160"/>
    </row>
    <row r="29" spans="3:7" x14ac:dyDescent="0.2">
      <c r="C29" s="608" t="s">
        <v>135</v>
      </c>
      <c r="D29" s="609"/>
      <c r="E29" s="609"/>
      <c r="F29" s="610"/>
    </row>
    <row r="30" spans="3:7" ht="24" x14ac:dyDescent="0.2">
      <c r="C30" s="156" t="s">
        <v>136</v>
      </c>
      <c r="D30" s="376"/>
      <c r="E30" s="377"/>
      <c r="F30" s="157">
        <f t="shared" ref="F30:F50" si="1">D30-E30</f>
        <v>0</v>
      </c>
      <c r="G30" s="440" t="s">
        <v>436</v>
      </c>
    </row>
    <row r="31" spans="3:7" x14ac:dyDescent="0.2">
      <c r="C31" s="156" t="s">
        <v>137</v>
      </c>
      <c r="D31" s="376"/>
      <c r="E31" s="377"/>
      <c r="F31" s="157">
        <f t="shared" si="1"/>
        <v>0</v>
      </c>
      <c r="G31" s="440" t="s">
        <v>436</v>
      </c>
    </row>
    <row r="32" spans="3:7" x14ac:dyDescent="0.2">
      <c r="C32" s="156" t="s">
        <v>138</v>
      </c>
      <c r="D32" s="376">
        <f>+'[6]Reserves Continuity'!$C$18</f>
        <v>288978</v>
      </c>
      <c r="E32" s="377"/>
      <c r="F32" s="157">
        <f t="shared" si="1"/>
        <v>288978</v>
      </c>
      <c r="G32" s="440" t="s">
        <v>436</v>
      </c>
    </row>
    <row r="33" spans="3:7" x14ac:dyDescent="0.2">
      <c r="C33" s="161" t="s">
        <v>139</v>
      </c>
      <c r="D33" s="376"/>
      <c r="E33" s="377"/>
      <c r="F33" s="157">
        <f t="shared" si="1"/>
        <v>0</v>
      </c>
      <c r="G33" s="440" t="s">
        <v>436</v>
      </c>
    </row>
    <row r="34" spans="3:7" x14ac:dyDescent="0.2">
      <c r="C34" s="161" t="s">
        <v>140</v>
      </c>
      <c r="D34" s="376"/>
      <c r="E34" s="377"/>
      <c r="F34" s="157">
        <f t="shared" si="1"/>
        <v>0</v>
      </c>
      <c r="G34" s="440" t="s">
        <v>436</v>
      </c>
    </row>
    <row r="35" spans="3:7" x14ac:dyDescent="0.2">
      <c r="C35" s="161" t="s">
        <v>141</v>
      </c>
      <c r="D35" s="376"/>
      <c r="E35" s="377"/>
      <c r="F35" s="157">
        <f t="shared" si="1"/>
        <v>0</v>
      </c>
      <c r="G35" s="440" t="s">
        <v>436</v>
      </c>
    </row>
    <row r="36" spans="3:7" x14ac:dyDescent="0.2">
      <c r="C36" s="161" t="s">
        <v>142</v>
      </c>
      <c r="D36" s="376"/>
      <c r="E36" s="377"/>
      <c r="F36" s="157">
        <f t="shared" si="1"/>
        <v>0</v>
      </c>
      <c r="G36" s="440" t="s">
        <v>436</v>
      </c>
    </row>
    <row r="37" spans="3:7" x14ac:dyDescent="0.2">
      <c r="C37" s="161" t="s">
        <v>143</v>
      </c>
      <c r="D37" s="376"/>
      <c r="E37" s="377"/>
      <c r="F37" s="157">
        <f t="shared" si="1"/>
        <v>0</v>
      </c>
      <c r="G37" s="440" t="s">
        <v>436</v>
      </c>
    </row>
    <row r="38" spans="3:7" x14ac:dyDescent="0.2">
      <c r="C38" s="156" t="s">
        <v>144</v>
      </c>
      <c r="D38" s="376"/>
      <c r="E38" s="377"/>
      <c r="F38" s="157">
        <f t="shared" si="1"/>
        <v>0</v>
      </c>
      <c r="G38" s="440" t="s">
        <v>436</v>
      </c>
    </row>
    <row r="39" spans="3:7" x14ac:dyDescent="0.2">
      <c r="C39" s="156" t="s">
        <v>145</v>
      </c>
      <c r="D39" s="376"/>
      <c r="E39" s="377"/>
      <c r="F39" s="157">
        <f t="shared" si="1"/>
        <v>0</v>
      </c>
      <c r="G39" s="440" t="s">
        <v>436</v>
      </c>
    </row>
    <row r="40" spans="3:7" x14ac:dyDescent="0.2">
      <c r="C40" s="156" t="s">
        <v>146</v>
      </c>
      <c r="D40" s="376"/>
      <c r="E40" s="377"/>
      <c r="F40" s="157">
        <f t="shared" si="1"/>
        <v>0</v>
      </c>
      <c r="G40" s="440" t="s">
        <v>436</v>
      </c>
    </row>
    <row r="41" spans="3:7" x14ac:dyDescent="0.2">
      <c r="C41" s="156" t="s">
        <v>147</v>
      </c>
      <c r="D41" s="376"/>
      <c r="E41" s="377"/>
      <c r="F41" s="157">
        <f t="shared" si="1"/>
        <v>0</v>
      </c>
      <c r="G41" s="440" t="s">
        <v>436</v>
      </c>
    </row>
    <row r="42" spans="3:7" x14ac:dyDescent="0.2">
      <c r="C42" s="156" t="s">
        <v>148</v>
      </c>
      <c r="D42" s="376"/>
      <c r="E42" s="377"/>
      <c r="F42" s="157">
        <f t="shared" si="1"/>
        <v>0</v>
      </c>
      <c r="G42" s="440" t="s">
        <v>436</v>
      </c>
    </row>
    <row r="43" spans="3:7" ht="24" x14ac:dyDescent="0.2">
      <c r="C43" s="156" t="s">
        <v>149</v>
      </c>
      <c r="D43" s="376"/>
      <c r="E43" s="377"/>
      <c r="F43" s="157">
        <f t="shared" si="1"/>
        <v>0</v>
      </c>
      <c r="G43" s="440" t="s">
        <v>436</v>
      </c>
    </row>
    <row r="44" spans="3:7" ht="24" x14ac:dyDescent="0.2">
      <c r="C44" s="156" t="s">
        <v>150</v>
      </c>
      <c r="D44" s="376"/>
      <c r="E44" s="377"/>
      <c r="F44" s="157">
        <f t="shared" si="1"/>
        <v>0</v>
      </c>
      <c r="G44" s="440" t="s">
        <v>436</v>
      </c>
    </row>
    <row r="45" spans="3:7" x14ac:dyDescent="0.2">
      <c r="C45" s="156" t="s">
        <v>151</v>
      </c>
      <c r="D45" s="376"/>
      <c r="E45" s="377"/>
      <c r="F45" s="157">
        <f t="shared" si="1"/>
        <v>0</v>
      </c>
      <c r="G45" s="440" t="s">
        <v>436</v>
      </c>
    </row>
    <row r="46" spans="3:7" x14ac:dyDescent="0.2">
      <c r="C46" s="378"/>
      <c r="D46" s="376"/>
      <c r="E46" s="377"/>
      <c r="F46" s="157"/>
    </row>
    <row r="47" spans="3:7" x14ac:dyDescent="0.2">
      <c r="C47" s="378"/>
      <c r="D47" s="376"/>
      <c r="E47" s="377"/>
      <c r="F47" s="157"/>
    </row>
    <row r="48" spans="3:7" x14ac:dyDescent="0.2">
      <c r="C48" s="378"/>
      <c r="D48" s="376"/>
      <c r="E48" s="377"/>
      <c r="F48" s="157"/>
    </row>
    <row r="49" spans="3:6" x14ac:dyDescent="0.2">
      <c r="C49" s="378"/>
      <c r="D49" s="376"/>
      <c r="E49" s="377"/>
      <c r="F49" s="157">
        <f t="shared" si="1"/>
        <v>0</v>
      </c>
    </row>
    <row r="50" spans="3:6" ht="16.5" thickBot="1" x14ac:dyDescent="0.25">
      <c r="C50" s="379"/>
      <c r="D50" s="376"/>
      <c r="E50" s="377"/>
      <c r="F50" s="157">
        <f t="shared" si="1"/>
        <v>0</v>
      </c>
    </row>
    <row r="51" spans="3:6" ht="19.5" thickBot="1" x14ac:dyDescent="0.25">
      <c r="C51" s="86" t="s">
        <v>152</v>
      </c>
      <c r="D51" s="343">
        <f>SUM(D30:D50)</f>
        <v>288978</v>
      </c>
      <c r="E51" s="93">
        <f>SUM(E30:E50)</f>
        <v>0</v>
      </c>
      <c r="F51" s="344">
        <f>SUM(F30:F50)</f>
        <v>288978</v>
      </c>
    </row>
  </sheetData>
  <sheetProtection password="C2FC" sheet="1" objects="1" scenarios="1"/>
  <mergeCells count="6">
    <mergeCell ref="C16:F16"/>
    <mergeCell ref="C29:F29"/>
    <mergeCell ref="C1:E1"/>
    <mergeCell ref="C2:I2"/>
    <mergeCell ref="C3:I3"/>
    <mergeCell ref="C4:I4"/>
  </mergeCells>
  <phoneticPr fontId="3" type="noConversion"/>
  <conditionalFormatting sqref="E27">
    <cfRule type="cellIs" dxfId="28" priority="3" stopIfTrue="1" operator="notEqual">
      <formula>$C$14</formula>
    </cfRule>
  </conditionalFormatting>
  <conditionalFormatting sqref="E51">
    <cfRule type="cellIs" dxfId="27" priority="5" stopIfTrue="1" operator="notEqual">
      <formula>$B$37</formula>
    </cfRule>
  </conditionalFormatting>
  <conditionalFormatting sqref="F15 F30:F50 F17:F26">
    <cfRule type="cellIs" dxfId="26" priority="7" stopIfTrue="1" operator="lessThan">
      <formula>0</formula>
    </cfRule>
  </conditionalFormatting>
  <conditionalFormatting sqref="C22:C26 D17:E26 D15:E15 C46:C50 D30:E31 D33:E50 E32">
    <cfRule type="expression" dxfId="25" priority="8" stopIfTrue="1">
      <formula>ISBLANK(C15)</formula>
    </cfRule>
  </conditionalFormatting>
  <conditionalFormatting sqref="D32">
    <cfRule type="expression" dxfId="24" priority="1" stopIfTrue="1">
      <formula>ISBLANK(D32)</formula>
    </cfRule>
  </conditionalFormatting>
  <hyperlinks>
    <hyperlink ref="G15" location="'B13 Sch 13 Tax Reserves Bridge'!A1" display="'B13"/>
    <hyperlink ref="G17:G21" location="'B13 Sch 13 Tax Reserves Bridge'!A1" display="'B13"/>
    <hyperlink ref="G30:G45" location="'B13 Sch 13 Tax Reserves Bridge'!A1" display="'B13"/>
  </hyperlinks>
  <pageMargins left="0.35433070866141736" right="0.15748031496062992" top="0.39370078740157483" bottom="0.39370078740157483" header="0.51181102362204722" footer="0.51181102362204722"/>
  <pageSetup scale="78"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46"/>
  <sheetViews>
    <sheetView zoomScale="80" zoomScaleNormal="80" workbookViewId="0">
      <selection activeCell="I10" sqref="I10"/>
    </sheetView>
  </sheetViews>
  <sheetFormatPr defaultRowHeight="12.75" x14ac:dyDescent="0.2"/>
  <cols>
    <col min="1" max="1" width="4.28515625" style="11" customWidth="1"/>
    <col min="2" max="2" width="13.28515625" style="11" customWidth="1"/>
    <col min="3" max="3" width="32.28515625" style="11" customWidth="1"/>
    <col min="4" max="4" width="42.7109375" style="11" customWidth="1"/>
    <col min="5" max="5" width="11.42578125" style="11" bestFit="1" customWidth="1"/>
    <col min="6" max="6" width="6" style="11" customWidth="1"/>
    <col min="7" max="7" width="16.140625" style="11" bestFit="1" customWidth="1"/>
    <col min="8" max="8" width="10.42578125" style="11" customWidth="1"/>
    <col min="9" max="9" width="16.28515625" style="11" bestFit="1" customWidth="1"/>
    <col min="10" max="10" width="11.7109375" style="11" bestFit="1" customWidth="1"/>
    <col min="11" max="11" width="4.5703125" style="11" customWidth="1"/>
    <col min="12" max="16384" width="9.140625" style="11"/>
  </cols>
  <sheetData>
    <row r="1" spans="1:12" ht="21.75" x14ac:dyDescent="0.2">
      <c r="A1" s="312"/>
      <c r="C1" s="574"/>
      <c r="D1" s="574"/>
      <c r="E1" s="574"/>
      <c r="F1" s="574"/>
      <c r="G1" s="574"/>
      <c r="H1" s="24"/>
    </row>
    <row r="2" spans="1:12" ht="18" x14ac:dyDescent="0.25">
      <c r="C2" s="575"/>
      <c r="D2" s="575"/>
      <c r="E2" s="575"/>
      <c r="F2" s="575"/>
      <c r="G2" s="575"/>
      <c r="H2" s="575"/>
      <c r="I2" s="575"/>
      <c r="J2" s="575"/>
      <c r="K2" s="575"/>
      <c r="L2" s="575"/>
    </row>
    <row r="3" spans="1:12" ht="18" x14ac:dyDescent="0.25">
      <c r="C3" s="575"/>
      <c r="D3" s="575"/>
      <c r="E3" s="575"/>
      <c r="F3" s="575"/>
      <c r="G3" s="575"/>
      <c r="H3" s="575"/>
      <c r="I3" s="575"/>
      <c r="J3" s="575"/>
      <c r="K3" s="575"/>
      <c r="L3" s="575"/>
    </row>
    <row r="4" spans="1:12" ht="50.25" customHeight="1" x14ac:dyDescent="0.25">
      <c r="C4" s="575"/>
      <c r="D4" s="575"/>
      <c r="E4" s="575"/>
      <c r="F4" s="575"/>
      <c r="G4" s="575"/>
      <c r="H4" s="575"/>
      <c r="I4" s="575"/>
      <c r="J4" s="575"/>
      <c r="K4" s="575"/>
      <c r="L4" s="575"/>
    </row>
    <row r="5" spans="1:12" ht="50.25" customHeight="1" x14ac:dyDescent="0.2"/>
    <row r="6" spans="1:12" ht="18" x14ac:dyDescent="0.25">
      <c r="B6" s="406" t="s">
        <v>363</v>
      </c>
    </row>
    <row r="8" spans="1:12" ht="18" x14ac:dyDescent="0.2">
      <c r="C8" s="121"/>
      <c r="D8" s="121"/>
      <c r="E8" s="116"/>
      <c r="F8" s="116"/>
      <c r="G8" s="116"/>
      <c r="H8" s="116"/>
      <c r="I8" s="405" t="s">
        <v>358</v>
      </c>
      <c r="J8" s="122"/>
    </row>
    <row r="9" spans="1:12" x14ac:dyDescent="0.2">
      <c r="C9" s="121"/>
      <c r="D9" s="121"/>
      <c r="E9" s="116"/>
      <c r="F9" s="116"/>
      <c r="G9" s="116"/>
      <c r="H9" s="452" t="s">
        <v>430</v>
      </c>
      <c r="I9" s="29"/>
      <c r="J9" s="122"/>
    </row>
    <row r="10" spans="1:12" x14ac:dyDescent="0.2">
      <c r="C10" s="123" t="s">
        <v>209</v>
      </c>
      <c r="D10" s="123"/>
      <c r="E10" s="116"/>
      <c r="F10" s="116"/>
      <c r="G10" s="116"/>
      <c r="H10" s="438" t="s">
        <v>433</v>
      </c>
      <c r="I10" s="260">
        <f>'B1 Adj. Taxable Income Bridge'!F114</f>
        <v>1044474.4779087026</v>
      </c>
      <c r="J10" s="235" t="s">
        <v>0</v>
      </c>
    </row>
    <row r="11" spans="1:12" x14ac:dyDescent="0.2">
      <c r="C11" s="124"/>
      <c r="D11" s="124"/>
      <c r="E11" s="116"/>
      <c r="F11" s="116"/>
      <c r="G11" s="116"/>
      <c r="H11" s="116"/>
      <c r="I11" s="116"/>
      <c r="J11" s="236"/>
    </row>
    <row r="12" spans="1:12" ht="12.75" hidden="1" customHeight="1" x14ac:dyDescent="0.2">
      <c r="C12" s="140" t="s">
        <v>246</v>
      </c>
      <c r="D12" s="140"/>
      <c r="E12" s="116"/>
      <c r="F12" s="116"/>
      <c r="G12" s="116"/>
      <c r="H12" s="116"/>
      <c r="I12" s="116"/>
      <c r="J12" s="236"/>
    </row>
    <row r="13" spans="1:12" ht="14.25" hidden="1" customHeight="1" x14ac:dyDescent="0.2">
      <c r="C13" s="297" t="s">
        <v>241</v>
      </c>
      <c r="D13" s="298" t="s">
        <v>313</v>
      </c>
      <c r="E13" s="261">
        <f>IF(I10&lt;=500000,'B. Tax Rates &amp; Exemptions'!H31,'B. Tax Rates &amp; Exemptions'!H21)</f>
        <v>0.115</v>
      </c>
      <c r="F13" s="233" t="s">
        <v>187</v>
      </c>
      <c r="G13" s="305">
        <f>IF(I10&gt;0,I10*E13,0)</f>
        <v>120114.5649595008</v>
      </c>
      <c r="H13" s="233" t="s">
        <v>247</v>
      </c>
      <c r="I13" s="116"/>
      <c r="J13" s="236"/>
    </row>
    <row r="14" spans="1:12" ht="12.75" hidden="1" customHeight="1" x14ac:dyDescent="0.2">
      <c r="C14" s="300"/>
      <c r="F14" s="136"/>
      <c r="H14" s="136"/>
      <c r="J14" s="136"/>
    </row>
    <row r="15" spans="1:12" ht="14.25" hidden="1" customHeight="1" x14ac:dyDescent="0.2">
      <c r="C15" s="297" t="s">
        <v>242</v>
      </c>
      <c r="D15" s="144" t="s">
        <v>222</v>
      </c>
      <c r="E15" s="306">
        <f>IF(I10&gt;'B. Tax Rates &amp; Exemptions'!G27,'B. Tax Rates &amp; Exemptions'!G27,0)</f>
        <v>500000</v>
      </c>
      <c r="F15" s="233" t="s">
        <v>188</v>
      </c>
      <c r="G15" s="116"/>
      <c r="H15" s="234"/>
      <c r="I15" s="116"/>
      <c r="J15" s="236"/>
    </row>
    <row r="16" spans="1:12" ht="14.25" hidden="1" customHeight="1" x14ac:dyDescent="0.2">
      <c r="C16" s="300"/>
      <c r="D16" s="144" t="s">
        <v>217</v>
      </c>
      <c r="E16" s="261">
        <f>-('B. Tax Rates &amp; Exemptions'!H21-'B. Tax Rates &amp; Exemptions'!H31)</f>
        <v>-7.0000000000000007E-2</v>
      </c>
      <c r="F16" s="233" t="s">
        <v>189</v>
      </c>
      <c r="G16" s="262">
        <f>IF(I10&gt;0,E15*E16,0)</f>
        <v>-35000</v>
      </c>
      <c r="H16" s="233" t="s">
        <v>248</v>
      </c>
      <c r="I16" s="116"/>
      <c r="J16" s="236"/>
    </row>
    <row r="17" spans="3:10" ht="14.25" hidden="1" customHeight="1" x14ac:dyDescent="0.2">
      <c r="C17" s="300"/>
      <c r="D17" s="144"/>
      <c r="E17" s="116"/>
      <c r="F17" s="116"/>
      <c r="G17" s="116"/>
      <c r="H17" s="234"/>
      <c r="I17" s="116"/>
      <c r="J17" s="236"/>
    </row>
    <row r="18" spans="3:10" ht="12.75" hidden="1" customHeight="1" x14ac:dyDescent="0.2">
      <c r="C18" s="300"/>
      <c r="H18" s="136"/>
      <c r="I18" s="116"/>
      <c r="J18" s="236"/>
    </row>
    <row r="19" spans="3:10" ht="12.75" hidden="1" customHeight="1" x14ac:dyDescent="0.2">
      <c r="C19" s="300"/>
      <c r="H19" s="136"/>
      <c r="I19" s="116"/>
      <c r="J19" s="236"/>
    </row>
    <row r="20" spans="3:10" ht="14.25" hidden="1" customHeight="1" x14ac:dyDescent="0.2">
      <c r="C20" s="297" t="s">
        <v>243</v>
      </c>
      <c r="D20" s="124"/>
      <c r="E20" s="116"/>
      <c r="F20" s="116"/>
      <c r="G20" s="116"/>
      <c r="H20" s="234"/>
      <c r="I20" s="260">
        <f>SUM(G13:G19)</f>
        <v>85114.5649595008</v>
      </c>
      <c r="J20" s="235" t="s">
        <v>254</v>
      </c>
    </row>
    <row r="21" spans="3:10" ht="12.75" hidden="1" customHeight="1" x14ac:dyDescent="0.2">
      <c r="C21" s="124"/>
      <c r="D21" s="124"/>
      <c r="E21" s="116"/>
      <c r="F21" s="116"/>
      <c r="G21" s="116"/>
      <c r="H21" s="234"/>
      <c r="I21" s="116"/>
      <c r="J21" s="236"/>
    </row>
    <row r="22" spans="3:10" ht="12.75" hidden="1" customHeight="1" x14ac:dyDescent="0.2">
      <c r="C22" s="124"/>
      <c r="D22" s="124"/>
      <c r="E22" s="116"/>
      <c r="F22" s="116"/>
      <c r="G22" s="116"/>
      <c r="H22" s="234"/>
      <c r="I22" s="116"/>
      <c r="J22" s="236"/>
    </row>
    <row r="23" spans="3:10" ht="14.25" x14ac:dyDescent="0.2">
      <c r="C23" s="202" t="s">
        <v>249</v>
      </c>
      <c r="D23" s="144" t="s">
        <v>244</v>
      </c>
      <c r="E23" s="116"/>
      <c r="G23" s="263">
        <f>IF(ratebase&lt;=10000000, ontario_SB, IF(ratebase&gt;=15000000, ontariotax, IF(AND(ratebase&gt;10000000, ratebase&lt;15000000), ontario_SB+ (ratebase - 10000000)*(ontariotax - ontario_SB)/(15000000-10000000))))</f>
        <v>0.115</v>
      </c>
      <c r="H23" s="233" t="s">
        <v>187</v>
      </c>
      <c r="I23" s="116"/>
      <c r="J23" s="236"/>
    </row>
    <row r="24" spans="3:10" ht="14.25" x14ac:dyDescent="0.2">
      <c r="C24" s="124"/>
      <c r="D24" s="144" t="s">
        <v>398</v>
      </c>
      <c r="E24" s="116"/>
      <c r="F24" s="116"/>
      <c r="G24" s="261">
        <f>IF(ratebase&lt;=10000000, Fed_SB, IF(ratebase&gt;=15000000, FedTax, IF(AND(ratebase&gt;10000000, ratebase&lt;15000000), Fed_SB+ (ratebase - 10000000)*(FedTax -Fed_SB)/(15000000-10000000))))</f>
        <v>0.15000000000000002</v>
      </c>
      <c r="H24" s="233" t="s">
        <v>415</v>
      </c>
      <c r="I24" s="116"/>
      <c r="J24" s="236"/>
    </row>
    <row r="25" spans="3:10" ht="14.25" x14ac:dyDescent="0.2">
      <c r="C25" s="124"/>
      <c r="D25" s="144" t="s">
        <v>245</v>
      </c>
      <c r="E25" s="116"/>
      <c r="F25" s="116"/>
      <c r="H25" s="234"/>
      <c r="I25" s="264">
        <f>SUM(G23:G24)</f>
        <v>0.26500000000000001</v>
      </c>
      <c r="J25" s="235" t="s">
        <v>416</v>
      </c>
    </row>
    <row r="26" spans="3:10" x14ac:dyDescent="0.2">
      <c r="C26" s="124"/>
      <c r="D26" s="124"/>
      <c r="E26" s="116"/>
      <c r="F26" s="116"/>
      <c r="G26" s="116"/>
      <c r="H26" s="234"/>
      <c r="I26" s="116"/>
      <c r="J26" s="236"/>
    </row>
    <row r="27" spans="3:10" x14ac:dyDescent="0.2">
      <c r="C27" s="116"/>
      <c r="D27" s="116"/>
      <c r="E27" s="116"/>
      <c r="F27" s="116"/>
      <c r="G27" s="116"/>
      <c r="H27" s="234"/>
      <c r="I27" s="116"/>
      <c r="J27" s="236"/>
    </row>
    <row r="28" spans="3:10" x14ac:dyDescent="0.2">
      <c r="C28" s="118" t="s">
        <v>171</v>
      </c>
      <c r="D28" s="118"/>
      <c r="E28" s="116"/>
      <c r="F28" s="116"/>
      <c r="G28" s="116"/>
      <c r="H28" s="481" t="s">
        <v>440</v>
      </c>
      <c r="I28" s="265">
        <f>I10*I25</f>
        <v>276785.73664580617</v>
      </c>
      <c r="J28" s="235" t="s">
        <v>417</v>
      </c>
    </row>
    <row r="29" spans="3:10" ht="6.75" customHeight="1" x14ac:dyDescent="0.2">
      <c r="C29" s="116"/>
      <c r="D29" s="116"/>
      <c r="E29" s="116"/>
      <c r="F29" s="116"/>
      <c r="G29" s="116"/>
      <c r="H29" s="234"/>
      <c r="I29" s="119"/>
      <c r="J29" s="236"/>
    </row>
    <row r="30" spans="3:10" x14ac:dyDescent="0.2">
      <c r="C30" s="124" t="s">
        <v>172</v>
      </c>
      <c r="D30" s="116"/>
      <c r="E30" s="116"/>
      <c r="F30" s="116"/>
      <c r="G30" s="116"/>
      <c r="H30" s="234"/>
      <c r="I30" s="310"/>
      <c r="J30" s="235" t="s">
        <v>418</v>
      </c>
    </row>
    <row r="31" spans="3:10" x14ac:dyDescent="0.2">
      <c r="C31" s="124" t="s">
        <v>173</v>
      </c>
      <c r="D31" s="116"/>
      <c r="E31" s="116"/>
      <c r="F31" s="116"/>
      <c r="G31" s="116"/>
      <c r="H31" s="234"/>
      <c r="I31" s="310"/>
      <c r="J31" s="235" t="s">
        <v>419</v>
      </c>
    </row>
    <row r="32" spans="3:10" x14ac:dyDescent="0.2">
      <c r="C32" s="118" t="s">
        <v>250</v>
      </c>
      <c r="D32" s="116"/>
      <c r="E32" s="116"/>
      <c r="F32" s="116"/>
      <c r="G32" s="116"/>
      <c r="H32" s="234"/>
      <c r="I32" s="265">
        <f>SUM(I30:I31)</f>
        <v>0</v>
      </c>
      <c r="J32" s="235" t="s">
        <v>420</v>
      </c>
    </row>
    <row r="33" spans="3:10" x14ac:dyDescent="0.2">
      <c r="C33" s="116"/>
      <c r="D33" s="116"/>
      <c r="E33" s="116"/>
      <c r="F33" s="116"/>
      <c r="G33" s="116"/>
      <c r="H33" s="234"/>
      <c r="I33" s="125"/>
      <c r="J33" s="236"/>
    </row>
    <row r="34" spans="3:10" x14ac:dyDescent="0.2">
      <c r="C34" s="118" t="s">
        <v>339</v>
      </c>
      <c r="D34" s="118"/>
      <c r="E34" s="116"/>
      <c r="F34" s="116"/>
      <c r="G34" s="116"/>
      <c r="H34" s="234"/>
      <c r="I34" s="265">
        <f>IF(I28-I32&lt;0,0,I28-I32)</f>
        <v>276785.73664580617</v>
      </c>
      <c r="J34" s="235" t="s">
        <v>421</v>
      </c>
    </row>
    <row r="35" spans="3:10" x14ac:dyDescent="0.2">
      <c r="C35" s="116"/>
      <c r="D35" s="116"/>
      <c r="E35" s="116"/>
      <c r="F35" s="116"/>
      <c r="G35" s="116"/>
      <c r="H35" s="234"/>
      <c r="I35" s="126"/>
      <c r="J35" s="236"/>
    </row>
    <row r="36" spans="3:10" x14ac:dyDescent="0.2">
      <c r="C36" s="116"/>
      <c r="D36" s="116"/>
      <c r="E36" s="116"/>
      <c r="F36" s="116"/>
      <c r="G36" s="261"/>
      <c r="H36" s="233"/>
      <c r="I36" s="309"/>
    </row>
    <row r="37" spans="3:10" x14ac:dyDescent="0.2">
      <c r="C37" s="115"/>
      <c r="D37" s="115"/>
      <c r="E37" s="116"/>
      <c r="F37" s="116"/>
      <c r="G37" s="116"/>
      <c r="H37" s="116"/>
      <c r="I37" s="117"/>
    </row>
    <row r="38" spans="3:10" x14ac:dyDescent="0.2">
      <c r="C38" s="71" t="s">
        <v>258</v>
      </c>
      <c r="G38" s="116"/>
      <c r="H38" s="116"/>
      <c r="I38" s="117"/>
    </row>
    <row r="39" spans="3:10" ht="32.25" customHeight="1" x14ac:dyDescent="0.2">
      <c r="C39" s="578" t="s">
        <v>342</v>
      </c>
      <c r="D39" s="578"/>
      <c r="E39" s="578"/>
      <c r="F39" s="578"/>
      <c r="G39" s="116"/>
      <c r="H39" s="116"/>
      <c r="I39" s="309"/>
    </row>
    <row r="40" spans="3:10" x14ac:dyDescent="0.2">
      <c r="C40" s="116"/>
      <c r="D40" s="116"/>
      <c r="E40" s="116"/>
      <c r="F40" s="116"/>
      <c r="G40" s="116"/>
      <c r="H40" s="116"/>
      <c r="I40" s="302"/>
    </row>
    <row r="42" spans="3:10" x14ac:dyDescent="0.2">
      <c r="C42" s="71"/>
    </row>
    <row r="43" spans="3:10" ht="36" customHeight="1" x14ac:dyDescent="0.2">
      <c r="C43" s="578"/>
      <c r="D43" s="578"/>
      <c r="E43" s="578"/>
      <c r="F43" s="578"/>
      <c r="I43" s="308"/>
    </row>
    <row r="44" spans="3:10" x14ac:dyDescent="0.2">
      <c r="I44" s="307"/>
    </row>
    <row r="45" spans="3:10" x14ac:dyDescent="0.2">
      <c r="I45" s="307"/>
    </row>
    <row r="46" spans="3:10" x14ac:dyDescent="0.2">
      <c r="I46" s="304"/>
    </row>
  </sheetData>
  <sheetProtection password="C2FC" sheet="1" objects="1" scenarios="1"/>
  <mergeCells count="6">
    <mergeCell ref="C43:F43"/>
    <mergeCell ref="C1:G1"/>
    <mergeCell ref="C2:L2"/>
    <mergeCell ref="C3:L3"/>
    <mergeCell ref="C4:L4"/>
    <mergeCell ref="C39:F39"/>
  </mergeCells>
  <phoneticPr fontId="3" type="noConversion"/>
  <conditionalFormatting sqref="I30:I31">
    <cfRule type="expression" dxfId="23" priority="1" stopIfTrue="1">
      <formula>ISBLANK(I30)</formula>
    </cfRule>
  </conditionalFormatting>
  <hyperlinks>
    <hyperlink ref="H10" location="'B1 Adj. Taxable Income Bridge'!A1" display="'B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4"/>
  <sheetViews>
    <sheetView topLeftCell="A79" zoomScale="80" zoomScaleNormal="80" workbookViewId="0">
      <selection activeCell="F31" sqref="F31"/>
    </sheetView>
  </sheetViews>
  <sheetFormatPr defaultRowHeight="12.75" x14ac:dyDescent="0.2"/>
  <cols>
    <col min="1" max="1" width="1.7109375" style="11" customWidth="1"/>
    <col min="2" max="2" width="16.7109375" style="11" customWidth="1"/>
    <col min="3" max="3" width="35.5703125" style="11" customWidth="1"/>
    <col min="4" max="5" width="11.42578125" style="67" customWidth="1"/>
    <col min="6" max="6" width="13.7109375" style="11" customWidth="1"/>
    <col min="7" max="7" width="9.140625" style="11"/>
    <col min="8" max="8" width="35.5703125" style="11" customWidth="1"/>
    <col min="9" max="9" width="10.140625" style="67" customWidth="1"/>
    <col min="10" max="10" width="14.7109375" style="11" customWidth="1"/>
    <col min="11" max="16384" width="9.140625" style="11"/>
  </cols>
  <sheetData>
    <row r="1" spans="1:10" ht="45.75" customHeight="1" x14ac:dyDescent="0.2">
      <c r="A1" s="312"/>
      <c r="C1" s="574"/>
      <c r="D1" s="574"/>
      <c r="E1" s="574"/>
      <c r="F1" s="574"/>
    </row>
    <row r="2" spans="1:10" ht="45.75" customHeight="1" x14ac:dyDescent="0.25">
      <c r="C2" s="575"/>
      <c r="D2" s="575"/>
      <c r="E2" s="575"/>
      <c r="F2" s="575"/>
      <c r="G2" s="575"/>
      <c r="H2" s="575"/>
      <c r="I2" s="575"/>
      <c r="J2" s="575"/>
    </row>
    <row r="3" spans="1:10" ht="45.75" customHeight="1" x14ac:dyDescent="0.25">
      <c r="C3" s="575"/>
      <c r="D3" s="575"/>
      <c r="E3" s="575"/>
      <c r="F3" s="575"/>
      <c r="G3" s="575"/>
      <c r="H3" s="575"/>
      <c r="I3" s="575"/>
      <c r="J3" s="575"/>
    </row>
    <row r="4" spans="1:10" ht="18" x14ac:dyDescent="0.25">
      <c r="C4" s="575"/>
      <c r="D4" s="575"/>
      <c r="E4" s="575"/>
      <c r="F4" s="575"/>
      <c r="G4" s="575"/>
      <c r="H4" s="575"/>
      <c r="I4" s="575"/>
      <c r="J4" s="575"/>
    </row>
    <row r="5" spans="1:10" ht="23.25" x14ac:dyDescent="0.35">
      <c r="B5" s="403" t="s">
        <v>362</v>
      </c>
    </row>
    <row r="6" spans="1:10" ht="23.25" x14ac:dyDescent="0.35">
      <c r="D6" s="286"/>
      <c r="E6" s="286"/>
      <c r="F6" s="286"/>
    </row>
    <row r="7" spans="1:10" ht="36" x14ac:dyDescent="0.2">
      <c r="C7" s="143"/>
      <c r="D7" s="13" t="s">
        <v>4</v>
      </c>
      <c r="E7" s="13" t="s">
        <v>435</v>
      </c>
      <c r="F7" s="14" t="s">
        <v>257</v>
      </c>
    </row>
    <row r="8" spans="1:10" x14ac:dyDescent="0.2">
      <c r="C8" s="15" t="s">
        <v>7</v>
      </c>
      <c r="D8" s="16" t="s">
        <v>0</v>
      </c>
      <c r="E8" s="16"/>
      <c r="F8" s="274">
        <f>+'[7]5. Utility Income'!$N$34</f>
        <v>3562405.3242899906</v>
      </c>
    </row>
    <row r="9" spans="1:10" x14ac:dyDescent="0.2">
      <c r="C9" s="617"/>
      <c r="D9" s="617"/>
      <c r="E9" s="617"/>
      <c r="F9" s="617"/>
    </row>
    <row r="10" spans="1:10" x14ac:dyDescent="0.2">
      <c r="C10" s="618" t="s">
        <v>8</v>
      </c>
      <c r="D10" s="618"/>
      <c r="E10" s="618"/>
      <c r="F10" s="618"/>
    </row>
    <row r="11" spans="1:10" x14ac:dyDescent="0.2">
      <c r="C11" s="20" t="s">
        <v>9</v>
      </c>
      <c r="D11" s="210">
        <v>103</v>
      </c>
      <c r="E11" s="210"/>
      <c r="F11" s="253"/>
    </row>
    <row r="12" spans="1:10" x14ac:dyDescent="0.2">
      <c r="C12" s="20" t="s">
        <v>10</v>
      </c>
      <c r="D12" s="210">
        <v>104</v>
      </c>
      <c r="E12" s="210"/>
      <c r="F12" s="558">
        <f>+'[8]Tax Adjustments 2015'!$F$7</f>
        <v>2812518.7206187113</v>
      </c>
    </row>
    <row r="13" spans="1:10" x14ac:dyDescent="0.2">
      <c r="C13" s="20" t="s">
        <v>11</v>
      </c>
      <c r="D13" s="210">
        <v>106</v>
      </c>
      <c r="E13" s="210"/>
      <c r="F13" s="560">
        <f>+'[8]Tax Adjustments 2015'!$F$8</f>
        <v>143776.50899999999</v>
      </c>
    </row>
    <row r="14" spans="1:10" ht="24" x14ac:dyDescent="0.2">
      <c r="C14" s="20" t="s">
        <v>12</v>
      </c>
      <c r="D14" s="210">
        <v>107</v>
      </c>
      <c r="E14" s="210"/>
      <c r="F14" s="253"/>
    </row>
    <row r="15" spans="1:10" ht="24" x14ac:dyDescent="0.2">
      <c r="C15" s="20" t="s">
        <v>13</v>
      </c>
      <c r="D15" s="210">
        <v>108</v>
      </c>
      <c r="E15" s="210"/>
      <c r="F15" s="253"/>
    </row>
    <row r="16" spans="1:10" ht="24" x14ac:dyDescent="0.2">
      <c r="C16" s="20" t="s">
        <v>14</v>
      </c>
      <c r="D16" s="210">
        <v>109</v>
      </c>
      <c r="E16" s="210"/>
      <c r="F16" s="253"/>
    </row>
    <row r="17" spans="3:6" ht="24" x14ac:dyDescent="0.2">
      <c r="C17" s="20" t="s">
        <v>15</v>
      </c>
      <c r="D17" s="210">
        <v>110</v>
      </c>
      <c r="E17" s="210"/>
      <c r="F17" s="253"/>
    </row>
    <row r="18" spans="3:6" x14ac:dyDescent="0.2">
      <c r="C18" s="20" t="s">
        <v>16</v>
      </c>
      <c r="D18" s="210">
        <v>111</v>
      </c>
      <c r="E18" s="210"/>
      <c r="F18" s="253"/>
    </row>
    <row r="19" spans="3:6" x14ac:dyDescent="0.2">
      <c r="C19" s="20" t="s">
        <v>17</v>
      </c>
      <c r="D19" s="210">
        <v>112</v>
      </c>
      <c r="E19" s="210"/>
      <c r="F19" s="253"/>
    </row>
    <row r="20" spans="3:6" x14ac:dyDescent="0.2">
      <c r="C20" s="20" t="s">
        <v>18</v>
      </c>
      <c r="D20" s="210">
        <v>113</v>
      </c>
      <c r="E20" s="210"/>
      <c r="F20" s="253"/>
    </row>
    <row r="21" spans="3:6" x14ac:dyDescent="0.2">
      <c r="C21" s="20" t="s">
        <v>19</v>
      </c>
      <c r="D21" s="210">
        <v>114</v>
      </c>
      <c r="E21" s="210"/>
      <c r="F21" s="253"/>
    </row>
    <row r="22" spans="3:6" x14ac:dyDescent="0.2">
      <c r="C22" s="20" t="s">
        <v>20</v>
      </c>
      <c r="D22" s="210">
        <v>116</v>
      </c>
      <c r="E22" s="210"/>
      <c r="F22" s="253"/>
    </row>
    <row r="23" spans="3:6" ht="24" x14ac:dyDescent="0.2">
      <c r="C23" s="20" t="s">
        <v>21</v>
      </c>
      <c r="D23" s="210">
        <v>118</v>
      </c>
      <c r="E23" s="210"/>
      <c r="F23" s="253"/>
    </row>
    <row r="24" spans="3:6" x14ac:dyDescent="0.2">
      <c r="C24" s="20" t="s">
        <v>22</v>
      </c>
      <c r="D24" s="210">
        <v>119</v>
      </c>
      <c r="E24" s="210"/>
      <c r="F24" s="253"/>
    </row>
    <row r="25" spans="3:6" x14ac:dyDescent="0.2">
      <c r="C25" s="20" t="s">
        <v>23</v>
      </c>
      <c r="D25" s="210">
        <v>120</v>
      </c>
      <c r="E25" s="210"/>
      <c r="F25" s="253"/>
    </row>
    <row r="26" spans="3:6" ht="24" x14ac:dyDescent="0.2">
      <c r="C26" s="20" t="s">
        <v>24</v>
      </c>
      <c r="D26" s="210">
        <v>121</v>
      </c>
      <c r="E26" s="210"/>
      <c r="F26" s="558">
        <f>+'[8]Tax Adjustments 2015'!$F$21</f>
        <v>4545</v>
      </c>
    </row>
    <row r="27" spans="3:6" x14ac:dyDescent="0.2">
      <c r="C27" s="20" t="s">
        <v>25</v>
      </c>
      <c r="D27" s="210">
        <v>122</v>
      </c>
      <c r="E27" s="210"/>
      <c r="F27" s="253"/>
    </row>
    <row r="28" spans="3:6" x14ac:dyDescent="0.2">
      <c r="C28" s="20" t="s">
        <v>26</v>
      </c>
      <c r="D28" s="210">
        <v>123</v>
      </c>
      <c r="E28" s="210"/>
      <c r="F28" s="253"/>
    </row>
    <row r="29" spans="3:6" x14ac:dyDescent="0.2">
      <c r="C29" s="20" t="s">
        <v>27</v>
      </c>
      <c r="D29" s="210">
        <v>124</v>
      </c>
      <c r="E29" s="210"/>
      <c r="F29" s="253"/>
    </row>
    <row r="30" spans="3:6" x14ac:dyDescent="0.2">
      <c r="C30" s="22" t="s">
        <v>28</v>
      </c>
      <c r="D30" s="211">
        <v>125</v>
      </c>
      <c r="E30" s="460" t="s">
        <v>436</v>
      </c>
      <c r="F30" s="39">
        <f>'B13 Sch 13 Tax Reserves Bridge'!G22</f>
        <v>0</v>
      </c>
    </row>
    <row r="31" spans="3:6" ht="24" x14ac:dyDescent="0.2">
      <c r="C31" s="20" t="s">
        <v>29</v>
      </c>
      <c r="D31" s="210">
        <v>126</v>
      </c>
      <c r="E31" s="460" t="s">
        <v>436</v>
      </c>
      <c r="F31" s="39">
        <f>'B13 Sch 13 Tax Reserves Bridge'!K43</f>
        <v>304086</v>
      </c>
    </row>
    <row r="32" spans="3:6" ht="24" x14ac:dyDescent="0.2">
      <c r="C32" s="20" t="s">
        <v>30</v>
      </c>
      <c r="D32" s="210">
        <v>127</v>
      </c>
      <c r="E32" s="210"/>
      <c r="F32" s="253"/>
    </row>
    <row r="33" spans="3:6" ht="24" x14ac:dyDescent="0.2">
      <c r="C33" s="20" t="s">
        <v>31</v>
      </c>
      <c r="D33" s="210">
        <v>205</v>
      </c>
      <c r="E33" s="210"/>
      <c r="F33" s="253"/>
    </row>
    <row r="34" spans="3:6" x14ac:dyDescent="0.2">
      <c r="C34" s="20" t="s">
        <v>32</v>
      </c>
      <c r="D34" s="210">
        <v>206</v>
      </c>
      <c r="E34" s="210"/>
      <c r="F34" s="253"/>
    </row>
    <row r="35" spans="3:6" x14ac:dyDescent="0.2">
      <c r="C35" s="20" t="s">
        <v>33</v>
      </c>
      <c r="D35" s="210">
        <v>208</v>
      </c>
      <c r="E35" s="210"/>
      <c r="F35" s="253"/>
    </row>
    <row r="36" spans="3:6" ht="24" x14ac:dyDescent="0.2">
      <c r="C36" s="20" t="s">
        <v>34</v>
      </c>
      <c r="D36" s="210">
        <v>212</v>
      </c>
      <c r="E36" s="210"/>
      <c r="F36" s="253"/>
    </row>
    <row r="37" spans="3:6" x14ac:dyDescent="0.2">
      <c r="C37" s="20" t="s">
        <v>35</v>
      </c>
      <c r="D37" s="210">
        <v>216</v>
      </c>
      <c r="E37" s="210"/>
      <c r="F37" s="253"/>
    </row>
    <row r="38" spans="3:6" x14ac:dyDescent="0.2">
      <c r="C38" s="20" t="s">
        <v>36</v>
      </c>
      <c r="D38" s="210">
        <v>220</v>
      </c>
      <c r="E38" s="210"/>
      <c r="F38" s="253"/>
    </row>
    <row r="39" spans="3:6" x14ac:dyDescent="0.2">
      <c r="C39" s="20" t="s">
        <v>37</v>
      </c>
      <c r="D39" s="210">
        <v>226</v>
      </c>
      <c r="E39" s="210"/>
      <c r="F39" s="253"/>
    </row>
    <row r="40" spans="3:6" x14ac:dyDescent="0.2">
      <c r="C40" s="20" t="s">
        <v>38</v>
      </c>
      <c r="D40" s="210">
        <v>227</v>
      </c>
      <c r="E40" s="210"/>
      <c r="F40" s="253"/>
    </row>
    <row r="41" spans="3:6" ht="24" x14ac:dyDescent="0.2">
      <c r="C41" s="20" t="s">
        <v>39</v>
      </c>
      <c r="D41" s="210">
        <v>228</v>
      </c>
      <c r="E41" s="210"/>
      <c r="F41" s="253"/>
    </row>
    <row r="42" spans="3:6" x14ac:dyDescent="0.2">
      <c r="C42" s="20" t="s">
        <v>40</v>
      </c>
      <c r="D42" s="210">
        <v>231</v>
      </c>
      <c r="E42" s="210"/>
      <c r="F42" s="253"/>
    </row>
    <row r="43" spans="3:6" x14ac:dyDescent="0.2">
      <c r="C43" s="20" t="s">
        <v>41</v>
      </c>
      <c r="D43" s="210">
        <v>235</v>
      </c>
      <c r="E43" s="210"/>
      <c r="F43" s="253"/>
    </row>
    <row r="44" spans="3:6" x14ac:dyDescent="0.2">
      <c r="C44" s="20" t="s">
        <v>42</v>
      </c>
      <c r="D44" s="210">
        <v>236</v>
      </c>
      <c r="E44" s="210"/>
      <c r="F44" s="253"/>
    </row>
    <row r="45" spans="3:6" ht="36" x14ac:dyDescent="0.2">
      <c r="C45" s="20" t="s">
        <v>43</v>
      </c>
      <c r="D45" s="210">
        <v>237</v>
      </c>
      <c r="E45" s="210"/>
      <c r="F45" s="253"/>
    </row>
    <row r="46" spans="3:6" x14ac:dyDescent="0.2">
      <c r="C46" s="612" t="s">
        <v>44</v>
      </c>
      <c r="D46" s="581"/>
      <c r="E46" s="581"/>
      <c r="F46" s="613"/>
    </row>
    <row r="47" spans="3:6" x14ac:dyDescent="0.2">
      <c r="C47" s="20" t="s">
        <v>45</v>
      </c>
      <c r="D47" s="210">
        <v>290</v>
      </c>
      <c r="E47" s="210"/>
      <c r="F47" s="253"/>
    </row>
    <row r="48" spans="3:6" ht="24" x14ac:dyDescent="0.2">
      <c r="C48" s="20" t="s">
        <v>46</v>
      </c>
      <c r="D48" s="210">
        <v>291</v>
      </c>
      <c r="E48" s="210"/>
      <c r="F48" s="253"/>
    </row>
    <row r="49" spans="3:9" x14ac:dyDescent="0.2">
      <c r="C49" s="20" t="s">
        <v>47</v>
      </c>
      <c r="D49" s="210">
        <v>292</v>
      </c>
      <c r="E49" s="210"/>
      <c r="F49" s="253"/>
    </row>
    <row r="50" spans="3:9" x14ac:dyDescent="0.2">
      <c r="C50" s="20" t="s">
        <v>48</v>
      </c>
      <c r="D50" s="210">
        <v>293</v>
      </c>
      <c r="E50" s="210"/>
      <c r="F50" s="253"/>
    </row>
    <row r="51" spans="3:9" ht="24" customHeight="1" x14ac:dyDescent="0.2">
      <c r="C51" s="404"/>
      <c r="D51" s="316">
        <v>294</v>
      </c>
      <c r="E51" s="316"/>
      <c r="F51" s="274"/>
    </row>
    <row r="52" spans="3:9" ht="24" customHeight="1" x14ac:dyDescent="0.2">
      <c r="C52" s="404"/>
      <c r="D52" s="317">
        <v>295</v>
      </c>
      <c r="E52" s="317"/>
      <c r="F52" s="253"/>
    </row>
    <row r="53" spans="3:9" x14ac:dyDescent="0.2">
      <c r="C53" s="289" t="s">
        <v>323</v>
      </c>
      <c r="D53" s="25"/>
      <c r="E53" s="25"/>
      <c r="F53" s="245"/>
      <c r="G53" s="287"/>
      <c r="H53" s="271"/>
      <c r="I53" s="11"/>
    </row>
    <row r="54" spans="3:9" ht="24" x14ac:dyDescent="0.2">
      <c r="C54" s="289" t="s">
        <v>324</v>
      </c>
      <c r="D54" s="25"/>
      <c r="E54" s="25"/>
      <c r="F54" s="423"/>
      <c r="G54" s="287"/>
      <c r="H54" s="271"/>
      <c r="I54" s="11"/>
    </row>
    <row r="55" spans="3:9" ht="24" x14ac:dyDescent="0.2">
      <c r="C55" s="289" t="s">
        <v>325</v>
      </c>
      <c r="D55" s="25"/>
      <c r="E55" s="25"/>
      <c r="F55" s="245"/>
      <c r="G55" s="287"/>
      <c r="H55" s="271"/>
      <c r="I55" s="11"/>
    </row>
    <row r="56" spans="3:9" x14ac:dyDescent="0.2">
      <c r="C56" s="289" t="s">
        <v>326</v>
      </c>
      <c r="D56" s="25"/>
      <c r="E56" s="25"/>
      <c r="F56" s="245"/>
      <c r="G56" s="287"/>
      <c r="H56" s="271"/>
      <c r="I56" s="11"/>
    </row>
    <row r="57" spans="3:9" x14ac:dyDescent="0.2">
      <c r="C57" s="289" t="s">
        <v>327</v>
      </c>
      <c r="D57" s="25"/>
      <c r="E57" s="25"/>
      <c r="F57" s="245"/>
      <c r="G57" s="287"/>
      <c r="H57" s="271"/>
      <c r="I57" s="11"/>
    </row>
    <row r="58" spans="3:9" ht="21" customHeight="1" x14ac:dyDescent="0.2">
      <c r="C58" s="288"/>
      <c r="D58" s="314"/>
      <c r="E58" s="314"/>
      <c r="F58" s="245"/>
      <c r="G58" s="287"/>
      <c r="H58" s="271"/>
      <c r="I58" s="11"/>
    </row>
    <row r="59" spans="3:9" ht="21" customHeight="1" x14ac:dyDescent="0.2">
      <c r="C59" s="288"/>
      <c r="D59" s="314"/>
      <c r="E59" s="314"/>
      <c r="F59" s="245"/>
      <c r="G59" s="287"/>
      <c r="H59" s="271"/>
      <c r="I59" s="11"/>
    </row>
    <row r="60" spans="3:9" ht="21" customHeight="1" x14ac:dyDescent="0.2">
      <c r="C60" s="288"/>
      <c r="D60" s="314"/>
      <c r="E60" s="314"/>
      <c r="F60" s="245"/>
      <c r="G60" s="287"/>
      <c r="H60" s="271"/>
      <c r="I60" s="11"/>
    </row>
    <row r="61" spans="3:9" ht="21" customHeight="1" x14ac:dyDescent="0.2">
      <c r="C61" s="288"/>
      <c r="D61" s="314"/>
      <c r="E61" s="314"/>
      <c r="F61" s="245"/>
      <c r="G61" s="287"/>
      <c r="H61" s="271"/>
      <c r="I61" s="11"/>
    </row>
    <row r="62" spans="3:9" ht="21" customHeight="1" x14ac:dyDescent="0.2">
      <c r="C62" s="288"/>
      <c r="D62" s="314"/>
      <c r="E62" s="314"/>
      <c r="F62" s="245"/>
      <c r="G62" s="287"/>
      <c r="H62" s="271"/>
      <c r="I62" s="11"/>
    </row>
    <row r="63" spans="3:9" ht="21" customHeight="1" x14ac:dyDescent="0.2">
      <c r="C63" s="288"/>
      <c r="D63" s="314"/>
      <c r="E63" s="314"/>
      <c r="F63" s="245"/>
      <c r="G63" s="287"/>
      <c r="H63" s="271"/>
      <c r="I63" s="11"/>
    </row>
    <row r="64" spans="3:9" ht="21" customHeight="1" x14ac:dyDescent="0.2">
      <c r="C64" s="288"/>
      <c r="D64" s="314"/>
      <c r="E64" s="314"/>
      <c r="F64" s="245"/>
      <c r="G64" s="287"/>
      <c r="H64" s="271"/>
      <c r="I64" s="11"/>
    </row>
    <row r="65" spans="3:9" ht="21" customHeight="1" x14ac:dyDescent="0.2">
      <c r="C65" s="288"/>
      <c r="D65" s="314"/>
      <c r="E65" s="314"/>
      <c r="F65" s="245"/>
      <c r="G65" s="287"/>
      <c r="H65" s="271"/>
      <c r="I65" s="11"/>
    </row>
    <row r="66" spans="3:9" ht="21" customHeight="1" x14ac:dyDescent="0.2">
      <c r="C66" s="288"/>
      <c r="D66" s="313"/>
      <c r="E66" s="313"/>
      <c r="F66" s="423"/>
      <c r="G66" s="287"/>
      <c r="H66" s="271"/>
      <c r="I66" s="11"/>
    </row>
    <row r="67" spans="3:9" ht="21" customHeight="1" thickBot="1" x14ac:dyDescent="0.25">
      <c r="C67" s="290"/>
      <c r="D67" s="315"/>
      <c r="E67" s="315"/>
      <c r="F67" s="272"/>
      <c r="G67" s="287"/>
      <c r="H67" s="271"/>
      <c r="I67" s="11"/>
    </row>
    <row r="68" spans="3:9" x14ac:dyDescent="0.2">
      <c r="C68" s="291" t="s">
        <v>49</v>
      </c>
      <c r="D68" s="292"/>
      <c r="E68" s="292"/>
      <c r="F68" s="293">
        <f>SUM(F10:F67)</f>
        <v>3264926.2296187114</v>
      </c>
    </row>
    <row r="69" spans="3:9" x14ac:dyDescent="0.2">
      <c r="C69" s="611" t="s">
        <v>50</v>
      </c>
      <c r="D69" s="611"/>
      <c r="E69" s="611"/>
      <c r="F69" s="611"/>
    </row>
    <row r="70" spans="3:9" ht="24" x14ac:dyDescent="0.2">
      <c r="C70" s="20" t="s">
        <v>51</v>
      </c>
      <c r="D70" s="210">
        <v>401</v>
      </c>
      <c r="E70" s="210"/>
      <c r="F70" s="253"/>
    </row>
    <row r="71" spans="3:9" x14ac:dyDescent="0.2">
      <c r="C71" s="22" t="s">
        <v>52</v>
      </c>
      <c r="D71" s="210">
        <v>402</v>
      </c>
      <c r="E71" s="210"/>
      <c r="F71" s="253"/>
    </row>
    <row r="72" spans="3:9" x14ac:dyDescent="0.2">
      <c r="C72" s="20" t="s">
        <v>53</v>
      </c>
      <c r="D72" s="210">
        <v>403</v>
      </c>
      <c r="E72" s="460" t="s">
        <v>434</v>
      </c>
      <c r="F72" s="39">
        <f>'B8 Schedule 8 CCA Bridge Year'!M42</f>
        <v>5488323.5721999994</v>
      </c>
    </row>
    <row r="73" spans="3:9" x14ac:dyDescent="0.2">
      <c r="C73" s="22" t="s">
        <v>54</v>
      </c>
      <c r="D73" s="210">
        <v>404</v>
      </c>
      <c r="E73" s="210"/>
      <c r="F73" s="253"/>
    </row>
    <row r="74" spans="3:9" ht="24" x14ac:dyDescent="0.2">
      <c r="C74" s="20" t="s">
        <v>55</v>
      </c>
      <c r="D74" s="210">
        <v>405</v>
      </c>
      <c r="E74" s="460" t="s">
        <v>438</v>
      </c>
      <c r="F74" s="39">
        <f>'B10 Schedule 10 CEC Bridge Year'!K38</f>
        <v>5555.5038000000004</v>
      </c>
    </row>
    <row r="75" spans="3:9" x14ac:dyDescent="0.2">
      <c r="C75" s="20" t="s">
        <v>56</v>
      </c>
      <c r="D75" s="210">
        <v>406</v>
      </c>
      <c r="E75" s="210"/>
      <c r="F75" s="253"/>
    </row>
    <row r="76" spans="3:9" x14ac:dyDescent="0.2">
      <c r="C76" s="20" t="s">
        <v>20</v>
      </c>
      <c r="D76" s="210">
        <v>409</v>
      </c>
      <c r="E76" s="210"/>
      <c r="F76" s="253"/>
    </row>
    <row r="77" spans="3:9" ht="24" x14ac:dyDescent="0.2">
      <c r="C77" s="20" t="s">
        <v>57</v>
      </c>
      <c r="D77" s="210">
        <v>411</v>
      </c>
      <c r="E77" s="210"/>
      <c r="F77" s="253"/>
    </row>
    <row r="78" spans="3:9" x14ac:dyDescent="0.2">
      <c r="C78" s="20" t="s">
        <v>58</v>
      </c>
      <c r="D78" s="211">
        <v>413</v>
      </c>
      <c r="E78" s="461" t="s">
        <v>436</v>
      </c>
      <c r="F78" s="39">
        <f>'B13 Sch 13 Tax Reserves Bridge'!K22</f>
        <v>0</v>
      </c>
    </row>
    <row r="79" spans="3:9" ht="24" x14ac:dyDescent="0.2">
      <c r="C79" s="20" t="s">
        <v>59</v>
      </c>
      <c r="D79" s="210">
        <v>414</v>
      </c>
      <c r="E79" s="461" t="s">
        <v>436</v>
      </c>
      <c r="F79" s="39">
        <f>'B13 Sch 13 Tax Reserves Bridge'!G43</f>
        <v>288978</v>
      </c>
    </row>
    <row r="80" spans="3:9" x14ac:dyDescent="0.2">
      <c r="C80" s="20" t="s">
        <v>60</v>
      </c>
      <c r="D80" s="210">
        <v>416</v>
      </c>
      <c r="E80" s="210"/>
      <c r="F80" s="253"/>
    </row>
    <row r="81" spans="3:9" ht="24" x14ac:dyDescent="0.2">
      <c r="C81" s="20" t="s">
        <v>61</v>
      </c>
      <c r="D81" s="210">
        <v>305</v>
      </c>
      <c r="E81" s="210"/>
      <c r="F81" s="253"/>
    </row>
    <row r="82" spans="3:9" ht="24" x14ac:dyDescent="0.2">
      <c r="C82" s="20" t="s">
        <v>62</v>
      </c>
      <c r="D82" s="210">
        <v>306</v>
      </c>
      <c r="E82" s="210"/>
      <c r="F82" s="253"/>
    </row>
    <row r="83" spans="3:9" ht="24" x14ac:dyDescent="0.2">
      <c r="C83" s="345" t="s">
        <v>63</v>
      </c>
      <c r="D83" s="316"/>
      <c r="E83" s="316"/>
      <c r="F83" s="253"/>
    </row>
    <row r="84" spans="3:9" x14ac:dyDescent="0.2">
      <c r="C84" s="346"/>
      <c r="D84" s="316"/>
      <c r="E84" s="316"/>
      <c r="F84" s="253"/>
    </row>
    <row r="85" spans="3:9" ht="24" x14ac:dyDescent="0.2">
      <c r="C85" s="22" t="s">
        <v>64</v>
      </c>
      <c r="D85" s="210">
        <v>390</v>
      </c>
      <c r="E85" s="210"/>
      <c r="F85" s="253"/>
    </row>
    <row r="86" spans="3:9" x14ac:dyDescent="0.2">
      <c r="C86" s="22" t="s">
        <v>65</v>
      </c>
      <c r="D86" s="210">
        <v>391</v>
      </c>
      <c r="E86" s="210"/>
      <c r="F86" s="253"/>
    </row>
    <row r="87" spans="3:9" ht="24" x14ac:dyDescent="0.2">
      <c r="C87" s="20" t="s">
        <v>66</v>
      </c>
      <c r="D87" s="210">
        <v>392</v>
      </c>
      <c r="E87" s="210"/>
      <c r="F87" s="253"/>
    </row>
    <row r="88" spans="3:9" ht="21" customHeight="1" x14ac:dyDescent="0.2">
      <c r="C88" s="404"/>
      <c r="D88" s="316">
        <v>393</v>
      </c>
      <c r="E88" s="316"/>
      <c r="F88" s="253"/>
    </row>
    <row r="89" spans="3:9" ht="21" customHeight="1" x14ac:dyDescent="0.2">
      <c r="C89" s="404"/>
      <c r="D89" s="316">
        <v>394</v>
      </c>
      <c r="E89" s="316"/>
      <c r="F89" s="253"/>
    </row>
    <row r="90" spans="3:9" ht="24" x14ac:dyDescent="0.2">
      <c r="C90" s="20" t="s">
        <v>328</v>
      </c>
      <c r="D90" s="314"/>
      <c r="E90" s="314"/>
      <c r="F90" s="245"/>
      <c r="G90" s="287"/>
      <c r="H90" s="271"/>
      <c r="I90" s="11"/>
    </row>
    <row r="91" spans="3:9" ht="24" x14ac:dyDescent="0.2">
      <c r="C91" s="20" t="s">
        <v>329</v>
      </c>
      <c r="D91" s="314"/>
      <c r="E91" s="314"/>
      <c r="F91" s="245"/>
      <c r="G91" s="287"/>
      <c r="H91" s="271"/>
      <c r="I91" s="11"/>
    </row>
    <row r="92" spans="3:9" ht="24" x14ac:dyDescent="0.2">
      <c r="C92" s="20" t="s">
        <v>330</v>
      </c>
      <c r="D92" s="314"/>
      <c r="E92" s="314"/>
      <c r="F92" s="245"/>
      <c r="G92" s="287"/>
      <c r="H92" s="271"/>
      <c r="I92" s="11"/>
    </row>
    <row r="93" spans="3:9" x14ac:dyDescent="0.2">
      <c r="C93" s="20" t="s">
        <v>331</v>
      </c>
      <c r="D93" s="314"/>
      <c r="E93" s="314"/>
      <c r="F93" s="245"/>
      <c r="G93" s="287"/>
      <c r="H93" s="271"/>
      <c r="I93" s="11"/>
    </row>
    <row r="94" spans="3:9" x14ac:dyDescent="0.2">
      <c r="C94" s="20" t="s">
        <v>332</v>
      </c>
      <c r="D94" s="314"/>
      <c r="E94" s="314"/>
      <c r="F94" s="245"/>
      <c r="G94" s="287"/>
      <c r="H94" s="271"/>
      <c r="I94" s="11"/>
    </row>
    <row r="95" spans="3:9" ht="24" x14ac:dyDescent="0.2">
      <c r="C95" s="20" t="s">
        <v>333</v>
      </c>
      <c r="D95" s="314"/>
      <c r="E95" s="314"/>
      <c r="F95" s="245"/>
      <c r="G95" s="287"/>
      <c r="H95" s="271"/>
      <c r="I95" s="11"/>
    </row>
    <row r="96" spans="3:9" ht="24" x14ac:dyDescent="0.2">
      <c r="C96" s="20" t="s">
        <v>334</v>
      </c>
      <c r="D96" s="314"/>
      <c r="E96" s="314"/>
      <c r="F96" s="245"/>
      <c r="G96" s="287"/>
      <c r="H96" s="271"/>
      <c r="I96" s="11"/>
    </row>
    <row r="97" spans="3:9" ht="21" customHeight="1" x14ac:dyDescent="0.2">
      <c r="C97" s="288"/>
      <c r="D97" s="314"/>
      <c r="E97" s="314"/>
      <c r="F97" s="245"/>
      <c r="G97" s="287"/>
      <c r="H97" s="271"/>
      <c r="I97" s="11"/>
    </row>
    <row r="98" spans="3:9" ht="21" customHeight="1" x14ac:dyDescent="0.2">
      <c r="C98" s="288"/>
      <c r="D98" s="314"/>
      <c r="E98" s="314"/>
      <c r="F98" s="245"/>
      <c r="G98" s="287"/>
      <c r="H98" s="271"/>
      <c r="I98" s="11"/>
    </row>
    <row r="99" spans="3:9" ht="21" customHeight="1" x14ac:dyDescent="0.2">
      <c r="C99" s="288"/>
      <c r="D99" s="314"/>
      <c r="E99" s="314"/>
      <c r="F99" s="245"/>
      <c r="G99" s="287"/>
      <c r="H99" s="271"/>
      <c r="I99" s="11"/>
    </row>
    <row r="100" spans="3:9" ht="21" customHeight="1" x14ac:dyDescent="0.2">
      <c r="C100" s="288"/>
      <c r="D100" s="314"/>
      <c r="E100" s="314"/>
      <c r="F100" s="245"/>
      <c r="G100" s="287"/>
      <c r="H100" s="271"/>
      <c r="I100" s="11"/>
    </row>
    <row r="101" spans="3:9" ht="21" customHeight="1" x14ac:dyDescent="0.2">
      <c r="C101" s="288"/>
      <c r="D101" s="314"/>
      <c r="E101" s="314"/>
      <c r="F101" s="245"/>
      <c r="G101" s="287"/>
      <c r="H101" s="271"/>
      <c r="I101" s="11"/>
    </row>
    <row r="102" spans="3:9" ht="21" customHeight="1" x14ac:dyDescent="0.2">
      <c r="C102" s="288"/>
      <c r="D102" s="314"/>
      <c r="E102" s="314"/>
      <c r="F102" s="245"/>
      <c r="G102" s="287"/>
      <c r="H102" s="271"/>
      <c r="I102" s="11"/>
    </row>
    <row r="103" spans="3:9" ht="21" customHeight="1" x14ac:dyDescent="0.2">
      <c r="C103" s="288"/>
      <c r="D103" s="313"/>
      <c r="E103" s="313"/>
      <c r="F103" s="245"/>
      <c r="G103" s="287"/>
      <c r="H103" s="271"/>
      <c r="I103" s="11"/>
    </row>
    <row r="104" spans="3:9" ht="21" customHeight="1" x14ac:dyDescent="0.2">
      <c r="C104" s="245"/>
      <c r="D104" s="313"/>
      <c r="E104" s="313"/>
      <c r="F104" s="245"/>
      <c r="G104" s="287"/>
      <c r="H104" s="273"/>
      <c r="I104" s="11"/>
    </row>
    <row r="105" spans="3:9" x14ac:dyDescent="0.2">
      <c r="C105" s="34" t="s">
        <v>67</v>
      </c>
      <c r="D105" s="210"/>
      <c r="E105" s="462" t="s">
        <v>440</v>
      </c>
      <c r="F105" s="35">
        <f>SUM(F70:F104)</f>
        <v>5782857.0759999994</v>
      </c>
    </row>
    <row r="106" spans="3:9" x14ac:dyDescent="0.2">
      <c r="C106" s="36"/>
      <c r="D106" s="210"/>
      <c r="E106" s="210"/>
      <c r="F106" s="37"/>
    </row>
    <row r="107" spans="3:9" x14ac:dyDescent="0.2">
      <c r="C107" s="38" t="s">
        <v>68</v>
      </c>
      <c r="D107" s="210"/>
      <c r="E107" s="462" t="s">
        <v>440</v>
      </c>
      <c r="F107" s="35">
        <f>+F8+F68-F105</f>
        <v>1044474.4779087026</v>
      </c>
    </row>
    <row r="108" spans="3:9" x14ac:dyDescent="0.2">
      <c r="C108" s="36" t="s">
        <v>69</v>
      </c>
      <c r="D108" s="210">
        <v>311</v>
      </c>
      <c r="E108" s="210"/>
      <c r="F108" s="253"/>
    </row>
    <row r="109" spans="3:9" ht="36" x14ac:dyDescent="0.2">
      <c r="C109" s="36" t="s">
        <v>70</v>
      </c>
      <c r="D109" s="210">
        <v>320</v>
      </c>
      <c r="E109" s="210"/>
      <c r="F109" s="253"/>
    </row>
    <row r="110" spans="3:9" ht="24" x14ac:dyDescent="0.2">
      <c r="C110" s="36" t="s">
        <v>71</v>
      </c>
      <c r="D110" s="210">
        <v>331</v>
      </c>
      <c r="E110" s="460" t="s">
        <v>439</v>
      </c>
      <c r="F110" s="253">
        <f>'B4 Sch 4 Loss Cfwd Bridge'!G16*-1</f>
        <v>0</v>
      </c>
    </row>
    <row r="111" spans="3:9" ht="48" x14ac:dyDescent="0.2">
      <c r="C111" s="36" t="s">
        <v>72</v>
      </c>
      <c r="D111" s="210">
        <v>332</v>
      </c>
      <c r="E111" s="210"/>
      <c r="F111" s="253"/>
    </row>
    <row r="112" spans="3:9" ht="24" x14ac:dyDescent="0.2">
      <c r="C112" s="36" t="s">
        <v>73</v>
      </c>
      <c r="D112" s="210">
        <v>335</v>
      </c>
      <c r="E112" s="210"/>
      <c r="F112" s="253"/>
    </row>
    <row r="113" spans="3:6" x14ac:dyDescent="0.2">
      <c r="C113" s="614"/>
      <c r="D113" s="615"/>
      <c r="E113" s="615"/>
      <c r="F113" s="616"/>
    </row>
    <row r="114" spans="3:6" x14ac:dyDescent="0.2">
      <c r="C114" s="40" t="s">
        <v>74</v>
      </c>
      <c r="D114" s="210"/>
      <c r="E114" s="462" t="s">
        <v>440</v>
      </c>
      <c r="F114" s="35">
        <f>SUM(F107:F112)</f>
        <v>1044474.4779087026</v>
      </c>
    </row>
  </sheetData>
  <sheetProtection password="C2FC" sheet="1" objects="1" scenarios="1"/>
  <mergeCells count="9">
    <mergeCell ref="C69:F69"/>
    <mergeCell ref="C46:F46"/>
    <mergeCell ref="C113:F113"/>
    <mergeCell ref="C9:F9"/>
    <mergeCell ref="C1:F1"/>
    <mergeCell ref="C2:J2"/>
    <mergeCell ref="C3:J3"/>
    <mergeCell ref="C4:J4"/>
    <mergeCell ref="C10:F10"/>
  </mergeCells>
  <phoneticPr fontId="3" type="noConversion"/>
  <conditionalFormatting sqref="F11 F8 F108:F112 F47:F67 C53:C67 C97:C104 F70:F104 F14:F25 F27:F45">
    <cfRule type="expression" dxfId="22" priority="3" stopIfTrue="1">
      <formula>ISBLANK(C8)</formula>
    </cfRule>
  </conditionalFormatting>
  <conditionalFormatting sqref="H53:H67">
    <cfRule type="cellIs" dxfId="21" priority="4" stopIfTrue="1" operator="lessThan">
      <formula>0</formula>
    </cfRule>
  </conditionalFormatting>
  <conditionalFormatting sqref="F12:F13">
    <cfRule type="expression" dxfId="20" priority="2" stopIfTrue="1">
      <formula>ISBLANK(F12)</formula>
    </cfRule>
  </conditionalFormatting>
  <conditionalFormatting sqref="F26">
    <cfRule type="expression" dxfId="19" priority="1" stopIfTrue="1">
      <formula>ISBLANK(F26)</formula>
    </cfRule>
  </conditionalFormatting>
  <hyperlinks>
    <hyperlink ref="E74" location="'B10 Schedule 10 CEC Bridge Year'!A1" display="'B10"/>
    <hyperlink ref="E72" location="'B8 Schedule 8 CCA Bridge Year'!A1" display="'B8"/>
    <hyperlink ref="E78" location="'B13 Sch 13 Tax Reserves Bridge'!A1" display="'B13"/>
    <hyperlink ref="E79" location="'B13 Sch 13 Tax Reserves Bridge'!A1" display="'B13"/>
    <hyperlink ref="E110" location="'B4 Sch 4 Loss Cfwd Bridge'!A1" display="'B4"/>
    <hyperlink ref="E31" location="'B13 Sch 13 Tax Reserves Bridge'!A1" display="'B13"/>
    <hyperlink ref="E30" location="'B13 Sch 13 Tax Reserves Bridge'!A1" display="'B13"/>
  </hyperlinks>
  <pageMargins left="0.35433070866141736" right="0.15748031496062992" top="0.39370078740157483" bottom="0.39370078740157483" header="0.11811023622047245" footer="0.11811023622047245"/>
  <pageSetup scale="50" orientation="portrait" r:id="rId1"/>
  <headerFooter alignWithMargins="0"/>
  <rowBreaks count="1" manualBreakCount="1">
    <brk id="68" min="1"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26"/>
  <sheetViews>
    <sheetView zoomScaleNormal="100" workbookViewId="0"/>
  </sheetViews>
  <sheetFormatPr defaultRowHeight="12.75" x14ac:dyDescent="0.2"/>
  <cols>
    <col min="1" max="2" width="3.7109375" style="11" customWidth="1"/>
    <col min="3" max="3" width="25" style="11" customWidth="1"/>
    <col min="4" max="4" width="9.140625" style="11"/>
    <col min="5" max="5" width="28" style="11" customWidth="1"/>
    <col min="6" max="6" width="13.42578125" style="11" customWidth="1"/>
    <col min="7" max="7" width="12.85546875" style="11" customWidth="1"/>
    <col min="8" max="16384" width="9.140625" style="11"/>
  </cols>
  <sheetData>
    <row r="1" spans="1:10" ht="21.75" x14ac:dyDescent="0.2">
      <c r="A1" s="312"/>
      <c r="C1" s="574"/>
      <c r="D1" s="574"/>
      <c r="E1" s="574"/>
      <c r="F1" s="432"/>
    </row>
    <row r="2" spans="1:10" ht="29.25" customHeight="1" x14ac:dyDescent="0.25">
      <c r="C2" s="575"/>
      <c r="D2" s="575"/>
      <c r="E2" s="575"/>
      <c r="F2" s="575"/>
      <c r="G2" s="575"/>
      <c r="H2" s="575"/>
      <c r="I2" s="575"/>
      <c r="J2" s="575"/>
    </row>
    <row r="3" spans="1:10" ht="42.75" customHeight="1" x14ac:dyDescent="0.25">
      <c r="C3" s="575"/>
      <c r="D3" s="575"/>
      <c r="E3" s="575"/>
      <c r="F3" s="575"/>
      <c r="G3" s="575"/>
      <c r="H3" s="575"/>
      <c r="I3" s="575"/>
      <c r="J3" s="575"/>
    </row>
    <row r="4" spans="1:10" ht="18" x14ac:dyDescent="0.25">
      <c r="C4" s="575"/>
      <c r="D4" s="575"/>
      <c r="E4" s="575"/>
      <c r="F4" s="575"/>
      <c r="G4" s="575"/>
      <c r="H4" s="575"/>
      <c r="I4" s="575"/>
      <c r="J4" s="575"/>
    </row>
    <row r="5" spans="1:10" ht="30" customHeight="1" x14ac:dyDescent="0.2"/>
    <row r="7" spans="1:10" ht="18" x14ac:dyDescent="0.25">
      <c r="C7" s="368" t="s">
        <v>357</v>
      </c>
      <c r="D7" s="368"/>
      <c r="E7" s="368"/>
      <c r="F7" s="368"/>
    </row>
    <row r="8" spans="1:10" ht="18" x14ac:dyDescent="0.25">
      <c r="C8" s="368"/>
      <c r="D8" s="368"/>
      <c r="E8" s="368"/>
      <c r="F8" s="368"/>
    </row>
    <row r="9" spans="1:10" ht="18" x14ac:dyDescent="0.25">
      <c r="C9" s="368" t="s">
        <v>442</v>
      </c>
      <c r="D9" s="400"/>
      <c r="E9" s="400"/>
      <c r="F9" s="400"/>
      <c r="G9" s="100"/>
      <c r="H9" s="101"/>
    </row>
    <row r="10" spans="1:10" ht="19.5" x14ac:dyDescent="0.35">
      <c r="C10" s="401"/>
      <c r="D10" s="402"/>
      <c r="E10" s="402"/>
      <c r="F10" s="402"/>
      <c r="G10" s="132"/>
      <c r="H10" s="53"/>
    </row>
    <row r="11" spans="1:10" x14ac:dyDescent="0.2">
      <c r="C11" s="586" t="s">
        <v>153</v>
      </c>
      <c r="D11" s="587"/>
      <c r="E11" s="588"/>
      <c r="F11" s="435"/>
      <c r="G11" s="42" t="s">
        <v>3</v>
      </c>
      <c r="H11" s="102"/>
    </row>
    <row r="12" spans="1:10" x14ac:dyDescent="0.2">
      <c r="C12" s="589" t="s">
        <v>387</v>
      </c>
      <c r="D12" s="590"/>
      <c r="E12" s="591"/>
      <c r="F12" s="463" t="s">
        <v>441</v>
      </c>
      <c r="G12" s="339">
        <f>'H4 Sch 4 Loss Cfwd Hist'!H14</f>
        <v>0</v>
      </c>
      <c r="H12" s="104"/>
    </row>
    <row r="13" spans="1:10" x14ac:dyDescent="0.2">
      <c r="C13" s="620" t="s">
        <v>236</v>
      </c>
      <c r="D13" s="620"/>
      <c r="E13" s="620"/>
      <c r="F13" s="437"/>
      <c r="G13" s="414"/>
      <c r="H13" s="104"/>
    </row>
    <row r="14" spans="1:10" x14ac:dyDescent="0.2">
      <c r="C14" s="619" t="s">
        <v>155</v>
      </c>
      <c r="D14" s="619"/>
      <c r="E14" s="619"/>
      <c r="F14" s="464" t="s">
        <v>433</v>
      </c>
      <c r="G14" s="422">
        <f>IF('B1 Adj. Taxable Income Bridge'!F107&lt;0, 'B1 Adj. Taxable Income Bridge'!F107*-1, 0)</f>
        <v>0</v>
      </c>
      <c r="H14" s="104"/>
    </row>
    <row r="15" spans="1:10" x14ac:dyDescent="0.2">
      <c r="C15" s="105" t="s">
        <v>156</v>
      </c>
      <c r="D15" s="106"/>
      <c r="E15" s="107"/>
      <c r="F15" s="465" t="s">
        <v>440</v>
      </c>
      <c r="G15" s="103">
        <f>G12+G13+G14</f>
        <v>0</v>
      </c>
      <c r="H15" s="104"/>
    </row>
    <row r="16" spans="1:10" x14ac:dyDescent="0.2">
      <c r="C16" s="108" t="s">
        <v>232</v>
      </c>
      <c r="D16" s="106"/>
      <c r="E16" s="107"/>
      <c r="F16" s="464" t="s">
        <v>433</v>
      </c>
      <c r="G16" s="422">
        <f>IF('B1 Adj. Taxable Income Bridge'!F107&lt;0,0,IF('B1 Adj. Taxable Income Bridge'!F107&gt;G15,G15,'B1 Adj. Taxable Income Bridge'!F107))</f>
        <v>0</v>
      </c>
      <c r="H16" s="104"/>
    </row>
    <row r="17" spans="3:8" x14ac:dyDescent="0.2">
      <c r="C17" s="105" t="s">
        <v>233</v>
      </c>
      <c r="D17" s="106"/>
      <c r="E17" s="107"/>
      <c r="F17" s="465" t="s">
        <v>440</v>
      </c>
      <c r="G17" s="103">
        <f>G15-G16</f>
        <v>0</v>
      </c>
      <c r="H17" s="480" t="s">
        <v>445</v>
      </c>
    </row>
    <row r="18" spans="3:8" x14ac:dyDescent="0.2">
      <c r="C18" s="102"/>
      <c r="D18" s="102"/>
      <c r="E18" s="102"/>
      <c r="F18" s="102"/>
      <c r="G18" s="104"/>
      <c r="H18" s="104"/>
    </row>
    <row r="19" spans="3:8" x14ac:dyDescent="0.2">
      <c r="C19" s="586" t="s">
        <v>159</v>
      </c>
      <c r="D19" s="587"/>
      <c r="E19" s="588"/>
      <c r="F19" s="435"/>
      <c r="G19" s="42" t="s">
        <v>3</v>
      </c>
      <c r="H19" s="104"/>
    </row>
    <row r="20" spans="3:8" x14ac:dyDescent="0.2">
      <c r="C20" s="589" t="s">
        <v>387</v>
      </c>
      <c r="D20" s="590"/>
      <c r="E20" s="591"/>
      <c r="F20" s="463" t="s">
        <v>441</v>
      </c>
      <c r="G20" s="339">
        <f>'H4 Sch 4 Loss Cfwd Hist'!H17</f>
        <v>0</v>
      </c>
      <c r="H20" s="104"/>
    </row>
    <row r="21" spans="3:8" ht="12.75" customHeight="1" x14ac:dyDescent="0.2">
      <c r="C21" s="620" t="s">
        <v>236</v>
      </c>
      <c r="D21" s="620"/>
      <c r="E21" s="620"/>
      <c r="F21" s="437"/>
      <c r="G21" s="414"/>
      <c r="H21" s="104"/>
    </row>
    <row r="22" spans="3:8" x14ac:dyDescent="0.2">
      <c r="C22" s="619" t="s">
        <v>155</v>
      </c>
      <c r="D22" s="619"/>
      <c r="E22" s="619"/>
      <c r="F22" s="436"/>
      <c r="G22" s="415"/>
      <c r="H22" s="104"/>
    </row>
    <row r="23" spans="3:8" x14ac:dyDescent="0.2">
      <c r="C23" s="105" t="s">
        <v>156</v>
      </c>
      <c r="D23" s="106"/>
      <c r="E23" s="107"/>
      <c r="F23" s="465" t="s">
        <v>440</v>
      </c>
      <c r="G23" s="103">
        <f>G20-G21+G22</f>
        <v>0</v>
      </c>
      <c r="H23" s="104"/>
    </row>
    <row r="24" spans="3:8" x14ac:dyDescent="0.2">
      <c r="C24" s="108" t="s">
        <v>232</v>
      </c>
      <c r="D24" s="106"/>
      <c r="E24" s="107"/>
      <c r="F24" s="107"/>
      <c r="G24" s="415"/>
      <c r="H24" s="104"/>
    </row>
    <row r="25" spans="3:8" x14ac:dyDescent="0.2">
      <c r="C25" s="105" t="s">
        <v>233</v>
      </c>
      <c r="D25" s="106"/>
      <c r="E25" s="107"/>
      <c r="F25" s="465" t="s">
        <v>440</v>
      </c>
      <c r="G25" s="103">
        <f>G23-G24</f>
        <v>0</v>
      </c>
      <c r="H25" s="480" t="s">
        <v>445</v>
      </c>
    </row>
    <row r="26" spans="3:8" x14ac:dyDescent="0.2">
      <c r="C26" s="109"/>
      <c r="D26" s="102"/>
      <c r="E26" s="102"/>
      <c r="F26" s="102"/>
      <c r="G26" s="104"/>
      <c r="H26" s="104"/>
    </row>
  </sheetData>
  <sheetProtection password="C2FC" sheet="1" objects="1" scenarios="1"/>
  <mergeCells count="12">
    <mergeCell ref="C22:E22"/>
    <mergeCell ref="C20:E20"/>
    <mergeCell ref="C1:E1"/>
    <mergeCell ref="C13:E13"/>
    <mergeCell ref="C14:E14"/>
    <mergeCell ref="C19:E19"/>
    <mergeCell ref="C11:E11"/>
    <mergeCell ref="C12:E12"/>
    <mergeCell ref="C2:J2"/>
    <mergeCell ref="C3:J3"/>
    <mergeCell ref="C4:J4"/>
    <mergeCell ref="C21:E21"/>
  </mergeCells>
  <phoneticPr fontId="3" type="noConversion"/>
  <hyperlinks>
    <hyperlink ref="F12" location="'H4 Sch 4 Loss Cfwd Hist'!A1" display="'H4"/>
    <hyperlink ref="F14" location="'B1 Adj. Taxable Income Bridge'!A1" display="'B1"/>
    <hyperlink ref="F16" location="'B1 Adj. Taxable Income Bridge'!A1" display="'B1"/>
    <hyperlink ref="F20" location="'H4 Sch 4 Loss Cfwd Hist'!A1" display="'H4"/>
    <hyperlink ref="H17" location="'T4 Sch 4 Loss Cfwd'!A1" display="'T4"/>
    <hyperlink ref="H25" location="'T4 Sch 4 Loss Cfwd'!A1" display="'T4"/>
  </hyperlinks>
  <pageMargins left="0.75" right="0.75" top="1" bottom="1" header="0.5" footer="0.5"/>
  <pageSetup scale="82" orientation="landscape"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42"/>
  <sheetViews>
    <sheetView zoomScale="87" zoomScaleNormal="87" workbookViewId="0">
      <selection activeCell="H18" sqref="H18"/>
    </sheetView>
  </sheetViews>
  <sheetFormatPr defaultRowHeight="12.75" x14ac:dyDescent="0.2"/>
  <cols>
    <col min="1" max="1" width="3.5703125" style="11" customWidth="1"/>
    <col min="2" max="2" width="3.85546875" style="11" customWidth="1"/>
    <col min="3" max="3" width="11.5703125" style="11" customWidth="1"/>
    <col min="4" max="4" width="72.85546875" style="11" bestFit="1" customWidth="1"/>
    <col min="5" max="5" width="10.7109375" style="359" customWidth="1"/>
    <col min="6" max="13" width="15.28515625" style="11" customWidth="1"/>
    <col min="14" max="14" width="5.28515625" style="11" customWidth="1"/>
    <col min="15" max="15" width="15.28515625" style="11" customWidth="1"/>
    <col min="16" max="16" width="10.5703125" style="11" customWidth="1"/>
    <col min="17" max="16384" width="9.140625" style="11"/>
  </cols>
  <sheetData>
    <row r="1" spans="1:16" ht="21.75" x14ac:dyDescent="0.2">
      <c r="A1" s="312"/>
      <c r="C1" s="574"/>
      <c r="D1" s="574"/>
      <c r="E1" s="574"/>
      <c r="F1" s="574"/>
      <c r="G1" s="24"/>
      <c r="H1" s="24"/>
    </row>
    <row r="2" spans="1:16" ht="18" x14ac:dyDescent="0.25">
      <c r="C2" s="575"/>
      <c r="D2" s="575"/>
      <c r="E2" s="575"/>
      <c r="F2" s="575"/>
      <c r="G2" s="575"/>
      <c r="H2" s="575"/>
      <c r="I2" s="575"/>
      <c r="J2" s="575"/>
    </row>
    <row r="3" spans="1:16" ht="27.75" customHeight="1" x14ac:dyDescent="0.25">
      <c r="C3" s="575"/>
      <c r="D3" s="575"/>
      <c r="E3" s="575"/>
      <c r="F3" s="575"/>
      <c r="G3" s="575"/>
      <c r="H3" s="575"/>
      <c r="I3" s="575"/>
      <c r="J3" s="575"/>
    </row>
    <row r="4" spans="1:16" ht="54.75" customHeight="1" x14ac:dyDescent="0.25">
      <c r="C4" s="575"/>
      <c r="D4" s="575"/>
      <c r="E4" s="575"/>
      <c r="F4" s="575"/>
      <c r="G4" s="575"/>
      <c r="H4" s="575"/>
      <c r="I4" s="575"/>
      <c r="J4" s="575"/>
    </row>
    <row r="7" spans="1:16" ht="18" x14ac:dyDescent="0.25">
      <c r="C7" s="368" t="s">
        <v>359</v>
      </c>
    </row>
    <row r="9" spans="1:16" ht="36" x14ac:dyDescent="0.2">
      <c r="C9" s="50" t="s">
        <v>75</v>
      </c>
      <c r="D9" s="41" t="s">
        <v>76</v>
      </c>
      <c r="E9" s="455" t="s">
        <v>435</v>
      </c>
      <c r="F9" s="42" t="s">
        <v>385</v>
      </c>
      <c r="G9" s="42" t="s">
        <v>107</v>
      </c>
      <c r="H9" s="42" t="s">
        <v>337</v>
      </c>
      <c r="I9" s="42" t="s">
        <v>99</v>
      </c>
      <c r="J9" s="42" t="s">
        <v>100</v>
      </c>
      <c r="K9" s="42" t="s">
        <v>101</v>
      </c>
      <c r="L9" s="51" t="s">
        <v>102</v>
      </c>
      <c r="M9" s="42" t="s">
        <v>256</v>
      </c>
      <c r="N9" s="42"/>
      <c r="O9" s="42" t="s">
        <v>240</v>
      </c>
      <c r="P9" s="479" t="s">
        <v>435</v>
      </c>
    </row>
    <row r="10" spans="1:16" x14ac:dyDescent="0.2">
      <c r="C10" s="139">
        <f>IF(ISBLANK('H8 Sch 8 Historical'!C12), "", 'H8 Sch 8 Historical'!C12)</f>
        <v>1</v>
      </c>
      <c r="D10" s="251" t="str">
        <f>IF(ISBLANK('H8 Sch 8 Historical'!D12), "", 'H8 Sch 8 Historical'!D12)</f>
        <v>Distribution System - post 1987</v>
      </c>
      <c r="E10" s="454" t="s">
        <v>429</v>
      </c>
      <c r="F10" s="275">
        <f>IF(ISBLANK('H8 Sch 8 Historical'!E12), "", 'H8 Sch 8 Historical'!G12)</f>
        <v>23497120</v>
      </c>
      <c r="G10" s="250">
        <f>+'[9]CCA Continuity 2015'!$H$6</f>
        <v>0</v>
      </c>
      <c r="H10" s="250"/>
      <c r="I10" s="248">
        <f>MAX((SUM(F10:H10)),0)</f>
        <v>23497120</v>
      </c>
      <c r="J10" s="248">
        <f>IF((G10+H10)&lt;=0, 0,(G10+H10)*0.5)</f>
        <v>0</v>
      </c>
      <c r="K10" s="248">
        <f>+I10-J10</f>
        <v>23497120</v>
      </c>
      <c r="L10" s="249">
        <v>0.04</v>
      </c>
      <c r="M10" s="248">
        <f t="shared" ref="M10:M15" si="0">IF(+K10&lt;0,+K10,+K10*L10)</f>
        <v>939884.8</v>
      </c>
      <c r="N10" s="248"/>
      <c r="O10" s="248">
        <f t="shared" ref="O10:O41" si="1">MAX(0,+I10-M10)</f>
        <v>22557235.199999999</v>
      </c>
      <c r="P10" s="440" t="s">
        <v>437</v>
      </c>
    </row>
    <row r="11" spans="1:16" x14ac:dyDescent="0.2">
      <c r="C11" s="139" t="str">
        <f>IF(ISBLANK('H8 Sch 8 Historical'!C13), "", 'H8 Sch 8 Historical'!C13)</f>
        <v>1 Enhanced</v>
      </c>
      <c r="D11" s="251" t="str">
        <f>IF(ISBLANK('H8 Sch 8 Historical'!D13), "", 'H8 Sch 8 Historical'!D13)</f>
        <v xml:space="preserve">Non-residential Buildings Reg. 1100(1)(a.1) election </v>
      </c>
      <c r="E11" s="454" t="s">
        <v>429</v>
      </c>
      <c r="F11" s="275" t="str">
        <f>IF(ISBLANK('H8 Sch 8 Historical'!E13), "", 'H8 Sch 8 Historical'!G13)</f>
        <v/>
      </c>
      <c r="G11" s="250">
        <f>+'[8]CCA Continuity 2015'!$H$7</f>
        <v>8524798</v>
      </c>
      <c r="H11" s="250"/>
      <c r="I11" s="248">
        <f t="shared" ref="I11:I41" si="2">MAX((SUM(F11:H11)),0)</f>
        <v>8524798</v>
      </c>
      <c r="J11" s="248">
        <f t="shared" ref="J11:J41" si="3">IF((G11+H11)&lt;=0, 0,(G11+H11)*0.5)</f>
        <v>4262399</v>
      </c>
      <c r="K11" s="248">
        <f t="shared" ref="K11:K41" si="4">+I11-J11</f>
        <v>4262399</v>
      </c>
      <c r="L11" s="249">
        <v>0.06</v>
      </c>
      <c r="M11" s="248">
        <f t="shared" si="0"/>
        <v>255743.94</v>
      </c>
      <c r="N11" s="248"/>
      <c r="O11" s="248">
        <f t="shared" si="1"/>
        <v>8269054.0599999996</v>
      </c>
      <c r="P11" s="440" t="s">
        <v>437</v>
      </c>
    </row>
    <row r="12" spans="1:16" x14ac:dyDescent="0.2">
      <c r="C12" s="139">
        <f>IF(ISBLANK('H8 Sch 8 Historical'!C14), "", 'H8 Sch 8 Historical'!C14)</f>
        <v>2</v>
      </c>
      <c r="D12" s="251" t="str">
        <f>IF(ISBLANK('H8 Sch 8 Historical'!D14), "", 'H8 Sch 8 Historical'!D14)</f>
        <v>Distribution System - pre 1988</v>
      </c>
      <c r="E12" s="454" t="s">
        <v>429</v>
      </c>
      <c r="F12" s="275" t="str">
        <f>IF(ISBLANK('H8 Sch 8 Historical'!E14), "", 'H8 Sch 8 Historical'!G14)</f>
        <v/>
      </c>
      <c r="G12" s="250"/>
      <c r="H12" s="250"/>
      <c r="I12" s="248">
        <f t="shared" si="2"/>
        <v>0</v>
      </c>
      <c r="J12" s="248">
        <f t="shared" si="3"/>
        <v>0</v>
      </c>
      <c r="K12" s="248">
        <f t="shared" si="4"/>
        <v>0</v>
      </c>
      <c r="L12" s="249">
        <v>0.06</v>
      </c>
      <c r="M12" s="248">
        <f t="shared" si="0"/>
        <v>0</v>
      </c>
      <c r="N12" s="248"/>
      <c r="O12" s="248">
        <f t="shared" si="1"/>
        <v>0</v>
      </c>
      <c r="P12" s="440" t="s">
        <v>437</v>
      </c>
    </row>
    <row r="13" spans="1:16" x14ac:dyDescent="0.2">
      <c r="C13" s="139">
        <f>IF(ISBLANK('H8 Sch 8 Historical'!C15), "", 'H8 Sch 8 Historical'!C15)</f>
        <v>8</v>
      </c>
      <c r="D13" s="251" t="str">
        <f>IF(ISBLANK('H8 Sch 8 Historical'!D15), "", 'H8 Sch 8 Historical'!D15)</f>
        <v>General Office/Stores Equip</v>
      </c>
      <c r="E13" s="454" t="s">
        <v>429</v>
      </c>
      <c r="F13" s="275">
        <f>IF(ISBLANK('H8 Sch 8 Historical'!E15), "", 'H8 Sch 8 Historical'!G15)</f>
        <v>3623969</v>
      </c>
      <c r="G13" s="250">
        <f>+'[8]CCA Continuity 2015'!$H$10</f>
        <v>866377.87</v>
      </c>
      <c r="H13" s="250"/>
      <c r="I13" s="248">
        <f t="shared" si="2"/>
        <v>4490346.87</v>
      </c>
      <c r="J13" s="248">
        <f t="shared" si="3"/>
        <v>433188.935</v>
      </c>
      <c r="K13" s="248">
        <f t="shared" si="4"/>
        <v>4057157.9350000001</v>
      </c>
      <c r="L13" s="249">
        <v>0.2</v>
      </c>
      <c r="M13" s="248">
        <f t="shared" si="0"/>
        <v>811431.58700000006</v>
      </c>
      <c r="N13" s="248"/>
      <c r="O13" s="248">
        <f t="shared" si="1"/>
        <v>3678915.2829999998</v>
      </c>
      <c r="P13" s="440" t="s">
        <v>437</v>
      </c>
    </row>
    <row r="14" spans="1:16" x14ac:dyDescent="0.2">
      <c r="C14" s="139">
        <f>IF(ISBLANK('H8 Sch 8 Historical'!C16), "", 'H8 Sch 8 Historical'!C16)</f>
        <v>10</v>
      </c>
      <c r="D14" s="251" t="str">
        <f>IF(ISBLANK('H8 Sch 8 Historical'!D16), "", 'H8 Sch 8 Historical'!D16)</f>
        <v>Computer Hardware/  Vehicles</v>
      </c>
      <c r="E14" s="454" t="s">
        <v>429</v>
      </c>
      <c r="F14" s="275">
        <f>IF(ISBLANK('H8 Sch 8 Historical'!E16), "", 'H8 Sch 8 Historical'!G16)</f>
        <v>933865</v>
      </c>
      <c r="G14" s="250">
        <f>+'[8]CCA Continuity 2015'!$H$11</f>
        <v>440676.6</v>
      </c>
      <c r="H14" s="250"/>
      <c r="I14" s="248">
        <f t="shared" si="2"/>
        <v>1374541.6</v>
      </c>
      <c r="J14" s="248">
        <f t="shared" si="3"/>
        <v>220338.3</v>
      </c>
      <c r="K14" s="248">
        <f t="shared" si="4"/>
        <v>1154203.3</v>
      </c>
      <c r="L14" s="249">
        <v>0.3</v>
      </c>
      <c r="M14" s="248">
        <f t="shared" si="0"/>
        <v>346260.99</v>
      </c>
      <c r="N14" s="248"/>
      <c r="O14" s="248">
        <f t="shared" si="1"/>
        <v>1028280.6100000001</v>
      </c>
      <c r="P14" s="440" t="s">
        <v>437</v>
      </c>
    </row>
    <row r="15" spans="1:16" x14ac:dyDescent="0.2">
      <c r="C15" s="139">
        <f>IF(ISBLANK('H8 Sch 8 Historical'!C17), "", 'H8 Sch 8 Historical'!C17)</f>
        <v>10.1</v>
      </c>
      <c r="D15" s="251" t="str">
        <f>IF(ISBLANK('H8 Sch 8 Historical'!D17), "", 'H8 Sch 8 Historical'!D17)</f>
        <v>Certain Automobiles</v>
      </c>
      <c r="E15" s="454" t="s">
        <v>429</v>
      </c>
      <c r="F15" s="275" t="str">
        <f>IF(ISBLANK('H8 Sch 8 Historical'!E17), "", 'H8 Sch 8 Historical'!G17)</f>
        <v/>
      </c>
      <c r="G15" s="250"/>
      <c r="H15" s="250"/>
      <c r="I15" s="248">
        <f t="shared" si="2"/>
        <v>0</v>
      </c>
      <c r="J15" s="248">
        <f t="shared" si="3"/>
        <v>0</v>
      </c>
      <c r="K15" s="248">
        <f t="shared" si="4"/>
        <v>0</v>
      </c>
      <c r="L15" s="249">
        <v>0.3</v>
      </c>
      <c r="M15" s="248">
        <f t="shared" si="0"/>
        <v>0</v>
      </c>
      <c r="N15" s="248"/>
      <c r="O15" s="248">
        <f t="shared" si="1"/>
        <v>0</v>
      </c>
      <c r="P15" s="440" t="s">
        <v>437</v>
      </c>
    </row>
    <row r="16" spans="1:16" x14ac:dyDescent="0.2">
      <c r="C16" s="139">
        <f>IF(ISBLANK('H8 Sch 8 Historical'!C18), "", 'H8 Sch 8 Historical'!C18)</f>
        <v>12</v>
      </c>
      <c r="D16" s="251" t="str">
        <f>IF(ISBLANK('H8 Sch 8 Historical'!D18), "", 'H8 Sch 8 Historical'!D18)</f>
        <v>Computer Software</v>
      </c>
      <c r="E16" s="454" t="s">
        <v>429</v>
      </c>
      <c r="F16" s="275">
        <f>IF(ISBLANK('H8 Sch 8 Historical'!E18), "", 'H8 Sch 8 Historical'!G18)</f>
        <v>71196</v>
      </c>
      <c r="G16" s="250">
        <f>+'[8]CCA Continuity 2015'!$H$13</f>
        <v>291170.08999999997</v>
      </c>
      <c r="H16" s="250"/>
      <c r="I16" s="248">
        <f t="shared" si="2"/>
        <v>362366.08999999997</v>
      </c>
      <c r="J16" s="248">
        <f t="shared" si="3"/>
        <v>145585.04499999998</v>
      </c>
      <c r="K16" s="248">
        <f t="shared" si="4"/>
        <v>216781.04499999998</v>
      </c>
      <c r="L16" s="249">
        <v>1</v>
      </c>
      <c r="M16" s="248">
        <f t="shared" ref="M16:M21" si="5">IF(+K16&lt;0,+K16,+K16*L16)</f>
        <v>216781.04499999998</v>
      </c>
      <c r="N16" s="248"/>
      <c r="O16" s="248">
        <f t="shared" ref="O16:O21" si="6">MAX(0,+I16-M16)</f>
        <v>145585.04499999998</v>
      </c>
      <c r="P16" s="440" t="s">
        <v>437</v>
      </c>
    </row>
    <row r="17" spans="3:16" x14ac:dyDescent="0.2">
      <c r="C17" s="139" t="str">
        <f>IF(ISBLANK('H8 Sch 8 Historical'!C19), "", 'H8 Sch 8 Historical'!C19)</f>
        <v>13 1</v>
      </c>
      <c r="D17" s="251" t="str">
        <f>IF(ISBLANK('H8 Sch 8 Historical'!D19), "", 'H8 Sch 8 Historical'!D19)</f>
        <v>Lease # 1</v>
      </c>
      <c r="E17" s="454" t="s">
        <v>429</v>
      </c>
      <c r="F17" s="275">
        <f>IF(ISBLANK('H8 Sch 8 Historical'!E19), "", 'H8 Sch 8 Historical'!G19)</f>
        <v>56942</v>
      </c>
      <c r="G17" s="250"/>
      <c r="H17" s="250">
        <f>-'[8]CCA Continuity 2015'!$I$14</f>
        <v>-56942</v>
      </c>
      <c r="I17" s="248">
        <f t="shared" si="2"/>
        <v>0</v>
      </c>
      <c r="J17" s="248">
        <f t="shared" si="3"/>
        <v>0</v>
      </c>
      <c r="K17" s="248">
        <f t="shared" si="4"/>
        <v>0</v>
      </c>
      <c r="L17" s="419"/>
      <c r="M17" s="248">
        <f t="shared" si="5"/>
        <v>0</v>
      </c>
      <c r="N17" s="248"/>
      <c r="O17" s="248">
        <f t="shared" si="6"/>
        <v>0</v>
      </c>
      <c r="P17" s="440" t="s">
        <v>437</v>
      </c>
    </row>
    <row r="18" spans="3:16" x14ac:dyDescent="0.2">
      <c r="C18" s="139" t="str">
        <f>IF(ISBLANK('H8 Sch 8 Historical'!C20), "", 'H8 Sch 8 Historical'!C20)</f>
        <v>13 2</v>
      </c>
      <c r="D18" s="251" t="str">
        <f>IF(ISBLANK('H8 Sch 8 Historical'!D20), "", 'H8 Sch 8 Historical'!D20)</f>
        <v>Lease #2</v>
      </c>
      <c r="E18" s="454" t="s">
        <v>429</v>
      </c>
      <c r="F18" s="275" t="str">
        <f>IF(ISBLANK('H8 Sch 8 Historical'!E20), "", 'H8 Sch 8 Historical'!G20)</f>
        <v/>
      </c>
      <c r="G18" s="250"/>
      <c r="H18" s="250"/>
      <c r="I18" s="248">
        <f t="shared" si="2"/>
        <v>0</v>
      </c>
      <c r="J18" s="248">
        <f t="shared" si="3"/>
        <v>0</v>
      </c>
      <c r="K18" s="248">
        <f t="shared" si="4"/>
        <v>0</v>
      </c>
      <c r="L18" s="419"/>
      <c r="M18" s="248">
        <f t="shared" si="5"/>
        <v>0</v>
      </c>
      <c r="N18" s="248"/>
      <c r="O18" s="248">
        <f t="shared" si="6"/>
        <v>0</v>
      </c>
      <c r="P18" s="440" t="s">
        <v>437</v>
      </c>
    </row>
    <row r="19" spans="3:16" x14ac:dyDescent="0.2">
      <c r="C19" s="139" t="str">
        <f>IF(ISBLANK('H8 Sch 8 Historical'!C21), "", 'H8 Sch 8 Historical'!C21)</f>
        <v>13 3</v>
      </c>
      <c r="D19" s="251" t="str">
        <f>IF(ISBLANK('H8 Sch 8 Historical'!D21), "", 'H8 Sch 8 Historical'!D21)</f>
        <v>Lease # 3</v>
      </c>
      <c r="E19" s="454" t="s">
        <v>429</v>
      </c>
      <c r="F19" s="275" t="str">
        <f>IF(ISBLANK('H8 Sch 8 Historical'!E21), "", 'H8 Sch 8 Historical'!G21)</f>
        <v/>
      </c>
      <c r="G19" s="250"/>
      <c r="H19" s="250"/>
      <c r="I19" s="248">
        <f t="shared" si="2"/>
        <v>0</v>
      </c>
      <c r="J19" s="248">
        <f t="shared" si="3"/>
        <v>0</v>
      </c>
      <c r="K19" s="248">
        <f t="shared" si="4"/>
        <v>0</v>
      </c>
      <c r="L19" s="419"/>
      <c r="M19" s="248">
        <f t="shared" si="5"/>
        <v>0</v>
      </c>
      <c r="N19" s="248"/>
      <c r="O19" s="248">
        <f t="shared" si="6"/>
        <v>0</v>
      </c>
      <c r="P19" s="440" t="s">
        <v>437</v>
      </c>
    </row>
    <row r="20" spans="3:16" x14ac:dyDescent="0.2">
      <c r="C20" s="139" t="str">
        <f>IF(ISBLANK('H8 Sch 8 Historical'!C22), "", 'H8 Sch 8 Historical'!C22)</f>
        <v>13 4</v>
      </c>
      <c r="D20" s="251" t="str">
        <f>IF(ISBLANK('H8 Sch 8 Historical'!D22), "", 'H8 Sch 8 Historical'!D22)</f>
        <v>Lease # 4</v>
      </c>
      <c r="E20" s="454" t="s">
        <v>429</v>
      </c>
      <c r="F20" s="275" t="str">
        <f>IF(ISBLANK('H8 Sch 8 Historical'!E22), "", 'H8 Sch 8 Historical'!G22)</f>
        <v/>
      </c>
      <c r="G20" s="250"/>
      <c r="H20" s="250"/>
      <c r="I20" s="248">
        <f t="shared" si="2"/>
        <v>0</v>
      </c>
      <c r="J20" s="248">
        <f t="shared" si="3"/>
        <v>0</v>
      </c>
      <c r="K20" s="248">
        <f t="shared" si="4"/>
        <v>0</v>
      </c>
      <c r="L20" s="419"/>
      <c r="M20" s="248">
        <f t="shared" si="5"/>
        <v>0</v>
      </c>
      <c r="N20" s="248"/>
      <c r="O20" s="248">
        <f t="shared" si="6"/>
        <v>0</v>
      </c>
      <c r="P20" s="440" t="s">
        <v>437</v>
      </c>
    </row>
    <row r="21" spans="3:16" x14ac:dyDescent="0.2">
      <c r="C21" s="139">
        <f>IF(ISBLANK('H8 Sch 8 Historical'!C23), "", 'H8 Sch 8 Historical'!C23)</f>
        <v>14</v>
      </c>
      <c r="D21" s="251" t="str">
        <f>IF(ISBLANK('H8 Sch 8 Historical'!D23), "", 'H8 Sch 8 Historical'!D23)</f>
        <v>Franchise</v>
      </c>
      <c r="E21" s="454" t="s">
        <v>429</v>
      </c>
      <c r="F21" s="275" t="str">
        <f>IF(ISBLANK('H8 Sch 8 Historical'!E23), "", 'H8 Sch 8 Historical'!G23)</f>
        <v/>
      </c>
      <c r="G21" s="250"/>
      <c r="H21" s="250"/>
      <c r="I21" s="248">
        <f t="shared" si="2"/>
        <v>0</v>
      </c>
      <c r="J21" s="248">
        <f t="shared" si="3"/>
        <v>0</v>
      </c>
      <c r="K21" s="248">
        <f t="shared" si="4"/>
        <v>0</v>
      </c>
      <c r="L21" s="419"/>
      <c r="M21" s="248">
        <f t="shared" si="5"/>
        <v>0</v>
      </c>
      <c r="N21" s="248"/>
      <c r="O21" s="248">
        <f t="shared" si="6"/>
        <v>0</v>
      </c>
      <c r="P21" s="440" t="s">
        <v>437</v>
      </c>
    </row>
    <row r="22" spans="3:16" x14ac:dyDescent="0.2">
      <c r="C22" s="139">
        <f>IF(ISBLANK('H8 Sch 8 Historical'!C24), "", 'H8 Sch 8 Historical'!C24)</f>
        <v>17</v>
      </c>
      <c r="D22" s="251" t="str">
        <f>IF(ISBLANK('H8 Sch 8 Historical'!D24), "", 'H8 Sch 8 Historical'!D24)</f>
        <v>New Electrical Generating Equipment Acq'd after Feb 27/00 Other Than Bldgs</v>
      </c>
      <c r="E22" s="454" t="s">
        <v>429</v>
      </c>
      <c r="F22" s="275" t="str">
        <f>IF(ISBLANK('H8 Sch 8 Historical'!E24), "", 'H8 Sch 8 Historical'!G24)</f>
        <v/>
      </c>
      <c r="G22" s="250"/>
      <c r="H22" s="250"/>
      <c r="I22" s="248">
        <f t="shared" si="2"/>
        <v>0</v>
      </c>
      <c r="J22" s="248">
        <f t="shared" si="3"/>
        <v>0</v>
      </c>
      <c r="K22" s="248">
        <f t="shared" si="4"/>
        <v>0</v>
      </c>
      <c r="L22" s="249">
        <v>0.08</v>
      </c>
      <c r="M22" s="248">
        <f>IF(+K22&lt;0,+K22,+K22*L22)</f>
        <v>0</v>
      </c>
      <c r="N22" s="248"/>
      <c r="O22" s="248">
        <f t="shared" si="1"/>
        <v>0</v>
      </c>
      <c r="P22" s="440" t="s">
        <v>437</v>
      </c>
    </row>
    <row r="23" spans="3:16" x14ac:dyDescent="0.2">
      <c r="C23" s="139">
        <f>IF(ISBLANK('H8 Sch 8 Historical'!C25), "", 'H8 Sch 8 Historical'!C25)</f>
        <v>42</v>
      </c>
      <c r="D23" s="251" t="str">
        <f>IF(ISBLANK('H8 Sch 8 Historical'!D25), "", 'H8 Sch 8 Historical'!D25)</f>
        <v>Fibre Optic Cable</v>
      </c>
      <c r="E23" s="454" t="s">
        <v>429</v>
      </c>
      <c r="F23" s="275" t="str">
        <f>IF(ISBLANK('H8 Sch 8 Historical'!E25), "", 'H8 Sch 8 Historical'!G25)</f>
        <v/>
      </c>
      <c r="G23" s="250"/>
      <c r="H23" s="250"/>
      <c r="I23" s="248">
        <f t="shared" si="2"/>
        <v>0</v>
      </c>
      <c r="J23" s="248">
        <f t="shared" si="3"/>
        <v>0</v>
      </c>
      <c r="K23" s="248">
        <f t="shared" si="4"/>
        <v>0</v>
      </c>
      <c r="L23" s="249">
        <v>0.12</v>
      </c>
      <c r="M23" s="248">
        <f t="shared" ref="M23:M41" si="7">IF(+K23&lt;0,+K23,+K23*L23)</f>
        <v>0</v>
      </c>
      <c r="N23" s="248"/>
      <c r="O23" s="248">
        <f t="shared" si="1"/>
        <v>0</v>
      </c>
      <c r="P23" s="440" t="s">
        <v>437</v>
      </c>
    </row>
    <row r="24" spans="3:16" x14ac:dyDescent="0.2">
      <c r="C24" s="139">
        <f>IF(ISBLANK('H8 Sch 8 Historical'!C26), "", 'H8 Sch 8 Historical'!C26)</f>
        <v>43.1</v>
      </c>
      <c r="D24" s="251" t="str">
        <f>IF(ISBLANK('H8 Sch 8 Historical'!D26), "", 'H8 Sch 8 Historical'!D26)</f>
        <v>Certain Energy-Efficient Electrical Generating Equipment</v>
      </c>
      <c r="E24" s="454" t="s">
        <v>429</v>
      </c>
      <c r="F24" s="275" t="str">
        <f>IF(ISBLANK('H8 Sch 8 Historical'!E26), "", 'H8 Sch 8 Historical'!G26)</f>
        <v/>
      </c>
      <c r="G24" s="250"/>
      <c r="H24" s="250"/>
      <c r="I24" s="248">
        <f t="shared" si="2"/>
        <v>0</v>
      </c>
      <c r="J24" s="248">
        <f t="shared" si="3"/>
        <v>0</v>
      </c>
      <c r="K24" s="248">
        <f t="shared" si="4"/>
        <v>0</v>
      </c>
      <c r="L24" s="249">
        <v>0.3</v>
      </c>
      <c r="M24" s="248">
        <f t="shared" si="7"/>
        <v>0</v>
      </c>
      <c r="N24" s="248"/>
      <c r="O24" s="248">
        <f t="shared" si="1"/>
        <v>0</v>
      </c>
      <c r="P24" s="440" t="s">
        <v>437</v>
      </c>
    </row>
    <row r="25" spans="3:16" x14ac:dyDescent="0.2">
      <c r="C25" s="139">
        <f>IF(ISBLANK('H8 Sch 8 Historical'!C27), "", 'H8 Sch 8 Historical'!C27)</f>
        <v>43.2</v>
      </c>
      <c r="D25" s="251" t="str">
        <f>IF(ISBLANK('H8 Sch 8 Historical'!D27), "", 'H8 Sch 8 Historical'!D27)</f>
        <v xml:space="preserve">Certain Clean Energy Generation Equipment </v>
      </c>
      <c r="E25" s="454" t="s">
        <v>429</v>
      </c>
      <c r="F25" s="275" t="str">
        <f>IF(ISBLANK('H8 Sch 8 Historical'!E27), "", 'H8 Sch 8 Historical'!G27)</f>
        <v/>
      </c>
      <c r="G25" s="250"/>
      <c r="H25" s="250"/>
      <c r="I25" s="248">
        <f t="shared" si="2"/>
        <v>0</v>
      </c>
      <c r="J25" s="248">
        <f t="shared" si="3"/>
        <v>0</v>
      </c>
      <c r="K25" s="248">
        <f t="shared" si="4"/>
        <v>0</v>
      </c>
      <c r="L25" s="249">
        <v>0.5</v>
      </c>
      <c r="M25" s="248">
        <f t="shared" si="7"/>
        <v>0</v>
      </c>
      <c r="N25" s="248"/>
      <c r="O25" s="248">
        <f t="shared" si="1"/>
        <v>0</v>
      </c>
      <c r="P25" s="440" t="s">
        <v>437</v>
      </c>
    </row>
    <row r="26" spans="3:16" x14ac:dyDescent="0.2">
      <c r="C26" s="139">
        <f>IF(ISBLANK('H8 Sch 8 Historical'!C28), "", 'H8 Sch 8 Historical'!C28)</f>
        <v>45</v>
      </c>
      <c r="D26" s="251" t="str">
        <f>IF(ISBLANK('H8 Sch 8 Historical'!D28), "", 'H8 Sch 8 Historical'!D28)</f>
        <v>Computers &amp; Systems Software acq'd post Mar 22/04</v>
      </c>
      <c r="E26" s="454" t="s">
        <v>429</v>
      </c>
      <c r="F26" s="275">
        <f>IF(ISBLANK('H8 Sch 8 Historical'!E28), "", 'H8 Sch 8 Historical'!G28)</f>
        <v>1558</v>
      </c>
      <c r="G26" s="250"/>
      <c r="H26" s="250"/>
      <c r="I26" s="248">
        <f t="shared" si="2"/>
        <v>1558</v>
      </c>
      <c r="J26" s="248">
        <f t="shared" si="3"/>
        <v>0</v>
      </c>
      <c r="K26" s="248">
        <f t="shared" si="4"/>
        <v>1558</v>
      </c>
      <c r="L26" s="249">
        <v>0.45</v>
      </c>
      <c r="M26" s="248">
        <f t="shared" si="7"/>
        <v>701.1</v>
      </c>
      <c r="N26" s="248"/>
      <c r="O26" s="248">
        <f t="shared" si="1"/>
        <v>856.9</v>
      </c>
      <c r="P26" s="440" t="s">
        <v>437</v>
      </c>
    </row>
    <row r="27" spans="3:16" x14ac:dyDescent="0.2">
      <c r="C27" s="139">
        <f>IF(ISBLANK('H8 Sch 8 Historical'!C29), "", 'H8 Sch 8 Historical'!C29)</f>
        <v>46</v>
      </c>
      <c r="D27" s="251" t="str">
        <f>IF(ISBLANK('H8 Sch 8 Historical'!D29), "", 'H8 Sch 8 Historical'!D29)</f>
        <v>Data Network Infrastructure Equipment (acq'd post Mar 22/04)</v>
      </c>
      <c r="E27" s="454" t="s">
        <v>429</v>
      </c>
      <c r="F27" s="275" t="str">
        <f>IF(ISBLANK('H8 Sch 8 Historical'!E29), "", 'H8 Sch 8 Historical'!G29)</f>
        <v/>
      </c>
      <c r="G27" s="250"/>
      <c r="H27" s="250"/>
      <c r="I27" s="248">
        <f t="shared" si="2"/>
        <v>0</v>
      </c>
      <c r="J27" s="248">
        <f t="shared" si="3"/>
        <v>0</v>
      </c>
      <c r="K27" s="248">
        <f t="shared" si="4"/>
        <v>0</v>
      </c>
      <c r="L27" s="249">
        <v>0.3</v>
      </c>
      <c r="M27" s="248">
        <f t="shared" si="7"/>
        <v>0</v>
      </c>
      <c r="N27" s="248"/>
      <c r="O27" s="248">
        <f t="shared" si="1"/>
        <v>0</v>
      </c>
      <c r="P27" s="440" t="s">
        <v>437</v>
      </c>
    </row>
    <row r="28" spans="3:16" x14ac:dyDescent="0.2">
      <c r="C28" s="139">
        <f>IF(ISBLANK('H8 Sch 8 Historical'!C30), "", 'H8 Sch 8 Historical'!C30)</f>
        <v>47</v>
      </c>
      <c r="D28" s="251" t="str">
        <f>IF(ISBLANK('H8 Sch 8 Historical'!D30), "", 'H8 Sch 8 Historical'!D30)</f>
        <v>Distribution System - post February 2005</v>
      </c>
      <c r="E28" s="454" t="s">
        <v>429</v>
      </c>
      <c r="F28" s="275">
        <f>IF(ISBLANK('H8 Sch 8 Historical'!E30), "", 'H8 Sch 8 Historical'!G30)</f>
        <v>32679515</v>
      </c>
      <c r="G28" s="250">
        <f>+'[8]CCA Continuity 2015'!$H$24</f>
        <v>4688934.2299999995</v>
      </c>
      <c r="H28" s="250"/>
      <c r="I28" s="248">
        <f t="shared" si="2"/>
        <v>37368449.229999997</v>
      </c>
      <c r="J28" s="248">
        <f t="shared" si="3"/>
        <v>2344467.1149999998</v>
      </c>
      <c r="K28" s="248">
        <f t="shared" si="4"/>
        <v>35023982.114999995</v>
      </c>
      <c r="L28" s="249">
        <v>0.08</v>
      </c>
      <c r="M28" s="248">
        <f t="shared" si="7"/>
        <v>2801918.5691999998</v>
      </c>
      <c r="N28" s="248"/>
      <c r="O28" s="248">
        <f t="shared" si="1"/>
        <v>34566530.660799995</v>
      </c>
      <c r="P28" s="440" t="s">
        <v>437</v>
      </c>
    </row>
    <row r="29" spans="3:16" x14ac:dyDescent="0.2">
      <c r="C29" s="139">
        <f>IF(ISBLANK('H8 Sch 8 Historical'!C31), "", 'H8 Sch 8 Historical'!C31)</f>
        <v>50</v>
      </c>
      <c r="D29" s="251" t="str">
        <f>IF(ISBLANK('H8 Sch 8 Historical'!D31), "", 'H8 Sch 8 Historical'!D31)</f>
        <v>Data Network Infrastructure Equipment - post Mar 2007</v>
      </c>
      <c r="E29" s="454" t="s">
        <v>429</v>
      </c>
      <c r="F29" s="275">
        <f>IF(ISBLANK('H8 Sch 8 Historical'!E31), "", 'H8 Sch 8 Historical'!G31)</f>
        <v>156988</v>
      </c>
      <c r="G29" s="250">
        <f>+'[8]CCA Continuity 2015'!$H$22</f>
        <v>106393.23999999999</v>
      </c>
      <c r="H29" s="250"/>
      <c r="I29" s="248">
        <f t="shared" si="2"/>
        <v>263381.24</v>
      </c>
      <c r="J29" s="248">
        <f t="shared" si="3"/>
        <v>53196.619999999995</v>
      </c>
      <c r="K29" s="248">
        <f t="shared" si="4"/>
        <v>210184.62</v>
      </c>
      <c r="L29" s="249">
        <v>0.55000000000000004</v>
      </c>
      <c r="M29" s="248">
        <f t="shared" si="7"/>
        <v>115601.54100000001</v>
      </c>
      <c r="N29" s="248"/>
      <c r="O29" s="248">
        <f t="shared" si="1"/>
        <v>147779.69899999996</v>
      </c>
      <c r="P29" s="440" t="s">
        <v>437</v>
      </c>
    </row>
    <row r="30" spans="3:16" x14ac:dyDescent="0.2">
      <c r="C30" s="139">
        <f>IF(ISBLANK('H8 Sch 8 Historical'!C32), "", 'H8 Sch 8 Historical'!C32)</f>
        <v>52</v>
      </c>
      <c r="D30" s="251" t="str">
        <f>IF(ISBLANK('H8 Sch 8 Historical'!D32), "", 'H8 Sch 8 Historical'!D32)</f>
        <v xml:space="preserve">Computer Hardware and system software </v>
      </c>
      <c r="E30" s="454" t="s">
        <v>429</v>
      </c>
      <c r="F30" s="275" t="str">
        <f>IF(ISBLANK('H8 Sch 8 Historical'!E32), "", 'H8 Sch 8 Historical'!G32)</f>
        <v/>
      </c>
      <c r="G30" s="250">
        <f>+'[9]CCA Continuity 2015'!$H$20</f>
        <v>0</v>
      </c>
      <c r="H30" s="250"/>
      <c r="I30" s="248">
        <f t="shared" si="2"/>
        <v>0</v>
      </c>
      <c r="J30" s="248">
        <f t="shared" si="3"/>
        <v>0</v>
      </c>
      <c r="K30" s="248">
        <f t="shared" si="4"/>
        <v>0</v>
      </c>
      <c r="L30" s="249">
        <v>1</v>
      </c>
      <c r="M30" s="248">
        <f t="shared" si="7"/>
        <v>0</v>
      </c>
      <c r="N30" s="248"/>
      <c r="O30" s="248">
        <f t="shared" si="1"/>
        <v>0</v>
      </c>
      <c r="P30" s="440" t="s">
        <v>437</v>
      </c>
    </row>
    <row r="31" spans="3:16" x14ac:dyDescent="0.2">
      <c r="C31" s="139">
        <f>IF(ISBLANK('H8 Sch 8 Historical'!C33), "", 'H8 Sch 8 Historical'!C33)</f>
        <v>95</v>
      </c>
      <c r="D31" s="251" t="str">
        <f>IF(ISBLANK('H8 Sch 8 Historical'!D33), "", 'H8 Sch 8 Historical'!D33)</f>
        <v>CWIP</v>
      </c>
      <c r="E31" s="454" t="s">
        <v>429</v>
      </c>
      <c r="F31" s="275">
        <f>IF(ISBLANK('H8 Sch 8 Historical'!E33), "", 'H8 Sch 8 Historical'!G33)</f>
        <v>5172305</v>
      </c>
      <c r="G31" s="250"/>
      <c r="H31" s="250">
        <f>-'[8]CCA Continuity 2015'!$I$15</f>
        <v>-5172305</v>
      </c>
      <c r="I31" s="248">
        <f t="shared" si="2"/>
        <v>0</v>
      </c>
      <c r="J31" s="248">
        <f t="shared" si="3"/>
        <v>0</v>
      </c>
      <c r="K31" s="248">
        <f t="shared" si="4"/>
        <v>0</v>
      </c>
      <c r="L31" s="249"/>
      <c r="M31" s="248">
        <f t="shared" si="7"/>
        <v>0</v>
      </c>
      <c r="N31" s="248"/>
      <c r="O31" s="248">
        <f t="shared" si="1"/>
        <v>0</v>
      </c>
      <c r="P31" s="440" t="s">
        <v>437</v>
      </c>
    </row>
    <row r="32" spans="3:16" x14ac:dyDescent="0.2">
      <c r="C32" s="369" t="str">
        <f>IF(ISBLANK('H8 Sch 8 Historical'!C34), "", 'H8 Sch 8 Historical'!C34)</f>
        <v/>
      </c>
      <c r="D32" s="370" t="str">
        <f>IF(ISBLANK('H8 Sch 8 Historical'!D34), "", 'H8 Sch 8 Historical'!D34)</f>
        <v/>
      </c>
      <c r="E32" s="453"/>
      <c r="F32" s="387" t="str">
        <f>IF(ISBLANK('H8 Sch 8 Historical'!E34), "", 'H8 Sch 8 Historical'!G34)</f>
        <v/>
      </c>
      <c r="G32" s="250"/>
      <c r="H32" s="250"/>
      <c r="I32" s="248">
        <f t="shared" si="2"/>
        <v>0</v>
      </c>
      <c r="J32" s="248">
        <f t="shared" si="3"/>
        <v>0</v>
      </c>
      <c r="K32" s="248">
        <f t="shared" si="4"/>
        <v>0</v>
      </c>
      <c r="L32" s="249">
        <v>0.05</v>
      </c>
      <c r="M32" s="248">
        <f t="shared" si="7"/>
        <v>0</v>
      </c>
      <c r="N32" s="248"/>
      <c r="O32" s="248">
        <f t="shared" si="1"/>
        <v>0</v>
      </c>
    </row>
    <row r="33" spans="3:15" x14ac:dyDescent="0.2">
      <c r="C33" s="369" t="str">
        <f>IF(ISBLANK('H8 Sch 8 Historical'!C35), "", 'H8 Sch 8 Historical'!C35)</f>
        <v/>
      </c>
      <c r="D33" s="370" t="str">
        <f>IF(ISBLANK('H8 Sch 8 Historical'!D35), "", 'H8 Sch 8 Historical'!D35)</f>
        <v/>
      </c>
      <c r="E33" s="453"/>
      <c r="F33" s="387" t="str">
        <f>IF(ISBLANK('H8 Sch 8 Historical'!E35), "", 'H8 Sch 8 Historical'!G35)</f>
        <v/>
      </c>
      <c r="G33" s="250"/>
      <c r="H33" s="250"/>
      <c r="I33" s="248">
        <f t="shared" si="2"/>
        <v>0</v>
      </c>
      <c r="J33" s="248">
        <f t="shared" si="3"/>
        <v>0</v>
      </c>
      <c r="K33" s="248">
        <f t="shared" si="4"/>
        <v>0</v>
      </c>
      <c r="L33" s="249">
        <v>0.1</v>
      </c>
      <c r="M33" s="248">
        <f t="shared" si="7"/>
        <v>0</v>
      </c>
      <c r="N33" s="248"/>
      <c r="O33" s="248">
        <f t="shared" si="1"/>
        <v>0</v>
      </c>
    </row>
    <row r="34" spans="3:15" x14ac:dyDescent="0.2">
      <c r="C34" s="369" t="str">
        <f>IF(ISBLANK('H8 Sch 8 Historical'!C36), "", 'H8 Sch 8 Historical'!C36)</f>
        <v/>
      </c>
      <c r="D34" s="370" t="str">
        <f>IF(ISBLANK('H8 Sch 8 Historical'!D36), "", 'H8 Sch 8 Historical'!D36)</f>
        <v/>
      </c>
      <c r="E34" s="453"/>
      <c r="F34" s="387"/>
      <c r="G34" s="250"/>
      <c r="H34" s="250"/>
      <c r="I34" s="248">
        <f>MAX((SUM(F34:H34)),0)</f>
        <v>0</v>
      </c>
      <c r="J34" s="248">
        <f t="shared" si="3"/>
        <v>0</v>
      </c>
      <c r="K34" s="248">
        <f>+I34-J34</f>
        <v>0</v>
      </c>
      <c r="L34" s="249"/>
      <c r="M34" s="248">
        <f t="shared" si="7"/>
        <v>0</v>
      </c>
      <c r="N34" s="248"/>
      <c r="O34" s="248">
        <f t="shared" si="1"/>
        <v>0</v>
      </c>
    </row>
    <row r="35" spans="3:15" x14ac:dyDescent="0.2">
      <c r="C35" s="369" t="str">
        <f>IF(ISBLANK('H8 Sch 8 Historical'!C37), "", 'H8 Sch 8 Historical'!C37)</f>
        <v/>
      </c>
      <c r="D35" s="370" t="str">
        <f>IF(ISBLANK('H8 Sch 8 Historical'!D37), "", 'H8 Sch 8 Historical'!D37)</f>
        <v/>
      </c>
      <c r="E35" s="453"/>
      <c r="F35" s="387" t="str">
        <f>IF(ISBLANK('H8 Sch 8 Historical'!E37), "", 'H8 Sch 8 Historical'!G37)</f>
        <v/>
      </c>
      <c r="G35" s="250"/>
      <c r="H35" s="250"/>
      <c r="I35" s="248">
        <f>MAX((SUM(F35:H35)),0)</f>
        <v>0</v>
      </c>
      <c r="J35" s="248">
        <f t="shared" si="3"/>
        <v>0</v>
      </c>
      <c r="K35" s="248">
        <f>+I35-J35</f>
        <v>0</v>
      </c>
      <c r="L35" s="249"/>
      <c r="M35" s="248">
        <f t="shared" si="7"/>
        <v>0</v>
      </c>
      <c r="N35" s="248"/>
      <c r="O35" s="248">
        <f t="shared" si="1"/>
        <v>0</v>
      </c>
    </row>
    <row r="36" spans="3:15" x14ac:dyDescent="0.2">
      <c r="C36" s="369" t="str">
        <f>IF(ISBLANK('H8 Sch 8 Historical'!C38), "", 'H8 Sch 8 Historical'!C38)</f>
        <v/>
      </c>
      <c r="D36" s="370" t="str">
        <f>IF(ISBLANK('H8 Sch 8 Historical'!D38), "", 'H8 Sch 8 Historical'!D38)</f>
        <v/>
      </c>
      <c r="E36" s="453"/>
      <c r="F36" s="387" t="str">
        <f>IF(ISBLANK('H8 Sch 8 Historical'!E38), "", 'H8 Sch 8 Historical'!G38)</f>
        <v/>
      </c>
      <c r="G36" s="250"/>
      <c r="H36" s="250"/>
      <c r="I36" s="248">
        <f>MAX((SUM(F36:H36)),0)</f>
        <v>0</v>
      </c>
      <c r="J36" s="248">
        <f t="shared" si="3"/>
        <v>0</v>
      </c>
      <c r="K36" s="248">
        <f>+I36-J36</f>
        <v>0</v>
      </c>
      <c r="L36" s="249"/>
      <c r="M36" s="248">
        <f t="shared" si="7"/>
        <v>0</v>
      </c>
      <c r="N36" s="248"/>
      <c r="O36" s="248">
        <f t="shared" si="1"/>
        <v>0</v>
      </c>
    </row>
    <row r="37" spans="3:15" x14ac:dyDescent="0.2">
      <c r="C37" s="369" t="str">
        <f>IF(ISBLANK('H8 Sch 8 Historical'!C39), "", 'H8 Sch 8 Historical'!C39)</f>
        <v/>
      </c>
      <c r="D37" s="370" t="str">
        <f>IF(ISBLANK('H8 Sch 8 Historical'!D39), "", 'H8 Sch 8 Historical'!D39)</f>
        <v/>
      </c>
      <c r="E37" s="453"/>
      <c r="F37" s="387" t="str">
        <f>IF(ISBLANK('H8 Sch 8 Historical'!E39), "", 'H8 Sch 8 Historical'!G39)</f>
        <v/>
      </c>
      <c r="G37" s="250"/>
      <c r="H37" s="250"/>
      <c r="I37" s="248">
        <f t="shared" si="2"/>
        <v>0</v>
      </c>
      <c r="J37" s="248">
        <f t="shared" si="3"/>
        <v>0</v>
      </c>
      <c r="K37" s="248">
        <f t="shared" si="4"/>
        <v>0</v>
      </c>
      <c r="L37" s="249"/>
      <c r="M37" s="248">
        <f t="shared" si="7"/>
        <v>0</v>
      </c>
      <c r="N37" s="248"/>
      <c r="O37" s="248">
        <f t="shared" si="1"/>
        <v>0</v>
      </c>
    </row>
    <row r="38" spans="3:15" x14ac:dyDescent="0.2">
      <c r="C38" s="369" t="str">
        <f>IF(ISBLANK('H8 Sch 8 Historical'!C40), "", 'H8 Sch 8 Historical'!C40)</f>
        <v/>
      </c>
      <c r="D38" s="370" t="str">
        <f>IF(ISBLANK('H8 Sch 8 Historical'!D40), "", 'H8 Sch 8 Historical'!D40)</f>
        <v/>
      </c>
      <c r="E38" s="453"/>
      <c r="F38" s="387" t="str">
        <f>IF(ISBLANK('H8 Sch 8 Historical'!E40), "", 'H8 Sch 8 Historical'!G40)</f>
        <v/>
      </c>
      <c r="G38" s="250"/>
      <c r="H38" s="250"/>
      <c r="I38" s="248">
        <f t="shared" si="2"/>
        <v>0</v>
      </c>
      <c r="J38" s="248">
        <f t="shared" si="3"/>
        <v>0</v>
      </c>
      <c r="K38" s="248">
        <f t="shared" si="4"/>
        <v>0</v>
      </c>
      <c r="L38" s="249"/>
      <c r="M38" s="248">
        <f t="shared" si="7"/>
        <v>0</v>
      </c>
      <c r="N38" s="248"/>
      <c r="O38" s="248">
        <f t="shared" si="1"/>
        <v>0</v>
      </c>
    </row>
    <row r="39" spans="3:15" x14ac:dyDescent="0.2">
      <c r="C39" s="369" t="str">
        <f>IF(ISBLANK('H8 Sch 8 Historical'!C41), "", 'H8 Sch 8 Historical'!C41)</f>
        <v/>
      </c>
      <c r="D39" s="370" t="str">
        <f>IF(ISBLANK('H8 Sch 8 Historical'!D41), "", 'H8 Sch 8 Historical'!D41)</f>
        <v/>
      </c>
      <c r="E39" s="453"/>
      <c r="F39" s="387" t="str">
        <f>IF(ISBLANK('H8 Sch 8 Historical'!E41), "", 'H8 Sch 8 Historical'!G41)</f>
        <v/>
      </c>
      <c r="G39" s="250"/>
      <c r="H39" s="250"/>
      <c r="I39" s="248">
        <f t="shared" si="2"/>
        <v>0</v>
      </c>
      <c r="J39" s="248">
        <f t="shared" si="3"/>
        <v>0</v>
      </c>
      <c r="K39" s="248">
        <f t="shared" si="4"/>
        <v>0</v>
      </c>
      <c r="L39" s="249"/>
      <c r="M39" s="248">
        <f t="shared" si="7"/>
        <v>0</v>
      </c>
      <c r="N39" s="248"/>
      <c r="O39" s="248">
        <f t="shared" si="1"/>
        <v>0</v>
      </c>
    </row>
    <row r="40" spans="3:15" x14ac:dyDescent="0.2">
      <c r="C40" s="369" t="str">
        <f>IF(ISBLANK('H8 Sch 8 Historical'!C42), "", 'H8 Sch 8 Historical'!C42)</f>
        <v/>
      </c>
      <c r="D40" s="370" t="str">
        <f>IF(ISBLANK('H8 Sch 8 Historical'!D42), "", 'H8 Sch 8 Historical'!D42)</f>
        <v/>
      </c>
      <c r="E40" s="453"/>
      <c r="F40" s="387" t="str">
        <f>IF(ISBLANK('H8 Sch 8 Historical'!E42), "", 'H8 Sch 8 Historical'!G42)</f>
        <v/>
      </c>
      <c r="G40" s="250"/>
      <c r="H40" s="250"/>
      <c r="I40" s="248">
        <f t="shared" si="2"/>
        <v>0</v>
      </c>
      <c r="J40" s="248">
        <f t="shared" si="3"/>
        <v>0</v>
      </c>
      <c r="K40" s="248">
        <f t="shared" si="4"/>
        <v>0</v>
      </c>
      <c r="L40" s="249"/>
      <c r="M40" s="248">
        <f t="shared" si="7"/>
        <v>0</v>
      </c>
      <c r="N40" s="248"/>
      <c r="O40" s="248">
        <f t="shared" si="1"/>
        <v>0</v>
      </c>
    </row>
    <row r="41" spans="3:15" ht="13.5" thickBot="1" x14ac:dyDescent="0.25">
      <c r="C41" s="369" t="str">
        <f>IF(ISBLANK('H8 Sch 8 Historical'!C43), "", 'H8 Sch 8 Historical'!C43)</f>
        <v/>
      </c>
      <c r="D41" s="370" t="str">
        <f>IF(ISBLANK('H8 Sch 8 Historical'!D43), "", 'H8 Sch 8 Historical'!D43)</f>
        <v/>
      </c>
      <c r="E41" s="453"/>
      <c r="F41" s="387" t="str">
        <f>IF(ISBLANK('H8 Sch 8 Historical'!E43), "", 'H8 Sch 8 Historical'!G43)</f>
        <v/>
      </c>
      <c r="G41" s="250"/>
      <c r="H41" s="250"/>
      <c r="I41" s="248">
        <f t="shared" si="2"/>
        <v>0</v>
      </c>
      <c r="J41" s="248">
        <f t="shared" si="3"/>
        <v>0</v>
      </c>
      <c r="K41" s="248">
        <f t="shared" si="4"/>
        <v>0</v>
      </c>
      <c r="L41" s="249"/>
      <c r="M41" s="248">
        <f t="shared" si="7"/>
        <v>0</v>
      </c>
      <c r="N41" s="248"/>
      <c r="O41" s="248">
        <f t="shared" si="1"/>
        <v>0</v>
      </c>
    </row>
    <row r="42" spans="3:15" ht="13.5" thickBot="1" x14ac:dyDescent="0.25">
      <c r="C42" s="52"/>
      <c r="D42" s="47" t="s">
        <v>105</v>
      </c>
      <c r="E42" s="408"/>
      <c r="F42" s="388">
        <f t="shared" ref="F42:K42" si="8">SUM(F10:F41)</f>
        <v>66193458</v>
      </c>
      <c r="G42" s="388">
        <f t="shared" si="8"/>
        <v>14918350.029999999</v>
      </c>
      <c r="H42" s="388">
        <f t="shared" si="8"/>
        <v>-5229247</v>
      </c>
      <c r="I42" s="388">
        <f t="shared" si="8"/>
        <v>75882561.029999986</v>
      </c>
      <c r="J42" s="388">
        <f t="shared" si="8"/>
        <v>7459175.0149999997</v>
      </c>
      <c r="K42" s="388">
        <f t="shared" si="8"/>
        <v>68423386.015000001</v>
      </c>
      <c r="L42" s="389"/>
      <c r="M42" s="390">
        <f>SUM(M10:M41)</f>
        <v>5488323.5721999994</v>
      </c>
      <c r="N42" s="478" t="s">
        <v>433</v>
      </c>
      <c r="O42" s="390">
        <f>SUM(O10:O41)</f>
        <v>70394237.457800001</v>
      </c>
    </row>
  </sheetData>
  <sheetProtection password="C2FC" sheet="1" objects="1" scenarios="1"/>
  <mergeCells count="4">
    <mergeCell ref="C1:F1"/>
    <mergeCell ref="C2:J2"/>
    <mergeCell ref="C3:J3"/>
    <mergeCell ref="C4:J4"/>
  </mergeCells>
  <phoneticPr fontId="3" type="noConversion"/>
  <conditionalFormatting sqref="L31:L41 G32:H41 H10:H31">
    <cfRule type="expression" dxfId="18" priority="2" stopIfTrue="1">
      <formula>ISBLANK(G10)</formula>
    </cfRule>
  </conditionalFormatting>
  <conditionalFormatting sqref="C10:F41">
    <cfRule type="expression" dxfId="17" priority="3" stopIfTrue="1">
      <formula>LEN(C10)&gt;0</formula>
    </cfRule>
  </conditionalFormatting>
  <conditionalFormatting sqref="G10:G31">
    <cfRule type="expression" dxfId="16" priority="1" stopIfTrue="1">
      <formula>ISBLANK(G10)</formula>
    </cfRule>
  </conditionalFormatting>
  <hyperlinks>
    <hyperlink ref="E10" location="'H8 Sch 8 Historical'!A1" display="'H8"/>
    <hyperlink ref="E11:E31" location="'H8 Sch 8 Historical'!A1" display="'H8"/>
    <hyperlink ref="P10" location="'T8 Schedule 8 CCA Test Year  '!A1" display="'T8"/>
    <hyperlink ref="P11:P31" location="'T8 Schedule 8 CCA Test Year  '!A1" display="'T8"/>
    <hyperlink ref="N42" location="'B1 Adj. Taxable Income Bridge'!A1" display="'B1"/>
  </hyperlinks>
  <pageMargins left="0.35433070866141736" right="0.35433070866141736" top="0.39370078740157483" bottom="0.39370078740157483" header="0.51181102362204722" footer="0.51181102362204722"/>
  <pageSetup scale="52" orientation="landscape" r:id="rId1"/>
  <headerFooter alignWithMargins="0">
    <oddFooter>&amp;L&amp;Z&amp;F&amp;A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40"/>
  <sheetViews>
    <sheetView zoomScale="80" zoomScaleNormal="80" workbookViewId="0"/>
  </sheetViews>
  <sheetFormatPr defaultRowHeight="12.75" x14ac:dyDescent="0.2"/>
  <cols>
    <col min="1" max="1" width="3.85546875" style="11" customWidth="1"/>
    <col min="2" max="2" width="3.7109375" style="11" customWidth="1"/>
    <col min="3" max="3" width="36.140625" style="11" customWidth="1"/>
    <col min="4" max="5" width="9.140625" style="11"/>
    <col min="6" max="6" width="7.85546875" style="11" bestFit="1" customWidth="1"/>
    <col min="7" max="8" width="9.140625" style="11"/>
    <col min="9" max="9" width="11.5703125" style="11" customWidth="1"/>
    <col min="10" max="10" width="9.140625" style="11"/>
    <col min="11" max="11" width="11.28515625" style="11" customWidth="1"/>
    <col min="12" max="16384" width="9.140625" style="11"/>
  </cols>
  <sheetData>
    <row r="1" spans="1:11" ht="21.75" x14ac:dyDescent="0.2">
      <c r="A1" s="312"/>
      <c r="C1" s="574"/>
      <c r="D1" s="574"/>
      <c r="E1" s="574"/>
    </row>
    <row r="2" spans="1:11" ht="18" x14ac:dyDescent="0.25">
      <c r="C2" s="575"/>
      <c r="D2" s="575"/>
      <c r="E2" s="575"/>
      <c r="F2" s="575"/>
      <c r="G2" s="575"/>
      <c r="H2" s="575"/>
      <c r="I2" s="575"/>
    </row>
    <row r="3" spans="1:11" ht="41.25" customHeight="1" x14ac:dyDescent="0.25">
      <c r="C3" s="575"/>
      <c r="D3" s="575"/>
      <c r="E3" s="575"/>
      <c r="F3" s="575"/>
      <c r="G3" s="575"/>
      <c r="H3" s="575"/>
      <c r="I3" s="575"/>
    </row>
    <row r="4" spans="1:11" ht="41.25" customHeight="1" x14ac:dyDescent="0.25">
      <c r="C4" s="575"/>
      <c r="D4" s="575"/>
      <c r="E4" s="575"/>
      <c r="F4" s="575"/>
      <c r="G4" s="575"/>
      <c r="H4" s="575"/>
      <c r="I4" s="575"/>
    </row>
    <row r="5" spans="1:11" ht="41.25" customHeight="1" x14ac:dyDescent="0.2"/>
    <row r="6" spans="1:11" ht="23.25" x14ac:dyDescent="0.35">
      <c r="C6" s="284" t="s">
        <v>360</v>
      </c>
    </row>
    <row r="9" spans="1:11" x14ac:dyDescent="0.2">
      <c r="J9" s="430" t="s">
        <v>430</v>
      </c>
    </row>
    <row r="10" spans="1:11" ht="15.75" x14ac:dyDescent="0.25">
      <c r="C10" s="605" t="s">
        <v>106</v>
      </c>
      <c r="D10" s="605"/>
      <c r="E10" s="605"/>
      <c r="F10" s="605"/>
      <c r="G10" s="53"/>
      <c r="H10" s="53"/>
      <c r="I10" s="53"/>
      <c r="J10" s="442" t="s">
        <v>431</v>
      </c>
      <c r="K10" s="241">
        <f>'H10 Schedule 10 CEC Hist'!K40</f>
        <v>79364.34</v>
      </c>
    </row>
    <row r="11" spans="1:11" ht="30.75" customHeight="1" x14ac:dyDescent="0.25">
      <c r="C11" s="56" t="s">
        <v>107</v>
      </c>
      <c r="D11" s="54"/>
      <c r="E11" s="57"/>
      <c r="F11" s="57"/>
      <c r="G11" s="53"/>
      <c r="H11" s="53"/>
    </row>
    <row r="12" spans="1:11" ht="15.75" x14ac:dyDescent="0.25">
      <c r="C12" s="576" t="s">
        <v>108</v>
      </c>
      <c r="D12" s="576"/>
      <c r="E12" s="576"/>
      <c r="F12" s="576"/>
      <c r="G12" s="606"/>
      <c r="H12" s="607"/>
      <c r="I12" s="53"/>
      <c r="J12" s="53"/>
    </row>
    <row r="13" spans="1:11" x14ac:dyDescent="0.2">
      <c r="C13" s="54"/>
      <c r="D13" s="54"/>
      <c r="E13" s="58"/>
      <c r="F13" s="58"/>
      <c r="G13" s="8"/>
      <c r="H13" s="8"/>
      <c r="I13" s="2"/>
    </row>
    <row r="14" spans="1:11" x14ac:dyDescent="0.2">
      <c r="C14" s="576" t="s">
        <v>109</v>
      </c>
      <c r="D14" s="576"/>
      <c r="E14" s="576"/>
      <c r="F14" s="576"/>
      <c r="G14" s="606">
        <v>0</v>
      </c>
      <c r="H14" s="606"/>
    </row>
    <row r="15" spans="1:11" x14ac:dyDescent="0.2">
      <c r="C15" s="136"/>
      <c r="D15" s="136"/>
      <c r="E15" s="136"/>
      <c r="F15" s="136"/>
      <c r="G15" s="12"/>
      <c r="H15" s="12"/>
    </row>
    <row r="16" spans="1:11" ht="16.5" thickBot="1" x14ac:dyDescent="0.3">
      <c r="C16" s="601" t="s">
        <v>110</v>
      </c>
      <c r="D16" s="601"/>
      <c r="E16" s="601"/>
      <c r="F16" s="601"/>
      <c r="G16" s="602">
        <f>SUM(G12,G14)</f>
        <v>0</v>
      </c>
      <c r="H16" s="602"/>
      <c r="I16" s="59" t="s">
        <v>111</v>
      </c>
      <c r="J16" s="60">
        <f>3/4*G16</f>
        <v>0</v>
      </c>
      <c r="K16" s="61"/>
    </row>
    <row r="17" spans="3:11" ht="13.5" thickTop="1" x14ac:dyDescent="0.2">
      <c r="C17" s="54"/>
      <c r="D17" s="54"/>
      <c r="E17" s="54"/>
      <c r="F17" s="54"/>
      <c r="G17" s="12"/>
      <c r="H17" s="12"/>
      <c r="J17" s="54"/>
    </row>
    <row r="18" spans="3:11" x14ac:dyDescent="0.2">
      <c r="C18" s="576" t="s">
        <v>112</v>
      </c>
      <c r="D18" s="576"/>
      <c r="E18" s="576"/>
      <c r="F18" s="576"/>
      <c r="G18" s="603">
        <v>0</v>
      </c>
      <c r="H18" s="603"/>
      <c r="I18" s="604" t="s">
        <v>113</v>
      </c>
      <c r="J18" s="598">
        <f>IF((G18*0.5)&lt;0, 0, G18*0.5)</f>
        <v>0</v>
      </c>
    </row>
    <row r="19" spans="3:11" x14ac:dyDescent="0.2">
      <c r="C19" s="576" t="s">
        <v>114</v>
      </c>
      <c r="D19" s="576"/>
      <c r="E19" s="576"/>
      <c r="F19" s="576"/>
      <c r="G19" s="603"/>
      <c r="H19" s="603"/>
      <c r="I19" s="604"/>
      <c r="J19" s="599"/>
    </row>
    <row r="20" spans="3:11" ht="13.5" thickBot="1" x14ac:dyDescent="0.25">
      <c r="C20" s="600"/>
      <c r="D20" s="600"/>
      <c r="E20" s="600"/>
      <c r="F20" s="600"/>
      <c r="G20" s="62"/>
      <c r="H20" s="62"/>
      <c r="J20" s="63">
        <f>IF((J16-J18)&lt;0,0,J16-J18)</f>
        <v>0</v>
      </c>
      <c r="K20" s="64">
        <f>J20</f>
        <v>0</v>
      </c>
    </row>
    <row r="21" spans="3:11" ht="13.5" thickTop="1" x14ac:dyDescent="0.2">
      <c r="C21" s="136"/>
      <c r="D21" s="136"/>
      <c r="E21" s="136"/>
      <c r="F21" s="136"/>
      <c r="G21" s="60"/>
      <c r="H21" s="60"/>
    </row>
    <row r="22" spans="3:11" x14ac:dyDescent="0.2">
      <c r="C22" s="576" t="s">
        <v>115</v>
      </c>
      <c r="D22" s="576"/>
      <c r="E22" s="576"/>
      <c r="F22" s="576"/>
      <c r="G22" s="593">
        <v>0</v>
      </c>
      <c r="H22" s="593"/>
      <c r="K22" s="64">
        <f>G22</f>
        <v>0</v>
      </c>
    </row>
    <row r="23" spans="3:11" x14ac:dyDescent="0.2">
      <c r="C23" s="136"/>
      <c r="D23" s="136"/>
      <c r="E23" s="136"/>
      <c r="F23" s="136"/>
      <c r="G23" s="65"/>
      <c r="H23" s="65"/>
    </row>
    <row r="24" spans="3:11" x14ac:dyDescent="0.2">
      <c r="C24" s="136"/>
      <c r="D24" s="136"/>
      <c r="E24" s="136"/>
      <c r="F24" s="202" t="s">
        <v>110</v>
      </c>
      <c r="G24" s="595"/>
      <c r="H24" s="595"/>
      <c r="K24" s="66">
        <f>SUM(K10,K20,K22)</f>
        <v>79364.34</v>
      </c>
    </row>
    <row r="25" spans="3:11" x14ac:dyDescent="0.2">
      <c r="C25" s="136"/>
      <c r="D25" s="136"/>
      <c r="E25" s="136"/>
      <c r="F25" s="136"/>
    </row>
    <row r="26" spans="3:11" x14ac:dyDescent="0.2">
      <c r="C26" s="56" t="s">
        <v>116</v>
      </c>
    </row>
    <row r="28" spans="3:11" x14ac:dyDescent="0.2">
      <c r="C28" s="576" t="s">
        <v>117</v>
      </c>
      <c r="D28" s="576"/>
      <c r="E28" s="576"/>
      <c r="F28" s="576"/>
      <c r="G28" s="596"/>
      <c r="H28" s="597"/>
    </row>
    <row r="29" spans="3:11" x14ac:dyDescent="0.2">
      <c r="C29" s="576" t="s">
        <v>118</v>
      </c>
      <c r="D29" s="576"/>
      <c r="E29" s="576"/>
      <c r="F29" s="576"/>
      <c r="G29" s="597"/>
      <c r="H29" s="597"/>
    </row>
    <row r="30" spans="3:11" x14ac:dyDescent="0.2">
      <c r="C30" s="136"/>
      <c r="D30" s="136"/>
      <c r="E30" s="136"/>
      <c r="F30" s="136"/>
    </row>
    <row r="31" spans="3:11" x14ac:dyDescent="0.2">
      <c r="C31" s="576" t="s">
        <v>109</v>
      </c>
      <c r="D31" s="576"/>
      <c r="E31" s="576"/>
      <c r="F31" s="576"/>
      <c r="G31" s="593">
        <v>0</v>
      </c>
      <c r="H31" s="593"/>
    </row>
    <row r="32" spans="3:11" x14ac:dyDescent="0.2">
      <c r="C32" s="576"/>
      <c r="D32" s="576"/>
      <c r="E32" s="576"/>
      <c r="F32" s="576"/>
      <c r="G32" s="8"/>
      <c r="H32" s="8"/>
    </row>
    <row r="33" spans="3:12" ht="16.5" thickBot="1" x14ac:dyDescent="0.3">
      <c r="C33" s="137"/>
      <c r="D33" s="137"/>
      <c r="E33" s="137"/>
      <c r="F33" s="202" t="s">
        <v>110</v>
      </c>
      <c r="G33" s="594">
        <f>SUM(G31,G28)</f>
        <v>0</v>
      </c>
      <c r="H33" s="594"/>
      <c r="I33" s="203" t="s">
        <v>111</v>
      </c>
      <c r="J33" s="68"/>
      <c r="K33" s="69">
        <f>G33*3/4</f>
        <v>0</v>
      </c>
    </row>
    <row r="34" spans="3:12" ht="13.5" thickTop="1" x14ac:dyDescent="0.2"/>
    <row r="35" spans="3:12" ht="15.75" x14ac:dyDescent="0.25">
      <c r="C35" s="53"/>
      <c r="D35" s="53"/>
      <c r="E35" s="53"/>
    </row>
    <row r="36" spans="3:12" ht="15.75" x14ac:dyDescent="0.25">
      <c r="C36" s="196" t="s">
        <v>119</v>
      </c>
      <c r="D36" s="70"/>
      <c r="E36" s="201"/>
      <c r="F36" s="70"/>
      <c r="G36" s="70"/>
      <c r="H36" s="70"/>
      <c r="I36" s="70"/>
      <c r="J36" s="70"/>
      <c r="K36" s="69">
        <f>K24-K33</f>
        <v>79364.34</v>
      </c>
    </row>
    <row r="37" spans="3:12" x14ac:dyDescent="0.2">
      <c r="C37" s="2"/>
      <c r="D37" s="2"/>
      <c r="E37" s="2"/>
      <c r="F37" s="2"/>
      <c r="G37" s="2"/>
      <c r="H37" s="2"/>
      <c r="I37" s="2"/>
      <c r="J37" s="2"/>
      <c r="K37" s="2"/>
    </row>
    <row r="38" spans="3:12" ht="15.75" x14ac:dyDescent="0.25">
      <c r="C38" s="197" t="s">
        <v>239</v>
      </c>
      <c r="D38" s="197"/>
      <c r="E38" s="198"/>
      <c r="F38" s="198"/>
      <c r="G38" s="198"/>
      <c r="H38" s="197"/>
      <c r="I38" s="199">
        <f>K36</f>
        <v>79364.34</v>
      </c>
      <c r="J38" s="200" t="s">
        <v>121</v>
      </c>
      <c r="K38" s="69">
        <f>I38*0.07</f>
        <v>5555.5038000000004</v>
      </c>
      <c r="L38" s="440" t="s">
        <v>433</v>
      </c>
    </row>
    <row r="39" spans="3:12" x14ac:dyDescent="0.2">
      <c r="C39" s="2"/>
      <c r="D39" s="2"/>
      <c r="E39" s="2"/>
      <c r="F39" s="2"/>
      <c r="G39" s="2"/>
      <c r="H39" s="2"/>
      <c r="I39" s="2"/>
      <c r="J39" s="2"/>
      <c r="K39" s="2"/>
    </row>
    <row r="40" spans="3:12" x14ac:dyDescent="0.2">
      <c r="C40" s="196" t="s">
        <v>122</v>
      </c>
      <c r="D40" s="196"/>
      <c r="E40" s="196"/>
      <c r="F40" s="196"/>
      <c r="G40" s="70"/>
      <c r="H40" s="70"/>
      <c r="I40" s="70"/>
      <c r="J40" s="70"/>
      <c r="K40" s="69">
        <f>K36-K38</f>
        <v>73808.836199999991</v>
      </c>
      <c r="L40" s="440" t="s">
        <v>444</v>
      </c>
    </row>
  </sheetData>
  <sheetProtection password="C2FC" sheet="1" objects="1" scenarios="1"/>
  <mergeCells count="27">
    <mergeCell ref="C32:F32"/>
    <mergeCell ref="G33:H33"/>
    <mergeCell ref="G24:H24"/>
    <mergeCell ref="C28:F28"/>
    <mergeCell ref="G28:H29"/>
    <mergeCell ref="C29:F29"/>
    <mergeCell ref="C31:F31"/>
    <mergeCell ref="G31:H31"/>
    <mergeCell ref="I18:I19"/>
    <mergeCell ref="J18:J19"/>
    <mergeCell ref="C19:F19"/>
    <mergeCell ref="C20:F20"/>
    <mergeCell ref="C22:F22"/>
    <mergeCell ref="G22:H22"/>
    <mergeCell ref="C14:F14"/>
    <mergeCell ref="G14:H14"/>
    <mergeCell ref="C16:F16"/>
    <mergeCell ref="G16:H16"/>
    <mergeCell ref="C18:F18"/>
    <mergeCell ref="G18:H19"/>
    <mergeCell ref="C12:F12"/>
    <mergeCell ref="G12:H12"/>
    <mergeCell ref="C1:E1"/>
    <mergeCell ref="C2:I2"/>
    <mergeCell ref="C3:I3"/>
    <mergeCell ref="C4:I4"/>
    <mergeCell ref="C10:F10"/>
  </mergeCells>
  <phoneticPr fontId="3" type="noConversion"/>
  <hyperlinks>
    <hyperlink ref="J10" location="'H10 Schedule 10 CEC Hist'!A1" display="'H10"/>
    <hyperlink ref="L38" location="'B1 Adj. Taxable Income Bridge'!A1" display="'B1"/>
    <hyperlink ref="L40" location="'T10 Schedule 10 CEC Test Year'!A1" display="'T10"/>
  </hyperlinks>
  <pageMargins left="0.35433070866141736" right="0.35433070866141736" top="0.39370078740157483" bottom="0.39370078740157483" header="0.31496062992125984" footer="0.31496062992125984"/>
  <pageSetup scale="78" orientation="portrait" r:id="rId1"/>
  <headerFooter alignWithMargins="0"/>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zoomScale="80" zoomScaleNormal="80" workbookViewId="0"/>
  </sheetViews>
  <sheetFormatPr defaultRowHeight="12.75" x14ac:dyDescent="0.2"/>
  <cols>
    <col min="1" max="1" width="3.85546875" style="11" customWidth="1"/>
    <col min="2" max="2" width="3.5703125" style="11" customWidth="1"/>
    <col min="3" max="3" width="56.42578125" style="11" customWidth="1"/>
    <col min="4" max="4" width="13.5703125" style="11" customWidth="1"/>
    <col min="5" max="7" width="18.28515625" style="11" customWidth="1"/>
    <col min="8" max="8" width="5.7109375" style="11" customWidth="1"/>
    <col min="9" max="11" width="18.28515625" style="11" customWidth="1"/>
    <col min="12" max="12" width="5.7109375" style="11" customWidth="1"/>
    <col min="13" max="14" width="18.28515625" style="11" customWidth="1"/>
    <col min="15" max="16384" width="9.140625" style="11"/>
  </cols>
  <sheetData>
    <row r="1" spans="1:14" ht="21.75" x14ac:dyDescent="0.2">
      <c r="A1" s="312"/>
      <c r="C1" s="24"/>
      <c r="D1" s="432"/>
    </row>
    <row r="2" spans="1:14" ht="18" x14ac:dyDescent="0.25">
      <c r="C2" s="575"/>
      <c r="D2" s="575"/>
      <c r="E2" s="575"/>
      <c r="F2" s="575"/>
      <c r="G2" s="575"/>
      <c r="H2" s="575"/>
      <c r="I2" s="575"/>
      <c r="J2" s="575"/>
      <c r="K2" s="575"/>
      <c r="L2" s="433"/>
    </row>
    <row r="3" spans="1:14" ht="18" x14ac:dyDescent="0.25">
      <c r="C3" s="575"/>
      <c r="D3" s="575"/>
      <c r="E3" s="575"/>
      <c r="F3" s="575"/>
      <c r="G3" s="575"/>
      <c r="H3" s="575"/>
      <c r="I3" s="575"/>
      <c r="J3" s="575"/>
      <c r="K3" s="575"/>
      <c r="L3" s="433"/>
    </row>
    <row r="4" spans="1:14" ht="18" x14ac:dyDescent="0.25">
      <c r="C4" s="575"/>
      <c r="D4" s="575"/>
      <c r="E4" s="575"/>
      <c r="F4" s="575"/>
      <c r="G4" s="575"/>
      <c r="H4" s="575"/>
      <c r="I4" s="575"/>
      <c r="J4" s="575"/>
      <c r="K4" s="575"/>
      <c r="L4" s="433"/>
    </row>
    <row r="5" spans="1:14" ht="40.5" customHeight="1" x14ac:dyDescent="0.2"/>
    <row r="6" spans="1:14" ht="40.5" customHeight="1" x14ac:dyDescent="0.2"/>
    <row r="7" spans="1:14" ht="40.5" customHeight="1" x14ac:dyDescent="0.2">
      <c r="C7" s="391" t="s">
        <v>361</v>
      </c>
      <c r="D7" s="391"/>
    </row>
    <row r="8" spans="1:14" ht="18" x14ac:dyDescent="0.2">
      <c r="C8" s="391"/>
      <c r="D8" s="391"/>
    </row>
    <row r="9" spans="1:14" ht="18.75" thickBot="1" x14ac:dyDescent="0.25">
      <c r="C9" s="392" t="s">
        <v>356</v>
      </c>
      <c r="D9" s="392"/>
      <c r="F9" s="72"/>
      <c r="G9" s="72"/>
      <c r="H9" s="72"/>
      <c r="I9" s="72"/>
      <c r="J9" s="72"/>
      <c r="K9" s="73"/>
      <c r="L9" s="73"/>
      <c r="M9" s="73"/>
      <c r="N9" s="73"/>
    </row>
    <row r="10" spans="1:14" ht="13.5" thickBot="1" x14ac:dyDescent="0.25">
      <c r="C10" s="74"/>
      <c r="D10" s="74"/>
      <c r="E10" s="72"/>
      <c r="F10" s="72"/>
      <c r="G10" s="72"/>
      <c r="H10" s="72"/>
      <c r="I10" s="621" t="s">
        <v>229</v>
      </c>
      <c r="J10" s="622"/>
      <c r="K10" s="73"/>
      <c r="L10" s="73"/>
      <c r="M10" s="73"/>
      <c r="N10" s="73"/>
    </row>
    <row r="11" spans="1:14" ht="27.75" thickBot="1" x14ac:dyDescent="0.25">
      <c r="C11" s="75" t="s">
        <v>123</v>
      </c>
      <c r="D11" s="443" t="s">
        <v>430</v>
      </c>
      <c r="E11" s="76" t="s">
        <v>392</v>
      </c>
      <c r="F11" s="77" t="s">
        <v>227</v>
      </c>
      <c r="G11" s="78" t="s">
        <v>228</v>
      </c>
      <c r="H11" s="468"/>
      <c r="I11" s="76" t="s">
        <v>107</v>
      </c>
      <c r="J11" s="76" t="s">
        <v>125</v>
      </c>
      <c r="K11" s="78" t="s">
        <v>230</v>
      </c>
      <c r="L11" s="466"/>
      <c r="M11" s="75" t="s">
        <v>126</v>
      </c>
      <c r="N11" s="78" t="s">
        <v>127</v>
      </c>
    </row>
    <row r="12" spans="1:14" x14ac:dyDescent="0.2">
      <c r="C12" s="204"/>
      <c r="D12" s="444"/>
      <c r="E12" s="205"/>
      <c r="F12" s="79"/>
      <c r="G12" s="79"/>
      <c r="H12" s="79"/>
      <c r="I12" s="79"/>
      <c r="J12" s="80"/>
      <c r="K12" s="205"/>
      <c r="L12" s="205"/>
      <c r="M12" s="205"/>
      <c r="N12" s="206"/>
    </row>
    <row r="13" spans="1:14" x14ac:dyDescent="0.2">
      <c r="C13" s="156" t="s">
        <v>128</v>
      </c>
      <c r="D13" s="451" t="s">
        <v>432</v>
      </c>
      <c r="E13" s="81">
        <f>'H13 Sch 13 Tax Reserves Histori'!F15</f>
        <v>0</v>
      </c>
      <c r="F13" s="396"/>
      <c r="G13" s="82">
        <f>SUM(E13:F13)</f>
        <v>0</v>
      </c>
      <c r="H13" s="82"/>
      <c r="I13" s="396"/>
      <c r="J13" s="397"/>
      <c r="K13" s="81">
        <f>G13+I13-J13</f>
        <v>0</v>
      </c>
      <c r="L13" s="467" t="s">
        <v>443</v>
      </c>
      <c r="M13" s="81">
        <f>+K13-G13</f>
        <v>0</v>
      </c>
      <c r="N13" s="399"/>
    </row>
    <row r="14" spans="1:14" x14ac:dyDescent="0.2">
      <c r="C14" s="207" t="s">
        <v>129</v>
      </c>
      <c r="D14" s="445"/>
      <c r="E14" s="81"/>
      <c r="F14" s="83"/>
      <c r="G14" s="83"/>
      <c r="H14" s="83"/>
      <c r="I14" s="83"/>
      <c r="J14" s="84"/>
      <c r="K14" s="85"/>
      <c r="L14" s="85"/>
      <c r="M14" s="81"/>
      <c r="N14" s="157"/>
    </row>
    <row r="15" spans="1:14" x14ac:dyDescent="0.2">
      <c r="C15" s="158" t="s">
        <v>130</v>
      </c>
      <c r="D15" s="451" t="s">
        <v>432</v>
      </c>
      <c r="E15" s="81">
        <f>'H13 Sch 13 Tax Reserves Histori'!F17</f>
        <v>0</v>
      </c>
      <c r="F15" s="376"/>
      <c r="G15" s="83">
        <f t="shared" ref="G15:G21" si="0">SUM(E15:F15)</f>
        <v>0</v>
      </c>
      <c r="H15" s="83"/>
      <c r="I15" s="376"/>
      <c r="J15" s="398"/>
      <c r="K15" s="81">
        <f t="shared" ref="K15:K21" si="1">G15+I15-J15</f>
        <v>0</v>
      </c>
      <c r="L15" s="467" t="s">
        <v>443</v>
      </c>
      <c r="M15" s="81">
        <f t="shared" ref="M15:M21" si="2">+K15-G15</f>
        <v>0</v>
      </c>
      <c r="N15" s="399"/>
    </row>
    <row r="16" spans="1:14" x14ac:dyDescent="0.2">
      <c r="C16" s="156" t="s">
        <v>131</v>
      </c>
      <c r="D16" s="451" t="s">
        <v>432</v>
      </c>
      <c r="E16" s="81">
        <f>'H13 Sch 13 Tax Reserves Histori'!F18</f>
        <v>0</v>
      </c>
      <c r="F16" s="396"/>
      <c r="G16" s="82">
        <f t="shared" si="0"/>
        <v>0</v>
      </c>
      <c r="H16" s="82"/>
      <c r="I16" s="396"/>
      <c r="J16" s="397"/>
      <c r="K16" s="81">
        <f t="shared" si="1"/>
        <v>0</v>
      </c>
      <c r="L16" s="467" t="s">
        <v>443</v>
      </c>
      <c r="M16" s="81">
        <f t="shared" si="2"/>
        <v>0</v>
      </c>
      <c r="N16" s="399"/>
    </row>
    <row r="17" spans="3:14" x14ac:dyDescent="0.2">
      <c r="C17" s="156" t="s">
        <v>132</v>
      </c>
      <c r="D17" s="451" t="s">
        <v>432</v>
      </c>
      <c r="E17" s="81">
        <f>'H13 Sch 13 Tax Reserves Histori'!F19</f>
        <v>0</v>
      </c>
      <c r="F17" s="396"/>
      <c r="G17" s="82">
        <f t="shared" si="0"/>
        <v>0</v>
      </c>
      <c r="H17" s="82"/>
      <c r="I17" s="396"/>
      <c r="J17" s="397"/>
      <c r="K17" s="81">
        <f t="shared" si="1"/>
        <v>0</v>
      </c>
      <c r="L17" s="467" t="s">
        <v>443</v>
      </c>
      <c r="M17" s="81">
        <f t="shared" si="2"/>
        <v>0</v>
      </c>
      <c r="N17" s="399"/>
    </row>
    <row r="18" spans="3:14" x14ac:dyDescent="0.2">
      <c r="C18" s="156" t="s">
        <v>133</v>
      </c>
      <c r="D18" s="451" t="s">
        <v>432</v>
      </c>
      <c r="E18" s="81">
        <f>'H13 Sch 13 Tax Reserves Histori'!F20</f>
        <v>0</v>
      </c>
      <c r="F18" s="396"/>
      <c r="G18" s="82">
        <f t="shared" si="0"/>
        <v>0</v>
      </c>
      <c r="H18" s="82"/>
      <c r="I18" s="396"/>
      <c r="J18" s="397"/>
      <c r="K18" s="81">
        <f t="shared" si="1"/>
        <v>0</v>
      </c>
      <c r="L18" s="467" t="s">
        <v>443</v>
      </c>
      <c r="M18" s="81">
        <f t="shared" si="2"/>
        <v>0</v>
      </c>
      <c r="N18" s="399"/>
    </row>
    <row r="19" spans="3:14" x14ac:dyDescent="0.2">
      <c r="C19" s="156" t="s">
        <v>134</v>
      </c>
      <c r="D19" s="451" t="s">
        <v>432</v>
      </c>
      <c r="E19" s="81">
        <f>'H13 Sch 13 Tax Reserves Histori'!F21</f>
        <v>0</v>
      </c>
      <c r="F19" s="396"/>
      <c r="G19" s="82">
        <f t="shared" si="0"/>
        <v>0</v>
      </c>
      <c r="H19" s="82"/>
      <c r="I19" s="396"/>
      <c r="J19" s="397"/>
      <c r="K19" s="81">
        <f t="shared" si="1"/>
        <v>0</v>
      </c>
      <c r="L19" s="467" t="s">
        <v>443</v>
      </c>
      <c r="M19" s="81">
        <f t="shared" si="2"/>
        <v>0</v>
      </c>
      <c r="N19" s="399"/>
    </row>
    <row r="20" spans="3:14" x14ac:dyDescent="0.2">
      <c r="C20" s="393"/>
      <c r="D20" s="446"/>
      <c r="E20" s="81">
        <f>'H13 Sch 13 Tax Reserves Histori'!F25</f>
        <v>0</v>
      </c>
      <c r="F20" s="396"/>
      <c r="G20" s="82">
        <f t="shared" si="0"/>
        <v>0</v>
      </c>
      <c r="H20" s="82"/>
      <c r="I20" s="396"/>
      <c r="J20" s="397"/>
      <c r="K20" s="81">
        <f t="shared" si="1"/>
        <v>0</v>
      </c>
      <c r="L20" s="81"/>
      <c r="M20" s="81">
        <f t="shared" si="2"/>
        <v>0</v>
      </c>
      <c r="N20" s="399"/>
    </row>
    <row r="21" spans="3:14" ht="16.5" thickBot="1" x14ac:dyDescent="0.25">
      <c r="C21" s="394"/>
      <c r="D21" s="447"/>
      <c r="E21" s="81">
        <f>'H13 Sch 13 Tax Reserves Histori'!F26</f>
        <v>0</v>
      </c>
      <c r="F21" s="396"/>
      <c r="G21" s="82">
        <f t="shared" si="0"/>
        <v>0</v>
      </c>
      <c r="H21" s="82"/>
      <c r="I21" s="396"/>
      <c r="J21" s="397"/>
      <c r="K21" s="81">
        <f t="shared" si="1"/>
        <v>0</v>
      </c>
      <c r="L21" s="81"/>
      <c r="M21" s="81">
        <f t="shared" si="2"/>
        <v>0</v>
      </c>
      <c r="N21" s="399"/>
    </row>
    <row r="22" spans="3:14" ht="19.5" thickBot="1" x14ac:dyDescent="0.25">
      <c r="C22" s="86" t="s">
        <v>3</v>
      </c>
      <c r="D22" s="448"/>
      <c r="E22" s="87">
        <f t="shared" ref="E22:N22" si="3">SUM(E15:E21)</f>
        <v>0</v>
      </c>
      <c r="F22" s="87">
        <f t="shared" si="3"/>
        <v>0</v>
      </c>
      <c r="G22" s="87">
        <f t="shared" si="3"/>
        <v>0</v>
      </c>
      <c r="H22" s="469" t="s">
        <v>433</v>
      </c>
      <c r="I22" s="87">
        <f t="shared" si="3"/>
        <v>0</v>
      </c>
      <c r="J22" s="87">
        <f t="shared" si="3"/>
        <v>0</v>
      </c>
      <c r="K22" s="87">
        <f t="shared" si="3"/>
        <v>0</v>
      </c>
      <c r="L22" s="469" t="s">
        <v>433</v>
      </c>
      <c r="M22" s="87">
        <f t="shared" si="3"/>
        <v>0</v>
      </c>
      <c r="N22" s="88">
        <f t="shared" si="3"/>
        <v>0</v>
      </c>
    </row>
    <row r="23" spans="3:14" x14ac:dyDescent="0.2">
      <c r="C23" s="159"/>
      <c r="D23" s="449"/>
      <c r="E23" s="89">
        <v>0</v>
      </c>
      <c r="F23" s="90"/>
      <c r="G23" s="90"/>
      <c r="H23" s="90"/>
      <c r="I23" s="90"/>
      <c r="J23" s="91"/>
      <c r="K23" s="92"/>
      <c r="L23" s="92"/>
      <c r="M23" s="92"/>
      <c r="N23" s="208"/>
    </row>
    <row r="24" spans="3:14" x14ac:dyDescent="0.2">
      <c r="C24" s="207" t="s">
        <v>135</v>
      </c>
      <c r="D24" s="445"/>
      <c r="E24" s="81"/>
      <c r="F24" s="83"/>
      <c r="G24" s="83"/>
      <c r="H24" s="83"/>
      <c r="I24" s="83"/>
      <c r="J24" s="84"/>
      <c r="K24" s="85"/>
      <c r="L24" s="85"/>
      <c r="M24" s="81"/>
      <c r="N24" s="157"/>
    </row>
    <row r="25" spans="3:14" x14ac:dyDescent="0.2">
      <c r="C25" s="156" t="s">
        <v>136</v>
      </c>
      <c r="D25" s="451" t="s">
        <v>432</v>
      </c>
      <c r="E25" s="81">
        <f>'H13 Sch 13 Tax Reserves Histori'!F30</f>
        <v>0</v>
      </c>
      <c r="F25" s="396"/>
      <c r="G25" s="82">
        <f t="shared" ref="G25:G40" si="4">SUM(E25:F25)</f>
        <v>0</v>
      </c>
      <c r="H25" s="82"/>
      <c r="I25" s="396"/>
      <c r="J25" s="397"/>
      <c r="K25" s="81">
        <f t="shared" ref="K25:K42" si="5">G25+I25-J25</f>
        <v>0</v>
      </c>
      <c r="L25" s="467" t="s">
        <v>443</v>
      </c>
      <c r="M25" s="81">
        <f t="shared" ref="M25:M40" si="6">+K25-G25</f>
        <v>0</v>
      </c>
      <c r="N25" s="399"/>
    </row>
    <row r="26" spans="3:14" x14ac:dyDescent="0.2">
      <c r="C26" s="156" t="s">
        <v>137</v>
      </c>
      <c r="D26" s="451" t="s">
        <v>432</v>
      </c>
      <c r="E26" s="81">
        <f>'H13 Sch 13 Tax Reserves Histori'!F31</f>
        <v>0</v>
      </c>
      <c r="F26" s="396"/>
      <c r="G26" s="82">
        <f t="shared" si="4"/>
        <v>0</v>
      </c>
      <c r="H26" s="82"/>
      <c r="I26" s="396"/>
      <c r="J26" s="397"/>
      <c r="K26" s="81">
        <f t="shared" si="5"/>
        <v>0</v>
      </c>
      <c r="L26" s="467" t="s">
        <v>443</v>
      </c>
      <c r="M26" s="81">
        <f t="shared" si="6"/>
        <v>0</v>
      </c>
      <c r="N26" s="399"/>
    </row>
    <row r="27" spans="3:14" x14ac:dyDescent="0.2">
      <c r="C27" s="156" t="s">
        <v>138</v>
      </c>
      <c r="D27" s="451" t="s">
        <v>432</v>
      </c>
      <c r="E27" s="81">
        <f>'H13 Sch 13 Tax Reserves Histori'!F32</f>
        <v>288978</v>
      </c>
      <c r="F27" s="396"/>
      <c r="G27" s="82">
        <f t="shared" si="4"/>
        <v>288978</v>
      </c>
      <c r="H27" s="82"/>
      <c r="I27" s="396">
        <v>304086</v>
      </c>
      <c r="J27" s="397">
        <v>288978</v>
      </c>
      <c r="K27" s="81">
        <f t="shared" si="5"/>
        <v>304086</v>
      </c>
      <c r="L27" s="467" t="s">
        <v>443</v>
      </c>
      <c r="M27" s="81">
        <f t="shared" si="6"/>
        <v>15108</v>
      </c>
      <c r="N27" s="399"/>
    </row>
    <row r="28" spans="3:14" x14ac:dyDescent="0.2">
      <c r="C28" s="209" t="s">
        <v>139</v>
      </c>
      <c r="D28" s="451" t="s">
        <v>432</v>
      </c>
      <c r="E28" s="81">
        <f>'H13 Sch 13 Tax Reserves Histori'!F33</f>
        <v>0</v>
      </c>
      <c r="F28" s="396"/>
      <c r="G28" s="82">
        <f t="shared" si="4"/>
        <v>0</v>
      </c>
      <c r="H28" s="82"/>
      <c r="I28" s="396"/>
      <c r="J28" s="397"/>
      <c r="K28" s="81">
        <f t="shared" si="5"/>
        <v>0</v>
      </c>
      <c r="L28" s="467" t="s">
        <v>443</v>
      </c>
      <c r="M28" s="81">
        <f t="shared" si="6"/>
        <v>0</v>
      </c>
      <c r="N28" s="399"/>
    </row>
    <row r="29" spans="3:14" x14ac:dyDescent="0.2">
      <c r="C29" s="209" t="s">
        <v>140</v>
      </c>
      <c r="D29" s="451" t="s">
        <v>432</v>
      </c>
      <c r="E29" s="81">
        <f>'H13 Sch 13 Tax Reserves Histori'!F34</f>
        <v>0</v>
      </c>
      <c r="F29" s="396"/>
      <c r="G29" s="82">
        <f t="shared" si="4"/>
        <v>0</v>
      </c>
      <c r="H29" s="82"/>
      <c r="I29" s="396"/>
      <c r="J29" s="397"/>
      <c r="K29" s="81">
        <f t="shared" si="5"/>
        <v>0</v>
      </c>
      <c r="L29" s="467" t="s">
        <v>443</v>
      </c>
      <c r="M29" s="81">
        <f t="shared" si="6"/>
        <v>0</v>
      </c>
      <c r="N29" s="399"/>
    </row>
    <row r="30" spans="3:14" x14ac:dyDescent="0.2">
      <c r="C30" s="209" t="s">
        <v>141</v>
      </c>
      <c r="D30" s="451" t="s">
        <v>432</v>
      </c>
      <c r="E30" s="81">
        <f>'H13 Sch 13 Tax Reserves Histori'!F35</f>
        <v>0</v>
      </c>
      <c r="F30" s="396"/>
      <c r="G30" s="82">
        <f t="shared" si="4"/>
        <v>0</v>
      </c>
      <c r="H30" s="82"/>
      <c r="I30" s="396"/>
      <c r="J30" s="397"/>
      <c r="K30" s="81">
        <f t="shared" si="5"/>
        <v>0</v>
      </c>
      <c r="L30" s="467" t="s">
        <v>443</v>
      </c>
      <c r="M30" s="81">
        <f t="shared" si="6"/>
        <v>0</v>
      </c>
      <c r="N30" s="399"/>
    </row>
    <row r="31" spans="3:14" x14ac:dyDescent="0.2">
      <c r="C31" s="209" t="s">
        <v>142</v>
      </c>
      <c r="D31" s="451" t="s">
        <v>432</v>
      </c>
      <c r="E31" s="81">
        <f>'H13 Sch 13 Tax Reserves Histori'!F36</f>
        <v>0</v>
      </c>
      <c r="F31" s="396"/>
      <c r="G31" s="82">
        <f t="shared" si="4"/>
        <v>0</v>
      </c>
      <c r="H31" s="82"/>
      <c r="I31" s="396"/>
      <c r="J31" s="397"/>
      <c r="K31" s="81">
        <f t="shared" si="5"/>
        <v>0</v>
      </c>
      <c r="L31" s="467" t="s">
        <v>443</v>
      </c>
      <c r="M31" s="81">
        <f t="shared" si="6"/>
        <v>0</v>
      </c>
      <c r="N31" s="399"/>
    </row>
    <row r="32" spans="3:14" x14ac:dyDescent="0.2">
      <c r="C32" s="209" t="s">
        <v>143</v>
      </c>
      <c r="D32" s="451" t="s">
        <v>432</v>
      </c>
      <c r="E32" s="81">
        <f>'H13 Sch 13 Tax Reserves Histori'!F37</f>
        <v>0</v>
      </c>
      <c r="F32" s="396"/>
      <c r="G32" s="82">
        <f t="shared" si="4"/>
        <v>0</v>
      </c>
      <c r="H32" s="82"/>
      <c r="I32" s="396"/>
      <c r="J32" s="397"/>
      <c r="K32" s="81">
        <f t="shared" si="5"/>
        <v>0</v>
      </c>
      <c r="L32" s="467" t="s">
        <v>443</v>
      </c>
      <c r="M32" s="81">
        <f t="shared" si="6"/>
        <v>0</v>
      </c>
      <c r="N32" s="399"/>
    </row>
    <row r="33" spans="3:14" x14ac:dyDescent="0.2">
      <c r="C33" s="156" t="s">
        <v>144</v>
      </c>
      <c r="D33" s="451" t="s">
        <v>432</v>
      </c>
      <c r="E33" s="81">
        <f>'H13 Sch 13 Tax Reserves Histori'!F38</f>
        <v>0</v>
      </c>
      <c r="F33" s="396"/>
      <c r="G33" s="82">
        <f t="shared" si="4"/>
        <v>0</v>
      </c>
      <c r="H33" s="82"/>
      <c r="I33" s="396"/>
      <c r="J33" s="397"/>
      <c r="K33" s="81">
        <f t="shared" si="5"/>
        <v>0</v>
      </c>
      <c r="L33" s="467" t="s">
        <v>443</v>
      </c>
      <c r="M33" s="81">
        <f t="shared" si="6"/>
        <v>0</v>
      </c>
      <c r="N33" s="399"/>
    </row>
    <row r="34" spans="3:14" x14ac:dyDescent="0.2">
      <c r="C34" s="156" t="s">
        <v>145</v>
      </c>
      <c r="D34" s="451" t="s">
        <v>432</v>
      </c>
      <c r="E34" s="81">
        <f>'H13 Sch 13 Tax Reserves Histori'!F39</f>
        <v>0</v>
      </c>
      <c r="F34" s="396"/>
      <c r="G34" s="82">
        <f t="shared" si="4"/>
        <v>0</v>
      </c>
      <c r="H34" s="82"/>
      <c r="I34" s="396"/>
      <c r="J34" s="397"/>
      <c r="K34" s="81">
        <f t="shared" si="5"/>
        <v>0</v>
      </c>
      <c r="L34" s="467" t="s">
        <v>443</v>
      </c>
      <c r="M34" s="81">
        <f t="shared" si="6"/>
        <v>0</v>
      </c>
      <c r="N34" s="399"/>
    </row>
    <row r="35" spans="3:14" x14ac:dyDescent="0.2">
      <c r="C35" s="156" t="s">
        <v>146</v>
      </c>
      <c r="D35" s="451" t="s">
        <v>432</v>
      </c>
      <c r="E35" s="81">
        <f>'H13 Sch 13 Tax Reserves Histori'!F40</f>
        <v>0</v>
      </c>
      <c r="F35" s="396"/>
      <c r="G35" s="82">
        <f t="shared" si="4"/>
        <v>0</v>
      </c>
      <c r="H35" s="82"/>
      <c r="I35" s="396"/>
      <c r="J35" s="397"/>
      <c r="K35" s="81">
        <f t="shared" si="5"/>
        <v>0</v>
      </c>
      <c r="L35" s="467" t="s">
        <v>443</v>
      </c>
      <c r="M35" s="81">
        <f t="shared" si="6"/>
        <v>0</v>
      </c>
      <c r="N35" s="399"/>
    </row>
    <row r="36" spans="3:14" x14ac:dyDescent="0.2">
      <c r="C36" s="156" t="s">
        <v>147</v>
      </c>
      <c r="D36" s="451" t="s">
        <v>432</v>
      </c>
      <c r="E36" s="81">
        <f>'H13 Sch 13 Tax Reserves Histori'!F41</f>
        <v>0</v>
      </c>
      <c r="F36" s="396"/>
      <c r="G36" s="82">
        <f t="shared" si="4"/>
        <v>0</v>
      </c>
      <c r="H36" s="82"/>
      <c r="I36" s="396"/>
      <c r="J36" s="397"/>
      <c r="K36" s="81">
        <f t="shared" si="5"/>
        <v>0</v>
      </c>
      <c r="L36" s="467" t="s">
        <v>443</v>
      </c>
      <c r="M36" s="81">
        <f t="shared" si="6"/>
        <v>0</v>
      </c>
      <c r="N36" s="399"/>
    </row>
    <row r="37" spans="3:14" x14ac:dyDescent="0.2">
      <c r="C37" s="156" t="s">
        <v>148</v>
      </c>
      <c r="D37" s="451" t="s">
        <v>432</v>
      </c>
      <c r="E37" s="81">
        <f>'H13 Sch 13 Tax Reserves Histori'!F42</f>
        <v>0</v>
      </c>
      <c r="F37" s="396"/>
      <c r="G37" s="82">
        <f t="shared" si="4"/>
        <v>0</v>
      </c>
      <c r="H37" s="82"/>
      <c r="I37" s="396"/>
      <c r="J37" s="397"/>
      <c r="K37" s="81">
        <f t="shared" si="5"/>
        <v>0</v>
      </c>
      <c r="L37" s="467" t="s">
        <v>443</v>
      </c>
      <c r="M37" s="81">
        <f t="shared" si="6"/>
        <v>0</v>
      </c>
      <c r="N37" s="399"/>
    </row>
    <row r="38" spans="3:14" ht="24" x14ac:dyDescent="0.2">
      <c r="C38" s="156" t="s">
        <v>149</v>
      </c>
      <c r="D38" s="451" t="s">
        <v>432</v>
      </c>
      <c r="E38" s="81">
        <f>'H13 Sch 13 Tax Reserves Histori'!F43</f>
        <v>0</v>
      </c>
      <c r="F38" s="396"/>
      <c r="G38" s="82">
        <f t="shared" si="4"/>
        <v>0</v>
      </c>
      <c r="H38" s="82"/>
      <c r="I38" s="396"/>
      <c r="J38" s="397"/>
      <c r="K38" s="81">
        <f t="shared" si="5"/>
        <v>0</v>
      </c>
      <c r="L38" s="467" t="s">
        <v>443</v>
      </c>
      <c r="M38" s="81">
        <f t="shared" si="6"/>
        <v>0</v>
      </c>
      <c r="N38" s="399"/>
    </row>
    <row r="39" spans="3:14" ht="24" x14ac:dyDescent="0.2">
      <c r="C39" s="156" t="s">
        <v>150</v>
      </c>
      <c r="D39" s="451" t="s">
        <v>432</v>
      </c>
      <c r="E39" s="81">
        <f>'H13 Sch 13 Tax Reserves Histori'!F44</f>
        <v>0</v>
      </c>
      <c r="F39" s="396"/>
      <c r="G39" s="82">
        <f t="shared" si="4"/>
        <v>0</v>
      </c>
      <c r="H39" s="82"/>
      <c r="I39" s="396"/>
      <c r="J39" s="397"/>
      <c r="K39" s="81">
        <f t="shared" si="5"/>
        <v>0</v>
      </c>
      <c r="L39" s="467" t="s">
        <v>443</v>
      </c>
      <c r="M39" s="81">
        <f t="shared" si="6"/>
        <v>0</v>
      </c>
      <c r="N39" s="399"/>
    </row>
    <row r="40" spans="3:14" x14ac:dyDescent="0.2">
      <c r="C40" s="156" t="s">
        <v>151</v>
      </c>
      <c r="D40" s="451" t="s">
        <v>432</v>
      </c>
      <c r="E40" s="81">
        <f>'H13 Sch 13 Tax Reserves Histori'!F45</f>
        <v>0</v>
      </c>
      <c r="F40" s="396"/>
      <c r="G40" s="82">
        <f t="shared" si="4"/>
        <v>0</v>
      </c>
      <c r="H40" s="82"/>
      <c r="I40" s="396"/>
      <c r="J40" s="397"/>
      <c r="K40" s="81">
        <f t="shared" si="5"/>
        <v>0</v>
      </c>
      <c r="L40" s="467" t="s">
        <v>443</v>
      </c>
      <c r="M40" s="81">
        <f t="shared" si="6"/>
        <v>0</v>
      </c>
      <c r="N40" s="399"/>
    </row>
    <row r="41" spans="3:14" x14ac:dyDescent="0.2">
      <c r="C41" s="393"/>
      <c r="D41" s="446"/>
      <c r="E41" s="81">
        <f>'H13 Sch 13 Tax Reserves Histori'!F49</f>
        <v>0</v>
      </c>
      <c r="F41" s="396"/>
      <c r="G41" s="82">
        <f>SUM(E41:F41)</f>
        <v>0</v>
      </c>
      <c r="H41" s="82"/>
      <c r="I41" s="396"/>
      <c r="J41" s="397"/>
      <c r="K41" s="81">
        <f t="shared" si="5"/>
        <v>0</v>
      </c>
      <c r="L41" s="81"/>
      <c r="M41" s="81">
        <f>+K41-G41</f>
        <v>0</v>
      </c>
      <c r="N41" s="399"/>
    </row>
    <row r="42" spans="3:14" ht="13.5" thickBot="1" x14ac:dyDescent="0.25">
      <c r="C42" s="395"/>
      <c r="D42" s="450"/>
      <c r="E42" s="81">
        <f>'H13 Sch 13 Tax Reserves Histori'!F50</f>
        <v>0</v>
      </c>
      <c r="F42" s="396"/>
      <c r="G42" s="82">
        <f>SUM(E42:F42)</f>
        <v>0</v>
      </c>
      <c r="H42" s="82"/>
      <c r="I42" s="396"/>
      <c r="J42" s="397"/>
      <c r="K42" s="81">
        <f t="shared" si="5"/>
        <v>0</v>
      </c>
      <c r="L42" s="81"/>
      <c r="M42" s="81">
        <f>+K42-G42</f>
        <v>0</v>
      </c>
      <c r="N42" s="399"/>
    </row>
    <row r="43" spans="3:14" ht="19.5" thickBot="1" x14ac:dyDescent="0.25">
      <c r="C43" s="86" t="s">
        <v>152</v>
      </c>
      <c r="D43" s="448"/>
      <c r="E43" s="93">
        <f>SUM(E25:E42)</f>
        <v>288978</v>
      </c>
      <c r="F43" s="93">
        <f t="shared" ref="F43:N43" si="7">SUM(F25:F42)</f>
        <v>0</v>
      </c>
      <c r="G43" s="93">
        <f t="shared" si="7"/>
        <v>288978</v>
      </c>
      <c r="H43" s="469" t="s">
        <v>433</v>
      </c>
      <c r="I43" s="93">
        <f t="shared" si="7"/>
        <v>304086</v>
      </c>
      <c r="J43" s="93">
        <f t="shared" si="7"/>
        <v>288978</v>
      </c>
      <c r="K43" s="93">
        <f t="shared" si="7"/>
        <v>304086</v>
      </c>
      <c r="L43" s="469" t="s">
        <v>433</v>
      </c>
      <c r="M43" s="93">
        <f t="shared" si="7"/>
        <v>15108</v>
      </c>
      <c r="N43" s="94">
        <f t="shared" si="7"/>
        <v>0</v>
      </c>
    </row>
    <row r="44" spans="3:14" ht="15.75" x14ac:dyDescent="0.2">
      <c r="C44" s="95"/>
      <c r="D44" s="95"/>
      <c r="E44" s="96">
        <v>0</v>
      </c>
      <c r="F44" s="97"/>
      <c r="G44" s="97"/>
      <c r="H44" s="97"/>
      <c r="I44" s="97"/>
      <c r="J44" s="98"/>
      <c r="K44" s="99"/>
      <c r="L44" s="99"/>
      <c r="M44" s="99"/>
      <c r="N44" s="99"/>
    </row>
  </sheetData>
  <sheetProtection password="C2FC" sheet="1" objects="1" scenarios="1"/>
  <mergeCells count="4">
    <mergeCell ref="I10:J10"/>
    <mergeCell ref="C2:K2"/>
    <mergeCell ref="C3:K3"/>
    <mergeCell ref="C4:K4"/>
  </mergeCells>
  <phoneticPr fontId="3" type="noConversion"/>
  <conditionalFormatting sqref="E22">
    <cfRule type="cellIs" dxfId="15" priority="1" stopIfTrue="1" operator="notEqual">
      <formula>#REF!</formula>
    </cfRule>
  </conditionalFormatting>
  <conditionalFormatting sqref="E43">
    <cfRule type="cellIs" dxfId="14" priority="2" stopIfTrue="1" operator="notEqual">
      <formula>#REF!</formula>
    </cfRule>
  </conditionalFormatting>
  <conditionalFormatting sqref="E13 E15:E21 E25:E42">
    <cfRule type="cellIs" dxfId="13" priority="3" stopIfTrue="1" operator="lessThan">
      <formula>0</formula>
    </cfRule>
  </conditionalFormatting>
  <hyperlinks>
    <hyperlink ref="D13" location="'H13 Sch 13 Tax Reserves Histori'!A1" display="'H13"/>
    <hyperlink ref="D15" location="'H13 Sch 13 Tax Reserves Histori'!A1" display="'H13"/>
    <hyperlink ref="D16" location="'H13 Sch 13 Tax Reserves Histori'!A1" display="'H13"/>
    <hyperlink ref="D17" location="'H13 Sch 13 Tax Reserves Histori'!A1" display="'H13"/>
    <hyperlink ref="D18" location="'H13 Sch 13 Tax Reserves Histori'!A1" display="'H13"/>
    <hyperlink ref="D19" location="'H13 Sch 13 Tax Reserves Histori'!A1" display="'H13"/>
    <hyperlink ref="D25:D40" location="'H13 Sch 13 Tax Reserves Histori'!A1" display="'H13"/>
    <hyperlink ref="L13" location="'T13 Sch 13 Reserve Test Year'!A1" display="'T13"/>
    <hyperlink ref="L15:L19" location="'T13 Sch 13 Reserve Test Year'!A1" display="'T13"/>
    <hyperlink ref="L25:L40" location="'T13 Sch 13 Reserve Test Year'!A1" display="'T13"/>
    <hyperlink ref="L22" location="'B1 Adj. Taxable Income Bridge'!A1" display="'B1"/>
    <hyperlink ref="L43" location="'B1 Adj. Taxable Income Bridge'!A1" display="'B1"/>
    <hyperlink ref="H22" location="'B1 Adj. Taxable Income Bridge'!A1" display="'B1"/>
    <hyperlink ref="H43" location="'B1 Adj. Taxable Income Bridge'!A1" display="'B1"/>
  </hyperlinks>
  <pageMargins left="0.35433070866141736" right="0.15748031496062992" top="0.39370078740157483" bottom="0.19685039370078741" header="0.51181102362204722" footer="0.51181102362204722"/>
  <pageSetup scale="57"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53"/>
  <sheetViews>
    <sheetView zoomScale="80" zoomScaleNormal="80" workbookViewId="0">
      <selection activeCell="I10" sqref="I10"/>
    </sheetView>
  </sheetViews>
  <sheetFormatPr defaultRowHeight="12.75" x14ac:dyDescent="0.2"/>
  <cols>
    <col min="1" max="1" width="4.28515625" style="11" customWidth="1"/>
    <col min="2" max="2" width="13.28515625" style="11" customWidth="1"/>
    <col min="3" max="3" width="32.28515625" style="11" customWidth="1"/>
    <col min="4" max="4" width="42.7109375" style="11" customWidth="1"/>
    <col min="5" max="5" width="11.42578125" style="11" bestFit="1" customWidth="1"/>
    <col min="6" max="6" width="6" style="11" customWidth="1"/>
    <col min="7" max="7" width="16.140625" style="11" bestFit="1" customWidth="1"/>
    <col min="8" max="8" width="9.140625" style="11"/>
    <col min="9" max="9" width="16.28515625" style="11" bestFit="1" customWidth="1"/>
    <col min="10" max="10" width="11.7109375" style="11" bestFit="1" customWidth="1"/>
    <col min="11" max="11" width="4.5703125" style="11" customWidth="1"/>
    <col min="12" max="18" width="9.140625" style="11"/>
    <col min="19" max="19" width="15" style="10" hidden="1" customWidth="1"/>
    <col min="20" max="20" width="10.28515625" style="10" hidden="1" customWidth="1"/>
    <col min="21" max="16384" width="9.140625" style="11"/>
  </cols>
  <sheetData>
    <row r="1" spans="1:20" ht="21.75" x14ac:dyDescent="0.2">
      <c r="A1" s="312"/>
      <c r="C1" s="574"/>
      <c r="D1" s="574"/>
      <c r="E1" s="574"/>
      <c r="F1" s="574"/>
      <c r="G1" s="574"/>
      <c r="H1" s="425"/>
      <c r="S1" s="10" t="s">
        <v>1</v>
      </c>
      <c r="T1" s="10" t="s">
        <v>399</v>
      </c>
    </row>
    <row r="2" spans="1:20" ht="18" x14ac:dyDescent="0.25">
      <c r="C2" s="575"/>
      <c r="D2" s="575"/>
      <c r="E2" s="575"/>
      <c r="F2" s="575"/>
      <c r="G2" s="575"/>
      <c r="H2" s="575"/>
      <c r="I2" s="575"/>
      <c r="J2" s="575"/>
      <c r="K2" s="575"/>
      <c r="L2" s="575"/>
      <c r="S2" s="426">
        <v>500000</v>
      </c>
      <c r="T2" s="427">
        <v>0.11</v>
      </c>
    </row>
    <row r="3" spans="1:20" ht="18" x14ac:dyDescent="0.25">
      <c r="C3" s="575"/>
      <c r="D3" s="575"/>
      <c r="E3" s="575"/>
      <c r="F3" s="575"/>
      <c r="G3" s="575"/>
      <c r="H3" s="575"/>
      <c r="I3" s="575"/>
      <c r="J3" s="575"/>
      <c r="K3" s="575"/>
      <c r="L3" s="575"/>
      <c r="S3" s="426">
        <v>10000000</v>
      </c>
      <c r="T3" s="427">
        <v>0.11</v>
      </c>
    </row>
    <row r="4" spans="1:20" ht="50.25" customHeight="1" x14ac:dyDescent="0.25">
      <c r="C4" s="575"/>
      <c r="D4" s="575"/>
      <c r="E4" s="575"/>
      <c r="F4" s="575"/>
      <c r="G4" s="575"/>
      <c r="H4" s="575"/>
      <c r="I4" s="575"/>
      <c r="J4" s="575"/>
      <c r="K4" s="575"/>
      <c r="L4" s="575"/>
      <c r="S4" s="428">
        <f>S3+100000</f>
        <v>10100000</v>
      </c>
      <c r="T4" s="429">
        <v>0.11</v>
      </c>
    </row>
    <row r="5" spans="1:20" ht="50.25" customHeight="1" x14ac:dyDescent="0.2">
      <c r="S5" s="428">
        <f t="shared" ref="S5:S53" si="0">S4+100000</f>
        <v>10200000</v>
      </c>
      <c r="T5" s="429">
        <v>0.11</v>
      </c>
    </row>
    <row r="6" spans="1:20" ht="18" x14ac:dyDescent="0.2">
      <c r="B6" s="413" t="s">
        <v>369</v>
      </c>
      <c r="S6" s="428">
        <f t="shared" si="0"/>
        <v>10300000</v>
      </c>
      <c r="T6" s="429">
        <v>0.11</v>
      </c>
    </row>
    <row r="7" spans="1:20" x14ac:dyDescent="0.2">
      <c r="S7" s="428">
        <f t="shared" si="0"/>
        <v>10400000</v>
      </c>
      <c r="T7" s="429">
        <v>0.11</v>
      </c>
    </row>
    <row r="8" spans="1:20" ht="15.75" x14ac:dyDescent="0.2">
      <c r="D8" s="121"/>
      <c r="E8" s="116"/>
      <c r="F8" s="116"/>
      <c r="G8" s="116"/>
      <c r="H8" s="116"/>
      <c r="I8" s="381" t="s">
        <v>358</v>
      </c>
      <c r="J8" s="122"/>
      <c r="S8" s="428">
        <f t="shared" si="0"/>
        <v>10500000</v>
      </c>
      <c r="T8" s="429">
        <v>0.11</v>
      </c>
    </row>
    <row r="9" spans="1:20" x14ac:dyDescent="0.2">
      <c r="C9" s="121"/>
      <c r="D9" s="121"/>
      <c r="E9" s="116"/>
      <c r="F9" s="116"/>
      <c r="G9" s="116"/>
      <c r="H9" s="116"/>
      <c r="I9" s="29"/>
      <c r="J9" s="122"/>
      <c r="S9" s="428">
        <f t="shared" si="0"/>
        <v>10600000</v>
      </c>
      <c r="T9" s="429">
        <v>0.11</v>
      </c>
    </row>
    <row r="10" spans="1:20" x14ac:dyDescent="0.2">
      <c r="C10" s="123" t="s">
        <v>209</v>
      </c>
      <c r="D10" s="123"/>
      <c r="E10" s="116"/>
      <c r="F10" s="116"/>
      <c r="G10" s="116"/>
      <c r="H10" s="438" t="s">
        <v>426</v>
      </c>
      <c r="I10" s="260">
        <f>'T1 Taxable Income Test Year'!F124</f>
        <v>706147.74616024178</v>
      </c>
      <c r="J10" s="235" t="s">
        <v>0</v>
      </c>
      <c r="S10" s="428">
        <f t="shared" si="0"/>
        <v>10700000</v>
      </c>
      <c r="T10" s="429">
        <v>0.11</v>
      </c>
    </row>
    <row r="11" spans="1:20" x14ac:dyDescent="0.2">
      <c r="C11" s="124"/>
      <c r="D11" s="124"/>
      <c r="E11" s="116"/>
      <c r="F11" s="116"/>
      <c r="G11" s="116"/>
      <c r="H11" s="116"/>
      <c r="I11" s="116"/>
      <c r="J11" s="236"/>
      <c r="S11" s="428">
        <f t="shared" si="0"/>
        <v>10800000</v>
      </c>
      <c r="T11" s="429">
        <v>0.11</v>
      </c>
    </row>
    <row r="12" spans="1:20" hidden="1" x14ac:dyDescent="0.2">
      <c r="C12" s="140" t="s">
        <v>246</v>
      </c>
      <c r="D12" s="140"/>
      <c r="E12" s="116"/>
      <c r="F12" s="116"/>
      <c r="G12" s="116"/>
      <c r="H12" s="116"/>
      <c r="I12" s="116"/>
      <c r="J12" s="236"/>
      <c r="S12" s="428">
        <f t="shared" si="0"/>
        <v>10900000</v>
      </c>
      <c r="T12" s="429">
        <v>0.11</v>
      </c>
    </row>
    <row r="13" spans="1:20" ht="14.25" hidden="1" x14ac:dyDescent="0.2">
      <c r="C13" s="297" t="s">
        <v>241</v>
      </c>
      <c r="D13" s="298" t="s">
        <v>313</v>
      </c>
      <c r="E13" s="261">
        <f>IF(I10&lt;=500000,'B. Tax Rates &amp; Exemptions'!I31,'B. Tax Rates &amp; Exemptions'!I21)</f>
        <v>0.115</v>
      </c>
      <c r="F13" s="233" t="s">
        <v>187</v>
      </c>
      <c r="G13" s="299">
        <f>IF(I10&gt;0,I10*E13,0)</f>
        <v>81206.990808427814</v>
      </c>
      <c r="H13" s="233" t="s">
        <v>247</v>
      </c>
      <c r="I13" s="116"/>
      <c r="J13" s="236"/>
      <c r="S13" s="428">
        <f t="shared" si="0"/>
        <v>11000000</v>
      </c>
      <c r="T13" s="429">
        <v>0.11</v>
      </c>
    </row>
    <row r="14" spans="1:20" hidden="1" x14ac:dyDescent="0.2">
      <c r="C14" s="300"/>
      <c r="F14" s="424"/>
      <c r="H14" s="424"/>
      <c r="J14" s="424"/>
      <c r="S14" s="428">
        <f t="shared" si="0"/>
        <v>11100000</v>
      </c>
      <c r="T14" s="429">
        <v>0.111</v>
      </c>
    </row>
    <row r="15" spans="1:20" ht="14.25" hidden="1" x14ac:dyDescent="0.2">
      <c r="C15" s="297" t="s">
        <v>242</v>
      </c>
      <c r="D15" s="144" t="s">
        <v>222</v>
      </c>
      <c r="E15" s="301">
        <f>IF(I10&gt;'B. Tax Rates &amp; Exemptions'!I27,'B. Tax Rates &amp; Exemptions'!I27,0)</f>
        <v>500000</v>
      </c>
      <c r="F15" s="233" t="s">
        <v>188</v>
      </c>
      <c r="G15" s="116"/>
      <c r="H15" s="234"/>
      <c r="I15" s="116"/>
      <c r="J15" s="236"/>
      <c r="S15" s="428">
        <f t="shared" si="0"/>
        <v>11200000</v>
      </c>
      <c r="T15" s="429">
        <f>T14+0.13%</f>
        <v>0.1123</v>
      </c>
    </row>
    <row r="16" spans="1:20" ht="14.25" hidden="1" x14ac:dyDescent="0.2">
      <c r="C16" s="300"/>
      <c r="D16" s="144" t="s">
        <v>217</v>
      </c>
      <c r="E16" s="261">
        <f>-('B. Tax Rates &amp; Exemptions'!I21-'B. Tax Rates &amp; Exemptions'!I31)</f>
        <v>-7.0000000000000007E-2</v>
      </c>
      <c r="F16" s="233" t="s">
        <v>189</v>
      </c>
      <c r="G16" s="262">
        <f>IF(I10&gt;0,E15*E16,0)</f>
        <v>-35000</v>
      </c>
      <c r="H16" s="233" t="s">
        <v>248</v>
      </c>
      <c r="I16" s="116"/>
      <c r="J16" s="236"/>
      <c r="S16" s="428">
        <f t="shared" si="0"/>
        <v>11300000</v>
      </c>
      <c r="T16" s="429">
        <f>T15+0.13%</f>
        <v>0.11359999999999999</v>
      </c>
    </row>
    <row r="17" spans="3:20" ht="14.25" hidden="1" x14ac:dyDescent="0.2">
      <c r="C17" s="300"/>
      <c r="D17" s="144"/>
      <c r="E17" s="116"/>
      <c r="F17" s="116"/>
      <c r="G17" s="116"/>
      <c r="H17" s="234"/>
      <c r="I17" s="116"/>
      <c r="J17" s="236"/>
      <c r="S17" s="428">
        <f t="shared" si="0"/>
        <v>11400000</v>
      </c>
      <c r="T17" s="429">
        <f>T16+0.13%</f>
        <v>0.11489999999999999</v>
      </c>
    </row>
    <row r="18" spans="3:20" hidden="1" x14ac:dyDescent="0.2">
      <c r="C18" s="300"/>
      <c r="H18" s="424"/>
      <c r="I18" s="116"/>
      <c r="J18" s="236"/>
      <c r="S18" s="428">
        <f t="shared" si="0"/>
        <v>11500000</v>
      </c>
      <c r="T18" s="429">
        <f>T17+0.13%</f>
        <v>0.11619999999999998</v>
      </c>
    </row>
    <row r="19" spans="3:20" hidden="1" x14ac:dyDescent="0.2">
      <c r="C19" s="300"/>
      <c r="H19" s="424"/>
      <c r="I19" s="116"/>
      <c r="J19" s="236"/>
      <c r="S19" s="428">
        <f t="shared" si="0"/>
        <v>11600000</v>
      </c>
      <c r="T19" s="429">
        <f>T18+0.12%</f>
        <v>0.11739999999999999</v>
      </c>
    </row>
    <row r="20" spans="3:20" ht="14.25" hidden="1" x14ac:dyDescent="0.2">
      <c r="C20" s="297" t="s">
        <v>243</v>
      </c>
      <c r="D20" s="124"/>
      <c r="E20" s="116"/>
      <c r="F20" s="116"/>
      <c r="G20" s="116"/>
      <c r="H20" s="234"/>
      <c r="I20" s="260">
        <f>SUM(G13:G19)</f>
        <v>46206.990808427814</v>
      </c>
      <c r="J20" s="235" t="s">
        <v>254</v>
      </c>
      <c r="S20" s="428">
        <f t="shared" si="0"/>
        <v>11700000</v>
      </c>
      <c r="T20" s="429">
        <f>T19+0.12%</f>
        <v>0.1186</v>
      </c>
    </row>
    <row r="21" spans="3:20" hidden="1" x14ac:dyDescent="0.2">
      <c r="C21" s="124"/>
      <c r="D21" s="124"/>
      <c r="E21" s="116"/>
      <c r="F21" s="116"/>
      <c r="G21" s="116"/>
      <c r="H21" s="234"/>
      <c r="I21" s="116"/>
      <c r="J21" s="236"/>
      <c r="S21" s="428">
        <f t="shared" si="0"/>
        <v>11800000</v>
      </c>
      <c r="T21" s="429">
        <f>T20+0.12%</f>
        <v>0.1198</v>
      </c>
    </row>
    <row r="22" spans="3:20" hidden="1" x14ac:dyDescent="0.2">
      <c r="C22" s="124"/>
      <c r="D22" s="124"/>
      <c r="E22" s="116"/>
      <c r="F22" s="116"/>
      <c r="G22" s="116"/>
      <c r="H22" s="234"/>
      <c r="I22" s="116"/>
      <c r="J22" s="236"/>
      <c r="S22" s="428">
        <f t="shared" si="0"/>
        <v>11900000</v>
      </c>
      <c r="T22" s="429">
        <f>T21+0.12%</f>
        <v>0.12100000000000001</v>
      </c>
    </row>
    <row r="23" spans="3:20" ht="14.25" x14ac:dyDescent="0.2">
      <c r="C23" s="202" t="s">
        <v>249</v>
      </c>
      <c r="D23" s="144" t="s">
        <v>413</v>
      </c>
      <c r="E23" s="116"/>
      <c r="G23" s="263">
        <f>IF(ratebase&lt;=10000000, ontario_SB, IF(ratebase&gt;=15000000, ontariotax, IF(AND(ratebase&gt;10000000, ratebase&lt;15000000), ontario_SB+ (ratebase - 10000000)*(ontariotax - ontario_SB)/(15000000-10000000))))</f>
        <v>0.115</v>
      </c>
      <c r="H23" s="233" t="s">
        <v>187</v>
      </c>
      <c r="I23" s="116"/>
      <c r="J23" s="236"/>
      <c r="S23" s="428">
        <f t="shared" si="0"/>
        <v>12000000</v>
      </c>
      <c r="T23" s="429">
        <f t="shared" ref="T23:T28" si="1">T22+0.112%</f>
        <v>0.12212000000000001</v>
      </c>
    </row>
    <row r="24" spans="3:20" ht="14.25" x14ac:dyDescent="0.2">
      <c r="C24" s="124"/>
      <c r="D24" s="144" t="s">
        <v>398</v>
      </c>
      <c r="E24" s="116"/>
      <c r="F24" s="116"/>
      <c r="G24" s="261">
        <f>IF(ratebase&lt;=10000000, Fed_SB, IF(ratebase&gt;=15000000, FedTax, IF(AND(ratebase&gt;10000000, ratebase&lt;15000000), Fed_SB+ (ratebase - 10000000)*(FedTax -Fed_SB)/(15000000-10000000))))</f>
        <v>0.15000000000000002</v>
      </c>
      <c r="H24" s="233" t="s">
        <v>415</v>
      </c>
      <c r="I24" s="116"/>
      <c r="J24" s="236"/>
      <c r="S24" s="428">
        <f t="shared" si="0"/>
        <v>12100000</v>
      </c>
      <c r="T24" s="429">
        <f t="shared" si="1"/>
        <v>0.12324</v>
      </c>
    </row>
    <row r="25" spans="3:20" ht="14.25" x14ac:dyDescent="0.2">
      <c r="C25" s="124"/>
      <c r="D25" s="144" t="s">
        <v>414</v>
      </c>
      <c r="E25" s="116"/>
      <c r="F25" s="116"/>
      <c r="H25" s="234"/>
      <c r="I25" s="264">
        <f>SUM(G23:G24)</f>
        <v>0.26500000000000001</v>
      </c>
      <c r="J25" s="235" t="s">
        <v>416</v>
      </c>
      <c r="S25" s="428">
        <f t="shared" si="0"/>
        <v>12200000</v>
      </c>
      <c r="T25" s="429">
        <f t="shared" si="1"/>
        <v>0.12436</v>
      </c>
    </row>
    <row r="26" spans="3:20" x14ac:dyDescent="0.2">
      <c r="C26" s="124"/>
      <c r="D26" s="124"/>
      <c r="E26" s="116"/>
      <c r="F26" s="116"/>
      <c r="G26" s="116"/>
      <c r="H26" s="234"/>
      <c r="I26" s="116"/>
      <c r="J26" s="236"/>
      <c r="S26" s="428">
        <f t="shared" si="0"/>
        <v>12300000</v>
      </c>
      <c r="T26" s="429">
        <f t="shared" si="1"/>
        <v>0.12548000000000001</v>
      </c>
    </row>
    <row r="27" spans="3:20" x14ac:dyDescent="0.2">
      <c r="C27" s="116"/>
      <c r="D27" s="116"/>
      <c r="E27" s="116"/>
      <c r="F27" s="116"/>
      <c r="G27" s="116"/>
      <c r="H27" s="234"/>
      <c r="I27" s="116"/>
      <c r="J27" s="236"/>
      <c r="S27" s="428">
        <f t="shared" si="0"/>
        <v>12400000</v>
      </c>
      <c r="T27" s="429">
        <f t="shared" si="1"/>
        <v>0.12660000000000002</v>
      </c>
    </row>
    <row r="28" spans="3:20" x14ac:dyDescent="0.2">
      <c r="C28" s="118" t="s">
        <v>171</v>
      </c>
      <c r="D28" s="118"/>
      <c r="E28" s="116"/>
      <c r="F28" s="116"/>
      <c r="G28" s="116"/>
      <c r="H28" s="234"/>
      <c r="I28" s="265">
        <f>I10*I25</f>
        <v>187129.15273246408</v>
      </c>
      <c r="J28" s="235" t="s">
        <v>417</v>
      </c>
      <c r="S28" s="428">
        <f t="shared" si="0"/>
        <v>12500000</v>
      </c>
      <c r="T28" s="429">
        <f t="shared" si="1"/>
        <v>0.12772000000000003</v>
      </c>
    </row>
    <row r="29" spans="3:20" ht="6.75" customHeight="1" x14ac:dyDescent="0.2">
      <c r="C29" s="116"/>
      <c r="D29" s="116"/>
      <c r="E29" s="116"/>
      <c r="F29" s="116"/>
      <c r="G29" s="116"/>
      <c r="H29" s="234"/>
      <c r="I29" s="119"/>
      <c r="J29" s="236"/>
      <c r="S29" s="428">
        <f t="shared" si="0"/>
        <v>12600000</v>
      </c>
      <c r="T29" s="429">
        <f>T28+0.102%</f>
        <v>0.12874000000000002</v>
      </c>
    </row>
    <row r="30" spans="3:20" x14ac:dyDescent="0.2">
      <c r="C30" s="124" t="s">
        <v>172</v>
      </c>
      <c r="D30" s="116"/>
      <c r="E30" s="116"/>
      <c r="F30" s="116"/>
      <c r="G30" s="116"/>
      <c r="H30" s="234"/>
      <c r="I30" s="310"/>
      <c r="J30" s="235" t="s">
        <v>418</v>
      </c>
      <c r="S30" s="428">
        <f t="shared" si="0"/>
        <v>12700000</v>
      </c>
      <c r="T30" s="429">
        <f>T29+0.102%</f>
        <v>0.12976000000000001</v>
      </c>
    </row>
    <row r="31" spans="3:20" x14ac:dyDescent="0.2">
      <c r="C31" s="124" t="s">
        <v>173</v>
      </c>
      <c r="D31" s="116"/>
      <c r="E31" s="116"/>
      <c r="F31" s="116"/>
      <c r="G31" s="116"/>
      <c r="H31" s="234"/>
      <c r="I31" s="310"/>
      <c r="J31" s="235" t="s">
        <v>419</v>
      </c>
      <c r="S31" s="428">
        <f t="shared" si="0"/>
        <v>12800000</v>
      </c>
      <c r="T31" s="429">
        <f>T30+0.102%</f>
        <v>0.13078000000000001</v>
      </c>
    </row>
    <row r="32" spans="3:20" x14ac:dyDescent="0.2">
      <c r="C32" s="118" t="s">
        <v>250</v>
      </c>
      <c r="D32" s="116"/>
      <c r="E32" s="116"/>
      <c r="F32" s="116"/>
      <c r="G32" s="116"/>
      <c r="H32" s="234"/>
      <c r="I32" s="265">
        <f>SUM(I30:I31)</f>
        <v>0</v>
      </c>
      <c r="J32" s="235" t="s">
        <v>420</v>
      </c>
      <c r="S32" s="428">
        <f t="shared" si="0"/>
        <v>12900000</v>
      </c>
      <c r="T32" s="429">
        <f>T31+0.102%</f>
        <v>0.1318</v>
      </c>
    </row>
    <row r="33" spans="3:20" x14ac:dyDescent="0.2">
      <c r="C33" s="116"/>
      <c r="D33" s="116"/>
      <c r="E33" s="116"/>
      <c r="F33" s="116"/>
      <c r="G33" s="116"/>
      <c r="H33" s="234"/>
      <c r="I33" s="125"/>
      <c r="J33" s="236"/>
      <c r="S33" s="428">
        <f t="shared" si="0"/>
        <v>13000000</v>
      </c>
      <c r="T33" s="429">
        <f>T32+0.102%</f>
        <v>0.13281999999999999</v>
      </c>
    </row>
    <row r="34" spans="3:20" x14ac:dyDescent="0.2">
      <c r="C34" s="118" t="s">
        <v>174</v>
      </c>
      <c r="D34" s="118"/>
      <c r="E34" s="116"/>
      <c r="F34" s="116"/>
      <c r="G34" s="116"/>
      <c r="H34" s="234"/>
      <c r="I34" s="265">
        <f>IF(I28-I32&lt;0,0,I28-I32)</f>
        <v>187129.15273246408</v>
      </c>
      <c r="J34" s="235" t="s">
        <v>421</v>
      </c>
      <c r="K34" s="439" t="s">
        <v>468</v>
      </c>
      <c r="S34" s="428">
        <f t="shared" si="0"/>
        <v>13100000</v>
      </c>
      <c r="T34" s="429">
        <f>T33+0.096%</f>
        <v>0.13377999999999998</v>
      </c>
    </row>
    <row r="35" spans="3:20" x14ac:dyDescent="0.2">
      <c r="C35" s="116"/>
      <c r="D35" s="116"/>
      <c r="E35" s="116"/>
      <c r="F35" s="116"/>
      <c r="G35" s="116"/>
      <c r="H35" s="234"/>
      <c r="I35" s="126"/>
      <c r="J35" s="236"/>
      <c r="S35" s="428">
        <f t="shared" si="0"/>
        <v>13200000</v>
      </c>
      <c r="T35" s="429">
        <f>T34+0.096%</f>
        <v>0.13473999999999997</v>
      </c>
    </row>
    <row r="36" spans="3:20" ht="14.25" x14ac:dyDescent="0.2">
      <c r="C36" s="116" t="s">
        <v>259</v>
      </c>
      <c r="D36" s="116"/>
      <c r="E36" s="116"/>
      <c r="F36" s="116"/>
      <c r="G36" s="261">
        <f>(1-I25)</f>
        <v>0.73499999999999999</v>
      </c>
      <c r="H36" s="233" t="s">
        <v>422</v>
      </c>
      <c r="I36" s="265">
        <f>I34/G36-I34</f>
        <v>67468.333978371404</v>
      </c>
      <c r="J36" s="235" t="s">
        <v>423</v>
      </c>
      <c r="S36" s="428">
        <f t="shared" si="0"/>
        <v>13300000</v>
      </c>
      <c r="T36" s="429">
        <f>T35+0.096%</f>
        <v>0.13569999999999996</v>
      </c>
    </row>
    <row r="37" spans="3:20" x14ac:dyDescent="0.2">
      <c r="C37" s="115"/>
      <c r="D37" s="115"/>
      <c r="E37" s="116"/>
      <c r="F37" s="116"/>
      <c r="G37" s="116"/>
      <c r="H37" s="116"/>
      <c r="I37" s="117"/>
      <c r="J37" s="234"/>
      <c r="S37" s="428">
        <f t="shared" si="0"/>
        <v>13400000</v>
      </c>
      <c r="T37" s="429">
        <f>T36+0.096%</f>
        <v>0.13665999999999995</v>
      </c>
    </row>
    <row r="38" spans="3:20" x14ac:dyDescent="0.2">
      <c r="C38" s="115"/>
      <c r="D38" s="115"/>
      <c r="E38" s="116"/>
      <c r="F38" s="116"/>
      <c r="G38" s="116"/>
      <c r="H38" s="116"/>
      <c r="I38" s="117"/>
      <c r="J38" s="234"/>
      <c r="S38" s="428">
        <f t="shared" si="0"/>
        <v>13500000</v>
      </c>
      <c r="T38" s="429">
        <f>T37+0.096%</f>
        <v>0.13761999999999994</v>
      </c>
    </row>
    <row r="39" spans="3:20" x14ac:dyDescent="0.2">
      <c r="C39" s="118" t="s">
        <v>175</v>
      </c>
      <c r="D39" s="118"/>
      <c r="E39" s="116"/>
      <c r="F39" s="116"/>
      <c r="G39" s="116"/>
      <c r="H39" s="116"/>
      <c r="I39" s="265">
        <f>I34+I36</f>
        <v>254597.48671083548</v>
      </c>
      <c r="J39" s="235" t="s">
        <v>424</v>
      </c>
      <c r="K39" s="439" t="s">
        <v>468</v>
      </c>
      <c r="S39" s="428">
        <f t="shared" si="0"/>
        <v>13600000</v>
      </c>
      <c r="T39" s="429">
        <f>T38+0.088%</f>
        <v>0.13849999999999993</v>
      </c>
    </row>
    <row r="40" spans="3:20" x14ac:dyDescent="0.2">
      <c r="C40" s="116"/>
      <c r="D40" s="116"/>
      <c r="E40" s="116"/>
      <c r="F40" s="116"/>
      <c r="G40" s="116"/>
      <c r="H40" s="116"/>
      <c r="I40" s="302"/>
      <c r="J40" s="141"/>
      <c r="S40" s="428">
        <f t="shared" si="0"/>
        <v>13700000</v>
      </c>
      <c r="T40" s="429">
        <f>T39+0.088%</f>
        <v>0.13937999999999992</v>
      </c>
    </row>
    <row r="41" spans="3:20" x14ac:dyDescent="0.2">
      <c r="S41" s="428">
        <f t="shared" si="0"/>
        <v>13800000</v>
      </c>
      <c r="T41" s="429">
        <f>T40+0.088%</f>
        <v>0.14025999999999991</v>
      </c>
    </row>
    <row r="42" spans="3:20" x14ac:dyDescent="0.2">
      <c r="C42" s="71" t="s">
        <v>258</v>
      </c>
      <c r="S42" s="428">
        <f t="shared" si="0"/>
        <v>13900000</v>
      </c>
      <c r="T42" s="429">
        <f>T41+0.088%</f>
        <v>0.1411399999999999</v>
      </c>
    </row>
    <row r="43" spans="3:20" ht="36" customHeight="1" x14ac:dyDescent="0.2">
      <c r="C43" s="578" t="s">
        <v>336</v>
      </c>
      <c r="D43" s="578"/>
      <c r="E43" s="578"/>
      <c r="F43" s="578"/>
      <c r="S43" s="428">
        <f t="shared" si="0"/>
        <v>14000000</v>
      </c>
      <c r="T43" s="429">
        <f>T42+0.088%</f>
        <v>0.1420199999999999</v>
      </c>
    </row>
    <row r="44" spans="3:20" x14ac:dyDescent="0.2">
      <c r="I44" s="303"/>
      <c r="S44" s="428">
        <f t="shared" si="0"/>
        <v>14100000</v>
      </c>
      <c r="T44" s="429">
        <f>T43+0.082%</f>
        <v>0.14283999999999988</v>
      </c>
    </row>
    <row r="45" spans="3:20" x14ac:dyDescent="0.2">
      <c r="I45" s="303"/>
      <c r="S45" s="428">
        <f t="shared" si="0"/>
        <v>14200000</v>
      </c>
      <c r="T45" s="429">
        <f>T44+0.082%</f>
        <v>0.14365999999999987</v>
      </c>
    </row>
    <row r="46" spans="3:20" x14ac:dyDescent="0.2">
      <c r="I46" s="304"/>
      <c r="S46" s="428">
        <f t="shared" si="0"/>
        <v>14300000</v>
      </c>
      <c r="T46" s="429">
        <f>T45+0.082%</f>
        <v>0.14447999999999986</v>
      </c>
    </row>
    <row r="47" spans="3:20" x14ac:dyDescent="0.2">
      <c r="S47" s="428">
        <f t="shared" si="0"/>
        <v>14400000</v>
      </c>
      <c r="T47" s="429">
        <f>T46+0.082%</f>
        <v>0.14529999999999985</v>
      </c>
    </row>
    <row r="48" spans="3:20" x14ac:dyDescent="0.2">
      <c r="S48" s="428">
        <f t="shared" si="0"/>
        <v>14500000</v>
      </c>
      <c r="T48" s="429">
        <f>T47+0.082%</f>
        <v>0.14611999999999983</v>
      </c>
    </row>
    <row r="49" spans="19:20" x14ac:dyDescent="0.2">
      <c r="S49" s="428">
        <f t="shared" si="0"/>
        <v>14600000</v>
      </c>
      <c r="T49" s="429">
        <f>T48+0.076%</f>
        <v>0.14687999999999984</v>
      </c>
    </row>
    <row r="50" spans="19:20" x14ac:dyDescent="0.2">
      <c r="S50" s="428">
        <f t="shared" si="0"/>
        <v>14700000</v>
      </c>
      <c r="T50" s="429">
        <f>T49+0.076%</f>
        <v>0.14763999999999985</v>
      </c>
    </row>
    <row r="51" spans="19:20" x14ac:dyDescent="0.2">
      <c r="S51" s="428">
        <f t="shared" si="0"/>
        <v>14800000</v>
      </c>
      <c r="T51" s="429">
        <f>T50+0.076%</f>
        <v>0.14839999999999987</v>
      </c>
    </row>
    <row r="52" spans="19:20" x14ac:dyDescent="0.2">
      <c r="S52" s="428">
        <f t="shared" si="0"/>
        <v>14900000</v>
      </c>
      <c r="T52" s="429">
        <f>T51+0.076%</f>
        <v>0.14915999999999988</v>
      </c>
    </row>
    <row r="53" spans="19:20" x14ac:dyDescent="0.2">
      <c r="S53" s="428">
        <f t="shared" si="0"/>
        <v>15000000</v>
      </c>
      <c r="T53" s="429">
        <v>0.15</v>
      </c>
    </row>
  </sheetData>
  <sheetProtection password="C2FC" sheet="1" objects="1" scenarios="1"/>
  <mergeCells count="5">
    <mergeCell ref="C43:F43"/>
    <mergeCell ref="C1:G1"/>
    <mergeCell ref="C2:L2"/>
    <mergeCell ref="C3:L3"/>
    <mergeCell ref="C4:L4"/>
  </mergeCells>
  <phoneticPr fontId="3" type="noConversion"/>
  <conditionalFormatting sqref="I30:I31">
    <cfRule type="expression" dxfId="12" priority="1" stopIfTrue="1">
      <formula>ISBLANK(I30)</formula>
    </cfRule>
  </conditionalFormatting>
  <hyperlinks>
    <hyperlink ref="H10" location="'T1 Taxable Income Test Year'!A1" display="'T1"/>
    <hyperlink ref="K39" location="'S. Summary '!A1" display="'S. Summary"/>
    <hyperlink ref="K34" location="'S. Summary '!A1" display="'S. Summary"/>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5"/>
  <sheetViews>
    <sheetView zoomScale="80" zoomScaleNormal="80" workbookViewId="0">
      <selection activeCell="C10" sqref="C10"/>
    </sheetView>
  </sheetViews>
  <sheetFormatPr defaultRowHeight="12.75" x14ac:dyDescent="0.2"/>
  <cols>
    <col min="1" max="1" width="2.42578125" style="11" customWidth="1"/>
    <col min="2" max="2" width="12" style="11" customWidth="1"/>
    <col min="3" max="3" width="38.5703125" style="11" customWidth="1"/>
    <col min="4" max="4" width="10.28515625" style="537" bestFit="1" customWidth="1"/>
    <col min="5" max="5" width="10.28515625" style="67" customWidth="1"/>
    <col min="6" max="6" width="11.28515625" style="11" customWidth="1"/>
    <col min="7" max="7" width="9.140625" style="11"/>
    <col min="8" max="8" width="29.28515625" style="11" customWidth="1"/>
    <col min="9" max="9" width="11.140625" style="11" customWidth="1"/>
    <col min="10" max="10" width="11.7109375" style="11" bestFit="1" customWidth="1"/>
    <col min="11" max="16384" width="9.140625" style="11"/>
  </cols>
  <sheetData>
    <row r="1" spans="1:10" ht="21.75" x14ac:dyDescent="0.2">
      <c r="A1" s="312"/>
      <c r="C1" s="574"/>
      <c r="D1" s="574"/>
      <c r="E1" s="574"/>
      <c r="F1" s="574"/>
    </row>
    <row r="2" spans="1:10" ht="18" x14ac:dyDescent="0.25">
      <c r="C2" s="575"/>
      <c r="D2" s="575"/>
      <c r="E2" s="575"/>
      <c r="F2" s="575"/>
      <c r="G2" s="575"/>
      <c r="H2" s="575"/>
      <c r="I2" s="575"/>
      <c r="J2" s="575"/>
    </row>
    <row r="3" spans="1:10" ht="18" x14ac:dyDescent="0.25">
      <c r="C3" s="575"/>
      <c r="D3" s="575"/>
      <c r="E3" s="575"/>
      <c r="F3" s="575"/>
      <c r="G3" s="575"/>
      <c r="H3" s="575"/>
      <c r="I3" s="575"/>
      <c r="J3" s="575"/>
    </row>
    <row r="4" spans="1:10" ht="35.25" customHeight="1" x14ac:dyDescent="0.25">
      <c r="C4" s="575"/>
      <c r="D4" s="575"/>
      <c r="E4" s="575"/>
      <c r="F4" s="575"/>
      <c r="G4" s="575"/>
      <c r="H4" s="575"/>
      <c r="I4" s="575"/>
      <c r="J4" s="575"/>
    </row>
    <row r="9" spans="1:10" ht="23.25" x14ac:dyDescent="0.35">
      <c r="C9" s="284"/>
    </row>
    <row r="10" spans="1:10" ht="18" x14ac:dyDescent="0.25">
      <c r="C10" s="368" t="s">
        <v>368</v>
      </c>
    </row>
    <row r="11" spans="1:10" ht="39" thickBot="1" x14ac:dyDescent="0.25">
      <c r="C11" s="110"/>
      <c r="E11" s="474" t="s">
        <v>435</v>
      </c>
      <c r="F11" s="111" t="s">
        <v>312</v>
      </c>
    </row>
    <row r="12" spans="1:10" ht="14.25" thickTop="1" thickBot="1" x14ac:dyDescent="0.25">
      <c r="C12" s="219" t="s">
        <v>2</v>
      </c>
      <c r="E12" s="441" t="s">
        <v>428</v>
      </c>
      <c r="F12" s="256">
        <f>'A. Data Input Sheet'!G18</f>
        <v>3237547.367196383</v>
      </c>
      <c r="H12" s="227"/>
      <c r="I12" s="30"/>
      <c r="J12" s="228"/>
    </row>
    <row r="13" spans="1:10" ht="13.5" thickTop="1" x14ac:dyDescent="0.2">
      <c r="C13" s="232"/>
      <c r="D13" s="538"/>
      <c r="E13" s="470"/>
      <c r="F13" s="231"/>
      <c r="H13" s="536"/>
      <c r="I13" s="30"/>
      <c r="J13" s="228"/>
    </row>
    <row r="14" spans="1:10" x14ac:dyDescent="0.2">
      <c r="C14" s="225"/>
      <c r="D14" s="539" t="s">
        <v>160</v>
      </c>
      <c r="E14" s="471"/>
      <c r="F14" s="226"/>
    </row>
    <row r="15" spans="1:10" x14ac:dyDescent="0.2">
      <c r="C15" s="220" t="s">
        <v>8</v>
      </c>
      <c r="D15" s="540"/>
      <c r="E15" s="224"/>
      <c r="F15" s="112"/>
    </row>
    <row r="16" spans="1:10" x14ac:dyDescent="0.2">
      <c r="C16" s="20" t="s">
        <v>9</v>
      </c>
      <c r="D16" s="541">
        <v>103</v>
      </c>
      <c r="E16" s="214"/>
      <c r="F16" s="254"/>
    </row>
    <row r="17" spans="3:6" ht="23.25" x14ac:dyDescent="0.2">
      <c r="C17" s="20" t="s">
        <v>161</v>
      </c>
      <c r="D17" s="541">
        <v>104</v>
      </c>
      <c r="E17" s="214"/>
      <c r="F17" s="561">
        <f>+'[8]Tax Adjustments 2016'!$F$7</f>
        <v>3185685.4280118588</v>
      </c>
    </row>
    <row r="18" spans="3:6" ht="23.25" x14ac:dyDescent="0.2">
      <c r="C18" s="20" t="s">
        <v>162</v>
      </c>
      <c r="D18" s="541">
        <v>106</v>
      </c>
      <c r="E18" s="214"/>
      <c r="F18" s="562">
        <f>+'[8]Tax Adjustments 2016'!$F$8</f>
        <v>180893.51799999998</v>
      </c>
    </row>
    <row r="19" spans="3:6" ht="24" x14ac:dyDescent="0.2">
      <c r="C19" s="20" t="s">
        <v>12</v>
      </c>
      <c r="D19" s="541">
        <v>107</v>
      </c>
      <c r="E19" s="214"/>
      <c r="F19" s="254"/>
    </row>
    <row r="20" spans="3:6" ht="24" x14ac:dyDescent="0.2">
      <c r="C20" s="20" t="s">
        <v>13</v>
      </c>
      <c r="D20" s="541">
        <v>108</v>
      </c>
      <c r="E20" s="214"/>
      <c r="F20" s="254"/>
    </row>
    <row r="21" spans="3:6" ht="24" x14ac:dyDescent="0.2">
      <c r="C21" s="20" t="s">
        <v>14</v>
      </c>
      <c r="D21" s="541">
        <v>109</v>
      </c>
      <c r="E21" s="214"/>
      <c r="F21" s="254"/>
    </row>
    <row r="22" spans="3:6" x14ac:dyDescent="0.2">
      <c r="C22" s="20" t="s">
        <v>15</v>
      </c>
      <c r="D22" s="541">
        <v>110</v>
      </c>
      <c r="E22" s="214"/>
      <c r="F22" s="254"/>
    </row>
    <row r="23" spans="3:6" x14ac:dyDescent="0.2">
      <c r="C23" s="20" t="s">
        <v>16</v>
      </c>
      <c r="D23" s="541">
        <v>111</v>
      </c>
      <c r="E23" s="214"/>
      <c r="F23" s="254"/>
    </row>
    <row r="24" spans="3:6" x14ac:dyDescent="0.2">
      <c r="C24" s="20" t="s">
        <v>17</v>
      </c>
      <c r="D24" s="541">
        <v>112</v>
      </c>
      <c r="E24" s="214"/>
      <c r="F24" s="254"/>
    </row>
    <row r="25" spans="3:6" x14ac:dyDescent="0.2">
      <c r="C25" s="20" t="s">
        <v>18</v>
      </c>
      <c r="D25" s="541">
        <v>113</v>
      </c>
      <c r="E25" s="214"/>
      <c r="F25" s="254"/>
    </row>
    <row r="26" spans="3:6" x14ac:dyDescent="0.2">
      <c r="C26" s="20" t="s">
        <v>19</v>
      </c>
      <c r="D26" s="541">
        <v>114</v>
      </c>
      <c r="E26" s="214"/>
      <c r="F26" s="254"/>
    </row>
    <row r="27" spans="3:6" x14ac:dyDescent="0.2">
      <c r="C27" s="20" t="s">
        <v>20</v>
      </c>
      <c r="D27" s="541">
        <v>116</v>
      </c>
      <c r="E27" s="214"/>
      <c r="F27" s="254"/>
    </row>
    <row r="28" spans="3:6" ht="24" x14ac:dyDescent="0.2">
      <c r="C28" s="20" t="s">
        <v>21</v>
      </c>
      <c r="D28" s="541">
        <v>118</v>
      </c>
      <c r="E28" s="214"/>
      <c r="F28" s="254"/>
    </row>
    <row r="29" spans="3:6" x14ac:dyDescent="0.2">
      <c r="C29" s="20" t="s">
        <v>22</v>
      </c>
      <c r="D29" s="541">
        <v>119</v>
      </c>
      <c r="E29" s="214"/>
      <c r="F29" s="254"/>
    </row>
    <row r="30" spans="3:6" ht="12" customHeight="1" x14ac:dyDescent="0.2">
      <c r="C30" s="20" t="s">
        <v>23</v>
      </c>
      <c r="D30" s="541">
        <v>120</v>
      </c>
      <c r="E30" s="214"/>
      <c r="F30" s="254"/>
    </row>
    <row r="31" spans="3:6" ht="24" x14ac:dyDescent="0.2">
      <c r="C31" s="20" t="s">
        <v>24</v>
      </c>
      <c r="D31" s="541">
        <v>121</v>
      </c>
      <c r="E31" s="214"/>
      <c r="F31" s="561">
        <f>+'[8]Tax Adjustments 2016'!$F$21</f>
        <v>4545</v>
      </c>
    </row>
    <row r="32" spans="3:6" x14ac:dyDescent="0.2">
      <c r="C32" s="20" t="s">
        <v>25</v>
      </c>
      <c r="D32" s="541">
        <v>122</v>
      </c>
      <c r="E32" s="214"/>
      <c r="F32" s="254"/>
    </row>
    <row r="33" spans="3:6" x14ac:dyDescent="0.2">
      <c r="C33" s="20" t="s">
        <v>26</v>
      </c>
      <c r="D33" s="541">
        <v>123</v>
      </c>
      <c r="E33" s="214"/>
      <c r="F33" s="254"/>
    </row>
    <row r="34" spans="3:6" x14ac:dyDescent="0.2">
      <c r="C34" s="20" t="s">
        <v>27</v>
      </c>
      <c r="D34" s="541">
        <v>124</v>
      </c>
      <c r="E34" s="472"/>
      <c r="F34" s="255"/>
    </row>
    <row r="35" spans="3:6" x14ac:dyDescent="0.2">
      <c r="C35" s="22" t="s">
        <v>163</v>
      </c>
      <c r="D35" s="542">
        <v>125</v>
      </c>
      <c r="E35" s="475" t="s">
        <v>443</v>
      </c>
      <c r="F35" s="351">
        <f>'T13 Sch 13 Reserve Test Year'!G22</f>
        <v>0</v>
      </c>
    </row>
    <row r="36" spans="3:6" ht="24" x14ac:dyDescent="0.2">
      <c r="C36" s="20" t="s">
        <v>29</v>
      </c>
      <c r="D36" s="542">
        <v>126</v>
      </c>
      <c r="E36" s="475" t="s">
        <v>443</v>
      </c>
      <c r="F36" s="351">
        <f>'T13 Sch 13 Reserve Test Year'!K43</f>
        <v>319821</v>
      </c>
    </row>
    <row r="37" spans="3:6" ht="24" x14ac:dyDescent="0.2">
      <c r="C37" s="20" t="s">
        <v>30</v>
      </c>
      <c r="D37" s="541">
        <v>127</v>
      </c>
      <c r="E37" s="472"/>
      <c r="F37" s="255"/>
    </row>
    <row r="38" spans="3:6" x14ac:dyDescent="0.2">
      <c r="C38" s="20" t="s">
        <v>31</v>
      </c>
      <c r="D38" s="541">
        <v>205</v>
      </c>
      <c r="E38" s="214"/>
      <c r="F38" s="254"/>
    </row>
    <row r="39" spans="3:6" x14ac:dyDescent="0.2">
      <c r="C39" s="20" t="s">
        <v>32</v>
      </c>
      <c r="D39" s="541">
        <v>206</v>
      </c>
      <c r="E39" s="214"/>
      <c r="F39" s="254"/>
    </row>
    <row r="40" spans="3:6" x14ac:dyDescent="0.2">
      <c r="C40" s="20" t="s">
        <v>33</v>
      </c>
      <c r="D40" s="541">
        <v>208</v>
      </c>
      <c r="E40" s="214"/>
      <c r="F40" s="254"/>
    </row>
    <row r="41" spans="3:6" ht="24" x14ac:dyDescent="0.2">
      <c r="C41" s="20" t="s">
        <v>34</v>
      </c>
      <c r="D41" s="541">
        <v>212</v>
      </c>
      <c r="E41" s="214"/>
      <c r="F41" s="254"/>
    </row>
    <row r="42" spans="3:6" x14ac:dyDescent="0.2">
      <c r="C42" s="20" t="s">
        <v>35</v>
      </c>
      <c r="D42" s="541">
        <v>216</v>
      </c>
      <c r="E42" s="214"/>
      <c r="F42" s="254"/>
    </row>
    <row r="43" spans="3:6" x14ac:dyDescent="0.2">
      <c r="C43" s="20" t="s">
        <v>36</v>
      </c>
      <c r="D43" s="541">
        <v>220</v>
      </c>
      <c r="E43" s="214"/>
      <c r="F43" s="254"/>
    </row>
    <row r="44" spans="3:6" x14ac:dyDescent="0.2">
      <c r="C44" s="20" t="s">
        <v>37</v>
      </c>
      <c r="D44" s="541">
        <v>226</v>
      </c>
      <c r="E44" s="214"/>
      <c r="F44" s="254"/>
    </row>
    <row r="45" spans="3:6" x14ac:dyDescent="0.2">
      <c r="C45" s="20" t="s">
        <v>38</v>
      </c>
      <c r="D45" s="541">
        <v>227</v>
      </c>
      <c r="E45" s="214"/>
      <c r="F45" s="254"/>
    </row>
    <row r="46" spans="3:6" x14ac:dyDescent="0.2">
      <c r="C46" s="20" t="s">
        <v>39</v>
      </c>
      <c r="D46" s="541">
        <v>228</v>
      </c>
      <c r="E46" s="214"/>
      <c r="F46" s="254"/>
    </row>
    <row r="47" spans="3:6" x14ac:dyDescent="0.2">
      <c r="C47" s="20" t="s">
        <v>40</v>
      </c>
      <c r="D47" s="541">
        <v>231</v>
      </c>
      <c r="E47" s="214"/>
      <c r="F47" s="254"/>
    </row>
    <row r="48" spans="3:6" x14ac:dyDescent="0.2">
      <c r="C48" s="20" t="s">
        <v>41</v>
      </c>
      <c r="D48" s="541">
        <v>235</v>
      </c>
      <c r="E48" s="214"/>
      <c r="F48" s="254"/>
    </row>
    <row r="49" spans="3:8" x14ac:dyDescent="0.2">
      <c r="C49" s="20" t="s">
        <v>42</v>
      </c>
      <c r="D49" s="541">
        <v>236</v>
      </c>
      <c r="E49" s="214"/>
      <c r="F49" s="254"/>
    </row>
    <row r="50" spans="3:8" ht="36" x14ac:dyDescent="0.2">
      <c r="C50" s="20" t="s">
        <v>43</v>
      </c>
      <c r="D50" s="541">
        <v>237</v>
      </c>
      <c r="E50" s="214"/>
      <c r="F50" s="254"/>
    </row>
    <row r="51" spans="3:8" ht="24" x14ac:dyDescent="0.2">
      <c r="C51" s="33" t="s">
        <v>164</v>
      </c>
      <c r="D51" s="541"/>
      <c r="E51" s="214"/>
      <c r="F51" s="294"/>
    </row>
    <row r="52" spans="3:8" x14ac:dyDescent="0.2">
      <c r="C52" s="20" t="s">
        <v>45</v>
      </c>
      <c r="D52" s="541">
        <v>290</v>
      </c>
      <c r="E52" s="214"/>
      <c r="F52" s="254"/>
    </row>
    <row r="53" spans="3:8" ht="24" x14ac:dyDescent="0.2">
      <c r="C53" s="20" t="s">
        <v>46</v>
      </c>
      <c r="D53" s="541">
        <v>291</v>
      </c>
      <c r="E53" s="214"/>
      <c r="F53" s="254"/>
    </row>
    <row r="54" spans="3:8" x14ac:dyDescent="0.2">
      <c r="C54" s="20" t="s">
        <v>47</v>
      </c>
      <c r="D54" s="541">
        <v>292</v>
      </c>
      <c r="E54" s="214"/>
      <c r="F54" s="254"/>
    </row>
    <row r="55" spans="3:8" x14ac:dyDescent="0.2">
      <c r="C55" s="20" t="s">
        <v>48</v>
      </c>
      <c r="D55" s="541">
        <v>293</v>
      </c>
      <c r="E55" s="214"/>
      <c r="F55" s="254"/>
    </row>
    <row r="56" spans="3:8" ht="21" customHeight="1" x14ac:dyDescent="0.2">
      <c r="C56" s="410"/>
      <c r="D56" s="543">
        <v>294</v>
      </c>
      <c r="E56" s="318"/>
      <c r="F56" s="277"/>
    </row>
    <row r="57" spans="3:8" ht="21" customHeight="1" x14ac:dyDescent="0.2">
      <c r="C57" s="410"/>
      <c r="D57" s="543">
        <v>295</v>
      </c>
      <c r="E57" s="318"/>
      <c r="F57" s="254"/>
    </row>
    <row r="58" spans="3:8" ht="21" customHeight="1" x14ac:dyDescent="0.2">
      <c r="C58" s="410"/>
      <c r="D58" s="543">
        <v>296</v>
      </c>
      <c r="E58" s="318"/>
      <c r="F58" s="277"/>
    </row>
    <row r="59" spans="3:8" ht="21" customHeight="1" x14ac:dyDescent="0.2">
      <c r="C59" s="410"/>
      <c r="D59" s="543">
        <v>297</v>
      </c>
      <c r="E59" s="319"/>
      <c r="F59" s="255"/>
    </row>
    <row r="60" spans="3:8" x14ac:dyDescent="0.2">
      <c r="C60" s="285" t="s">
        <v>323</v>
      </c>
      <c r="D60" s="544"/>
      <c r="E60" s="25"/>
      <c r="F60" s="245"/>
      <c r="G60" s="287"/>
      <c r="H60" s="271"/>
    </row>
    <row r="61" spans="3:8" x14ac:dyDescent="0.2">
      <c r="C61" s="285" t="s">
        <v>324</v>
      </c>
      <c r="D61" s="544"/>
      <c r="E61" s="25"/>
      <c r="F61" s="245"/>
      <c r="G61" s="287"/>
      <c r="H61" s="271"/>
    </row>
    <row r="62" spans="3:8" x14ac:dyDescent="0.2">
      <c r="C62" s="285" t="s">
        <v>325</v>
      </c>
      <c r="D62" s="544"/>
      <c r="E62" s="25"/>
      <c r="F62" s="245"/>
      <c r="G62" s="287"/>
      <c r="H62" s="271"/>
    </row>
    <row r="63" spans="3:8" x14ac:dyDescent="0.2">
      <c r="C63" s="285" t="s">
        <v>326</v>
      </c>
      <c r="D63" s="544"/>
      <c r="E63" s="25"/>
      <c r="F63" s="245"/>
      <c r="G63" s="287"/>
      <c r="H63" s="271"/>
    </row>
    <row r="64" spans="3:8" x14ac:dyDescent="0.2">
      <c r="C64" s="285" t="s">
        <v>327</v>
      </c>
      <c r="D64" s="544"/>
      <c r="E64" s="25"/>
      <c r="F64" s="245"/>
      <c r="G64" s="287"/>
      <c r="H64" s="271"/>
    </row>
    <row r="65" spans="3:8" ht="21" customHeight="1" x14ac:dyDescent="0.2">
      <c r="C65" s="268"/>
      <c r="D65" s="545"/>
      <c r="E65" s="314"/>
      <c r="F65" s="245"/>
      <c r="G65" s="287"/>
      <c r="H65" s="271"/>
    </row>
    <row r="66" spans="3:8" ht="21" customHeight="1" x14ac:dyDescent="0.2">
      <c r="C66" s="268"/>
      <c r="D66" s="545"/>
      <c r="E66" s="314"/>
      <c r="F66" s="245"/>
      <c r="G66" s="287"/>
      <c r="H66" s="271"/>
    </row>
    <row r="67" spans="3:8" ht="21" customHeight="1" x14ac:dyDescent="0.2">
      <c r="C67" s="268"/>
      <c r="D67" s="545"/>
      <c r="E67" s="314"/>
      <c r="F67" s="245"/>
      <c r="G67" s="287"/>
      <c r="H67" s="271"/>
    </row>
    <row r="68" spans="3:8" ht="21" customHeight="1" x14ac:dyDescent="0.2">
      <c r="C68" s="268"/>
      <c r="D68" s="545"/>
      <c r="E68" s="314"/>
      <c r="F68" s="245"/>
      <c r="G68" s="287"/>
      <c r="H68" s="271"/>
    </row>
    <row r="69" spans="3:8" ht="21" customHeight="1" x14ac:dyDescent="0.2">
      <c r="C69" s="268"/>
      <c r="D69" s="545"/>
      <c r="E69" s="314"/>
      <c r="F69" s="245"/>
      <c r="G69" s="287"/>
      <c r="H69" s="271"/>
    </row>
    <row r="70" spans="3:8" ht="21" customHeight="1" x14ac:dyDescent="0.2">
      <c r="C70" s="268"/>
      <c r="D70" s="545"/>
      <c r="E70" s="314"/>
      <c r="F70" s="245"/>
      <c r="G70" s="287"/>
      <c r="H70" s="271"/>
    </row>
    <row r="71" spans="3:8" ht="21" customHeight="1" x14ac:dyDescent="0.2">
      <c r="C71" s="268"/>
      <c r="D71" s="545"/>
      <c r="E71" s="314"/>
      <c r="F71" s="245"/>
      <c r="G71" s="287"/>
      <c r="H71" s="271"/>
    </row>
    <row r="72" spans="3:8" ht="21" customHeight="1" x14ac:dyDescent="0.2">
      <c r="C72" s="268"/>
      <c r="D72" s="545"/>
      <c r="E72" s="314"/>
      <c r="F72" s="245"/>
      <c r="G72" s="287"/>
      <c r="H72" s="271"/>
    </row>
    <row r="73" spans="3:8" ht="21" customHeight="1" x14ac:dyDescent="0.2">
      <c r="C73" s="268"/>
      <c r="D73" s="546"/>
      <c r="E73" s="313"/>
      <c r="F73" s="245"/>
      <c r="G73" s="287"/>
      <c r="H73" s="271"/>
    </row>
    <row r="74" spans="3:8" ht="21" customHeight="1" thickBot="1" x14ac:dyDescent="0.25">
      <c r="C74" s="269"/>
      <c r="D74" s="547"/>
      <c r="E74" s="315"/>
      <c r="F74" s="272"/>
      <c r="G74" s="287"/>
      <c r="H74" s="271"/>
    </row>
    <row r="75" spans="3:8" ht="13.5" thickBot="1" x14ac:dyDescent="0.25">
      <c r="C75" s="26" t="s">
        <v>49</v>
      </c>
      <c r="D75" s="548"/>
      <c r="E75" s="216"/>
      <c r="F75" s="113">
        <f>SUM(F16:F74)</f>
        <v>3690944.946011859</v>
      </c>
    </row>
    <row r="76" spans="3:8" x14ac:dyDescent="0.2">
      <c r="C76" s="220" t="s">
        <v>50</v>
      </c>
      <c r="D76" s="549"/>
      <c r="E76" s="217"/>
      <c r="F76" s="112"/>
    </row>
    <row r="77" spans="3:8" ht="24" x14ac:dyDescent="0.2">
      <c r="C77" s="20" t="s">
        <v>51</v>
      </c>
      <c r="D77" s="541">
        <v>401</v>
      </c>
      <c r="E77" s="214"/>
      <c r="F77" s="254"/>
    </row>
    <row r="78" spans="3:8" x14ac:dyDescent="0.2">
      <c r="C78" s="22" t="s">
        <v>52</v>
      </c>
      <c r="D78" s="541">
        <v>402</v>
      </c>
      <c r="E78" s="214"/>
      <c r="F78" s="254"/>
    </row>
    <row r="79" spans="3:8" x14ac:dyDescent="0.2">
      <c r="C79" s="20" t="s">
        <v>53</v>
      </c>
      <c r="D79" s="542">
        <v>403</v>
      </c>
      <c r="E79" s="461" t="s">
        <v>437</v>
      </c>
      <c r="F79" s="350">
        <f>'T8 Schedule 8 CCA Test Year  '!M43</f>
        <v>5913091.9485140005</v>
      </c>
    </row>
    <row r="80" spans="3:8" x14ac:dyDescent="0.2">
      <c r="C80" s="22" t="s">
        <v>54</v>
      </c>
      <c r="D80" s="541">
        <v>404</v>
      </c>
      <c r="E80" s="214"/>
      <c r="F80" s="254"/>
    </row>
    <row r="81" spans="3:6" ht="24" x14ac:dyDescent="0.2">
      <c r="C81" s="20" t="s">
        <v>165</v>
      </c>
      <c r="D81" s="542">
        <v>405</v>
      </c>
      <c r="E81" s="461" t="s">
        <v>444</v>
      </c>
      <c r="F81" s="350">
        <f>'T10 Schedule 10 CEC Test Year'!K37</f>
        <v>5166.6185340000002</v>
      </c>
    </row>
    <row r="82" spans="3:6" x14ac:dyDescent="0.2">
      <c r="C82" s="20" t="s">
        <v>56</v>
      </c>
      <c r="D82" s="541">
        <v>406</v>
      </c>
      <c r="E82" s="214"/>
      <c r="F82" s="254"/>
    </row>
    <row r="83" spans="3:6" x14ac:dyDescent="0.2">
      <c r="C83" s="20" t="s">
        <v>20</v>
      </c>
      <c r="D83" s="541">
        <v>409</v>
      </c>
      <c r="E83" s="214"/>
      <c r="F83" s="254"/>
    </row>
    <row r="84" spans="3:6" x14ac:dyDescent="0.2">
      <c r="C84" s="20" t="s">
        <v>57</v>
      </c>
      <c r="D84" s="541">
        <v>411</v>
      </c>
      <c r="E84" s="214"/>
      <c r="F84" s="254"/>
    </row>
    <row r="85" spans="3:6" x14ac:dyDescent="0.2">
      <c r="C85" s="20" t="s">
        <v>166</v>
      </c>
      <c r="D85" s="542">
        <v>413</v>
      </c>
      <c r="E85" s="461" t="s">
        <v>443</v>
      </c>
      <c r="F85" s="350">
        <f>'T13 Sch 13 Reserve Test Year'!K22</f>
        <v>0</v>
      </c>
    </row>
    <row r="86" spans="3:6" ht="24" x14ac:dyDescent="0.2">
      <c r="C86" s="20" t="s">
        <v>59</v>
      </c>
      <c r="D86" s="542">
        <v>414</v>
      </c>
      <c r="E86" s="461" t="s">
        <v>443</v>
      </c>
      <c r="F86" s="350">
        <f>'T13 Sch 13 Reserve Test Year'!G43</f>
        <v>304086</v>
      </c>
    </row>
    <row r="87" spans="3:6" x14ac:dyDescent="0.2">
      <c r="C87" s="20" t="s">
        <v>60</v>
      </c>
      <c r="D87" s="541">
        <v>416</v>
      </c>
      <c r="E87" s="214"/>
      <c r="F87" s="254"/>
    </row>
    <row r="88" spans="3:6" x14ac:dyDescent="0.2">
      <c r="C88" s="20" t="s">
        <v>61</v>
      </c>
      <c r="D88" s="541">
        <v>305</v>
      </c>
      <c r="E88" s="214"/>
      <c r="F88" s="254"/>
    </row>
    <row r="89" spans="3:6" x14ac:dyDescent="0.2">
      <c r="C89" s="20" t="s">
        <v>62</v>
      </c>
      <c r="D89" s="541">
        <v>306</v>
      </c>
      <c r="E89" s="214"/>
      <c r="F89" s="254"/>
    </row>
    <row r="90" spans="3:6" ht="24" x14ac:dyDescent="0.2">
      <c r="C90" s="33" t="s">
        <v>63</v>
      </c>
      <c r="D90" s="541"/>
      <c r="E90" s="214"/>
      <c r="F90" s="254"/>
    </row>
    <row r="91" spans="3:6" ht="24" x14ac:dyDescent="0.2">
      <c r="C91" s="22" t="s">
        <v>64</v>
      </c>
      <c r="D91" s="541">
        <v>390</v>
      </c>
      <c r="E91" s="214"/>
      <c r="F91" s="254"/>
    </row>
    <row r="92" spans="3:6" x14ac:dyDescent="0.2">
      <c r="C92" s="22" t="s">
        <v>65</v>
      </c>
      <c r="D92" s="541">
        <v>391</v>
      </c>
      <c r="E92" s="214"/>
      <c r="F92" s="254"/>
    </row>
    <row r="93" spans="3:6" ht="24" x14ac:dyDescent="0.2">
      <c r="C93" s="20" t="s">
        <v>66</v>
      </c>
      <c r="D93" s="541">
        <v>392</v>
      </c>
      <c r="E93" s="214"/>
      <c r="F93" s="254"/>
    </row>
    <row r="94" spans="3:6" ht="21" customHeight="1" x14ac:dyDescent="0.2">
      <c r="C94" s="411"/>
      <c r="D94" s="543">
        <v>393</v>
      </c>
      <c r="E94" s="318"/>
      <c r="F94" s="254"/>
    </row>
    <row r="95" spans="3:6" ht="21" customHeight="1" x14ac:dyDescent="0.2">
      <c r="C95" s="411"/>
      <c r="D95" s="543">
        <v>394</v>
      </c>
      <c r="E95" s="318"/>
      <c r="F95" s="254"/>
    </row>
    <row r="96" spans="3:6" ht="21" customHeight="1" x14ac:dyDescent="0.2">
      <c r="C96" s="411"/>
      <c r="D96" s="543">
        <v>395</v>
      </c>
      <c r="E96" s="318"/>
      <c r="F96" s="254"/>
    </row>
    <row r="97" spans="3:8" ht="21" customHeight="1" x14ac:dyDescent="0.2">
      <c r="C97" s="411"/>
      <c r="D97" s="543">
        <v>396</v>
      </c>
      <c r="E97" s="318"/>
      <c r="F97" s="254"/>
    </row>
    <row r="98" spans="3:8" ht="21" customHeight="1" x14ac:dyDescent="0.2">
      <c r="C98" s="412"/>
      <c r="D98" s="550">
        <v>397</v>
      </c>
      <c r="E98" s="319"/>
      <c r="F98" s="254"/>
    </row>
    <row r="99" spans="3:8" ht="24" x14ac:dyDescent="0.2">
      <c r="C99" s="20" t="s">
        <v>328</v>
      </c>
      <c r="D99" s="545"/>
      <c r="E99" s="314"/>
      <c r="F99" s="245"/>
      <c r="G99" s="287"/>
      <c r="H99" s="271"/>
    </row>
    <row r="100" spans="3:8" ht="24" x14ac:dyDescent="0.2">
      <c r="C100" s="20" t="s">
        <v>329</v>
      </c>
      <c r="D100" s="545"/>
      <c r="E100" s="314"/>
      <c r="F100" s="245"/>
      <c r="G100" s="287"/>
      <c r="H100" s="271"/>
    </row>
    <row r="101" spans="3:8" ht="24" x14ac:dyDescent="0.2">
      <c r="C101" s="20" t="s">
        <v>330</v>
      </c>
      <c r="D101" s="545"/>
      <c r="E101" s="314"/>
      <c r="F101" s="245"/>
      <c r="G101" s="287"/>
      <c r="H101" s="271"/>
    </row>
    <row r="102" spans="3:8" x14ac:dyDescent="0.2">
      <c r="C102" s="20" t="s">
        <v>331</v>
      </c>
      <c r="D102" s="545"/>
      <c r="E102" s="314"/>
      <c r="F102" s="245"/>
      <c r="G102" s="287"/>
      <c r="H102" s="271"/>
    </row>
    <row r="103" spans="3:8" x14ac:dyDescent="0.2">
      <c r="C103" s="20" t="s">
        <v>332</v>
      </c>
      <c r="D103" s="545"/>
      <c r="E103" s="314"/>
      <c r="F103" s="245"/>
      <c r="G103" s="287"/>
      <c r="H103" s="271"/>
    </row>
    <row r="104" spans="3:8" ht="24" x14ac:dyDescent="0.2">
      <c r="C104" s="20" t="s">
        <v>333</v>
      </c>
      <c r="D104" s="545"/>
      <c r="E104" s="314"/>
      <c r="F104" s="245"/>
      <c r="G104" s="287"/>
      <c r="H104" s="271"/>
    </row>
    <row r="105" spans="3:8" x14ac:dyDescent="0.2">
      <c r="C105" s="20" t="s">
        <v>334</v>
      </c>
      <c r="D105" s="545"/>
      <c r="E105" s="314"/>
      <c r="F105" s="245"/>
      <c r="G105" s="287"/>
      <c r="H105" s="271"/>
    </row>
    <row r="106" spans="3:8" ht="21" customHeight="1" x14ac:dyDescent="0.2">
      <c r="C106" s="288"/>
      <c r="D106" s="545"/>
      <c r="E106" s="314"/>
      <c r="F106" s="245"/>
      <c r="G106" s="287"/>
      <c r="H106" s="271"/>
    </row>
    <row r="107" spans="3:8" ht="21" customHeight="1" x14ac:dyDescent="0.2">
      <c r="C107" s="288"/>
      <c r="D107" s="545"/>
      <c r="E107" s="314"/>
      <c r="F107" s="245"/>
      <c r="G107" s="287"/>
      <c r="H107" s="271"/>
    </row>
    <row r="108" spans="3:8" ht="21" customHeight="1" x14ac:dyDescent="0.2">
      <c r="C108" s="288"/>
      <c r="D108" s="545"/>
      <c r="E108" s="314"/>
      <c r="F108" s="245"/>
      <c r="G108" s="287"/>
      <c r="H108" s="271"/>
    </row>
    <row r="109" spans="3:8" ht="21" customHeight="1" x14ac:dyDescent="0.2">
      <c r="C109" s="288"/>
      <c r="D109" s="545"/>
      <c r="E109" s="314"/>
      <c r="F109" s="245"/>
      <c r="G109" s="287"/>
      <c r="H109" s="271"/>
    </row>
    <row r="110" spans="3:8" ht="21" customHeight="1" x14ac:dyDescent="0.2">
      <c r="C110" s="288"/>
      <c r="D110" s="545"/>
      <c r="E110" s="314"/>
      <c r="F110" s="245"/>
      <c r="G110" s="287"/>
      <c r="H110" s="271"/>
    </row>
    <row r="111" spans="3:8" ht="21" customHeight="1" x14ac:dyDescent="0.2">
      <c r="C111" s="288"/>
      <c r="D111" s="545"/>
      <c r="E111" s="314"/>
      <c r="F111" s="245"/>
      <c r="G111" s="287"/>
      <c r="H111" s="271"/>
    </row>
    <row r="112" spans="3:8" ht="21" customHeight="1" x14ac:dyDescent="0.2">
      <c r="C112" s="288"/>
      <c r="D112" s="546"/>
      <c r="E112" s="313"/>
      <c r="F112" s="245"/>
      <c r="G112" s="287"/>
      <c r="H112" s="271"/>
    </row>
    <row r="113" spans="3:8" ht="21" customHeight="1" thickBot="1" x14ac:dyDescent="0.25">
      <c r="C113" s="245"/>
      <c r="D113" s="546"/>
      <c r="E113" s="313"/>
      <c r="F113" s="245"/>
      <c r="G113" s="287"/>
      <c r="H113" s="273"/>
    </row>
    <row r="114" spans="3:8" ht="13.5" thickBot="1" x14ac:dyDescent="0.25">
      <c r="C114" s="26" t="s">
        <v>67</v>
      </c>
      <c r="D114" s="551"/>
      <c r="E114" s="476" t="s">
        <v>440</v>
      </c>
      <c r="F114" s="113">
        <f>SUM(F77:F113)</f>
        <v>6222344.5670480002</v>
      </c>
    </row>
    <row r="115" spans="3:8" ht="13.5" thickBot="1" x14ac:dyDescent="0.25">
      <c r="C115" s="221"/>
      <c r="D115" s="552"/>
      <c r="E115" s="218"/>
      <c r="F115" s="114"/>
    </row>
    <row r="116" spans="3:8" ht="13.5" thickBot="1" x14ac:dyDescent="0.25">
      <c r="C116" s="222" t="s">
        <v>167</v>
      </c>
      <c r="D116" s="551"/>
      <c r="E116" s="476" t="s">
        <v>440</v>
      </c>
      <c r="F116" s="230">
        <f>SUM(F12,F75)-F114</f>
        <v>706147.74616024178</v>
      </c>
    </row>
    <row r="117" spans="3:8" x14ac:dyDescent="0.2">
      <c r="C117" s="295"/>
      <c r="D117" s="553"/>
      <c r="E117" s="473"/>
      <c r="F117" s="229"/>
    </row>
    <row r="118" spans="3:8" x14ac:dyDescent="0.2">
      <c r="C118" s="296" t="s">
        <v>17</v>
      </c>
      <c r="D118" s="554">
        <v>311</v>
      </c>
      <c r="E118" s="341"/>
      <c r="F118" s="254"/>
    </row>
    <row r="119" spans="3:8" ht="24" x14ac:dyDescent="0.2">
      <c r="C119" s="296" t="s">
        <v>168</v>
      </c>
      <c r="D119" s="554">
        <v>320</v>
      </c>
      <c r="E119" s="341"/>
      <c r="F119" s="254"/>
    </row>
    <row r="120" spans="3:8" ht="24" x14ac:dyDescent="0.2">
      <c r="C120" s="296" t="s">
        <v>169</v>
      </c>
      <c r="D120" s="542">
        <v>331</v>
      </c>
      <c r="E120" s="461" t="s">
        <v>445</v>
      </c>
      <c r="F120" s="254">
        <f>'T4 Sch 4 Loss Cfwd'!I16</f>
        <v>0</v>
      </c>
    </row>
    <row r="121" spans="3:8" ht="24" x14ac:dyDescent="0.2">
      <c r="C121" s="296" t="s">
        <v>170</v>
      </c>
      <c r="D121" s="542">
        <v>332</v>
      </c>
      <c r="E121" s="215"/>
      <c r="F121" s="254"/>
    </row>
    <row r="122" spans="3:8" ht="24" x14ac:dyDescent="0.2">
      <c r="C122" s="296" t="s">
        <v>73</v>
      </c>
      <c r="D122" s="541">
        <v>335</v>
      </c>
      <c r="E122" s="214"/>
      <c r="F122" s="254"/>
    </row>
    <row r="123" spans="3:8" ht="13.5" thickBot="1" x14ac:dyDescent="0.25">
      <c r="C123" s="348"/>
      <c r="D123" s="550"/>
      <c r="E123" s="319"/>
      <c r="F123" s="349"/>
    </row>
    <row r="124" spans="3:8" ht="13.5" thickBot="1" x14ac:dyDescent="0.25">
      <c r="C124" s="223" t="s">
        <v>251</v>
      </c>
      <c r="D124" s="555"/>
      <c r="E124" s="476" t="s">
        <v>440</v>
      </c>
      <c r="F124" s="257">
        <f>IF(F116&lt;0,F116,F116-SUM(F118:F123))</f>
        <v>706147.74616024178</v>
      </c>
      <c r="G124" s="440" t="s">
        <v>427</v>
      </c>
    </row>
    <row r="125" spans="3:8" x14ac:dyDescent="0.2">
      <c r="D125" s="556"/>
      <c r="E125" s="11"/>
    </row>
  </sheetData>
  <sheetProtection password="C2FC" sheet="1" objects="1" scenarios="1"/>
  <mergeCells count="4">
    <mergeCell ref="C1:F1"/>
    <mergeCell ref="C2:J2"/>
    <mergeCell ref="C3:J3"/>
    <mergeCell ref="C4:J4"/>
  </mergeCells>
  <phoneticPr fontId="3" type="noConversion"/>
  <conditionalFormatting sqref="F124">
    <cfRule type="cellIs" dxfId="11" priority="3" stopIfTrue="1" operator="lessThan">
      <formula>0</formula>
    </cfRule>
  </conditionalFormatting>
  <conditionalFormatting sqref="F118:F122 C60:C74 F16 C106:C113 F77:F113 F19:F30 F32:F74">
    <cfRule type="expression" dxfId="10" priority="4" stopIfTrue="1">
      <formula>ISBLANK(C16)</formula>
    </cfRule>
  </conditionalFormatting>
  <conditionalFormatting sqref="H60:H74">
    <cfRule type="cellIs" dxfId="9" priority="5" stopIfTrue="1" operator="lessThan">
      <formula>0</formula>
    </cfRule>
  </conditionalFormatting>
  <conditionalFormatting sqref="F17:F18">
    <cfRule type="expression" dxfId="8" priority="2" stopIfTrue="1">
      <formula>ISBLANK(F17)</formula>
    </cfRule>
  </conditionalFormatting>
  <conditionalFormatting sqref="F31">
    <cfRule type="expression" dxfId="7" priority="1" stopIfTrue="1">
      <formula>ISBLANK(F31)</formula>
    </cfRule>
  </conditionalFormatting>
  <hyperlinks>
    <hyperlink ref="G124" location="'T0 PILs,Tax Provision '!A1" display="'T0"/>
    <hyperlink ref="E12" location="'A. Data Input Sheet'!A1" display="'A."/>
    <hyperlink ref="E35" location="'T13 Sch 13 Reserve Test Year'!A1" display="'T13"/>
    <hyperlink ref="E36" location="'T13 Sch 13 Reserve Test Year'!A1" display="'T13"/>
    <hyperlink ref="E79" location="'T8 Schedule 8 CCA Test Year  '!A1" display="'T8"/>
    <hyperlink ref="E81" location="'T10 Schedule 10 CEC Test Year'!A1" display="'T10"/>
    <hyperlink ref="E85" location="'T13 Sch 13 Reserve Test Year'!A1" display="'T13"/>
    <hyperlink ref="E86" location="'T13 Sch 13 Reserve Test Year'!A1" display="'T13"/>
    <hyperlink ref="E120" location="'T4 Sch 4 Loss Cfwd'!A1" display="'T4"/>
  </hyperlinks>
  <pageMargins left="0.55118110236220474" right="0.35433070866141736" top="0.39370078740157483" bottom="0.23622047244094491" header="0.51181102362204722" footer="0.51181102362204722"/>
  <pageSetup scale="58" orientation="portrait" r:id="rId1"/>
  <headerFooter alignWithMargins="0"/>
  <rowBreaks count="1" manualBreakCount="1">
    <brk id="7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2"/>
  <sheetViews>
    <sheetView showGridLines="0" zoomScale="90" zoomScaleNormal="90" workbookViewId="0"/>
  </sheetViews>
  <sheetFormatPr defaultRowHeight="12.75" x14ac:dyDescent="0.2"/>
  <cols>
    <col min="1" max="2" width="3.5703125" style="506" customWidth="1"/>
    <col min="3" max="3" width="32.5703125" style="506" customWidth="1"/>
    <col min="4" max="4" width="16.5703125" style="506" customWidth="1"/>
    <col min="5" max="5" width="30.7109375" style="506" customWidth="1"/>
    <col min="6" max="6" width="17.7109375" style="506" customWidth="1"/>
    <col min="7" max="7" width="14.85546875" style="506" customWidth="1"/>
    <col min="8" max="8" width="7" style="506" customWidth="1"/>
    <col min="9" max="9" width="11.28515625" style="506" customWidth="1"/>
    <col min="10" max="16384" width="9.140625" style="506"/>
  </cols>
  <sheetData>
    <row r="1" spans="1:27" s="498" customFormat="1" ht="20.25" x14ac:dyDescent="0.2">
      <c r="A1" s="497"/>
      <c r="C1" s="571"/>
      <c r="D1" s="571"/>
      <c r="E1" s="571"/>
      <c r="F1" s="533"/>
      <c r="G1" s="533"/>
      <c r="H1" s="499"/>
      <c r="I1" s="499"/>
      <c r="AA1" s="498">
        <v>1</v>
      </c>
    </row>
    <row r="2" spans="1:27" s="498" customFormat="1" ht="18" x14ac:dyDescent="0.25">
      <c r="C2" s="145"/>
      <c r="D2" s="572"/>
      <c r="E2" s="572"/>
      <c r="F2" s="572"/>
      <c r="G2" s="572"/>
      <c r="H2" s="3"/>
      <c r="AA2" s="498">
        <v>2012</v>
      </c>
    </row>
    <row r="3" spans="1:27" s="498" customFormat="1" ht="18" x14ac:dyDescent="0.25">
      <c r="C3" s="145"/>
      <c r="D3" s="146"/>
      <c r="E3" s="146"/>
      <c r="F3" s="146"/>
      <c r="G3" s="146"/>
      <c r="H3" s="5"/>
      <c r="AA3" s="498">
        <v>2013</v>
      </c>
    </row>
    <row r="4" spans="1:27" s="498" customFormat="1" ht="18" x14ac:dyDescent="0.25">
      <c r="C4" s="145"/>
      <c r="D4" s="572"/>
      <c r="E4" s="572"/>
      <c r="F4" s="145"/>
      <c r="G4" s="145"/>
      <c r="I4" s="7"/>
      <c r="AA4" s="498">
        <v>2014</v>
      </c>
    </row>
    <row r="5" spans="1:27" s="498" customFormat="1" ht="18" x14ac:dyDescent="0.25">
      <c r="C5" s="145"/>
      <c r="D5" s="146"/>
      <c r="E5" s="146"/>
      <c r="F5" s="145"/>
      <c r="G5" s="145"/>
      <c r="I5" s="7"/>
      <c r="AA5" s="498">
        <v>2015</v>
      </c>
    </row>
    <row r="6" spans="1:27" s="498" customFormat="1" ht="18" x14ac:dyDescent="0.25">
      <c r="C6" s="145"/>
      <c r="D6" s="279"/>
      <c r="E6" s="145"/>
      <c r="F6" s="147"/>
      <c r="G6" s="148"/>
      <c r="AA6" s="498">
        <v>2016</v>
      </c>
    </row>
    <row r="7" spans="1:27" s="498" customFormat="1" ht="15.75" x14ac:dyDescent="0.25">
      <c r="C7" s="500"/>
      <c r="D7" s="500"/>
      <c r="E7" s="500"/>
      <c r="F7" s="149"/>
      <c r="G7" s="149"/>
    </row>
    <row r="8" spans="1:27" s="498" customFormat="1" x14ac:dyDescent="0.2"/>
    <row r="9" spans="1:27" s="498" customFormat="1" ht="18" x14ac:dyDescent="0.25">
      <c r="C9" s="573"/>
      <c r="D9" s="573"/>
      <c r="E9" s="573"/>
    </row>
    <row r="10" spans="1:27" s="498" customFormat="1" ht="18" x14ac:dyDescent="0.25">
      <c r="C10" s="501"/>
      <c r="D10" s="502" t="s">
        <v>341</v>
      </c>
      <c r="I10" s="503"/>
      <c r="J10" s="504"/>
    </row>
    <row r="11" spans="1:27" s="498" customFormat="1" ht="18" x14ac:dyDescent="0.25">
      <c r="C11" s="501"/>
      <c r="D11" s="502" t="s">
        <v>468</v>
      </c>
      <c r="I11" s="503"/>
      <c r="J11" s="504"/>
    </row>
    <row r="12" spans="1:27" s="498" customFormat="1" ht="18" x14ac:dyDescent="0.25">
      <c r="C12" s="501"/>
      <c r="D12" s="502" t="s">
        <v>237</v>
      </c>
      <c r="I12" s="503"/>
      <c r="J12" s="504"/>
    </row>
    <row r="13" spans="1:27" s="498" customFormat="1" ht="18" x14ac:dyDescent="0.25">
      <c r="C13" s="501"/>
      <c r="D13" s="502" t="s">
        <v>238</v>
      </c>
      <c r="I13" s="503"/>
      <c r="J13" s="504"/>
    </row>
    <row r="14" spans="1:27" s="498" customFormat="1" ht="18" x14ac:dyDescent="0.25">
      <c r="C14" s="502"/>
      <c r="D14" s="502"/>
      <c r="E14" s="502"/>
      <c r="I14" s="503"/>
      <c r="J14" s="504"/>
    </row>
    <row r="15" spans="1:27" s="498" customFormat="1" ht="18" x14ac:dyDescent="0.25">
      <c r="C15" s="501"/>
      <c r="I15" s="503"/>
      <c r="J15" s="504"/>
    </row>
    <row r="16" spans="1:27" s="498" customFormat="1" ht="18" x14ac:dyDescent="0.25">
      <c r="C16" s="501" t="s">
        <v>454</v>
      </c>
      <c r="D16" s="502" t="s">
        <v>456</v>
      </c>
      <c r="I16" s="503"/>
      <c r="J16" s="504"/>
    </row>
    <row r="17" spans="3:10" s="498" customFormat="1" ht="18" x14ac:dyDescent="0.25">
      <c r="C17" s="501"/>
      <c r="D17" s="502" t="s">
        <v>457</v>
      </c>
      <c r="I17" s="503"/>
      <c r="J17" s="504"/>
    </row>
    <row r="18" spans="3:10" s="498" customFormat="1" ht="18" x14ac:dyDescent="0.25">
      <c r="C18" s="501"/>
      <c r="D18" s="502" t="s">
        <v>458</v>
      </c>
      <c r="I18" s="503"/>
      <c r="J18" s="504"/>
    </row>
    <row r="19" spans="3:10" s="498" customFormat="1" ht="18" x14ac:dyDescent="0.25">
      <c r="C19" s="501"/>
      <c r="D19" s="502" t="s">
        <v>459</v>
      </c>
      <c r="I19" s="503"/>
      <c r="J19" s="504"/>
    </row>
    <row r="20" spans="3:10" s="498" customFormat="1" ht="18" x14ac:dyDescent="0.25">
      <c r="C20" s="501"/>
      <c r="D20" s="502" t="s">
        <v>460</v>
      </c>
      <c r="I20" s="503"/>
      <c r="J20" s="504"/>
    </row>
    <row r="21" spans="3:10" s="498" customFormat="1" ht="18" x14ac:dyDescent="0.25">
      <c r="C21" s="501"/>
      <c r="D21" s="502" t="s">
        <v>461</v>
      </c>
      <c r="I21" s="503"/>
      <c r="J21" s="504"/>
    </row>
    <row r="22" spans="3:10" s="498" customFormat="1" ht="18" x14ac:dyDescent="0.25">
      <c r="C22" s="502"/>
      <c r="D22" s="502"/>
      <c r="I22" s="503"/>
      <c r="J22" s="504"/>
    </row>
    <row r="23" spans="3:10" s="498" customFormat="1" ht="18" x14ac:dyDescent="0.25">
      <c r="C23" s="501" t="s">
        <v>319</v>
      </c>
      <c r="D23" s="502" t="s">
        <v>462</v>
      </c>
      <c r="I23" s="503"/>
      <c r="J23" s="504"/>
    </row>
    <row r="24" spans="3:10" s="498" customFormat="1" ht="18" x14ac:dyDescent="0.25">
      <c r="C24" s="501"/>
      <c r="D24" s="502" t="s">
        <v>463</v>
      </c>
      <c r="I24" s="503"/>
      <c r="J24" s="504"/>
    </row>
    <row r="25" spans="3:10" s="498" customFormat="1" ht="18" x14ac:dyDescent="0.25">
      <c r="C25" s="501"/>
      <c r="D25" s="502" t="s">
        <v>464</v>
      </c>
      <c r="I25" s="503"/>
      <c r="J25" s="504"/>
    </row>
    <row r="26" spans="3:10" s="498" customFormat="1" ht="18" x14ac:dyDescent="0.25">
      <c r="C26" s="501"/>
      <c r="D26" s="502" t="s">
        <v>465</v>
      </c>
      <c r="I26" s="503"/>
      <c r="J26" s="504"/>
    </row>
    <row r="27" spans="3:10" s="498" customFormat="1" ht="18" x14ac:dyDescent="0.25">
      <c r="C27" s="501"/>
      <c r="D27" s="502" t="s">
        <v>466</v>
      </c>
      <c r="I27" s="503"/>
      <c r="J27" s="504"/>
    </row>
    <row r="28" spans="3:10" s="498" customFormat="1" ht="18" x14ac:dyDescent="0.25">
      <c r="C28" s="501"/>
      <c r="D28" s="502" t="s">
        <v>467</v>
      </c>
      <c r="I28" s="503"/>
      <c r="J28" s="504"/>
    </row>
    <row r="29" spans="3:10" s="498" customFormat="1" ht="18" x14ac:dyDescent="0.25">
      <c r="C29" s="501"/>
      <c r="D29" s="502"/>
      <c r="I29" s="503"/>
      <c r="J29" s="504"/>
    </row>
    <row r="30" spans="3:10" s="498" customFormat="1" ht="18" x14ac:dyDescent="0.25">
      <c r="C30" s="501" t="s">
        <v>186</v>
      </c>
      <c r="D30" s="502" t="s">
        <v>450</v>
      </c>
      <c r="I30" s="505"/>
      <c r="J30" s="504"/>
    </row>
    <row r="31" spans="3:10" s="498" customFormat="1" ht="18" x14ac:dyDescent="0.25">
      <c r="D31" s="502" t="s">
        <v>448</v>
      </c>
      <c r="I31" s="505"/>
      <c r="J31" s="504"/>
    </row>
    <row r="32" spans="3:10" s="498" customFormat="1" ht="18" x14ac:dyDescent="0.25">
      <c r="C32" s="501"/>
      <c r="D32" s="502" t="s">
        <v>455</v>
      </c>
      <c r="I32" s="505"/>
      <c r="J32" s="504"/>
    </row>
    <row r="33" spans="3:256" s="498" customFormat="1" ht="18" x14ac:dyDescent="0.25">
      <c r="C33" s="501"/>
      <c r="D33" s="502" t="s">
        <v>449</v>
      </c>
      <c r="I33" s="503"/>
      <c r="J33" s="504"/>
    </row>
    <row r="34" spans="3:256" s="498" customFormat="1" ht="18" x14ac:dyDescent="0.25">
      <c r="C34" s="501"/>
      <c r="D34" s="502" t="s">
        <v>451</v>
      </c>
      <c r="I34" s="503"/>
      <c r="J34" s="504"/>
    </row>
    <row r="35" spans="3:256" s="498" customFormat="1" ht="18" x14ac:dyDescent="0.25">
      <c r="C35" s="501"/>
      <c r="D35" s="502" t="s">
        <v>452</v>
      </c>
      <c r="I35" s="505"/>
      <c r="J35" s="504"/>
    </row>
    <row r="36" spans="3:256" s="498" customFormat="1" ht="18" x14ac:dyDescent="0.25">
      <c r="C36" s="501"/>
      <c r="D36" s="502"/>
      <c r="I36" s="505"/>
      <c r="J36" s="504"/>
    </row>
    <row r="37" spans="3:256" s="498" customFormat="1" ht="18" x14ac:dyDescent="0.25">
      <c r="C37" s="501"/>
      <c r="D37" s="502"/>
      <c r="I37" s="503"/>
      <c r="J37" s="504"/>
    </row>
    <row r="38" spans="3:256" s="498" customFormat="1" ht="18" x14ac:dyDescent="0.25">
      <c r="D38" s="502"/>
      <c r="I38" s="503"/>
      <c r="J38" s="504"/>
    </row>
    <row r="39" spans="3:256" s="498" customFormat="1" ht="15" x14ac:dyDescent="0.2">
      <c r="I39" s="505"/>
      <c r="J39" s="504"/>
    </row>
    <row r="40" spans="3:256" s="498" customFormat="1" ht="15" x14ac:dyDescent="0.2">
      <c r="I40" s="503"/>
      <c r="J40" s="504"/>
    </row>
    <row r="41" spans="3:256" ht="15.75" x14ac:dyDescent="0.25">
      <c r="C41" s="498"/>
      <c r="E41" s="138"/>
      <c r="F41" s="280"/>
      <c r="H41" s="280"/>
      <c r="I41" s="498"/>
    </row>
    <row r="42" spans="3:256" ht="15.75" x14ac:dyDescent="0.25">
      <c r="E42" s="138"/>
    </row>
    <row r="43" spans="3:256" ht="15.75" x14ac:dyDescent="0.25">
      <c r="AA43" s="507"/>
    </row>
    <row r="44" spans="3:256" ht="15.75" x14ac:dyDescent="0.25">
      <c r="J44" s="507"/>
      <c r="K44" s="507"/>
      <c r="L44" s="507"/>
      <c r="M44" s="507"/>
      <c r="N44" s="507"/>
      <c r="O44" s="507"/>
      <c r="P44" s="507"/>
      <c r="Q44" s="507"/>
      <c r="R44" s="507"/>
      <c r="S44" s="507"/>
      <c r="T44" s="507"/>
      <c r="U44" s="507"/>
      <c r="V44" s="507"/>
      <c r="W44" s="507"/>
      <c r="X44" s="507"/>
      <c r="Y44" s="507"/>
      <c r="Z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c r="BC44" s="507"/>
      <c r="BD44" s="507"/>
      <c r="BE44" s="507"/>
      <c r="BF44" s="507"/>
      <c r="BG44" s="507"/>
      <c r="BH44" s="507"/>
      <c r="BI44" s="507"/>
      <c r="BJ44" s="507"/>
      <c r="BK44" s="507"/>
      <c r="BL44" s="507"/>
      <c r="BM44" s="507"/>
      <c r="BN44" s="507"/>
      <c r="BO44" s="507"/>
      <c r="BP44" s="507"/>
      <c r="BQ44" s="507"/>
      <c r="BR44" s="507"/>
      <c r="BS44" s="507"/>
      <c r="BT44" s="507"/>
      <c r="BU44" s="507"/>
      <c r="BV44" s="507"/>
      <c r="BW44" s="507"/>
      <c r="BX44" s="507"/>
      <c r="BY44" s="507"/>
      <c r="BZ44" s="507"/>
      <c r="CA44" s="507"/>
      <c r="CB44" s="507"/>
      <c r="CC44" s="507"/>
      <c r="CD44" s="507"/>
      <c r="CE44" s="507"/>
      <c r="CF44" s="507"/>
      <c r="CG44" s="507"/>
      <c r="CH44" s="507"/>
      <c r="CI44" s="507"/>
      <c r="CJ44" s="507"/>
      <c r="CK44" s="507"/>
      <c r="CL44" s="507"/>
      <c r="CM44" s="507"/>
      <c r="CN44" s="507"/>
      <c r="CO44" s="507"/>
      <c r="CP44" s="507"/>
      <c r="CQ44" s="507"/>
      <c r="CR44" s="507"/>
      <c r="CS44" s="507"/>
      <c r="CT44" s="507"/>
      <c r="CU44" s="507"/>
      <c r="CV44" s="507"/>
      <c r="CW44" s="507"/>
      <c r="CX44" s="507"/>
      <c r="CY44" s="507"/>
      <c r="CZ44" s="507"/>
      <c r="DA44" s="507"/>
      <c r="DB44" s="507"/>
      <c r="DC44" s="507"/>
      <c r="DD44" s="507"/>
      <c r="DE44" s="507"/>
      <c r="DF44" s="507"/>
      <c r="DG44" s="507"/>
      <c r="DH44" s="507"/>
      <c r="DI44" s="507"/>
      <c r="DJ44" s="507"/>
      <c r="DK44" s="507"/>
      <c r="DL44" s="507"/>
      <c r="DM44" s="507"/>
      <c r="DN44" s="507"/>
      <c r="DO44" s="507"/>
      <c r="DP44" s="507"/>
      <c r="DQ44" s="507"/>
      <c r="DR44" s="507"/>
      <c r="DS44" s="507"/>
      <c r="DT44" s="507"/>
      <c r="DU44" s="507"/>
      <c r="DV44" s="507"/>
      <c r="DW44" s="507"/>
      <c r="DX44" s="507"/>
      <c r="DY44" s="507"/>
      <c r="DZ44" s="507"/>
      <c r="EA44" s="507"/>
      <c r="EB44" s="507"/>
      <c r="EC44" s="507"/>
      <c r="ED44" s="507"/>
      <c r="EE44" s="507"/>
      <c r="EF44" s="507"/>
      <c r="EG44" s="507"/>
      <c r="EH44" s="507"/>
      <c r="EI44" s="507"/>
      <c r="EJ44" s="507"/>
      <c r="EK44" s="507"/>
      <c r="EL44" s="507"/>
      <c r="EM44" s="507"/>
      <c r="EN44" s="507"/>
      <c r="EO44" s="507"/>
      <c r="EP44" s="507"/>
      <c r="EQ44" s="507"/>
      <c r="ER44" s="507"/>
      <c r="ES44" s="507"/>
      <c r="ET44" s="507"/>
      <c r="EU44" s="507"/>
      <c r="EV44" s="507"/>
      <c r="EW44" s="507"/>
      <c r="EX44" s="507"/>
      <c r="EY44" s="507"/>
      <c r="EZ44" s="507"/>
      <c r="FA44" s="507"/>
      <c r="FB44" s="507"/>
      <c r="FC44" s="507"/>
      <c r="FD44" s="507"/>
      <c r="FE44" s="507"/>
      <c r="FF44" s="507"/>
      <c r="FG44" s="507"/>
      <c r="FH44" s="507"/>
      <c r="FI44" s="507"/>
      <c r="FJ44" s="507"/>
      <c r="FK44" s="507"/>
      <c r="FL44" s="507"/>
      <c r="FM44" s="507"/>
      <c r="FN44" s="507"/>
      <c r="FO44" s="507"/>
      <c r="FP44" s="507"/>
      <c r="FQ44" s="507"/>
      <c r="FR44" s="507"/>
      <c r="FS44" s="507"/>
      <c r="FT44" s="507"/>
      <c r="FU44" s="507"/>
      <c r="FV44" s="507"/>
      <c r="FW44" s="507"/>
      <c r="FX44" s="507"/>
      <c r="FY44" s="507"/>
      <c r="FZ44" s="507"/>
      <c r="GA44" s="507"/>
      <c r="GB44" s="507"/>
      <c r="GC44" s="507"/>
      <c r="GD44" s="507"/>
      <c r="GE44" s="507"/>
      <c r="GF44" s="507"/>
      <c r="GG44" s="507"/>
      <c r="GH44" s="507"/>
      <c r="GI44" s="507"/>
      <c r="GJ44" s="507"/>
      <c r="GK44" s="507"/>
      <c r="GL44" s="507"/>
      <c r="GM44" s="507"/>
      <c r="GN44" s="507"/>
      <c r="GO44" s="507"/>
      <c r="GP44" s="507"/>
      <c r="GQ44" s="507"/>
      <c r="GR44" s="507"/>
      <c r="GS44" s="507"/>
      <c r="GT44" s="507"/>
      <c r="GU44" s="507"/>
      <c r="GV44" s="507"/>
      <c r="GW44" s="507"/>
      <c r="GX44" s="507"/>
      <c r="GY44" s="507"/>
      <c r="GZ44" s="507"/>
      <c r="HA44" s="507"/>
      <c r="HB44" s="507"/>
      <c r="HC44" s="507"/>
      <c r="HD44" s="507"/>
      <c r="HE44" s="507"/>
      <c r="HF44" s="507"/>
      <c r="HG44" s="507"/>
      <c r="HH44" s="507"/>
      <c r="HI44" s="507"/>
      <c r="HJ44" s="507"/>
      <c r="HK44" s="507"/>
      <c r="HL44" s="507"/>
      <c r="HM44" s="507"/>
      <c r="HN44" s="507"/>
      <c r="HO44" s="507"/>
      <c r="HP44" s="507"/>
      <c r="HQ44" s="507"/>
      <c r="HR44" s="507"/>
      <c r="HS44" s="507"/>
      <c r="HT44" s="507"/>
      <c r="HU44" s="507"/>
      <c r="HV44" s="507"/>
      <c r="HW44" s="507"/>
      <c r="HX44" s="507"/>
      <c r="HY44" s="507"/>
      <c r="HZ44" s="507"/>
      <c r="IA44" s="507"/>
      <c r="IB44" s="507"/>
      <c r="IC44" s="507"/>
      <c r="ID44" s="507"/>
      <c r="IE44" s="507"/>
      <c r="IF44" s="507"/>
      <c r="IG44" s="507"/>
      <c r="IH44" s="507"/>
      <c r="II44" s="507"/>
      <c r="IJ44" s="507"/>
      <c r="IK44" s="507"/>
      <c r="IL44" s="507"/>
      <c r="IM44" s="507"/>
      <c r="IN44" s="507"/>
      <c r="IO44" s="507"/>
      <c r="IP44" s="507"/>
      <c r="IQ44" s="507"/>
      <c r="IR44" s="507"/>
      <c r="IS44" s="507"/>
      <c r="IT44" s="507"/>
      <c r="IU44" s="507"/>
      <c r="IV44" s="507"/>
    </row>
    <row r="45" spans="3:256" x14ac:dyDescent="0.2">
      <c r="F45" s="508"/>
      <c r="G45" s="508"/>
      <c r="H45" s="508"/>
      <c r="I45" s="508"/>
    </row>
    <row r="84" spans="1:7" ht="15.75" x14ac:dyDescent="0.25">
      <c r="A84" s="507"/>
      <c r="B84" s="507"/>
      <c r="C84" s="507"/>
      <c r="D84" s="507"/>
      <c r="E84" s="507"/>
      <c r="F84" s="507"/>
      <c r="G84" s="507"/>
    </row>
    <row r="85" spans="1:7" x14ac:dyDescent="0.2">
      <c r="A85" s="570"/>
      <c r="B85" s="570"/>
      <c r="C85" s="570"/>
      <c r="D85" s="570"/>
      <c r="E85" s="570"/>
      <c r="F85" s="570"/>
      <c r="G85" s="570"/>
    </row>
    <row r="86" spans="1:7" x14ac:dyDescent="0.2">
      <c r="A86" s="570"/>
      <c r="B86" s="570"/>
      <c r="C86" s="570"/>
      <c r="D86" s="570"/>
      <c r="E86" s="570"/>
      <c r="F86" s="570"/>
      <c r="G86" s="570"/>
    </row>
    <row r="87" spans="1:7" x14ac:dyDescent="0.2">
      <c r="A87" s="570"/>
      <c r="B87" s="570"/>
      <c r="C87" s="570"/>
      <c r="D87" s="570"/>
      <c r="E87" s="570"/>
      <c r="F87" s="570"/>
      <c r="G87" s="570"/>
    </row>
    <row r="88" spans="1:7" x14ac:dyDescent="0.2">
      <c r="A88" s="570"/>
      <c r="B88" s="570"/>
      <c r="C88" s="570"/>
      <c r="D88" s="570"/>
      <c r="E88" s="570"/>
      <c r="F88" s="570"/>
      <c r="G88" s="570"/>
    </row>
    <row r="89" spans="1:7" x14ac:dyDescent="0.2">
      <c r="A89" s="570"/>
      <c r="B89" s="570"/>
      <c r="C89" s="570"/>
      <c r="D89" s="570"/>
      <c r="E89" s="570"/>
      <c r="F89" s="570"/>
      <c r="G89" s="570"/>
    </row>
    <row r="90" spans="1:7" x14ac:dyDescent="0.2">
      <c r="A90" s="570"/>
      <c r="B90" s="570"/>
      <c r="C90" s="570"/>
      <c r="D90" s="570"/>
      <c r="E90" s="570"/>
      <c r="F90" s="570"/>
      <c r="G90" s="570"/>
    </row>
    <row r="91" spans="1:7" x14ac:dyDescent="0.2">
      <c r="A91" s="570"/>
      <c r="B91" s="570"/>
      <c r="C91" s="570"/>
      <c r="D91" s="570"/>
      <c r="E91" s="570"/>
      <c r="F91" s="570"/>
      <c r="G91" s="570"/>
    </row>
    <row r="92" spans="1:7" x14ac:dyDescent="0.2">
      <c r="A92" s="570"/>
      <c r="B92" s="570"/>
      <c r="C92" s="570"/>
      <c r="D92" s="570"/>
      <c r="E92" s="570"/>
      <c r="F92" s="570"/>
      <c r="G92" s="570"/>
    </row>
  </sheetData>
  <sheetProtection password="C2FC" sheet="1" objects="1" scenarios="1"/>
  <mergeCells count="5">
    <mergeCell ref="A85:G92"/>
    <mergeCell ref="C1:E1"/>
    <mergeCell ref="D2:G2"/>
    <mergeCell ref="D4:E4"/>
    <mergeCell ref="C9:E9"/>
  </mergeCells>
  <phoneticPr fontId="3" type="noConversion"/>
  <hyperlinks>
    <hyperlink ref="D10" location="Start_1" display="1. Info"/>
    <hyperlink ref="D12" location="Start_4" display="A. Data Input Sheet"/>
    <hyperlink ref="D13" location="Start_5" display="B. Tax Rates &amp; Exemptions"/>
    <hyperlink ref="D31" location="'T1 Taxable Income Test Year'!A1" display="'T1 Taxable Income Test Year"/>
    <hyperlink ref="D32" location="'T4 Sch 4 Loss Cfwd'!A1" display="T4 Schedule 4 Loss Carry Forward Test Year"/>
    <hyperlink ref="D33" location="'T8 Schedule 8 CCA Test Year  '!A1" display="'T8 Schedule 8 CCA Test Year"/>
    <hyperlink ref="D30" location="'T0 PILs,Tax Provision '!A1" display="'T0 PILs, Tax Provision Test Year"/>
    <hyperlink ref="D34" location="'T10 Schedule 10 CEC Test Year'!A1" display="'T10 Schedule 10 CEC Test Year"/>
    <hyperlink ref="D35" location="'T13 Sch 13 Reserve Test Year'!A1" display="'T13 Schedule 13 Reserve Test Year"/>
    <hyperlink ref="D16" location="'H0 PILs,Tax Provision Historic'!A1" display="H0 - PILs, Tax Provision Historical Year"/>
    <hyperlink ref="D17" location="'H1 Adj. Taxable Income Historic'!A1" display="H1 - Adj. Taxable Income Historical Year"/>
    <hyperlink ref="D18" location="'H4 Sch 4 Loss Cfwd Hist'!A1" display="H4 - Schedule 4 Loss Carry Forward Historical Year"/>
    <hyperlink ref="D19" location="'H8 Sch 8 Historical'!A1" display="'H8 - Schedule 8 Historical'!A1"/>
    <hyperlink ref="D20" location="'H10 Schedule 10 CEC Hist'!A1" display="'H10 - Schedule 10 CEC Historical Year"/>
    <hyperlink ref="D21" location="'H13 Sch 13 Tax Reserves Histori'!A1" display="'H13 - Schedule 13 Tax Reserves Historical"/>
    <hyperlink ref="D23" location="'B0 PILs,Tax Provision Bridge'!A1" display="'B0 - PILs,Tax Provision Bridge Year"/>
    <hyperlink ref="D24" location="'B1 Adj. Taxable Income Bridge'!A1" display="'B1 - Adj. Taxable Income Bridge Year"/>
    <hyperlink ref="D25" location="'B4 Sch 4 Loss Cfwd Bridge'!A1" display="'B4 - Schedule 4 Loss Carry Forward Bridge Year"/>
    <hyperlink ref="D26" location="'B8 Schedule 8 CCA Bridge Year'!A1" display="'B8 - Schedule 8 CCA Bridge Year"/>
    <hyperlink ref="D27" location="'B10 Schedule 10 CEC Bridge Year'!A1" display="'B10 - Schedule 10 CEC Bridge Year"/>
    <hyperlink ref="D28" location="'B13 Sch 13 Tax Reserves Bridge'!A1" display="'B13 - Schedule 13 Tax Reserves Bridge Year"/>
    <hyperlink ref="D11" location="'S. Summary '!A1" display="'S. Summary"/>
  </hyperlinks>
  <pageMargins left="0.75" right="0.75" top="1" bottom="1" header="0.5" footer="0.5"/>
  <pageSetup scale="71"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6"/>
  <sheetViews>
    <sheetView zoomScale="90" zoomScaleNormal="90" workbookViewId="0">
      <selection activeCell="J10" sqref="J10"/>
    </sheetView>
  </sheetViews>
  <sheetFormatPr defaultRowHeight="12.75" x14ac:dyDescent="0.2"/>
  <cols>
    <col min="1" max="1" width="3" style="11" customWidth="1"/>
    <col min="2" max="2" width="3.28515625" style="11" customWidth="1"/>
    <col min="3" max="5" width="25.42578125" style="11" customWidth="1"/>
    <col min="6" max="6" width="13.140625" style="11" customWidth="1"/>
    <col min="7" max="9" width="12.85546875" style="11" customWidth="1"/>
    <col min="10" max="11" width="9.140625" style="11"/>
    <col min="12" max="12" width="5.140625" style="11" customWidth="1"/>
    <col min="13" max="16384" width="9.140625" style="11"/>
  </cols>
  <sheetData>
    <row r="1" spans="1:10" ht="21.75" x14ac:dyDescent="0.2">
      <c r="A1" s="312"/>
      <c r="C1" s="574"/>
      <c r="D1" s="574"/>
      <c r="E1" s="574"/>
      <c r="F1" s="432"/>
    </row>
    <row r="2" spans="1:10" ht="41.25" customHeight="1" x14ac:dyDescent="0.25">
      <c r="C2" s="575"/>
      <c r="D2" s="575"/>
      <c r="E2" s="575"/>
      <c r="F2" s="575"/>
      <c r="G2" s="575"/>
      <c r="H2" s="575"/>
      <c r="I2" s="575"/>
      <c r="J2" s="575"/>
    </row>
    <row r="3" spans="1:10" ht="41.25" customHeight="1" x14ac:dyDescent="0.25">
      <c r="C3" s="575"/>
      <c r="D3" s="575"/>
      <c r="E3" s="575"/>
      <c r="F3" s="575"/>
      <c r="G3" s="575"/>
      <c r="H3" s="575"/>
      <c r="I3" s="575"/>
      <c r="J3" s="575"/>
    </row>
    <row r="4" spans="1:10" ht="18" x14ac:dyDescent="0.25">
      <c r="C4" s="575"/>
      <c r="D4" s="575"/>
      <c r="E4" s="575"/>
      <c r="F4" s="575"/>
      <c r="G4" s="575"/>
      <c r="H4" s="575"/>
      <c r="I4" s="575"/>
      <c r="J4" s="575"/>
    </row>
    <row r="7" spans="1:10" ht="21.75" customHeight="1" x14ac:dyDescent="0.25">
      <c r="C7" s="368" t="s">
        <v>367</v>
      </c>
    </row>
    <row r="9" spans="1:10" ht="18" x14ac:dyDescent="0.2">
      <c r="C9" s="400" t="s">
        <v>357</v>
      </c>
    </row>
    <row r="11" spans="1:10" ht="36" x14ac:dyDescent="0.2">
      <c r="C11" s="586" t="s">
        <v>153</v>
      </c>
      <c r="D11" s="587"/>
      <c r="E11" s="588"/>
      <c r="F11" s="477" t="s">
        <v>435</v>
      </c>
      <c r="G11" s="42" t="s">
        <v>3</v>
      </c>
      <c r="H11" s="42" t="s">
        <v>231</v>
      </c>
      <c r="I11" s="42" t="s">
        <v>154</v>
      </c>
      <c r="J11" s="102"/>
    </row>
    <row r="12" spans="1:10" x14ac:dyDescent="0.2">
      <c r="C12" s="589" t="s">
        <v>234</v>
      </c>
      <c r="D12" s="590"/>
      <c r="E12" s="591"/>
      <c r="F12" s="463" t="s">
        <v>439</v>
      </c>
      <c r="G12" s="258">
        <f>'B4 Sch 4 Loss Cfwd Bridge'!G17</f>
        <v>0</v>
      </c>
      <c r="H12" s="259"/>
      <c r="I12" s="103">
        <f>G12-H12</f>
        <v>0</v>
      </c>
      <c r="J12" s="104"/>
    </row>
    <row r="13" spans="1:10" x14ac:dyDescent="0.2">
      <c r="C13" s="620"/>
      <c r="D13" s="620"/>
      <c r="E13" s="620"/>
      <c r="F13" s="437"/>
      <c r="G13" s="258"/>
      <c r="H13" s="258"/>
      <c r="I13" s="103">
        <f>G13-H13</f>
        <v>0</v>
      </c>
      <c r="J13" s="104"/>
    </row>
    <row r="14" spans="1:10" x14ac:dyDescent="0.2">
      <c r="C14" s="619" t="s">
        <v>155</v>
      </c>
      <c r="D14" s="619"/>
      <c r="E14" s="619"/>
      <c r="F14" s="464" t="s">
        <v>426</v>
      </c>
      <c r="G14" s="259">
        <f>IF('T1 Taxable Income Test Year'!F116&lt;0,'T1 Taxable Income Test Year'!F116*-1,0)</f>
        <v>0</v>
      </c>
      <c r="H14" s="259"/>
      <c r="I14" s="103">
        <f>G14-H14</f>
        <v>0</v>
      </c>
      <c r="J14" s="104"/>
    </row>
    <row r="15" spans="1:10" x14ac:dyDescent="0.2">
      <c r="C15" s="105" t="s">
        <v>156</v>
      </c>
      <c r="D15" s="106"/>
      <c r="E15" s="107"/>
      <c r="F15" s="465" t="s">
        <v>440</v>
      </c>
      <c r="G15" s="103">
        <f>G12+G13+G14</f>
        <v>0</v>
      </c>
      <c r="H15" s="103">
        <f>H12+H13+H14</f>
        <v>0</v>
      </c>
      <c r="I15" s="103">
        <f>I12+I13+I14</f>
        <v>0</v>
      </c>
      <c r="J15" s="104"/>
    </row>
    <row r="16" spans="1:10" x14ac:dyDescent="0.2">
      <c r="C16" s="108" t="s">
        <v>157</v>
      </c>
      <c r="D16" s="106"/>
      <c r="E16" s="107"/>
      <c r="F16" s="464" t="s">
        <v>426</v>
      </c>
      <c r="G16" s="259">
        <f>IF('T1 Taxable Income Test Year'!F116&lt;0,0,IF('T1 Taxable Income Test Year'!F116&gt;G15,G15,'T1 Taxable Income Test Year'!F116))</f>
        <v>0</v>
      </c>
      <c r="H16" s="259"/>
      <c r="I16" s="103">
        <f>G16-H16</f>
        <v>0</v>
      </c>
      <c r="J16" s="104"/>
    </row>
    <row r="17" spans="3:10" x14ac:dyDescent="0.2">
      <c r="C17" s="105" t="s">
        <v>158</v>
      </c>
      <c r="D17" s="106"/>
      <c r="E17" s="107"/>
      <c r="F17" s="465" t="s">
        <v>440</v>
      </c>
      <c r="G17" s="103">
        <f>G15-G16</f>
        <v>0</v>
      </c>
      <c r="H17" s="103">
        <f>H15-H16</f>
        <v>0</v>
      </c>
      <c r="I17" s="103">
        <f>I15-I16</f>
        <v>0</v>
      </c>
      <c r="J17" s="104"/>
    </row>
    <row r="18" spans="3:10" x14ac:dyDescent="0.2">
      <c r="C18" s="102"/>
      <c r="D18" s="102"/>
      <c r="E18" s="102"/>
      <c r="F18" s="102"/>
      <c r="G18" s="104"/>
      <c r="H18" s="104"/>
      <c r="I18" s="104"/>
      <c r="J18" s="104"/>
    </row>
    <row r="19" spans="3:10" ht="36" x14ac:dyDescent="0.2">
      <c r="C19" s="586" t="s">
        <v>159</v>
      </c>
      <c r="D19" s="587"/>
      <c r="E19" s="588"/>
      <c r="F19" s="435"/>
      <c r="G19" s="42" t="s">
        <v>3</v>
      </c>
      <c r="H19" s="42" t="s">
        <v>231</v>
      </c>
      <c r="I19" s="42" t="s">
        <v>154</v>
      </c>
      <c r="J19" s="104"/>
    </row>
    <row r="20" spans="3:10" x14ac:dyDescent="0.2">
      <c r="C20" s="589" t="s">
        <v>234</v>
      </c>
      <c r="D20" s="590"/>
      <c r="E20" s="591"/>
      <c r="F20" s="463" t="s">
        <v>439</v>
      </c>
      <c r="G20" s="258">
        <f>'B4 Sch 4 Loss Cfwd Bridge'!G25</f>
        <v>0</v>
      </c>
      <c r="H20" s="259"/>
      <c r="I20" s="103">
        <f>G20-H20</f>
        <v>0</v>
      </c>
      <c r="J20" s="104"/>
    </row>
    <row r="21" spans="3:10" ht="12.75" customHeight="1" x14ac:dyDescent="0.2">
      <c r="C21" s="620"/>
      <c r="D21" s="620"/>
      <c r="E21" s="620"/>
      <c r="F21" s="437"/>
      <c r="G21" s="258"/>
      <c r="H21" s="258"/>
      <c r="I21" s="103">
        <f>G21-H21</f>
        <v>0</v>
      </c>
      <c r="J21" s="104"/>
    </row>
    <row r="22" spans="3:10" x14ac:dyDescent="0.2">
      <c r="C22" s="619" t="s">
        <v>155</v>
      </c>
      <c r="D22" s="619"/>
      <c r="E22" s="619"/>
      <c r="F22" s="436"/>
      <c r="G22" s="259"/>
      <c r="H22" s="259"/>
      <c r="I22" s="103">
        <f>G22-H22</f>
        <v>0</v>
      </c>
      <c r="J22" s="104"/>
    </row>
    <row r="23" spans="3:10" x14ac:dyDescent="0.2">
      <c r="C23" s="105" t="s">
        <v>156</v>
      </c>
      <c r="D23" s="106"/>
      <c r="E23" s="107"/>
      <c r="F23" s="465" t="s">
        <v>440</v>
      </c>
      <c r="G23" s="103">
        <f>G20-G21+G22</f>
        <v>0</v>
      </c>
      <c r="H23" s="103">
        <f>H20-H21+H22</f>
        <v>0</v>
      </c>
      <c r="I23" s="103">
        <f>I20-I21+I22</f>
        <v>0</v>
      </c>
      <c r="J23" s="104"/>
    </row>
    <row r="24" spans="3:10" x14ac:dyDescent="0.2">
      <c r="C24" s="108" t="s">
        <v>157</v>
      </c>
      <c r="D24" s="106"/>
      <c r="E24" s="107"/>
      <c r="F24" s="107"/>
      <c r="G24" s="259"/>
      <c r="H24" s="259"/>
      <c r="I24" s="103">
        <f>G24-H24</f>
        <v>0</v>
      </c>
      <c r="J24" s="104"/>
    </row>
    <row r="25" spans="3:10" x14ac:dyDescent="0.2">
      <c r="C25" s="105" t="s">
        <v>158</v>
      </c>
      <c r="D25" s="106"/>
      <c r="E25" s="107"/>
      <c r="F25" s="465" t="s">
        <v>440</v>
      </c>
      <c r="G25" s="103">
        <f>G23-G24</f>
        <v>0</v>
      </c>
      <c r="H25" s="103">
        <f>H23-H24</f>
        <v>0</v>
      </c>
      <c r="I25" s="103">
        <f>I23-I24</f>
        <v>0</v>
      </c>
      <c r="J25" s="104"/>
    </row>
    <row r="26" spans="3:10" x14ac:dyDescent="0.2">
      <c r="C26" s="109"/>
      <c r="D26" s="102"/>
      <c r="E26" s="102"/>
      <c r="F26" s="102"/>
      <c r="G26" s="104"/>
      <c r="H26" s="104"/>
      <c r="I26" s="104"/>
      <c r="J26" s="104"/>
    </row>
  </sheetData>
  <sheetProtection password="C2FC" sheet="1" objects="1" scenarios="1"/>
  <mergeCells count="12">
    <mergeCell ref="C21:E21"/>
    <mergeCell ref="C22:E22"/>
    <mergeCell ref="C13:E13"/>
    <mergeCell ref="C14:E14"/>
    <mergeCell ref="C19:E19"/>
    <mergeCell ref="C20:E20"/>
    <mergeCell ref="C12:E12"/>
    <mergeCell ref="C1:E1"/>
    <mergeCell ref="C2:J2"/>
    <mergeCell ref="C3:J3"/>
    <mergeCell ref="C4:J4"/>
    <mergeCell ref="C11:E11"/>
  </mergeCells>
  <phoneticPr fontId="3" type="noConversion"/>
  <conditionalFormatting sqref="I12:I16 I20:I24">
    <cfRule type="cellIs" dxfId="6" priority="1" stopIfTrue="1" operator="lessThan">
      <formula>0</formula>
    </cfRule>
  </conditionalFormatting>
  <conditionalFormatting sqref="G12:H14 G20:H22 G24:H24 G16:H16">
    <cfRule type="expression" dxfId="5" priority="2" stopIfTrue="1">
      <formula>ISBLANK(G12)</formula>
    </cfRule>
  </conditionalFormatting>
  <hyperlinks>
    <hyperlink ref="F12" location="'B4 Sch 4 Loss Cfwd Bridge'!A1" display="'B4"/>
    <hyperlink ref="F14" location="'T1 Taxable Income Test Year'!A1" display="'T1"/>
    <hyperlink ref="F20" location="'B4 Sch 4 Loss Cfwd Bridge'!A1" display="'B4"/>
    <hyperlink ref="F16" location="'T1 Taxable Income Test Year'!A1" display="'T1"/>
  </hyperlinks>
  <pageMargins left="0.75" right="0.75" top="1" bottom="1" header="0.5" footer="0.5"/>
  <pageSetup scale="8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P43"/>
  <sheetViews>
    <sheetView topLeftCell="E4" zoomScaleNormal="100" workbookViewId="0">
      <selection activeCell="H18" sqref="H18"/>
    </sheetView>
  </sheetViews>
  <sheetFormatPr defaultRowHeight="12.75" x14ac:dyDescent="0.2"/>
  <cols>
    <col min="1" max="1" width="3.5703125" style="11" customWidth="1"/>
    <col min="2" max="2" width="4.140625" style="11" customWidth="1"/>
    <col min="3" max="3" width="11.5703125" style="11" bestFit="1" customWidth="1"/>
    <col min="4" max="4" width="63.140625" style="11" customWidth="1"/>
    <col min="5" max="5" width="16.140625" style="359" customWidth="1"/>
    <col min="6" max="13" width="15.28515625" style="11" customWidth="1"/>
    <col min="14" max="14" width="7.85546875" style="11" customWidth="1"/>
    <col min="15" max="15" width="15.28515625" style="11" customWidth="1"/>
    <col min="16" max="16384" width="9.140625" style="11"/>
  </cols>
  <sheetData>
    <row r="1" spans="1:16" ht="21.75" x14ac:dyDescent="0.2">
      <c r="A1" s="312"/>
      <c r="C1" s="574"/>
      <c r="D1" s="574"/>
      <c r="E1" s="574"/>
      <c r="F1" s="574"/>
      <c r="G1" s="24"/>
      <c r="H1" s="24"/>
    </row>
    <row r="2" spans="1:16" ht="18" x14ac:dyDescent="0.25">
      <c r="C2" s="575"/>
      <c r="D2" s="575"/>
      <c r="E2" s="575"/>
      <c r="F2" s="575"/>
      <c r="G2" s="575"/>
      <c r="H2" s="575"/>
      <c r="I2" s="575"/>
      <c r="J2" s="575"/>
    </row>
    <row r="3" spans="1:16" ht="18" x14ac:dyDescent="0.25">
      <c r="C3" s="575"/>
      <c r="D3" s="575"/>
      <c r="E3" s="575"/>
      <c r="F3" s="575"/>
      <c r="G3" s="575"/>
      <c r="H3" s="575"/>
      <c r="I3" s="575"/>
      <c r="J3" s="575"/>
    </row>
    <row r="4" spans="1:16" ht="27.75" customHeight="1" x14ac:dyDescent="0.25">
      <c r="C4" s="575"/>
      <c r="D4" s="575"/>
      <c r="E4" s="575"/>
      <c r="F4" s="575"/>
      <c r="G4" s="575"/>
      <c r="H4" s="575"/>
      <c r="I4" s="575"/>
      <c r="J4" s="575"/>
    </row>
    <row r="5" spans="1:16" ht="27.75" customHeight="1" x14ac:dyDescent="0.2"/>
    <row r="6" spans="1:16" ht="38.25" customHeight="1" x14ac:dyDescent="0.2"/>
    <row r="7" spans="1:16" ht="27.75" customHeight="1" x14ac:dyDescent="0.3">
      <c r="B7" s="409" t="s">
        <v>364</v>
      </c>
      <c r="E7" s="11"/>
    </row>
    <row r="8" spans="1:16" ht="23.25" x14ac:dyDescent="0.35">
      <c r="D8" s="284"/>
      <c r="E8" s="11"/>
    </row>
    <row r="10" spans="1:16" ht="36" x14ac:dyDescent="0.2">
      <c r="C10" s="50" t="s">
        <v>75</v>
      </c>
      <c r="D10" s="41" t="s">
        <v>76</v>
      </c>
      <c r="E10" s="455" t="s">
        <v>435</v>
      </c>
      <c r="F10" s="42" t="s">
        <v>78</v>
      </c>
      <c r="G10" s="42" t="s">
        <v>107</v>
      </c>
      <c r="H10" s="42" t="s">
        <v>338</v>
      </c>
      <c r="I10" s="42" t="s">
        <v>99</v>
      </c>
      <c r="J10" s="42" t="s">
        <v>100</v>
      </c>
      <c r="K10" s="42" t="s">
        <v>101</v>
      </c>
      <c r="L10" s="51" t="s">
        <v>102</v>
      </c>
      <c r="M10" s="42" t="s">
        <v>103</v>
      </c>
      <c r="N10" s="42"/>
      <c r="O10" s="42" t="s">
        <v>104</v>
      </c>
      <c r="P10" s="458"/>
    </row>
    <row r="11" spans="1:16" x14ac:dyDescent="0.2">
      <c r="C11" s="139">
        <f>IF(ISBLANK('B8 Schedule 8 CCA Bridge Year'!C10), "", 'B8 Schedule 8 CCA Bridge Year'!C10)</f>
        <v>1</v>
      </c>
      <c r="D11" s="251" t="str">
        <f>IF(ISBLANK('B8 Schedule 8 CCA Bridge Year'!D10), "", 'B8 Schedule 8 CCA Bridge Year'!D10)</f>
        <v>Distribution System - post 1987</v>
      </c>
      <c r="E11" s="454" t="s">
        <v>434</v>
      </c>
      <c r="F11" s="276">
        <f>IF(ISBLANK('B8 Schedule 8 CCA Bridge Year'!O10), "", 'B8 Schedule 8 CCA Bridge Year'!O10)</f>
        <v>22557235.199999999</v>
      </c>
      <c r="G11" s="563"/>
      <c r="H11" s="407"/>
      <c r="I11" s="252">
        <f t="shared" ref="I11:I42" si="0">MAX((SUM(F11:H11)),0)</f>
        <v>22557235.199999999</v>
      </c>
      <c r="J11" s="252">
        <f>IF((G11+H11)&lt;=0, 0,(G11+H11)*0.5)</f>
        <v>0</v>
      </c>
      <c r="K11" s="252">
        <f t="shared" ref="K11:K42" si="1">+I11-J11</f>
        <v>22557235.199999999</v>
      </c>
      <c r="L11" s="347">
        <f>'B8 Schedule 8 CCA Bridge Year'!L10</f>
        <v>0.04</v>
      </c>
      <c r="M11" s="252">
        <f t="shared" ref="M11:M23" si="2">IF(+K11&lt;0,+K11,+K11*L11)</f>
        <v>902289.40799999994</v>
      </c>
      <c r="N11" s="252"/>
      <c r="O11" s="252">
        <f t="shared" ref="O11:O42" si="3">MAX(0,+I11-M11)</f>
        <v>21654945.791999999</v>
      </c>
      <c r="P11" s="440"/>
    </row>
    <row r="12" spans="1:16" x14ac:dyDescent="0.2">
      <c r="C12" s="139" t="str">
        <f>IF(ISBLANK('B8 Schedule 8 CCA Bridge Year'!C11), "", 'B8 Schedule 8 CCA Bridge Year'!C11)</f>
        <v>1 Enhanced</v>
      </c>
      <c r="D12" s="251" t="str">
        <f>IF(ISBLANK('B8 Schedule 8 CCA Bridge Year'!D11), "", 'B8 Schedule 8 CCA Bridge Year'!D11)</f>
        <v xml:space="preserve">Non-residential Buildings Reg. 1100(1)(a.1) election </v>
      </c>
      <c r="E12" s="454" t="s">
        <v>434</v>
      </c>
      <c r="F12" s="276">
        <f>IF(ISBLANK('B8 Schedule 8 CCA Bridge Year'!O11), "", 'B8 Schedule 8 CCA Bridge Year'!O11)</f>
        <v>8269054.0599999996</v>
      </c>
      <c r="G12" s="563"/>
      <c r="H12" s="407"/>
      <c r="I12" s="252">
        <f t="shared" si="0"/>
        <v>8269054.0599999996</v>
      </c>
      <c r="J12" s="252">
        <f t="shared" ref="J12:J42" si="4">IF((G12+H12)&lt;=0, 0,(G12+H12)*0.5)</f>
        <v>0</v>
      </c>
      <c r="K12" s="252">
        <f t="shared" si="1"/>
        <v>8269054.0599999996</v>
      </c>
      <c r="L12" s="347">
        <f>'B8 Schedule 8 CCA Bridge Year'!L11</f>
        <v>0.06</v>
      </c>
      <c r="M12" s="252">
        <f t="shared" si="2"/>
        <v>496143.24359999993</v>
      </c>
      <c r="N12" s="252"/>
      <c r="O12" s="252">
        <f t="shared" si="3"/>
        <v>7772910.8163999999</v>
      </c>
      <c r="P12" s="440"/>
    </row>
    <row r="13" spans="1:16" x14ac:dyDescent="0.2">
      <c r="C13" s="139">
        <f>IF(ISBLANK('B8 Schedule 8 CCA Bridge Year'!C12), "", 'B8 Schedule 8 CCA Bridge Year'!C12)</f>
        <v>2</v>
      </c>
      <c r="D13" s="251" t="str">
        <f>IF(ISBLANK('B8 Schedule 8 CCA Bridge Year'!D12), "", 'B8 Schedule 8 CCA Bridge Year'!D12)</f>
        <v>Distribution System - pre 1988</v>
      </c>
      <c r="E13" s="454" t="s">
        <v>434</v>
      </c>
      <c r="F13" s="276">
        <f>IF(ISBLANK('B8 Schedule 8 CCA Bridge Year'!O12), "", 'B8 Schedule 8 CCA Bridge Year'!O12)</f>
        <v>0</v>
      </c>
      <c r="G13" s="563"/>
      <c r="H13" s="407"/>
      <c r="I13" s="252">
        <f t="shared" si="0"/>
        <v>0</v>
      </c>
      <c r="J13" s="252">
        <f t="shared" si="4"/>
        <v>0</v>
      </c>
      <c r="K13" s="252">
        <f t="shared" si="1"/>
        <v>0</v>
      </c>
      <c r="L13" s="347">
        <f>'B8 Schedule 8 CCA Bridge Year'!L12</f>
        <v>0.06</v>
      </c>
      <c r="M13" s="252">
        <f t="shared" si="2"/>
        <v>0</v>
      </c>
      <c r="N13" s="252"/>
      <c r="O13" s="252">
        <f t="shared" si="3"/>
        <v>0</v>
      </c>
      <c r="P13" s="440"/>
    </row>
    <row r="14" spans="1:16" x14ac:dyDescent="0.2">
      <c r="C14" s="139">
        <f>IF(ISBLANK('B8 Schedule 8 CCA Bridge Year'!C13), "", 'B8 Schedule 8 CCA Bridge Year'!C13)</f>
        <v>8</v>
      </c>
      <c r="D14" s="251" t="str">
        <f>IF(ISBLANK('B8 Schedule 8 CCA Bridge Year'!D13), "", 'B8 Schedule 8 CCA Bridge Year'!D13)</f>
        <v>General Office/Stores Equip</v>
      </c>
      <c r="E14" s="454" t="s">
        <v>434</v>
      </c>
      <c r="F14" s="276">
        <f>IF(ISBLANK('B8 Schedule 8 CCA Bridge Year'!O13), "", 'B8 Schedule 8 CCA Bridge Year'!O13)</f>
        <v>3678915.2829999998</v>
      </c>
      <c r="G14" s="563">
        <f>+'[8]CCA Continuity 2016'!$H$10</f>
        <v>878180</v>
      </c>
      <c r="H14" s="407"/>
      <c r="I14" s="252">
        <f t="shared" si="0"/>
        <v>4557095.2829999998</v>
      </c>
      <c r="J14" s="252">
        <f t="shared" si="4"/>
        <v>439090</v>
      </c>
      <c r="K14" s="252">
        <f t="shared" si="1"/>
        <v>4118005.2829999998</v>
      </c>
      <c r="L14" s="347">
        <f>'B8 Schedule 8 CCA Bridge Year'!L13</f>
        <v>0.2</v>
      </c>
      <c r="M14" s="252">
        <f t="shared" si="2"/>
        <v>823601.05660000001</v>
      </c>
      <c r="N14" s="252"/>
      <c r="O14" s="252">
        <f t="shared" si="3"/>
        <v>3733494.2264</v>
      </c>
      <c r="P14" s="440"/>
    </row>
    <row r="15" spans="1:16" x14ac:dyDescent="0.2">
      <c r="C15" s="139">
        <f>IF(ISBLANK('B8 Schedule 8 CCA Bridge Year'!C14), "", 'B8 Schedule 8 CCA Bridge Year'!C14)</f>
        <v>10</v>
      </c>
      <c r="D15" s="251" t="str">
        <f>IF(ISBLANK('B8 Schedule 8 CCA Bridge Year'!D14), "", 'B8 Schedule 8 CCA Bridge Year'!D14)</f>
        <v>Computer Hardware/  Vehicles</v>
      </c>
      <c r="E15" s="454" t="s">
        <v>434</v>
      </c>
      <c r="F15" s="276">
        <f>IF(ISBLANK('B8 Schedule 8 CCA Bridge Year'!O14), "", 'B8 Schedule 8 CCA Bridge Year'!O14)</f>
        <v>1028280.6100000001</v>
      </c>
      <c r="G15" s="563">
        <f>+'[8]CCA Continuity 2016'!$H$11</f>
        <v>645000</v>
      </c>
      <c r="H15" s="407"/>
      <c r="I15" s="252">
        <f t="shared" si="0"/>
        <v>1673280.61</v>
      </c>
      <c r="J15" s="252">
        <f t="shared" si="4"/>
        <v>322500</v>
      </c>
      <c r="K15" s="252">
        <f t="shared" si="1"/>
        <v>1350780.61</v>
      </c>
      <c r="L15" s="347">
        <f>'B8 Schedule 8 CCA Bridge Year'!L14</f>
        <v>0.3</v>
      </c>
      <c r="M15" s="252">
        <f t="shared" si="2"/>
        <v>405234.18300000002</v>
      </c>
      <c r="N15" s="252"/>
      <c r="O15" s="252">
        <f t="shared" si="3"/>
        <v>1268046.4270000001</v>
      </c>
      <c r="P15" s="440"/>
    </row>
    <row r="16" spans="1:16" x14ac:dyDescent="0.2">
      <c r="C16" s="139">
        <f>IF(ISBLANK('B8 Schedule 8 CCA Bridge Year'!C15), "", 'B8 Schedule 8 CCA Bridge Year'!C15)</f>
        <v>10.1</v>
      </c>
      <c r="D16" s="251" t="str">
        <f>IF(ISBLANK('B8 Schedule 8 CCA Bridge Year'!D15), "", 'B8 Schedule 8 CCA Bridge Year'!D15)</f>
        <v>Certain Automobiles</v>
      </c>
      <c r="E16" s="454" t="s">
        <v>434</v>
      </c>
      <c r="F16" s="276">
        <f>IF(ISBLANK('B8 Schedule 8 CCA Bridge Year'!O15), "", 'B8 Schedule 8 CCA Bridge Year'!O15)</f>
        <v>0</v>
      </c>
      <c r="G16" s="563"/>
      <c r="H16" s="407"/>
      <c r="I16" s="252">
        <f t="shared" si="0"/>
        <v>0</v>
      </c>
      <c r="J16" s="252">
        <f t="shared" si="4"/>
        <v>0</v>
      </c>
      <c r="K16" s="252">
        <f t="shared" si="1"/>
        <v>0</v>
      </c>
      <c r="L16" s="347">
        <f>'B8 Schedule 8 CCA Bridge Year'!L15</f>
        <v>0.3</v>
      </c>
      <c r="M16" s="252">
        <f t="shared" si="2"/>
        <v>0</v>
      </c>
      <c r="N16" s="252"/>
      <c r="O16" s="252">
        <f t="shared" si="3"/>
        <v>0</v>
      </c>
      <c r="P16" s="440"/>
    </row>
    <row r="17" spans="3:16" x14ac:dyDescent="0.2">
      <c r="C17" s="139">
        <f>IF(ISBLANK('B8 Schedule 8 CCA Bridge Year'!C16), "", 'B8 Schedule 8 CCA Bridge Year'!C16)</f>
        <v>12</v>
      </c>
      <c r="D17" s="251" t="str">
        <f>IF(ISBLANK('B8 Schedule 8 CCA Bridge Year'!D16), "", 'B8 Schedule 8 CCA Bridge Year'!D16)</f>
        <v>Computer Software</v>
      </c>
      <c r="E17" s="454" t="s">
        <v>434</v>
      </c>
      <c r="F17" s="276">
        <f>IF(ISBLANK('B8 Schedule 8 CCA Bridge Year'!O16), "", 'B8 Schedule 8 CCA Bridge Year'!O16)</f>
        <v>145585.04499999998</v>
      </c>
      <c r="G17" s="563">
        <f>+'[8]CCA Continuity 2016'!$H$13</f>
        <v>80000</v>
      </c>
      <c r="H17" s="407"/>
      <c r="I17" s="252">
        <f t="shared" si="0"/>
        <v>225585.04499999998</v>
      </c>
      <c r="J17" s="252">
        <f t="shared" si="4"/>
        <v>40000</v>
      </c>
      <c r="K17" s="252">
        <f t="shared" si="1"/>
        <v>185585.04499999998</v>
      </c>
      <c r="L17" s="347">
        <f>'B8 Schedule 8 CCA Bridge Year'!L16</f>
        <v>1</v>
      </c>
      <c r="M17" s="252">
        <f t="shared" si="2"/>
        <v>185585.04499999998</v>
      </c>
      <c r="N17" s="252"/>
      <c r="O17" s="252">
        <f t="shared" si="3"/>
        <v>40000</v>
      </c>
      <c r="P17" s="440"/>
    </row>
    <row r="18" spans="3:16" x14ac:dyDescent="0.2">
      <c r="C18" s="139" t="str">
        <f>IF(ISBLANK('B8 Schedule 8 CCA Bridge Year'!C17), "", 'B8 Schedule 8 CCA Bridge Year'!C17)</f>
        <v>13 1</v>
      </c>
      <c r="D18" s="251" t="str">
        <f>IF(ISBLANK('B8 Schedule 8 CCA Bridge Year'!D17), "", 'B8 Schedule 8 CCA Bridge Year'!D17)</f>
        <v>Lease # 1</v>
      </c>
      <c r="E18" s="454" t="s">
        <v>434</v>
      </c>
      <c r="F18" s="276">
        <f>IF(ISBLANK('B8 Schedule 8 CCA Bridge Year'!O17), "", 'B8 Schedule 8 CCA Bridge Year'!O17)</f>
        <v>0</v>
      </c>
      <c r="G18" s="563"/>
      <c r="H18" s="407"/>
      <c r="I18" s="252">
        <f t="shared" si="0"/>
        <v>0</v>
      </c>
      <c r="J18" s="252">
        <f t="shared" si="4"/>
        <v>0</v>
      </c>
      <c r="K18" s="252">
        <f t="shared" si="1"/>
        <v>0</v>
      </c>
      <c r="L18" s="419"/>
      <c r="M18" s="252">
        <f t="shared" si="2"/>
        <v>0</v>
      </c>
      <c r="N18" s="252"/>
      <c r="O18" s="252">
        <f t="shared" si="3"/>
        <v>0</v>
      </c>
      <c r="P18" s="440"/>
    </row>
    <row r="19" spans="3:16" x14ac:dyDescent="0.2">
      <c r="C19" s="139" t="str">
        <f>IF(ISBLANK('B8 Schedule 8 CCA Bridge Year'!C18), "", 'B8 Schedule 8 CCA Bridge Year'!C18)</f>
        <v>13 2</v>
      </c>
      <c r="D19" s="251" t="str">
        <f>IF(ISBLANK('B8 Schedule 8 CCA Bridge Year'!D18), "", 'B8 Schedule 8 CCA Bridge Year'!D18)</f>
        <v>Lease #2</v>
      </c>
      <c r="E19" s="454" t="s">
        <v>434</v>
      </c>
      <c r="F19" s="276">
        <f>IF(ISBLANK('B8 Schedule 8 CCA Bridge Year'!O18), "", 'B8 Schedule 8 CCA Bridge Year'!O18)</f>
        <v>0</v>
      </c>
      <c r="G19" s="563"/>
      <c r="H19" s="407"/>
      <c r="I19" s="252">
        <f t="shared" si="0"/>
        <v>0</v>
      </c>
      <c r="J19" s="252">
        <f t="shared" si="4"/>
        <v>0</v>
      </c>
      <c r="K19" s="252">
        <f t="shared" si="1"/>
        <v>0</v>
      </c>
      <c r="L19" s="419"/>
      <c r="M19" s="252">
        <f t="shared" si="2"/>
        <v>0</v>
      </c>
      <c r="N19" s="252"/>
      <c r="O19" s="252">
        <f t="shared" si="3"/>
        <v>0</v>
      </c>
      <c r="P19" s="440"/>
    </row>
    <row r="20" spans="3:16" x14ac:dyDescent="0.2">
      <c r="C20" s="139" t="str">
        <f>IF(ISBLANK('B8 Schedule 8 CCA Bridge Year'!C19), "", 'B8 Schedule 8 CCA Bridge Year'!C19)</f>
        <v>13 3</v>
      </c>
      <c r="D20" s="251" t="str">
        <f>IF(ISBLANK('B8 Schedule 8 CCA Bridge Year'!D19), "", 'B8 Schedule 8 CCA Bridge Year'!D19)</f>
        <v>Lease # 3</v>
      </c>
      <c r="E20" s="454" t="s">
        <v>434</v>
      </c>
      <c r="F20" s="276">
        <f>IF(ISBLANK('B8 Schedule 8 CCA Bridge Year'!O19), "", 'B8 Schedule 8 CCA Bridge Year'!O19)</f>
        <v>0</v>
      </c>
      <c r="G20" s="563"/>
      <c r="H20" s="407"/>
      <c r="I20" s="252">
        <f t="shared" si="0"/>
        <v>0</v>
      </c>
      <c r="J20" s="252">
        <f t="shared" si="4"/>
        <v>0</v>
      </c>
      <c r="K20" s="252">
        <f t="shared" si="1"/>
        <v>0</v>
      </c>
      <c r="L20" s="419"/>
      <c r="M20" s="252">
        <f t="shared" si="2"/>
        <v>0</v>
      </c>
      <c r="N20" s="252"/>
      <c r="O20" s="252">
        <f t="shared" si="3"/>
        <v>0</v>
      </c>
      <c r="P20" s="440"/>
    </row>
    <row r="21" spans="3:16" x14ac:dyDescent="0.2">
      <c r="C21" s="139" t="str">
        <f>IF(ISBLANK('B8 Schedule 8 CCA Bridge Year'!C20), "", 'B8 Schedule 8 CCA Bridge Year'!C20)</f>
        <v>13 4</v>
      </c>
      <c r="D21" s="251" t="str">
        <f>IF(ISBLANK('B8 Schedule 8 CCA Bridge Year'!D20), "", 'B8 Schedule 8 CCA Bridge Year'!D20)</f>
        <v>Lease # 4</v>
      </c>
      <c r="E21" s="454" t="s">
        <v>434</v>
      </c>
      <c r="F21" s="276">
        <f>IF(ISBLANK('B8 Schedule 8 CCA Bridge Year'!O20), "", 'B8 Schedule 8 CCA Bridge Year'!O20)</f>
        <v>0</v>
      </c>
      <c r="G21" s="563"/>
      <c r="H21" s="407"/>
      <c r="I21" s="252">
        <f t="shared" si="0"/>
        <v>0</v>
      </c>
      <c r="J21" s="252">
        <f t="shared" si="4"/>
        <v>0</v>
      </c>
      <c r="K21" s="252">
        <f t="shared" si="1"/>
        <v>0</v>
      </c>
      <c r="L21" s="419"/>
      <c r="M21" s="252">
        <f t="shared" si="2"/>
        <v>0</v>
      </c>
      <c r="N21" s="252"/>
      <c r="O21" s="252">
        <f t="shared" si="3"/>
        <v>0</v>
      </c>
      <c r="P21" s="440"/>
    </row>
    <row r="22" spans="3:16" x14ac:dyDescent="0.2">
      <c r="C22" s="139">
        <f>IF(ISBLANK('B8 Schedule 8 CCA Bridge Year'!C21), "", 'B8 Schedule 8 CCA Bridge Year'!C21)</f>
        <v>14</v>
      </c>
      <c r="D22" s="251" t="str">
        <f>IF(ISBLANK('B8 Schedule 8 CCA Bridge Year'!D21), "", 'B8 Schedule 8 CCA Bridge Year'!D21)</f>
        <v>Franchise</v>
      </c>
      <c r="E22" s="454" t="s">
        <v>434</v>
      </c>
      <c r="F22" s="276">
        <f>IF(ISBLANK('B8 Schedule 8 CCA Bridge Year'!O21), "", 'B8 Schedule 8 CCA Bridge Year'!O21)</f>
        <v>0</v>
      </c>
      <c r="G22" s="563"/>
      <c r="H22" s="407"/>
      <c r="I22" s="252">
        <f t="shared" si="0"/>
        <v>0</v>
      </c>
      <c r="J22" s="252">
        <f t="shared" si="4"/>
        <v>0</v>
      </c>
      <c r="K22" s="252">
        <f t="shared" si="1"/>
        <v>0</v>
      </c>
      <c r="L22" s="419"/>
      <c r="M22" s="252">
        <f t="shared" si="2"/>
        <v>0</v>
      </c>
      <c r="N22" s="252"/>
      <c r="O22" s="252">
        <f t="shared" si="3"/>
        <v>0</v>
      </c>
      <c r="P22" s="440"/>
    </row>
    <row r="23" spans="3:16" x14ac:dyDescent="0.2">
      <c r="C23" s="139">
        <f>IF(ISBLANK('B8 Schedule 8 CCA Bridge Year'!C22), "", 'B8 Schedule 8 CCA Bridge Year'!C22)</f>
        <v>17</v>
      </c>
      <c r="D23" s="251" t="str">
        <f>IF(ISBLANK('B8 Schedule 8 CCA Bridge Year'!D22), "", 'B8 Schedule 8 CCA Bridge Year'!D22)</f>
        <v>New Electrical Generating Equipment Acq'd after Feb 27/00 Other Than Bldgs</v>
      </c>
      <c r="E23" s="454" t="s">
        <v>434</v>
      </c>
      <c r="F23" s="276">
        <f>IF(ISBLANK('B8 Schedule 8 CCA Bridge Year'!O22), "", 'B8 Schedule 8 CCA Bridge Year'!O22)</f>
        <v>0</v>
      </c>
      <c r="G23" s="563"/>
      <c r="H23" s="407"/>
      <c r="I23" s="252">
        <f t="shared" si="0"/>
        <v>0</v>
      </c>
      <c r="J23" s="252">
        <f t="shared" si="4"/>
        <v>0</v>
      </c>
      <c r="K23" s="252">
        <f t="shared" si="1"/>
        <v>0</v>
      </c>
      <c r="L23" s="347">
        <f>'B8 Schedule 8 CCA Bridge Year'!L22</f>
        <v>0.08</v>
      </c>
      <c r="M23" s="252">
        <f t="shared" si="2"/>
        <v>0</v>
      </c>
      <c r="N23" s="252"/>
      <c r="O23" s="252">
        <f t="shared" si="3"/>
        <v>0</v>
      </c>
      <c r="P23" s="440"/>
    </row>
    <row r="24" spans="3:16" x14ac:dyDescent="0.2">
      <c r="C24" s="139">
        <f>IF(ISBLANK('B8 Schedule 8 CCA Bridge Year'!C23), "", 'B8 Schedule 8 CCA Bridge Year'!C23)</f>
        <v>42</v>
      </c>
      <c r="D24" s="251" t="str">
        <f>IF(ISBLANK('B8 Schedule 8 CCA Bridge Year'!D23), "", 'B8 Schedule 8 CCA Bridge Year'!D23)</f>
        <v>Fibre Optic Cable</v>
      </c>
      <c r="E24" s="454" t="s">
        <v>434</v>
      </c>
      <c r="F24" s="276">
        <f>IF(ISBLANK('B8 Schedule 8 CCA Bridge Year'!O23), "", 'B8 Schedule 8 CCA Bridge Year'!O23)</f>
        <v>0</v>
      </c>
      <c r="G24" s="563"/>
      <c r="H24" s="407"/>
      <c r="I24" s="252">
        <f t="shared" si="0"/>
        <v>0</v>
      </c>
      <c r="J24" s="252">
        <f t="shared" si="4"/>
        <v>0</v>
      </c>
      <c r="K24" s="252">
        <f t="shared" si="1"/>
        <v>0</v>
      </c>
      <c r="L24" s="347">
        <f>'B8 Schedule 8 CCA Bridge Year'!L23</f>
        <v>0.12</v>
      </c>
      <c r="M24" s="252">
        <f t="shared" ref="M24:M42" si="5">IF(+K24&lt;0,+K24,+K24*L24)</f>
        <v>0</v>
      </c>
      <c r="N24" s="252"/>
      <c r="O24" s="252">
        <f t="shared" si="3"/>
        <v>0</v>
      </c>
      <c r="P24" s="440"/>
    </row>
    <row r="25" spans="3:16" x14ac:dyDescent="0.2">
      <c r="C25" s="139">
        <f>IF(ISBLANK('B8 Schedule 8 CCA Bridge Year'!C24), "", 'B8 Schedule 8 CCA Bridge Year'!C24)</f>
        <v>43.1</v>
      </c>
      <c r="D25" s="251" t="str">
        <f>IF(ISBLANK('B8 Schedule 8 CCA Bridge Year'!D24), "", 'B8 Schedule 8 CCA Bridge Year'!D24)</f>
        <v>Certain Energy-Efficient Electrical Generating Equipment</v>
      </c>
      <c r="E25" s="454" t="s">
        <v>434</v>
      </c>
      <c r="F25" s="276">
        <f>IF(ISBLANK('B8 Schedule 8 CCA Bridge Year'!O24), "", 'B8 Schedule 8 CCA Bridge Year'!O24)</f>
        <v>0</v>
      </c>
      <c r="G25" s="563"/>
      <c r="H25" s="407"/>
      <c r="I25" s="252">
        <f t="shared" si="0"/>
        <v>0</v>
      </c>
      <c r="J25" s="252">
        <f t="shared" si="4"/>
        <v>0</v>
      </c>
      <c r="K25" s="252">
        <f t="shared" si="1"/>
        <v>0</v>
      </c>
      <c r="L25" s="347">
        <f>'B8 Schedule 8 CCA Bridge Year'!L24</f>
        <v>0.3</v>
      </c>
      <c r="M25" s="252">
        <f t="shared" si="5"/>
        <v>0</v>
      </c>
      <c r="N25" s="252"/>
      <c r="O25" s="252">
        <f t="shared" si="3"/>
        <v>0</v>
      </c>
      <c r="P25" s="440"/>
    </row>
    <row r="26" spans="3:16" x14ac:dyDescent="0.2">
      <c r="C26" s="139">
        <f>IF(ISBLANK('B8 Schedule 8 CCA Bridge Year'!C25), "", 'B8 Schedule 8 CCA Bridge Year'!C25)</f>
        <v>43.2</v>
      </c>
      <c r="D26" s="251" t="str">
        <f>IF(ISBLANK('B8 Schedule 8 CCA Bridge Year'!D25), "", 'B8 Schedule 8 CCA Bridge Year'!D25)</f>
        <v xml:space="preserve">Certain Clean Energy Generation Equipment </v>
      </c>
      <c r="E26" s="454" t="s">
        <v>434</v>
      </c>
      <c r="F26" s="276">
        <f>IF(ISBLANK('B8 Schedule 8 CCA Bridge Year'!O25), "", 'B8 Schedule 8 CCA Bridge Year'!O25)</f>
        <v>0</v>
      </c>
      <c r="G26" s="563"/>
      <c r="H26" s="407"/>
      <c r="I26" s="252">
        <f t="shared" si="0"/>
        <v>0</v>
      </c>
      <c r="J26" s="252">
        <f t="shared" si="4"/>
        <v>0</v>
      </c>
      <c r="K26" s="252">
        <f t="shared" si="1"/>
        <v>0</v>
      </c>
      <c r="L26" s="347">
        <f>'B8 Schedule 8 CCA Bridge Year'!L25</f>
        <v>0.5</v>
      </c>
      <c r="M26" s="252">
        <f t="shared" si="5"/>
        <v>0</v>
      </c>
      <c r="N26" s="252"/>
      <c r="O26" s="252">
        <f t="shared" si="3"/>
        <v>0</v>
      </c>
      <c r="P26" s="440"/>
    </row>
    <row r="27" spans="3:16" x14ac:dyDescent="0.2">
      <c r="C27" s="139">
        <f>IF(ISBLANK('B8 Schedule 8 CCA Bridge Year'!C26), "", 'B8 Schedule 8 CCA Bridge Year'!C26)</f>
        <v>45</v>
      </c>
      <c r="D27" s="251" t="str">
        <f>IF(ISBLANK('B8 Schedule 8 CCA Bridge Year'!D26), "", 'B8 Schedule 8 CCA Bridge Year'!D26)</f>
        <v>Computers &amp; Systems Software acq'd post Mar 22/04</v>
      </c>
      <c r="E27" s="454" t="s">
        <v>434</v>
      </c>
      <c r="F27" s="276">
        <f>IF(ISBLANK('B8 Schedule 8 CCA Bridge Year'!O26), "", 'B8 Schedule 8 CCA Bridge Year'!O26)</f>
        <v>856.9</v>
      </c>
      <c r="G27" s="563"/>
      <c r="H27" s="407"/>
      <c r="I27" s="252">
        <f t="shared" si="0"/>
        <v>856.9</v>
      </c>
      <c r="J27" s="252">
        <f t="shared" si="4"/>
        <v>0</v>
      </c>
      <c r="K27" s="252">
        <f t="shared" si="1"/>
        <v>856.9</v>
      </c>
      <c r="L27" s="347">
        <f>'B8 Schedule 8 CCA Bridge Year'!L26</f>
        <v>0.45</v>
      </c>
      <c r="M27" s="252">
        <f t="shared" si="5"/>
        <v>385.60500000000002</v>
      </c>
      <c r="N27" s="252"/>
      <c r="O27" s="252">
        <f t="shared" si="3"/>
        <v>471.29499999999996</v>
      </c>
      <c r="P27" s="440"/>
    </row>
    <row r="28" spans="3:16" x14ac:dyDescent="0.2">
      <c r="C28" s="139">
        <f>IF(ISBLANK('B8 Schedule 8 CCA Bridge Year'!C27), "", 'B8 Schedule 8 CCA Bridge Year'!C27)</f>
        <v>46</v>
      </c>
      <c r="D28" s="251" t="str">
        <f>IF(ISBLANK('B8 Schedule 8 CCA Bridge Year'!D27), "", 'B8 Schedule 8 CCA Bridge Year'!D27)</f>
        <v>Data Network Infrastructure Equipment (acq'd post Mar 22/04)</v>
      </c>
      <c r="E28" s="454" t="s">
        <v>434</v>
      </c>
      <c r="F28" s="276">
        <f>IF(ISBLANK('B8 Schedule 8 CCA Bridge Year'!O27), "", 'B8 Schedule 8 CCA Bridge Year'!O27)</f>
        <v>0</v>
      </c>
      <c r="G28" s="563"/>
      <c r="H28" s="407"/>
      <c r="I28" s="252">
        <f t="shared" si="0"/>
        <v>0</v>
      </c>
      <c r="J28" s="252">
        <f t="shared" si="4"/>
        <v>0</v>
      </c>
      <c r="K28" s="252">
        <f t="shared" si="1"/>
        <v>0</v>
      </c>
      <c r="L28" s="347">
        <f>'B8 Schedule 8 CCA Bridge Year'!L27</f>
        <v>0.3</v>
      </c>
      <c r="M28" s="252">
        <f t="shared" si="5"/>
        <v>0</v>
      </c>
      <c r="N28" s="252"/>
      <c r="O28" s="252">
        <f t="shared" si="3"/>
        <v>0</v>
      </c>
      <c r="P28" s="440"/>
    </row>
    <row r="29" spans="3:16" x14ac:dyDescent="0.2">
      <c r="C29" s="139">
        <f>IF(ISBLANK('B8 Schedule 8 CCA Bridge Year'!C28), "", 'B8 Schedule 8 CCA Bridge Year'!C28)</f>
        <v>47</v>
      </c>
      <c r="D29" s="251" t="str">
        <f>IF(ISBLANK('B8 Schedule 8 CCA Bridge Year'!D28), "", 'B8 Schedule 8 CCA Bridge Year'!D28)</f>
        <v>Distribution System - post February 2005</v>
      </c>
      <c r="E29" s="454" t="s">
        <v>434</v>
      </c>
      <c r="F29" s="276">
        <f>IF(ISBLANK('B8 Schedule 8 CCA Bridge Year'!O28), "", 'B8 Schedule 8 CCA Bridge Year'!O28)</f>
        <v>34566530.660799995</v>
      </c>
      <c r="G29" s="563">
        <f>+'[8]CCA Continuity 2016'!$H$24</f>
        <v>5657553</v>
      </c>
      <c r="H29" s="407"/>
      <c r="I29" s="252">
        <f t="shared" si="0"/>
        <v>40224083.660799995</v>
      </c>
      <c r="J29" s="252">
        <f t="shared" si="4"/>
        <v>2828776.5</v>
      </c>
      <c r="K29" s="252">
        <f t="shared" si="1"/>
        <v>37395307.160799995</v>
      </c>
      <c r="L29" s="347">
        <f>'B8 Schedule 8 CCA Bridge Year'!L28</f>
        <v>0.08</v>
      </c>
      <c r="M29" s="252">
        <f t="shared" si="5"/>
        <v>2991624.5728639998</v>
      </c>
      <c r="N29" s="252"/>
      <c r="O29" s="252">
        <f t="shared" si="3"/>
        <v>37232459.087935999</v>
      </c>
      <c r="P29" s="440"/>
    </row>
    <row r="30" spans="3:16" x14ac:dyDescent="0.2">
      <c r="C30" s="139">
        <f>IF(ISBLANK('B8 Schedule 8 CCA Bridge Year'!C29), "", 'B8 Schedule 8 CCA Bridge Year'!C29)</f>
        <v>50</v>
      </c>
      <c r="D30" s="251" t="str">
        <f>IF(ISBLANK('B8 Schedule 8 CCA Bridge Year'!D29), "", 'B8 Schedule 8 CCA Bridge Year'!D29)</f>
        <v>Data Network Infrastructure Equipment - post Mar 2007</v>
      </c>
      <c r="E30" s="454" t="s">
        <v>434</v>
      </c>
      <c r="F30" s="276">
        <f>IF(ISBLANK('B8 Schedule 8 CCA Bridge Year'!O29), "", 'B8 Schedule 8 CCA Bridge Year'!O29)</f>
        <v>147779.69899999996</v>
      </c>
      <c r="G30" s="563">
        <f>+'[8]CCA Continuity 2016'!$H$22</f>
        <v>98000</v>
      </c>
      <c r="H30" s="407"/>
      <c r="I30" s="252">
        <f t="shared" si="0"/>
        <v>245779.69899999996</v>
      </c>
      <c r="J30" s="252">
        <f t="shared" si="4"/>
        <v>49000</v>
      </c>
      <c r="K30" s="252">
        <f t="shared" si="1"/>
        <v>196779.69899999996</v>
      </c>
      <c r="L30" s="347">
        <f>'B8 Schedule 8 CCA Bridge Year'!L29</f>
        <v>0.55000000000000004</v>
      </c>
      <c r="M30" s="252">
        <f t="shared" si="5"/>
        <v>108228.83444999999</v>
      </c>
      <c r="N30" s="252"/>
      <c r="O30" s="252">
        <f t="shared" si="3"/>
        <v>137550.86454999997</v>
      </c>
      <c r="P30" s="440"/>
    </row>
    <row r="31" spans="3:16" x14ac:dyDescent="0.2">
      <c r="C31" s="139">
        <f>IF(ISBLANK('B8 Schedule 8 CCA Bridge Year'!C30), "", 'B8 Schedule 8 CCA Bridge Year'!C30)</f>
        <v>52</v>
      </c>
      <c r="D31" s="251" t="str">
        <f>IF(ISBLANK('B8 Schedule 8 CCA Bridge Year'!D30), "", 'B8 Schedule 8 CCA Bridge Year'!D30)</f>
        <v xml:space="preserve">Computer Hardware and system software </v>
      </c>
      <c r="E31" s="454" t="s">
        <v>434</v>
      </c>
      <c r="F31" s="276">
        <f>IF(ISBLANK('B8 Schedule 8 CCA Bridge Year'!O30), "", 'B8 Schedule 8 CCA Bridge Year'!O30)</f>
        <v>0</v>
      </c>
      <c r="G31" s="563">
        <f>+'[9]CCA Continuity 2016'!$H$20</f>
        <v>0</v>
      </c>
      <c r="H31" s="407"/>
      <c r="I31" s="252">
        <f t="shared" si="0"/>
        <v>0</v>
      </c>
      <c r="J31" s="252">
        <f t="shared" si="4"/>
        <v>0</v>
      </c>
      <c r="K31" s="252">
        <f t="shared" si="1"/>
        <v>0</v>
      </c>
      <c r="L31" s="347">
        <f>'B8 Schedule 8 CCA Bridge Year'!L30</f>
        <v>1</v>
      </c>
      <c r="M31" s="252">
        <f t="shared" si="5"/>
        <v>0</v>
      </c>
      <c r="N31" s="252"/>
      <c r="O31" s="252">
        <f t="shared" si="3"/>
        <v>0</v>
      </c>
      <c r="P31" s="440"/>
    </row>
    <row r="32" spans="3:16" x14ac:dyDescent="0.2">
      <c r="C32" s="139">
        <f>IF(ISBLANK('B8 Schedule 8 CCA Bridge Year'!C31), "", 'B8 Schedule 8 CCA Bridge Year'!C31)</f>
        <v>95</v>
      </c>
      <c r="D32" s="251" t="str">
        <f>IF(ISBLANK('B8 Schedule 8 CCA Bridge Year'!D31), "", 'B8 Schedule 8 CCA Bridge Year'!D31)</f>
        <v>CWIP</v>
      </c>
      <c r="E32" s="454" t="s">
        <v>434</v>
      </c>
      <c r="F32" s="276">
        <f>IF(ISBLANK('B8 Schedule 8 CCA Bridge Year'!O31), "", 'B8 Schedule 8 CCA Bridge Year'!O31)</f>
        <v>0</v>
      </c>
      <c r="G32" s="563"/>
      <c r="H32" s="407"/>
      <c r="I32" s="252">
        <f t="shared" si="0"/>
        <v>0</v>
      </c>
      <c r="J32" s="252">
        <f t="shared" si="4"/>
        <v>0</v>
      </c>
      <c r="K32" s="252">
        <f t="shared" si="1"/>
        <v>0</v>
      </c>
      <c r="L32" s="347">
        <f>'B8 Schedule 8 CCA Bridge Year'!L31</f>
        <v>0</v>
      </c>
      <c r="M32" s="252">
        <f t="shared" si="5"/>
        <v>0</v>
      </c>
      <c r="N32" s="252"/>
      <c r="O32" s="252">
        <f t="shared" si="3"/>
        <v>0</v>
      </c>
      <c r="P32" s="440"/>
    </row>
    <row r="33" spans="3:15" x14ac:dyDescent="0.2">
      <c r="C33" s="369" t="str">
        <f>IF(ISBLANK('B8 Schedule 8 CCA Bridge Year'!C32), "", 'B8 Schedule 8 CCA Bridge Year'!C32)</f>
        <v/>
      </c>
      <c r="D33" s="370" t="str">
        <f>IF(ISBLANK('B8 Schedule 8 CCA Bridge Year'!D32), "", 'B8 Schedule 8 CCA Bridge Year'!D32)</f>
        <v/>
      </c>
      <c r="E33" s="453"/>
      <c r="F33" s="421">
        <f>IF(ISBLANK('B8 Schedule 8 CCA Bridge Year'!O32), "", 'B8 Schedule 8 CCA Bridge Year'!O32)</f>
        <v>0</v>
      </c>
      <c r="G33" s="407"/>
      <c r="H33" s="407"/>
      <c r="I33" s="252">
        <f t="shared" si="0"/>
        <v>0</v>
      </c>
      <c r="J33" s="252">
        <f t="shared" si="4"/>
        <v>0</v>
      </c>
      <c r="K33" s="252">
        <f t="shared" si="1"/>
        <v>0</v>
      </c>
      <c r="L33" s="347">
        <f>'B8 Schedule 8 CCA Bridge Year'!L32</f>
        <v>0.05</v>
      </c>
      <c r="M33" s="252">
        <f t="shared" si="5"/>
        <v>0</v>
      </c>
      <c r="N33" s="252"/>
      <c r="O33" s="252">
        <f t="shared" si="3"/>
        <v>0</v>
      </c>
    </row>
    <row r="34" spans="3:15" x14ac:dyDescent="0.2">
      <c r="C34" s="369" t="str">
        <f>IF(ISBLANK('B8 Schedule 8 CCA Bridge Year'!C33), "", 'B8 Schedule 8 CCA Bridge Year'!C33)</f>
        <v/>
      </c>
      <c r="D34" s="370" t="str">
        <f>IF(ISBLANK('B8 Schedule 8 CCA Bridge Year'!D33), "", 'B8 Schedule 8 CCA Bridge Year'!D33)</f>
        <v/>
      </c>
      <c r="E34" s="453"/>
      <c r="F34" s="421">
        <f>IF(ISBLANK('B8 Schedule 8 CCA Bridge Year'!O33), "", 'B8 Schedule 8 CCA Bridge Year'!O33)</f>
        <v>0</v>
      </c>
      <c r="G34" s="407"/>
      <c r="H34" s="407"/>
      <c r="I34" s="252">
        <f t="shared" si="0"/>
        <v>0</v>
      </c>
      <c r="J34" s="252">
        <f t="shared" si="4"/>
        <v>0</v>
      </c>
      <c r="K34" s="252">
        <f t="shared" si="1"/>
        <v>0</v>
      </c>
      <c r="L34" s="347">
        <f>'B8 Schedule 8 CCA Bridge Year'!L33</f>
        <v>0.1</v>
      </c>
      <c r="M34" s="252">
        <f t="shared" si="5"/>
        <v>0</v>
      </c>
      <c r="N34" s="252"/>
      <c r="O34" s="252">
        <f t="shared" si="3"/>
        <v>0</v>
      </c>
    </row>
    <row r="35" spans="3:15" x14ac:dyDescent="0.2">
      <c r="C35" s="369" t="str">
        <f>IF(ISBLANK('B8 Schedule 8 CCA Bridge Year'!C34), "", 'B8 Schedule 8 CCA Bridge Year'!C34)</f>
        <v/>
      </c>
      <c r="D35" s="370" t="str">
        <f>IF(ISBLANK('B8 Schedule 8 CCA Bridge Year'!D34), "", 'B8 Schedule 8 CCA Bridge Year'!D34)</f>
        <v/>
      </c>
      <c r="E35" s="453"/>
      <c r="F35" s="421">
        <f>IF(ISBLANK('B8 Schedule 8 CCA Bridge Year'!O34), "", 'B8 Schedule 8 CCA Bridge Year'!O34)</f>
        <v>0</v>
      </c>
      <c r="G35" s="407"/>
      <c r="H35" s="407"/>
      <c r="I35" s="252">
        <f t="shared" si="0"/>
        <v>0</v>
      </c>
      <c r="J35" s="252">
        <f t="shared" si="4"/>
        <v>0</v>
      </c>
      <c r="K35" s="252">
        <f t="shared" si="1"/>
        <v>0</v>
      </c>
      <c r="L35" s="347">
        <f>'B8 Schedule 8 CCA Bridge Year'!L34</f>
        <v>0</v>
      </c>
      <c r="M35" s="252">
        <f t="shared" si="5"/>
        <v>0</v>
      </c>
      <c r="N35" s="252"/>
      <c r="O35" s="252">
        <f t="shared" si="3"/>
        <v>0</v>
      </c>
    </row>
    <row r="36" spans="3:15" x14ac:dyDescent="0.2">
      <c r="C36" s="369" t="str">
        <f>IF(ISBLANK('B8 Schedule 8 CCA Bridge Year'!C35), "", 'B8 Schedule 8 CCA Bridge Year'!C35)</f>
        <v/>
      </c>
      <c r="D36" s="370" t="str">
        <f>IF(ISBLANK('B8 Schedule 8 CCA Bridge Year'!D35), "", 'B8 Schedule 8 CCA Bridge Year'!D35)</f>
        <v/>
      </c>
      <c r="E36" s="453"/>
      <c r="F36" s="421">
        <f>IF(ISBLANK('B8 Schedule 8 CCA Bridge Year'!O35), "", 'B8 Schedule 8 CCA Bridge Year'!O35)</f>
        <v>0</v>
      </c>
      <c r="G36" s="407"/>
      <c r="H36" s="407"/>
      <c r="I36" s="252">
        <f>MAX((SUM(F36:H36)),0)</f>
        <v>0</v>
      </c>
      <c r="J36" s="252">
        <f t="shared" si="4"/>
        <v>0</v>
      </c>
      <c r="K36" s="252">
        <f>+I36-J36</f>
        <v>0</v>
      </c>
      <c r="L36" s="347">
        <f>'B8 Schedule 8 CCA Bridge Year'!L35</f>
        <v>0</v>
      </c>
      <c r="M36" s="252">
        <f>IF(+K36&lt;0,+K36,+K36*L36)</f>
        <v>0</v>
      </c>
      <c r="N36" s="252"/>
      <c r="O36" s="252">
        <f t="shared" si="3"/>
        <v>0</v>
      </c>
    </row>
    <row r="37" spans="3:15" x14ac:dyDescent="0.2">
      <c r="C37" s="369" t="str">
        <f>IF(ISBLANK('B8 Schedule 8 CCA Bridge Year'!C36), "", 'B8 Schedule 8 CCA Bridge Year'!C36)</f>
        <v/>
      </c>
      <c r="D37" s="370" t="str">
        <f>IF(ISBLANK('B8 Schedule 8 CCA Bridge Year'!D36), "", 'B8 Schedule 8 CCA Bridge Year'!D36)</f>
        <v/>
      </c>
      <c r="E37" s="453"/>
      <c r="F37" s="421">
        <f>IF(ISBLANK('B8 Schedule 8 CCA Bridge Year'!O36), "", 'B8 Schedule 8 CCA Bridge Year'!O36)</f>
        <v>0</v>
      </c>
      <c r="G37" s="407"/>
      <c r="H37" s="407"/>
      <c r="I37" s="252">
        <f>MAX((SUM(F37:H37)),0)</f>
        <v>0</v>
      </c>
      <c r="J37" s="252">
        <f t="shared" si="4"/>
        <v>0</v>
      </c>
      <c r="K37" s="252">
        <f>+I37-J37</f>
        <v>0</v>
      </c>
      <c r="L37" s="347">
        <f>'B8 Schedule 8 CCA Bridge Year'!L36</f>
        <v>0</v>
      </c>
      <c r="M37" s="252">
        <f>IF(+K37&lt;0,+K37,+K37*L37)</f>
        <v>0</v>
      </c>
      <c r="N37" s="252"/>
      <c r="O37" s="252">
        <f t="shared" si="3"/>
        <v>0</v>
      </c>
    </row>
    <row r="38" spans="3:15" x14ac:dyDescent="0.2">
      <c r="C38" s="369" t="str">
        <f>IF(ISBLANK('B8 Schedule 8 CCA Bridge Year'!C37), "", 'B8 Schedule 8 CCA Bridge Year'!C37)</f>
        <v/>
      </c>
      <c r="D38" s="370" t="str">
        <f>IF(ISBLANK('B8 Schedule 8 CCA Bridge Year'!D37), "", 'B8 Schedule 8 CCA Bridge Year'!D37)</f>
        <v/>
      </c>
      <c r="E38" s="453"/>
      <c r="F38" s="421">
        <f>IF(ISBLANK('B8 Schedule 8 CCA Bridge Year'!O37), "", 'B8 Schedule 8 CCA Bridge Year'!O37)</f>
        <v>0</v>
      </c>
      <c r="G38" s="407"/>
      <c r="H38" s="407"/>
      <c r="I38" s="252">
        <f>MAX((SUM(F38:H38)),0)</f>
        <v>0</v>
      </c>
      <c r="J38" s="252">
        <f t="shared" si="4"/>
        <v>0</v>
      </c>
      <c r="K38" s="252">
        <f>+I38-J38</f>
        <v>0</v>
      </c>
      <c r="L38" s="347">
        <f>'B8 Schedule 8 CCA Bridge Year'!L37</f>
        <v>0</v>
      </c>
      <c r="M38" s="252">
        <f>IF(+K38&lt;0,+K38,+K38*L38)</f>
        <v>0</v>
      </c>
      <c r="N38" s="252"/>
      <c r="O38" s="252">
        <f t="shared" si="3"/>
        <v>0</v>
      </c>
    </row>
    <row r="39" spans="3:15" x14ac:dyDescent="0.2">
      <c r="C39" s="369" t="str">
        <f>IF(ISBLANK('B8 Schedule 8 CCA Bridge Year'!C38), "", 'B8 Schedule 8 CCA Bridge Year'!C38)</f>
        <v/>
      </c>
      <c r="D39" s="370" t="str">
        <f>IF(ISBLANK('B8 Schedule 8 CCA Bridge Year'!D38), "", 'B8 Schedule 8 CCA Bridge Year'!D38)</f>
        <v/>
      </c>
      <c r="E39" s="453"/>
      <c r="F39" s="421">
        <f>IF(ISBLANK('B8 Schedule 8 CCA Bridge Year'!O38), "", 'B8 Schedule 8 CCA Bridge Year'!O38)</f>
        <v>0</v>
      </c>
      <c r="G39" s="407"/>
      <c r="H39" s="407"/>
      <c r="I39" s="252">
        <f t="shared" si="0"/>
        <v>0</v>
      </c>
      <c r="J39" s="252">
        <f t="shared" si="4"/>
        <v>0</v>
      </c>
      <c r="K39" s="252">
        <f t="shared" si="1"/>
        <v>0</v>
      </c>
      <c r="L39" s="347">
        <f>'B8 Schedule 8 CCA Bridge Year'!L38</f>
        <v>0</v>
      </c>
      <c r="M39" s="252">
        <f t="shared" si="5"/>
        <v>0</v>
      </c>
      <c r="N39" s="252"/>
      <c r="O39" s="252">
        <f t="shared" si="3"/>
        <v>0</v>
      </c>
    </row>
    <row r="40" spans="3:15" x14ac:dyDescent="0.2">
      <c r="C40" s="369" t="str">
        <f>IF(ISBLANK('B8 Schedule 8 CCA Bridge Year'!C39), "", 'B8 Schedule 8 CCA Bridge Year'!C39)</f>
        <v/>
      </c>
      <c r="D40" s="370" t="str">
        <f>IF(ISBLANK('B8 Schedule 8 CCA Bridge Year'!D39), "", 'B8 Schedule 8 CCA Bridge Year'!D39)</f>
        <v/>
      </c>
      <c r="E40" s="453"/>
      <c r="F40" s="421">
        <f>IF(ISBLANK('B8 Schedule 8 CCA Bridge Year'!O39), "", 'B8 Schedule 8 CCA Bridge Year'!O39)</f>
        <v>0</v>
      </c>
      <c r="G40" s="407"/>
      <c r="H40" s="407"/>
      <c r="I40" s="252">
        <f t="shared" si="0"/>
        <v>0</v>
      </c>
      <c r="J40" s="252">
        <f t="shared" si="4"/>
        <v>0</v>
      </c>
      <c r="K40" s="252">
        <f t="shared" si="1"/>
        <v>0</v>
      </c>
      <c r="L40" s="347">
        <f>'B8 Schedule 8 CCA Bridge Year'!L39</f>
        <v>0</v>
      </c>
      <c r="M40" s="252">
        <f t="shared" si="5"/>
        <v>0</v>
      </c>
      <c r="N40" s="252"/>
      <c r="O40" s="252">
        <f t="shared" si="3"/>
        <v>0</v>
      </c>
    </row>
    <row r="41" spans="3:15" x14ac:dyDescent="0.2">
      <c r="C41" s="369" t="str">
        <f>IF(ISBLANK('B8 Schedule 8 CCA Bridge Year'!C40), "", 'B8 Schedule 8 CCA Bridge Year'!C40)</f>
        <v/>
      </c>
      <c r="D41" s="370" t="str">
        <f>IF(ISBLANK('B8 Schedule 8 CCA Bridge Year'!D40), "", 'B8 Schedule 8 CCA Bridge Year'!D40)</f>
        <v/>
      </c>
      <c r="E41" s="453"/>
      <c r="F41" s="421">
        <f>IF(ISBLANK('B8 Schedule 8 CCA Bridge Year'!O40), "", 'B8 Schedule 8 CCA Bridge Year'!O40)</f>
        <v>0</v>
      </c>
      <c r="G41" s="407"/>
      <c r="H41" s="407"/>
      <c r="I41" s="252">
        <f t="shared" si="0"/>
        <v>0</v>
      </c>
      <c r="J41" s="252">
        <f t="shared" si="4"/>
        <v>0</v>
      </c>
      <c r="K41" s="252">
        <f t="shared" si="1"/>
        <v>0</v>
      </c>
      <c r="L41" s="347">
        <f>'B8 Schedule 8 CCA Bridge Year'!L40</f>
        <v>0</v>
      </c>
      <c r="M41" s="252">
        <f t="shared" si="5"/>
        <v>0</v>
      </c>
      <c r="N41" s="252"/>
      <c r="O41" s="252">
        <f t="shared" si="3"/>
        <v>0</v>
      </c>
    </row>
    <row r="42" spans="3:15" ht="13.5" thickBot="1" x14ac:dyDescent="0.25">
      <c r="C42" s="369" t="str">
        <f>IF(ISBLANK('B8 Schedule 8 CCA Bridge Year'!C41), "", 'B8 Schedule 8 CCA Bridge Year'!C41)</f>
        <v/>
      </c>
      <c r="D42" s="370" t="str">
        <f>IF(ISBLANK('B8 Schedule 8 CCA Bridge Year'!D41), "", 'B8 Schedule 8 CCA Bridge Year'!D41)</f>
        <v/>
      </c>
      <c r="E42" s="453"/>
      <c r="F42" s="421">
        <f>IF(ISBLANK('B8 Schedule 8 CCA Bridge Year'!O41), "", 'B8 Schedule 8 CCA Bridge Year'!O41)</f>
        <v>0</v>
      </c>
      <c r="G42" s="407"/>
      <c r="H42" s="407"/>
      <c r="I42" s="252">
        <f t="shared" si="0"/>
        <v>0</v>
      </c>
      <c r="J42" s="252">
        <f t="shared" si="4"/>
        <v>0</v>
      </c>
      <c r="K42" s="252">
        <f t="shared" si="1"/>
        <v>0</v>
      </c>
      <c r="L42" s="347">
        <f>'B8 Schedule 8 CCA Bridge Year'!L41</f>
        <v>0</v>
      </c>
      <c r="M42" s="252">
        <f t="shared" si="5"/>
        <v>0</v>
      </c>
      <c r="N42" s="252"/>
      <c r="O42" s="252">
        <f t="shared" si="3"/>
        <v>0</v>
      </c>
    </row>
    <row r="43" spans="3:15" ht="13.5" thickBot="1" x14ac:dyDescent="0.25">
      <c r="C43" s="52"/>
      <c r="D43" s="408" t="s">
        <v>105</v>
      </c>
      <c r="E43" s="408"/>
      <c r="F43" s="388">
        <f t="shared" ref="F43:K43" si="6">SUM(F11:F42)</f>
        <v>70394237.457800001</v>
      </c>
      <c r="G43" s="388">
        <f t="shared" si="6"/>
        <v>7358733</v>
      </c>
      <c r="H43" s="388">
        <f t="shared" si="6"/>
        <v>0</v>
      </c>
      <c r="I43" s="388">
        <f t="shared" si="6"/>
        <v>77752970.457800001</v>
      </c>
      <c r="J43" s="388">
        <f t="shared" si="6"/>
        <v>3679366.5</v>
      </c>
      <c r="K43" s="388">
        <f t="shared" si="6"/>
        <v>74073603.957800001</v>
      </c>
      <c r="L43" s="389"/>
      <c r="M43" s="390">
        <f>SUM(M11:M42)</f>
        <v>5913091.9485140005</v>
      </c>
      <c r="N43" s="478" t="s">
        <v>426</v>
      </c>
      <c r="O43" s="390">
        <f>SUM(O11:O42)</f>
        <v>71839878.509285986</v>
      </c>
    </row>
  </sheetData>
  <sheetProtection password="C2FC" sheet="1" objects="1" scenarios="1"/>
  <mergeCells count="4">
    <mergeCell ref="C1:F1"/>
    <mergeCell ref="C2:J2"/>
    <mergeCell ref="C3:J3"/>
    <mergeCell ref="C4:J4"/>
  </mergeCells>
  <phoneticPr fontId="3" type="noConversion"/>
  <conditionalFormatting sqref="C33:H42 C11:F32 H11:H32">
    <cfRule type="expression" dxfId="4" priority="2" stopIfTrue="1">
      <formula>LEN(C11)&gt;0</formula>
    </cfRule>
  </conditionalFormatting>
  <conditionalFormatting sqref="G11:G32">
    <cfRule type="expression" dxfId="3" priority="1" stopIfTrue="1">
      <formula>LEN(G11)&gt;0</formula>
    </cfRule>
  </conditionalFormatting>
  <hyperlinks>
    <hyperlink ref="E11" location="'B8 Schedule 8 CCA Bridge Year'!A1" display="'B8"/>
    <hyperlink ref="E12" location="'B8 Schedule 8 CCA Bridge Year'!A1" display="'B8"/>
    <hyperlink ref="E13:E32" location="'B8 Schedule 8 CCA Bridge Year'!A1" display="'B8"/>
    <hyperlink ref="N43" location="'T1 Taxable Income Test Year'!A1" display="'T1"/>
  </hyperlinks>
  <pageMargins left="0.35433070866141736" right="0.15748031496062992" top="0.39370078740157483" bottom="0.39370078740157483" header="0.51181102362204722" footer="0.51181102362204722"/>
  <pageSetup scale="55" orientation="landscape" r:id="rId1"/>
  <headerFooter alignWithMargins="0">
    <oddFooter>&amp;L&amp;Z&amp;F&amp;A</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42"/>
  <sheetViews>
    <sheetView zoomScale="90" zoomScaleNormal="90" workbookViewId="0">
      <selection activeCell="K39" sqref="K39"/>
    </sheetView>
  </sheetViews>
  <sheetFormatPr defaultRowHeight="12.75" x14ac:dyDescent="0.2"/>
  <cols>
    <col min="1" max="1" width="3.85546875" style="11" customWidth="1"/>
    <col min="2" max="2" width="3.5703125" style="11" customWidth="1"/>
    <col min="3" max="3" width="39.7109375" style="11" customWidth="1"/>
    <col min="4" max="5" width="9.140625" style="11"/>
    <col min="6" max="6" width="9.85546875" style="11" customWidth="1"/>
    <col min="7" max="8" width="9.140625" style="11"/>
    <col min="9" max="9" width="10.42578125" style="11" bestFit="1" customWidth="1"/>
    <col min="10" max="10" width="9.42578125" style="11" bestFit="1" customWidth="1"/>
    <col min="11" max="11" width="11" style="11" bestFit="1" customWidth="1"/>
    <col min="12" max="13" width="9.140625" style="11"/>
    <col min="14" max="14" width="4.5703125" style="11" customWidth="1"/>
    <col min="15" max="16384" width="9.140625" style="11"/>
  </cols>
  <sheetData>
    <row r="1" spans="1:11" ht="42" customHeight="1" x14ac:dyDescent="0.2">
      <c r="A1" s="312"/>
      <c r="C1" s="574"/>
      <c r="D1" s="574"/>
      <c r="E1" s="574"/>
    </row>
    <row r="2" spans="1:11" ht="65.25" customHeight="1" x14ac:dyDescent="0.25">
      <c r="C2" s="575"/>
      <c r="D2" s="575"/>
      <c r="E2" s="575"/>
      <c r="F2" s="575"/>
      <c r="G2" s="575"/>
      <c r="H2" s="575"/>
      <c r="I2" s="575"/>
    </row>
    <row r="3" spans="1:11" ht="42" customHeight="1" x14ac:dyDescent="0.25">
      <c r="C3" s="575"/>
      <c r="D3" s="575"/>
      <c r="E3" s="575"/>
      <c r="F3" s="575"/>
      <c r="G3" s="575"/>
      <c r="H3" s="575"/>
      <c r="I3" s="575"/>
    </row>
    <row r="4" spans="1:11" ht="18" x14ac:dyDescent="0.25">
      <c r="C4" s="575"/>
      <c r="D4" s="575"/>
      <c r="E4" s="575"/>
      <c r="F4" s="575"/>
      <c r="G4" s="575"/>
      <c r="H4" s="575"/>
      <c r="I4" s="575"/>
    </row>
    <row r="5" spans="1:11" ht="18" x14ac:dyDescent="0.25">
      <c r="C5" s="368" t="s">
        <v>365</v>
      </c>
    </row>
    <row r="7" spans="1:11" ht="15.75" x14ac:dyDescent="0.25">
      <c r="C7" s="605" t="s">
        <v>106</v>
      </c>
      <c r="D7" s="605"/>
      <c r="E7" s="605"/>
      <c r="F7" s="605"/>
      <c r="G7" s="53"/>
      <c r="H7" s="53"/>
      <c r="I7" s="53"/>
      <c r="J7" s="442" t="s">
        <v>438</v>
      </c>
      <c r="K7" s="241">
        <f>'B10 Schedule 10 CEC Bridge Year'!K40</f>
        <v>73808.836199999991</v>
      </c>
    </row>
    <row r="8" spans="1:11" ht="15.75" x14ac:dyDescent="0.25">
      <c r="C8" s="142"/>
      <c r="D8" s="142"/>
      <c r="E8" s="142"/>
      <c r="F8" s="142"/>
      <c r="G8" s="53"/>
      <c r="H8" s="53"/>
      <c r="I8" s="53"/>
      <c r="J8" s="55"/>
      <c r="K8" s="213"/>
    </row>
    <row r="9" spans="1:11" ht="15.75" x14ac:dyDescent="0.25">
      <c r="C9" s="56" t="s">
        <v>107</v>
      </c>
      <c r="D9" s="54"/>
      <c r="E9" s="57"/>
      <c r="F9" s="57"/>
      <c r="G9" s="53"/>
      <c r="H9" s="53"/>
    </row>
    <row r="10" spans="1:11" ht="15.75" x14ac:dyDescent="0.25">
      <c r="C10" s="576" t="s">
        <v>108</v>
      </c>
      <c r="D10" s="576"/>
      <c r="E10" s="576"/>
      <c r="F10" s="576"/>
      <c r="G10" s="606">
        <v>0</v>
      </c>
      <c r="H10" s="607"/>
      <c r="I10" s="53"/>
      <c r="J10" s="53"/>
    </row>
    <row r="11" spans="1:11" x14ac:dyDescent="0.2">
      <c r="C11" s="136"/>
      <c r="D11" s="136"/>
      <c r="E11" s="9"/>
      <c r="F11" s="9"/>
      <c r="G11" s="8"/>
      <c r="H11" s="8"/>
      <c r="I11" s="2"/>
    </row>
    <row r="12" spans="1:11" x14ac:dyDescent="0.2">
      <c r="C12" s="576" t="s">
        <v>109</v>
      </c>
      <c r="D12" s="576"/>
      <c r="E12" s="576"/>
      <c r="F12" s="576"/>
      <c r="G12" s="606">
        <v>0</v>
      </c>
      <c r="H12" s="606"/>
    </row>
    <row r="13" spans="1:11" x14ac:dyDescent="0.2">
      <c r="C13" s="54"/>
      <c r="D13" s="54"/>
      <c r="E13" s="54"/>
      <c r="F13" s="54"/>
      <c r="G13" s="12"/>
      <c r="H13" s="12"/>
    </row>
    <row r="14" spans="1:11" ht="16.5" thickBot="1" x14ac:dyDescent="0.3">
      <c r="C14" s="624" t="s">
        <v>110</v>
      </c>
      <c r="D14" s="624"/>
      <c r="E14" s="624"/>
      <c r="F14" s="624"/>
      <c r="G14" s="602">
        <f>SUM(G10,G12)</f>
        <v>0</v>
      </c>
      <c r="H14" s="602"/>
      <c r="I14" s="59" t="s">
        <v>111</v>
      </c>
      <c r="J14" s="60">
        <f>3/4*G14</f>
        <v>0</v>
      </c>
      <c r="K14" s="61"/>
    </row>
    <row r="15" spans="1:11" ht="13.5" thickTop="1" x14ac:dyDescent="0.2">
      <c r="C15" s="54"/>
      <c r="D15" s="54"/>
      <c r="E15" s="54"/>
      <c r="F15" s="54"/>
      <c r="G15" s="12"/>
      <c r="H15" s="12"/>
      <c r="J15" s="54"/>
    </row>
    <row r="16" spans="1:11" x14ac:dyDescent="0.2">
      <c r="C16" s="576" t="s">
        <v>112</v>
      </c>
      <c r="D16" s="576"/>
      <c r="E16" s="576"/>
      <c r="F16" s="576"/>
      <c r="G16" s="603">
        <v>0</v>
      </c>
      <c r="H16" s="603"/>
      <c r="I16" s="604" t="s">
        <v>113</v>
      </c>
      <c r="J16" s="598">
        <f>IF((G16*0.5)&lt;0, 0, G16*0.5)</f>
        <v>0</v>
      </c>
    </row>
    <row r="17" spans="3:11" x14ac:dyDescent="0.2">
      <c r="C17" s="576" t="s">
        <v>114</v>
      </c>
      <c r="D17" s="576"/>
      <c r="E17" s="576"/>
      <c r="F17" s="576"/>
      <c r="G17" s="603"/>
      <c r="H17" s="603"/>
      <c r="I17" s="604"/>
      <c r="J17" s="599"/>
    </row>
    <row r="18" spans="3:11" ht="13.5" thickBot="1" x14ac:dyDescent="0.25">
      <c r="C18" s="600"/>
      <c r="D18" s="600"/>
      <c r="E18" s="600"/>
      <c r="F18" s="600"/>
      <c r="G18" s="62"/>
      <c r="H18" s="62"/>
      <c r="J18" s="63">
        <f>IF((J14-J16)&lt;0,0,J14-J16)</f>
        <v>0</v>
      </c>
      <c r="K18" s="64">
        <f>J18</f>
        <v>0</v>
      </c>
    </row>
    <row r="19" spans="3:11" ht="13.5" thickTop="1" x14ac:dyDescent="0.2">
      <c r="C19" s="136"/>
      <c r="D19" s="136"/>
      <c r="E19" s="136"/>
      <c r="F19" s="136"/>
      <c r="G19" s="60"/>
      <c r="H19" s="60"/>
    </row>
    <row r="20" spans="3:11" x14ac:dyDescent="0.2">
      <c r="C20" s="576" t="s">
        <v>115</v>
      </c>
      <c r="D20" s="576"/>
      <c r="E20" s="576"/>
      <c r="F20" s="576"/>
      <c r="G20" s="593">
        <v>0</v>
      </c>
      <c r="H20" s="593"/>
      <c r="K20" s="64">
        <f>G20</f>
        <v>0</v>
      </c>
    </row>
    <row r="21" spans="3:11" x14ac:dyDescent="0.2">
      <c r="G21" s="65"/>
      <c r="H21" s="65"/>
    </row>
    <row r="22" spans="3:11" x14ac:dyDescent="0.2">
      <c r="F22" s="59" t="s">
        <v>110</v>
      </c>
      <c r="G22" s="595"/>
      <c r="H22" s="595"/>
      <c r="K22" s="66">
        <f>SUM(K7,K18,K20)</f>
        <v>73808.836199999991</v>
      </c>
    </row>
    <row r="24" spans="3:11" x14ac:dyDescent="0.2">
      <c r="C24" s="56" t="s">
        <v>116</v>
      </c>
    </row>
    <row r="26" spans="3:11" x14ac:dyDescent="0.2">
      <c r="C26" s="576" t="s">
        <v>117</v>
      </c>
      <c r="D26" s="576"/>
      <c r="E26" s="576"/>
      <c r="F26" s="576"/>
      <c r="G26" s="596">
        <v>0</v>
      </c>
      <c r="H26" s="597"/>
    </row>
    <row r="27" spans="3:11" x14ac:dyDescent="0.2">
      <c r="C27" s="576" t="s">
        <v>118</v>
      </c>
      <c r="D27" s="576"/>
      <c r="E27" s="576"/>
      <c r="F27" s="576"/>
      <c r="G27" s="597"/>
      <c r="H27" s="597"/>
    </row>
    <row r="28" spans="3:11" x14ac:dyDescent="0.2">
      <c r="C28" s="136"/>
      <c r="D28" s="136"/>
      <c r="E28" s="136"/>
      <c r="F28" s="136"/>
    </row>
    <row r="29" spans="3:11" x14ac:dyDescent="0.2">
      <c r="C29" s="576" t="s">
        <v>109</v>
      </c>
      <c r="D29" s="576"/>
      <c r="E29" s="576"/>
      <c r="F29" s="576"/>
      <c r="G29" s="593">
        <v>0</v>
      </c>
      <c r="H29" s="593"/>
    </row>
    <row r="30" spans="3:11" x14ac:dyDescent="0.2">
      <c r="C30" s="623"/>
      <c r="D30" s="623"/>
      <c r="E30" s="623"/>
      <c r="F30" s="623"/>
      <c r="G30" s="8"/>
      <c r="H30" s="8"/>
    </row>
    <row r="31" spans="3:11" ht="16.5" thickBot="1" x14ac:dyDescent="0.3">
      <c r="C31" s="53"/>
      <c r="D31" s="53"/>
      <c r="E31" s="53"/>
      <c r="F31" s="59" t="s">
        <v>110</v>
      </c>
      <c r="G31" s="594">
        <f>SUM(G29,G26)</f>
        <v>0</v>
      </c>
      <c r="H31" s="594"/>
      <c r="I31" s="203" t="s">
        <v>111</v>
      </c>
      <c r="J31" s="68"/>
      <c r="K31" s="69">
        <f>G31*3/4</f>
        <v>0</v>
      </c>
    </row>
    <row r="32" spans="3:11" ht="13.5" thickTop="1" x14ac:dyDescent="0.2"/>
    <row r="33" spans="3:12" x14ac:dyDescent="0.2">
      <c r="C33" s="2"/>
      <c r="D33" s="2"/>
      <c r="E33" s="2"/>
      <c r="F33" s="2"/>
      <c r="G33" s="2"/>
      <c r="H33" s="2"/>
      <c r="I33" s="2"/>
      <c r="J33" s="2"/>
      <c r="K33" s="2"/>
      <c r="L33" s="2"/>
    </row>
    <row r="34" spans="3:12" ht="15.75" x14ac:dyDescent="0.25">
      <c r="C34" s="212"/>
      <c r="D34" s="212"/>
      <c r="E34" s="212"/>
      <c r="F34" s="2"/>
      <c r="G34" s="2"/>
      <c r="H34" s="2"/>
      <c r="I34" s="2"/>
      <c r="J34" s="2"/>
      <c r="K34" s="2"/>
      <c r="L34" s="2"/>
    </row>
    <row r="35" spans="3:12" ht="15.75" x14ac:dyDescent="0.25">
      <c r="C35" s="196" t="s">
        <v>119</v>
      </c>
      <c r="D35" s="70"/>
      <c r="E35" s="201"/>
      <c r="F35" s="70"/>
      <c r="G35" s="70"/>
      <c r="H35" s="70"/>
      <c r="I35" s="70"/>
      <c r="J35" s="70"/>
      <c r="K35" s="69">
        <f>K22-K31</f>
        <v>73808.836199999991</v>
      </c>
      <c r="L35" s="2"/>
    </row>
    <row r="36" spans="3:12" x14ac:dyDescent="0.2">
      <c r="C36" s="2"/>
      <c r="D36" s="2"/>
      <c r="E36" s="2"/>
      <c r="F36" s="2"/>
      <c r="G36" s="2"/>
      <c r="H36" s="2"/>
      <c r="I36" s="2"/>
      <c r="J36" s="2"/>
      <c r="K36" s="2"/>
      <c r="L36" s="2"/>
    </row>
    <row r="37" spans="3:12" ht="15.75" x14ac:dyDescent="0.25">
      <c r="C37" s="197" t="s">
        <v>120</v>
      </c>
      <c r="D37" s="197"/>
      <c r="E37" s="198"/>
      <c r="F37" s="198"/>
      <c r="G37" s="198"/>
      <c r="H37" s="197"/>
      <c r="I37" s="199">
        <f>K35</f>
        <v>73808.836199999991</v>
      </c>
      <c r="J37" s="200" t="s">
        <v>121</v>
      </c>
      <c r="K37" s="69">
        <f>I37*0.07</f>
        <v>5166.6185340000002</v>
      </c>
      <c r="L37" s="459" t="s">
        <v>426</v>
      </c>
    </row>
    <row r="38" spans="3:12" x14ac:dyDescent="0.2">
      <c r="C38" s="2"/>
      <c r="D38" s="2"/>
      <c r="E38" s="2"/>
      <c r="F38" s="2"/>
      <c r="G38" s="2"/>
      <c r="H38" s="2"/>
      <c r="I38" s="2"/>
      <c r="J38" s="2"/>
      <c r="K38" s="2"/>
      <c r="L38" s="2"/>
    </row>
    <row r="39" spans="3:12" x14ac:dyDescent="0.2">
      <c r="C39" s="196" t="s">
        <v>122</v>
      </c>
      <c r="D39" s="196"/>
      <c r="E39" s="196"/>
      <c r="F39" s="196"/>
      <c r="G39" s="70"/>
      <c r="H39" s="70"/>
      <c r="I39" s="70"/>
      <c r="J39" s="70"/>
      <c r="K39" s="69">
        <f>K35-K37</f>
        <v>68642.217665999997</v>
      </c>
      <c r="L39" s="2"/>
    </row>
    <row r="40" spans="3:12" x14ac:dyDescent="0.2">
      <c r="C40" s="2"/>
      <c r="D40" s="2"/>
      <c r="E40" s="2"/>
      <c r="F40" s="2"/>
      <c r="G40" s="2"/>
      <c r="H40" s="2"/>
      <c r="I40" s="2"/>
      <c r="J40" s="2"/>
      <c r="K40" s="2"/>
      <c r="L40" s="2"/>
    </row>
    <row r="41" spans="3:12" x14ac:dyDescent="0.2">
      <c r="C41" s="2"/>
      <c r="D41" s="2"/>
      <c r="E41" s="2"/>
      <c r="F41" s="2"/>
      <c r="G41" s="2"/>
      <c r="H41" s="2"/>
      <c r="I41" s="2"/>
      <c r="J41" s="2"/>
      <c r="K41" s="2"/>
      <c r="L41" s="2"/>
    </row>
    <row r="42" spans="3:12" x14ac:dyDescent="0.2">
      <c r="C42" s="2"/>
      <c r="D42" s="2"/>
      <c r="E42" s="2"/>
      <c r="F42" s="2"/>
      <c r="G42" s="2"/>
      <c r="H42" s="2"/>
      <c r="I42" s="2"/>
      <c r="J42" s="2"/>
      <c r="K42" s="2"/>
      <c r="L42" s="2"/>
    </row>
  </sheetData>
  <sheetProtection password="C2FC" sheet="1" objects="1" scenarios="1"/>
  <mergeCells count="27">
    <mergeCell ref="C1:E1"/>
    <mergeCell ref="C2:I2"/>
    <mergeCell ref="C3:I3"/>
    <mergeCell ref="C4:I4"/>
    <mergeCell ref="I16:I17"/>
    <mergeCell ref="C7:F7"/>
    <mergeCell ref="C10:F10"/>
    <mergeCell ref="G10:H10"/>
    <mergeCell ref="C12:F12"/>
    <mergeCell ref="G12:H12"/>
    <mergeCell ref="J16:J17"/>
    <mergeCell ref="C17:F17"/>
    <mergeCell ref="C18:F18"/>
    <mergeCell ref="C14:F14"/>
    <mergeCell ref="G14:H14"/>
    <mergeCell ref="C16:F16"/>
    <mergeCell ref="G16:H17"/>
    <mergeCell ref="C29:F29"/>
    <mergeCell ref="G29:H29"/>
    <mergeCell ref="C30:F30"/>
    <mergeCell ref="G31:H31"/>
    <mergeCell ref="C20:F20"/>
    <mergeCell ref="G20:H20"/>
    <mergeCell ref="G22:H22"/>
    <mergeCell ref="C26:F26"/>
    <mergeCell ref="G26:H27"/>
    <mergeCell ref="C27:F27"/>
  </mergeCells>
  <phoneticPr fontId="3" type="noConversion"/>
  <hyperlinks>
    <hyperlink ref="J7" location="'B10 Schedule 10 CEC Bridge Year'!A1" display="'B10"/>
    <hyperlink ref="L37" location="'T1 Taxable Income Test Year'!A1" display="'T1"/>
  </hyperlinks>
  <pageMargins left="0.35433070866141736" right="0.19685039370078741" top="0.39370078740157483" bottom="0.39370078740157483" header="0.51181102362204722" footer="0.51181102362204722"/>
  <pageSetup scale="7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44"/>
  <sheetViews>
    <sheetView topLeftCell="E1" zoomScale="80" zoomScaleNormal="80" workbookViewId="0">
      <selection activeCell="M27" sqref="M27"/>
    </sheetView>
  </sheetViews>
  <sheetFormatPr defaultRowHeight="12.75" x14ac:dyDescent="0.2"/>
  <cols>
    <col min="1" max="1" width="3.42578125" style="11" customWidth="1"/>
    <col min="2" max="2" width="3.7109375" style="11" customWidth="1"/>
    <col min="3" max="3" width="56.42578125" style="11" customWidth="1"/>
    <col min="4" max="4" width="17.28515625" style="11" customWidth="1"/>
    <col min="5" max="7" width="18.28515625" style="11" customWidth="1"/>
    <col min="8" max="8" width="5.7109375" style="11" customWidth="1"/>
    <col min="9" max="11" width="18.28515625" style="11" customWidth="1"/>
    <col min="12" max="12" width="5.7109375" style="11" customWidth="1"/>
    <col min="13" max="14" width="18.28515625" style="11" customWidth="1"/>
    <col min="15" max="16384" width="9.140625" style="11"/>
  </cols>
  <sheetData>
    <row r="1" spans="1:14" ht="21.75" x14ac:dyDescent="0.2">
      <c r="A1" s="312"/>
      <c r="C1" s="24"/>
      <c r="D1" s="432"/>
    </row>
    <row r="2" spans="1:14" ht="30" customHeight="1" x14ac:dyDescent="0.25">
      <c r="C2" s="575"/>
      <c r="D2" s="575"/>
      <c r="E2" s="575"/>
      <c r="F2" s="575"/>
      <c r="G2" s="575"/>
      <c r="H2" s="575"/>
      <c r="I2" s="575"/>
      <c r="J2" s="575"/>
      <c r="K2" s="575"/>
      <c r="L2" s="433"/>
    </row>
    <row r="3" spans="1:14" ht="30" customHeight="1" x14ac:dyDescent="0.25">
      <c r="C3" s="575"/>
      <c r="D3" s="575"/>
      <c r="E3" s="575"/>
      <c r="F3" s="575"/>
      <c r="G3" s="575"/>
      <c r="H3" s="575"/>
      <c r="I3" s="575"/>
      <c r="J3" s="575"/>
      <c r="K3" s="575"/>
      <c r="L3" s="433"/>
    </row>
    <row r="4" spans="1:14" ht="18" x14ac:dyDescent="0.25">
      <c r="C4" s="575"/>
      <c r="D4" s="575"/>
      <c r="E4" s="575"/>
      <c r="F4" s="575"/>
      <c r="G4" s="575"/>
      <c r="H4" s="575"/>
      <c r="I4" s="575"/>
      <c r="J4" s="575"/>
      <c r="K4" s="575"/>
      <c r="L4" s="433"/>
    </row>
    <row r="5" spans="1:14" ht="40.5" customHeight="1" x14ac:dyDescent="0.2"/>
    <row r="7" spans="1:14" ht="20.25" x14ac:dyDescent="0.3">
      <c r="C7" s="380" t="s">
        <v>366</v>
      </c>
      <c r="D7" s="380"/>
    </row>
    <row r="8" spans="1:14" ht="23.25" x14ac:dyDescent="0.35">
      <c r="C8" s="284"/>
      <c r="D8" s="284"/>
    </row>
    <row r="9" spans="1:14" ht="18.75" thickBot="1" x14ac:dyDescent="0.25">
      <c r="C9" s="392" t="s">
        <v>356</v>
      </c>
      <c r="D9" s="392"/>
      <c r="F9" s="72"/>
      <c r="G9" s="72"/>
      <c r="H9" s="72"/>
      <c r="I9" s="72"/>
      <c r="J9" s="72"/>
      <c r="K9" s="73"/>
      <c r="L9" s="73"/>
      <c r="M9" s="73"/>
      <c r="N9" s="73"/>
    </row>
    <row r="10" spans="1:14" ht="13.5" thickBot="1" x14ac:dyDescent="0.25">
      <c r="C10" s="74"/>
      <c r="D10" s="74"/>
      <c r="E10" s="72"/>
      <c r="F10" s="72"/>
      <c r="G10" s="72"/>
      <c r="H10" s="72"/>
      <c r="I10" s="621" t="s">
        <v>320</v>
      </c>
      <c r="J10" s="622"/>
      <c r="K10" s="73"/>
      <c r="L10" s="73"/>
      <c r="M10" s="73"/>
      <c r="N10" s="73"/>
    </row>
    <row r="11" spans="1:14" ht="27.75" thickBot="1" x14ac:dyDescent="0.25">
      <c r="C11" s="75" t="s">
        <v>123</v>
      </c>
      <c r="D11" s="443" t="s">
        <v>435</v>
      </c>
      <c r="E11" s="76" t="s">
        <v>319</v>
      </c>
      <c r="F11" s="77" t="s">
        <v>227</v>
      </c>
      <c r="G11" s="78" t="s">
        <v>228</v>
      </c>
      <c r="H11" s="468"/>
      <c r="I11" s="76" t="s">
        <v>107</v>
      </c>
      <c r="J11" s="76" t="s">
        <v>125</v>
      </c>
      <c r="K11" s="78" t="s">
        <v>321</v>
      </c>
      <c r="L11" s="466"/>
      <c r="M11" s="75" t="s">
        <v>126</v>
      </c>
      <c r="N11" s="78" t="s">
        <v>127</v>
      </c>
    </row>
    <row r="12" spans="1:14" x14ac:dyDescent="0.2">
      <c r="C12" s="204"/>
      <c r="D12" s="444"/>
      <c r="E12" s="205"/>
      <c r="F12" s="79"/>
      <c r="G12" s="79"/>
      <c r="H12" s="79"/>
      <c r="I12" s="79"/>
      <c r="J12" s="80"/>
      <c r="K12" s="205"/>
      <c r="L12" s="205"/>
      <c r="M12" s="205"/>
      <c r="N12" s="206"/>
    </row>
    <row r="13" spans="1:14" x14ac:dyDescent="0.2">
      <c r="C13" s="156" t="s">
        <v>128</v>
      </c>
      <c r="D13" s="451" t="s">
        <v>436</v>
      </c>
      <c r="E13" s="81">
        <f>'B13 Sch 13 Tax Reserves Bridge'!K13</f>
        <v>0</v>
      </c>
      <c r="F13" s="266"/>
      <c r="G13" s="82">
        <f>SUM(E13:F13)</f>
        <v>0</v>
      </c>
      <c r="H13" s="82"/>
      <c r="I13" s="396"/>
      <c r="J13" s="396"/>
      <c r="K13" s="81">
        <f>G13+I13-J13</f>
        <v>0</v>
      </c>
      <c r="L13" s="81"/>
      <c r="M13" s="81">
        <f>+K13-G13</f>
        <v>0</v>
      </c>
      <c r="N13" s="266"/>
    </row>
    <row r="14" spans="1:14" x14ac:dyDescent="0.2">
      <c r="C14" s="207" t="s">
        <v>129</v>
      </c>
      <c r="D14" s="434"/>
      <c r="E14" s="625"/>
      <c r="F14" s="626"/>
      <c r="G14" s="626"/>
      <c r="H14" s="626"/>
      <c r="I14" s="626"/>
      <c r="J14" s="626"/>
      <c r="K14" s="626"/>
      <c r="L14" s="626"/>
      <c r="M14" s="626"/>
      <c r="N14" s="627"/>
    </row>
    <row r="15" spans="1:14" x14ac:dyDescent="0.2">
      <c r="C15" s="158" t="s">
        <v>130</v>
      </c>
      <c r="D15" s="451" t="s">
        <v>436</v>
      </c>
      <c r="E15" s="81">
        <f>'B13 Sch 13 Tax Reserves Bridge'!K15</f>
        <v>0</v>
      </c>
      <c r="F15" s="266"/>
      <c r="G15" s="83">
        <f t="shared" ref="G15:G21" si="0">SUM(E15:F15)</f>
        <v>0</v>
      </c>
      <c r="H15" s="83"/>
      <c r="I15" s="396">
        <v>0</v>
      </c>
      <c r="J15" s="396">
        <v>0</v>
      </c>
      <c r="K15" s="81">
        <f t="shared" ref="K15:K21" si="1">G15+I15-J15</f>
        <v>0</v>
      </c>
      <c r="L15" s="81"/>
      <c r="M15" s="81">
        <f t="shared" ref="M15:M21" si="2">+K15-G15</f>
        <v>0</v>
      </c>
      <c r="N15" s="266"/>
    </row>
    <row r="16" spans="1:14" x14ac:dyDescent="0.2">
      <c r="C16" s="156" t="s">
        <v>131</v>
      </c>
      <c r="D16" s="451" t="s">
        <v>436</v>
      </c>
      <c r="E16" s="81">
        <f>'B13 Sch 13 Tax Reserves Bridge'!K16</f>
        <v>0</v>
      </c>
      <c r="F16" s="266"/>
      <c r="G16" s="82">
        <f t="shared" si="0"/>
        <v>0</v>
      </c>
      <c r="H16" s="82"/>
      <c r="I16" s="396"/>
      <c r="J16" s="396"/>
      <c r="K16" s="81">
        <f t="shared" si="1"/>
        <v>0</v>
      </c>
      <c r="L16" s="81"/>
      <c r="M16" s="81">
        <f t="shared" si="2"/>
        <v>0</v>
      </c>
      <c r="N16" s="266"/>
    </row>
    <row r="17" spans="3:14" x14ac:dyDescent="0.2">
      <c r="C17" s="156" t="s">
        <v>132</v>
      </c>
      <c r="D17" s="451" t="s">
        <v>436</v>
      </c>
      <c r="E17" s="81">
        <f>'B13 Sch 13 Tax Reserves Bridge'!K17</f>
        <v>0</v>
      </c>
      <c r="F17" s="266"/>
      <c r="G17" s="82">
        <f t="shared" si="0"/>
        <v>0</v>
      </c>
      <c r="H17" s="82"/>
      <c r="I17" s="396"/>
      <c r="J17" s="396"/>
      <c r="K17" s="81">
        <f t="shared" si="1"/>
        <v>0</v>
      </c>
      <c r="L17" s="81"/>
      <c r="M17" s="81">
        <f t="shared" si="2"/>
        <v>0</v>
      </c>
      <c r="N17" s="266"/>
    </row>
    <row r="18" spans="3:14" x14ac:dyDescent="0.2">
      <c r="C18" s="156" t="s">
        <v>133</v>
      </c>
      <c r="D18" s="451" t="s">
        <v>436</v>
      </c>
      <c r="E18" s="81">
        <f>'B13 Sch 13 Tax Reserves Bridge'!K18</f>
        <v>0</v>
      </c>
      <c r="F18" s="266"/>
      <c r="G18" s="82">
        <f t="shared" si="0"/>
        <v>0</v>
      </c>
      <c r="H18" s="82"/>
      <c r="I18" s="396"/>
      <c r="J18" s="396"/>
      <c r="K18" s="81">
        <f t="shared" si="1"/>
        <v>0</v>
      </c>
      <c r="L18" s="81"/>
      <c r="M18" s="81">
        <f t="shared" si="2"/>
        <v>0</v>
      </c>
      <c r="N18" s="266"/>
    </row>
    <row r="19" spans="3:14" x14ac:dyDescent="0.2">
      <c r="C19" s="156" t="s">
        <v>134</v>
      </c>
      <c r="D19" s="451" t="s">
        <v>436</v>
      </c>
      <c r="E19" s="81">
        <f>'B13 Sch 13 Tax Reserves Bridge'!K19</f>
        <v>0</v>
      </c>
      <c r="F19" s="266"/>
      <c r="G19" s="82">
        <f t="shared" si="0"/>
        <v>0</v>
      </c>
      <c r="H19" s="82"/>
      <c r="I19" s="396"/>
      <c r="J19" s="396"/>
      <c r="K19" s="81">
        <f t="shared" si="1"/>
        <v>0</v>
      </c>
      <c r="L19" s="81"/>
      <c r="M19" s="81">
        <f t="shared" si="2"/>
        <v>0</v>
      </c>
      <c r="N19" s="266"/>
    </row>
    <row r="20" spans="3:14" x14ac:dyDescent="0.2">
      <c r="C20" s="393"/>
      <c r="D20" s="446"/>
      <c r="E20" s="81">
        <f>'B13 Sch 13 Tax Reserves Bridge'!K20</f>
        <v>0</v>
      </c>
      <c r="F20" s="266"/>
      <c r="G20" s="82">
        <f t="shared" si="0"/>
        <v>0</v>
      </c>
      <c r="H20" s="82"/>
      <c r="I20" s="396"/>
      <c r="J20" s="396"/>
      <c r="K20" s="81">
        <f t="shared" si="1"/>
        <v>0</v>
      </c>
      <c r="L20" s="81"/>
      <c r="M20" s="81">
        <f t="shared" si="2"/>
        <v>0</v>
      </c>
      <c r="N20" s="266"/>
    </row>
    <row r="21" spans="3:14" ht="16.5" thickBot="1" x14ac:dyDescent="0.25">
      <c r="C21" s="394"/>
      <c r="D21" s="447"/>
      <c r="E21" s="81">
        <f>'B13 Sch 13 Tax Reserves Bridge'!K21</f>
        <v>0</v>
      </c>
      <c r="F21" s="266"/>
      <c r="G21" s="82">
        <f t="shared" si="0"/>
        <v>0</v>
      </c>
      <c r="H21" s="82"/>
      <c r="I21" s="396"/>
      <c r="J21" s="396"/>
      <c r="K21" s="81">
        <f t="shared" si="1"/>
        <v>0</v>
      </c>
      <c r="L21" s="81"/>
      <c r="M21" s="81">
        <f t="shared" si="2"/>
        <v>0</v>
      </c>
      <c r="N21" s="266"/>
    </row>
    <row r="22" spans="3:14" ht="19.5" thickBot="1" x14ac:dyDescent="0.25">
      <c r="C22" s="86" t="s">
        <v>3</v>
      </c>
      <c r="D22" s="448"/>
      <c r="E22" s="87">
        <f t="shared" ref="E22:N22" si="3">SUM(E15:E21)</f>
        <v>0</v>
      </c>
      <c r="F22" s="87">
        <f t="shared" si="3"/>
        <v>0</v>
      </c>
      <c r="G22" s="87">
        <f t="shared" si="3"/>
        <v>0</v>
      </c>
      <c r="H22" s="469" t="s">
        <v>426</v>
      </c>
      <c r="I22" s="87">
        <f t="shared" si="3"/>
        <v>0</v>
      </c>
      <c r="J22" s="87">
        <f t="shared" si="3"/>
        <v>0</v>
      </c>
      <c r="K22" s="87">
        <f t="shared" si="3"/>
        <v>0</v>
      </c>
      <c r="L22" s="469" t="s">
        <v>426</v>
      </c>
      <c r="M22" s="87">
        <f t="shared" si="3"/>
        <v>0</v>
      </c>
      <c r="N22" s="88">
        <f t="shared" si="3"/>
        <v>0</v>
      </c>
    </row>
    <row r="23" spans="3:14" x14ac:dyDescent="0.2">
      <c r="C23" s="159"/>
      <c r="D23" s="449"/>
      <c r="E23" s="89">
        <v>0</v>
      </c>
      <c r="F23" s="90"/>
      <c r="G23" s="90"/>
      <c r="H23" s="90"/>
      <c r="I23" s="90"/>
      <c r="J23" s="91"/>
      <c r="K23" s="92"/>
      <c r="L23" s="92"/>
      <c r="M23" s="92"/>
      <c r="N23" s="208"/>
    </row>
    <row r="24" spans="3:14" x14ac:dyDescent="0.2">
      <c r="C24" s="207" t="s">
        <v>135</v>
      </c>
      <c r="D24" s="445"/>
      <c r="E24" s="81"/>
      <c r="F24" s="83"/>
      <c r="G24" s="83"/>
      <c r="H24" s="83"/>
      <c r="I24" s="83"/>
      <c r="J24" s="84"/>
      <c r="K24" s="85"/>
      <c r="L24" s="85"/>
      <c r="M24" s="81"/>
      <c r="N24" s="157"/>
    </row>
    <row r="25" spans="3:14" x14ac:dyDescent="0.2">
      <c r="C25" s="156" t="s">
        <v>136</v>
      </c>
      <c r="D25" s="451" t="s">
        <v>436</v>
      </c>
      <c r="E25" s="81">
        <f>'B13 Sch 13 Tax Reserves Bridge'!K25</f>
        <v>0</v>
      </c>
      <c r="F25" s="266"/>
      <c r="G25" s="82">
        <f t="shared" ref="G25:G42" si="4">SUM(E25:F25)</f>
        <v>0</v>
      </c>
      <c r="H25" s="82"/>
      <c r="I25" s="396"/>
      <c r="J25" s="396"/>
      <c r="K25" s="81">
        <f t="shared" ref="K25:K42" si="5">G25+I25-J25</f>
        <v>0</v>
      </c>
      <c r="L25" s="81"/>
      <c r="M25" s="81">
        <f t="shared" ref="M25:M42" si="6">+K25-G25</f>
        <v>0</v>
      </c>
      <c r="N25" s="266"/>
    </row>
    <row r="26" spans="3:14" x14ac:dyDescent="0.2">
      <c r="C26" s="156" t="s">
        <v>137</v>
      </c>
      <c r="D26" s="451" t="s">
        <v>436</v>
      </c>
      <c r="E26" s="81">
        <f>'B13 Sch 13 Tax Reserves Bridge'!K26</f>
        <v>0</v>
      </c>
      <c r="F26" s="266"/>
      <c r="G26" s="82">
        <f t="shared" si="4"/>
        <v>0</v>
      </c>
      <c r="H26" s="82"/>
      <c r="I26" s="396"/>
      <c r="J26" s="396"/>
      <c r="K26" s="81">
        <f t="shared" si="5"/>
        <v>0</v>
      </c>
      <c r="L26" s="81"/>
      <c r="M26" s="81">
        <f t="shared" si="6"/>
        <v>0</v>
      </c>
      <c r="N26" s="266"/>
    </row>
    <row r="27" spans="3:14" x14ac:dyDescent="0.2">
      <c r="C27" s="156" t="s">
        <v>138</v>
      </c>
      <c r="D27" s="451" t="s">
        <v>436</v>
      </c>
      <c r="E27" s="81">
        <f>'B13 Sch 13 Tax Reserves Bridge'!K27</f>
        <v>304086</v>
      </c>
      <c r="F27" s="266"/>
      <c r="G27" s="82">
        <f t="shared" si="4"/>
        <v>304086</v>
      </c>
      <c r="H27" s="82"/>
      <c r="I27" s="396">
        <f>+'[6]Reserves Continuity'!$D$50</f>
        <v>319821</v>
      </c>
      <c r="J27" s="396">
        <f>+'[6]Reserves Continuity'!$E$50</f>
        <v>304086</v>
      </c>
      <c r="K27" s="81">
        <f t="shared" si="5"/>
        <v>319821</v>
      </c>
      <c r="L27" s="81"/>
      <c r="M27" s="81">
        <f t="shared" si="6"/>
        <v>15735</v>
      </c>
      <c r="N27" s="266"/>
    </row>
    <row r="28" spans="3:14" x14ac:dyDescent="0.2">
      <c r="C28" s="209" t="s">
        <v>139</v>
      </c>
      <c r="D28" s="451" t="s">
        <v>436</v>
      </c>
      <c r="E28" s="81">
        <f>'B13 Sch 13 Tax Reserves Bridge'!K28</f>
        <v>0</v>
      </c>
      <c r="F28" s="266"/>
      <c r="G28" s="82">
        <f t="shared" si="4"/>
        <v>0</v>
      </c>
      <c r="H28" s="82"/>
      <c r="I28" s="396"/>
      <c r="J28" s="396"/>
      <c r="K28" s="81">
        <f t="shared" si="5"/>
        <v>0</v>
      </c>
      <c r="L28" s="81"/>
      <c r="M28" s="81">
        <f t="shared" si="6"/>
        <v>0</v>
      </c>
      <c r="N28" s="266"/>
    </row>
    <row r="29" spans="3:14" x14ac:dyDescent="0.2">
      <c r="C29" s="209" t="s">
        <v>140</v>
      </c>
      <c r="D29" s="451" t="s">
        <v>436</v>
      </c>
      <c r="E29" s="81">
        <f>'B13 Sch 13 Tax Reserves Bridge'!K29</f>
        <v>0</v>
      </c>
      <c r="F29" s="266"/>
      <c r="G29" s="82">
        <f t="shared" si="4"/>
        <v>0</v>
      </c>
      <c r="H29" s="82"/>
      <c r="I29" s="396"/>
      <c r="J29" s="396"/>
      <c r="K29" s="81">
        <f t="shared" si="5"/>
        <v>0</v>
      </c>
      <c r="L29" s="81"/>
      <c r="M29" s="81">
        <f t="shared" si="6"/>
        <v>0</v>
      </c>
      <c r="N29" s="266"/>
    </row>
    <row r="30" spans="3:14" x14ac:dyDescent="0.2">
      <c r="C30" s="209" t="s">
        <v>141</v>
      </c>
      <c r="D30" s="451" t="s">
        <v>436</v>
      </c>
      <c r="E30" s="81">
        <f>'B13 Sch 13 Tax Reserves Bridge'!K30</f>
        <v>0</v>
      </c>
      <c r="F30" s="266"/>
      <c r="G30" s="82">
        <f t="shared" si="4"/>
        <v>0</v>
      </c>
      <c r="H30" s="82"/>
      <c r="I30" s="396"/>
      <c r="J30" s="396"/>
      <c r="K30" s="81">
        <f t="shared" si="5"/>
        <v>0</v>
      </c>
      <c r="L30" s="81"/>
      <c r="M30" s="81">
        <f t="shared" si="6"/>
        <v>0</v>
      </c>
      <c r="N30" s="266"/>
    </row>
    <row r="31" spans="3:14" x14ac:dyDescent="0.2">
      <c r="C31" s="209" t="s">
        <v>142</v>
      </c>
      <c r="D31" s="451" t="s">
        <v>436</v>
      </c>
      <c r="E31" s="81">
        <f>'B13 Sch 13 Tax Reserves Bridge'!K31</f>
        <v>0</v>
      </c>
      <c r="F31" s="266"/>
      <c r="G31" s="82">
        <f t="shared" si="4"/>
        <v>0</v>
      </c>
      <c r="H31" s="82"/>
      <c r="I31" s="396"/>
      <c r="J31" s="396"/>
      <c r="K31" s="81">
        <f t="shared" si="5"/>
        <v>0</v>
      </c>
      <c r="L31" s="81"/>
      <c r="M31" s="81">
        <f t="shared" si="6"/>
        <v>0</v>
      </c>
      <c r="N31" s="266"/>
    </row>
    <row r="32" spans="3:14" x14ac:dyDescent="0.2">
      <c r="C32" s="209" t="s">
        <v>143</v>
      </c>
      <c r="D32" s="451" t="s">
        <v>436</v>
      </c>
      <c r="E32" s="81">
        <f>'B13 Sch 13 Tax Reserves Bridge'!K32</f>
        <v>0</v>
      </c>
      <c r="F32" s="266"/>
      <c r="G32" s="82">
        <f t="shared" si="4"/>
        <v>0</v>
      </c>
      <c r="H32" s="82"/>
      <c r="I32" s="396"/>
      <c r="J32" s="396"/>
      <c r="K32" s="81">
        <f t="shared" si="5"/>
        <v>0</v>
      </c>
      <c r="L32" s="81"/>
      <c r="M32" s="81">
        <f t="shared" si="6"/>
        <v>0</v>
      </c>
      <c r="N32" s="266"/>
    </row>
    <row r="33" spans="3:14" x14ac:dyDescent="0.2">
      <c r="C33" s="156" t="s">
        <v>144</v>
      </c>
      <c r="D33" s="451" t="s">
        <v>436</v>
      </c>
      <c r="E33" s="81">
        <f>'B13 Sch 13 Tax Reserves Bridge'!K33</f>
        <v>0</v>
      </c>
      <c r="F33" s="266"/>
      <c r="G33" s="82">
        <f t="shared" si="4"/>
        <v>0</v>
      </c>
      <c r="H33" s="82"/>
      <c r="I33" s="396"/>
      <c r="J33" s="396"/>
      <c r="K33" s="81">
        <f t="shared" si="5"/>
        <v>0</v>
      </c>
      <c r="L33" s="81"/>
      <c r="M33" s="81">
        <f t="shared" si="6"/>
        <v>0</v>
      </c>
      <c r="N33" s="266"/>
    </row>
    <row r="34" spans="3:14" x14ac:dyDescent="0.2">
      <c r="C34" s="156" t="s">
        <v>145</v>
      </c>
      <c r="D34" s="451" t="s">
        <v>436</v>
      </c>
      <c r="E34" s="81">
        <f>'B13 Sch 13 Tax Reserves Bridge'!K34</f>
        <v>0</v>
      </c>
      <c r="F34" s="266"/>
      <c r="G34" s="82">
        <f t="shared" si="4"/>
        <v>0</v>
      </c>
      <c r="H34" s="82"/>
      <c r="I34" s="396"/>
      <c r="J34" s="396"/>
      <c r="K34" s="81">
        <f t="shared" si="5"/>
        <v>0</v>
      </c>
      <c r="L34" s="81"/>
      <c r="M34" s="81">
        <f t="shared" si="6"/>
        <v>0</v>
      </c>
      <c r="N34" s="266"/>
    </row>
    <row r="35" spans="3:14" x14ac:dyDescent="0.2">
      <c r="C35" s="156" t="s">
        <v>146</v>
      </c>
      <c r="D35" s="451" t="s">
        <v>436</v>
      </c>
      <c r="E35" s="81">
        <f>'B13 Sch 13 Tax Reserves Bridge'!K35</f>
        <v>0</v>
      </c>
      <c r="F35" s="266"/>
      <c r="G35" s="82">
        <f t="shared" si="4"/>
        <v>0</v>
      </c>
      <c r="H35" s="82"/>
      <c r="I35" s="396"/>
      <c r="J35" s="396"/>
      <c r="K35" s="81">
        <f t="shared" si="5"/>
        <v>0</v>
      </c>
      <c r="L35" s="81"/>
      <c r="M35" s="81">
        <f t="shared" si="6"/>
        <v>0</v>
      </c>
      <c r="N35" s="266"/>
    </row>
    <row r="36" spans="3:14" x14ac:dyDescent="0.2">
      <c r="C36" s="156" t="s">
        <v>147</v>
      </c>
      <c r="D36" s="451" t="s">
        <v>436</v>
      </c>
      <c r="E36" s="81">
        <f>'B13 Sch 13 Tax Reserves Bridge'!K36</f>
        <v>0</v>
      </c>
      <c r="F36" s="266"/>
      <c r="G36" s="82">
        <f t="shared" si="4"/>
        <v>0</v>
      </c>
      <c r="H36" s="82"/>
      <c r="I36" s="396"/>
      <c r="J36" s="396"/>
      <c r="K36" s="81">
        <f t="shared" si="5"/>
        <v>0</v>
      </c>
      <c r="L36" s="81"/>
      <c r="M36" s="81">
        <f t="shared" si="6"/>
        <v>0</v>
      </c>
      <c r="N36" s="266"/>
    </row>
    <row r="37" spans="3:14" x14ac:dyDescent="0.2">
      <c r="C37" s="156" t="s">
        <v>148</v>
      </c>
      <c r="D37" s="451" t="s">
        <v>436</v>
      </c>
      <c r="E37" s="81">
        <f>'B13 Sch 13 Tax Reserves Bridge'!K37</f>
        <v>0</v>
      </c>
      <c r="F37" s="266"/>
      <c r="G37" s="82">
        <f t="shared" si="4"/>
        <v>0</v>
      </c>
      <c r="H37" s="82"/>
      <c r="I37" s="396"/>
      <c r="J37" s="396"/>
      <c r="K37" s="81">
        <f t="shared" si="5"/>
        <v>0</v>
      </c>
      <c r="L37" s="81"/>
      <c r="M37" s="81">
        <f t="shared" si="6"/>
        <v>0</v>
      </c>
      <c r="N37" s="266"/>
    </row>
    <row r="38" spans="3:14" ht="24" x14ac:dyDescent="0.2">
      <c r="C38" s="156" t="s">
        <v>149</v>
      </c>
      <c r="D38" s="451" t="s">
        <v>436</v>
      </c>
      <c r="E38" s="81">
        <f>'B13 Sch 13 Tax Reserves Bridge'!K38</f>
        <v>0</v>
      </c>
      <c r="F38" s="266"/>
      <c r="G38" s="82">
        <f t="shared" si="4"/>
        <v>0</v>
      </c>
      <c r="H38" s="82"/>
      <c r="I38" s="396"/>
      <c r="J38" s="396"/>
      <c r="K38" s="81">
        <f t="shared" si="5"/>
        <v>0</v>
      </c>
      <c r="L38" s="81"/>
      <c r="M38" s="81">
        <f t="shared" si="6"/>
        <v>0</v>
      </c>
      <c r="N38" s="266"/>
    </row>
    <row r="39" spans="3:14" ht="24" x14ac:dyDescent="0.2">
      <c r="C39" s="156" t="s">
        <v>150</v>
      </c>
      <c r="D39" s="451" t="s">
        <v>436</v>
      </c>
      <c r="E39" s="81">
        <f>'B13 Sch 13 Tax Reserves Bridge'!K39</f>
        <v>0</v>
      </c>
      <c r="F39" s="266"/>
      <c r="G39" s="82">
        <f t="shared" si="4"/>
        <v>0</v>
      </c>
      <c r="H39" s="82"/>
      <c r="I39" s="396"/>
      <c r="J39" s="396"/>
      <c r="K39" s="81">
        <f t="shared" si="5"/>
        <v>0</v>
      </c>
      <c r="L39" s="81"/>
      <c r="M39" s="81">
        <f t="shared" si="6"/>
        <v>0</v>
      </c>
      <c r="N39" s="266"/>
    </row>
    <row r="40" spans="3:14" x14ac:dyDescent="0.2">
      <c r="C40" s="156" t="s">
        <v>151</v>
      </c>
      <c r="D40" s="451" t="s">
        <v>436</v>
      </c>
      <c r="E40" s="81">
        <f>'B13 Sch 13 Tax Reserves Bridge'!K40</f>
        <v>0</v>
      </c>
      <c r="F40" s="266"/>
      <c r="G40" s="82">
        <f t="shared" si="4"/>
        <v>0</v>
      </c>
      <c r="H40" s="82"/>
      <c r="I40" s="396"/>
      <c r="J40" s="396"/>
      <c r="K40" s="81">
        <f t="shared" si="5"/>
        <v>0</v>
      </c>
      <c r="L40" s="81"/>
      <c r="M40" s="81">
        <f t="shared" si="6"/>
        <v>0</v>
      </c>
      <c r="N40" s="266"/>
    </row>
    <row r="41" spans="3:14" x14ac:dyDescent="0.2">
      <c r="C41" s="393"/>
      <c r="D41" s="446"/>
      <c r="E41" s="81">
        <f>'B13 Sch 13 Tax Reserves Bridge'!K41</f>
        <v>0</v>
      </c>
      <c r="F41" s="266"/>
      <c r="G41" s="82">
        <f t="shared" si="4"/>
        <v>0</v>
      </c>
      <c r="H41" s="82"/>
      <c r="I41" s="396"/>
      <c r="J41" s="396"/>
      <c r="K41" s="81">
        <f t="shared" si="5"/>
        <v>0</v>
      </c>
      <c r="L41" s="81"/>
      <c r="M41" s="81">
        <f t="shared" si="6"/>
        <v>0</v>
      </c>
      <c r="N41" s="266"/>
    </row>
    <row r="42" spans="3:14" ht="13.5" thickBot="1" x14ac:dyDescent="0.25">
      <c r="C42" s="395"/>
      <c r="D42" s="450"/>
      <c r="E42" s="81">
        <f>'B13 Sch 13 Tax Reserves Bridge'!K42</f>
        <v>0</v>
      </c>
      <c r="F42" s="266"/>
      <c r="G42" s="82">
        <f t="shared" si="4"/>
        <v>0</v>
      </c>
      <c r="H42" s="82"/>
      <c r="I42" s="396"/>
      <c r="J42" s="396"/>
      <c r="K42" s="81">
        <f t="shared" si="5"/>
        <v>0</v>
      </c>
      <c r="L42" s="81"/>
      <c r="M42" s="81">
        <f t="shared" si="6"/>
        <v>0</v>
      </c>
      <c r="N42" s="266"/>
    </row>
    <row r="43" spans="3:14" ht="19.5" thickBot="1" x14ac:dyDescent="0.25">
      <c r="C43" s="86" t="s">
        <v>152</v>
      </c>
      <c r="D43" s="448"/>
      <c r="E43" s="93">
        <f t="shared" ref="E43:N43" si="7">SUM(E25:E42)</f>
        <v>304086</v>
      </c>
      <c r="F43" s="93">
        <f t="shared" si="7"/>
        <v>0</v>
      </c>
      <c r="G43" s="93">
        <f t="shared" si="7"/>
        <v>304086</v>
      </c>
      <c r="H43" s="469" t="s">
        <v>426</v>
      </c>
      <c r="I43" s="93">
        <f t="shared" si="7"/>
        <v>319821</v>
      </c>
      <c r="J43" s="93">
        <f t="shared" si="7"/>
        <v>304086</v>
      </c>
      <c r="K43" s="93">
        <f t="shared" si="7"/>
        <v>319821</v>
      </c>
      <c r="L43" s="469" t="s">
        <v>426</v>
      </c>
      <c r="M43" s="93">
        <f t="shared" si="7"/>
        <v>15735</v>
      </c>
      <c r="N43" s="94">
        <f t="shared" si="7"/>
        <v>0</v>
      </c>
    </row>
    <row r="44" spans="3:14" ht="15.75" x14ac:dyDescent="0.2">
      <c r="C44" s="95"/>
      <c r="D44" s="95"/>
      <c r="E44" s="96">
        <v>0</v>
      </c>
      <c r="F44" s="97"/>
      <c r="G44" s="97"/>
      <c r="H44" s="97"/>
      <c r="I44" s="97"/>
      <c r="J44" s="98"/>
      <c r="K44" s="99"/>
      <c r="L44" s="99"/>
      <c r="M44" s="99"/>
      <c r="N44" s="99"/>
    </row>
  </sheetData>
  <sheetProtection password="C2FC"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hyperlink ref="D15:D19" location="'B13 Sch 13 Tax Reserves Bridge'!A1" display="'B13"/>
    <hyperlink ref="D25:D40" location="'B13 Sch 13 Tax Reserves Bridge'!A1" display="'B13"/>
    <hyperlink ref="H43" location="'T1 Taxable Income Test Year'!A1" display="'T1"/>
    <hyperlink ref="L43" location="'T1 Taxable Income Test Year'!A1" display="'T1"/>
    <hyperlink ref="L22" location="'T1 Taxable Income Test Year'!A1" display="'T1"/>
    <hyperlink ref="H22" location="'T1 Taxable Income Test Year'!A1" display="'T1"/>
  </hyperlinks>
  <pageMargins left="0.35433070866141736" right="0.35433070866141736" top="0.39370078740157483" bottom="0.39370078740157483" header="0.51181102362204722" footer="0.51181102362204722"/>
  <pageSetup scale="56"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5"/>
  <sheetViews>
    <sheetView zoomScale="90" zoomScaleNormal="90" workbookViewId="0">
      <selection activeCell="H16" sqref="H16"/>
    </sheetView>
  </sheetViews>
  <sheetFormatPr defaultRowHeight="12.75" x14ac:dyDescent="0.2"/>
  <cols>
    <col min="1" max="1" width="3.85546875" style="11" customWidth="1"/>
    <col min="2" max="2" width="4" style="11" customWidth="1"/>
    <col min="3" max="3" width="6.140625" style="11" customWidth="1"/>
    <col min="4" max="4" width="35.140625" style="11" customWidth="1"/>
    <col min="5" max="5" width="10" style="11" customWidth="1"/>
    <col min="6" max="6" width="18.28515625" style="11" customWidth="1"/>
    <col min="7" max="7" width="15.28515625" style="11" customWidth="1"/>
    <col min="8" max="8" width="15.7109375" style="11" customWidth="1"/>
    <col min="9" max="9" width="20.42578125" style="11" customWidth="1"/>
    <col min="10" max="11" width="18.140625" style="11" customWidth="1"/>
    <col min="12" max="12" width="2.7109375" style="11" customWidth="1"/>
    <col min="13" max="13" width="7.7109375" style="11" customWidth="1"/>
    <col min="14" max="14" width="18" style="11" customWidth="1"/>
    <col min="15" max="16384" width="9.140625" style="11"/>
  </cols>
  <sheetData>
    <row r="1" spans="1:11" ht="21.75" x14ac:dyDescent="0.2">
      <c r="A1" s="311"/>
      <c r="B1" s="2"/>
      <c r="C1" s="574"/>
      <c r="D1" s="574"/>
      <c r="E1" s="574"/>
      <c r="F1" s="574"/>
      <c r="G1" s="574"/>
      <c r="H1" s="1"/>
    </row>
    <row r="2" spans="1:11" ht="18" x14ac:dyDescent="0.25">
      <c r="A2" s="2"/>
      <c r="B2" s="2"/>
      <c r="C2" s="575"/>
      <c r="D2" s="575"/>
      <c r="E2" s="575"/>
      <c r="F2" s="575"/>
      <c r="G2" s="575"/>
      <c r="H2" s="575"/>
      <c r="I2" s="575"/>
      <c r="J2" s="575"/>
      <c r="K2" s="575"/>
    </row>
    <row r="3" spans="1:11" ht="18" x14ac:dyDescent="0.25">
      <c r="A3" s="2"/>
      <c r="B3" s="2"/>
      <c r="C3" s="575"/>
      <c r="D3" s="575"/>
      <c r="E3" s="575"/>
      <c r="F3" s="575"/>
      <c r="G3" s="575"/>
      <c r="H3" s="575"/>
      <c r="I3" s="575"/>
      <c r="J3" s="575"/>
      <c r="K3" s="575"/>
    </row>
    <row r="4" spans="1:11" ht="18" x14ac:dyDescent="0.25">
      <c r="A4" s="2"/>
      <c r="B4" s="2"/>
      <c r="C4" s="575"/>
      <c r="D4" s="575"/>
      <c r="E4" s="575"/>
      <c r="F4" s="575"/>
      <c r="G4" s="575"/>
      <c r="H4" s="575"/>
      <c r="I4" s="575"/>
      <c r="J4" s="575"/>
      <c r="K4" s="575"/>
    </row>
    <row r="5" spans="1:11" ht="18" x14ac:dyDescent="0.25">
      <c r="A5" s="2"/>
      <c r="B5" s="2"/>
      <c r="C5" s="6"/>
      <c r="D5" s="6"/>
      <c r="E5" s="6"/>
      <c r="G5" s="4"/>
      <c r="H5" s="6"/>
    </row>
    <row r="6" spans="1:11" ht="61.5" customHeight="1" x14ac:dyDescent="0.25">
      <c r="A6" s="2"/>
      <c r="B6" s="2"/>
      <c r="F6" s="4"/>
      <c r="G6" s="4"/>
    </row>
    <row r="7" spans="1:11" ht="18" x14ac:dyDescent="0.25">
      <c r="B7" s="71" t="s">
        <v>483</v>
      </c>
      <c r="C7" s="534"/>
      <c r="D7" s="534"/>
      <c r="E7" s="534"/>
      <c r="F7" s="4"/>
      <c r="G7" s="4"/>
    </row>
    <row r="9" spans="1:11" ht="20.25" x14ac:dyDescent="0.2">
      <c r="D9" s="483" t="s">
        <v>479</v>
      </c>
      <c r="E9" s="483"/>
      <c r="F9" s="483"/>
    </row>
    <row r="10" spans="1:11" x14ac:dyDescent="0.2">
      <c r="D10" s="487" t="s">
        <v>480</v>
      </c>
      <c r="E10" s="487"/>
      <c r="F10" s="430"/>
    </row>
    <row r="12" spans="1:11" ht="26.25" thickBot="1" x14ac:dyDescent="0.25">
      <c r="D12" s="490" t="s">
        <v>470</v>
      </c>
      <c r="E12" s="490"/>
      <c r="F12" s="484"/>
      <c r="G12" s="485" t="s">
        <v>435</v>
      </c>
      <c r="H12" s="486"/>
    </row>
    <row r="13" spans="1:11" x14ac:dyDescent="0.2">
      <c r="D13" s="118"/>
      <c r="E13" s="118"/>
      <c r="F13" s="118"/>
    </row>
    <row r="14" spans="1:11" x14ac:dyDescent="0.2">
      <c r="D14" s="118" t="s">
        <v>471</v>
      </c>
      <c r="E14" s="118"/>
      <c r="F14" s="118"/>
      <c r="G14" s="491" t="s">
        <v>475</v>
      </c>
      <c r="H14" s="64">
        <f>+H25</f>
        <v>-2531399.6210361412</v>
      </c>
    </row>
    <row r="15" spans="1:11" x14ac:dyDescent="0.2">
      <c r="D15" s="118" t="s">
        <v>469</v>
      </c>
      <c r="E15" s="118"/>
      <c r="F15" s="118"/>
      <c r="G15" s="493" t="s">
        <v>427</v>
      </c>
      <c r="H15" s="482">
        <f>+'T0 PILs,Tax Provision '!I34</f>
        <v>187129.15273246408</v>
      </c>
    </row>
    <row r="16" spans="1:11" x14ac:dyDescent="0.2">
      <c r="D16" s="118" t="s">
        <v>453</v>
      </c>
      <c r="E16" s="118"/>
      <c r="F16" s="118"/>
      <c r="G16" s="493" t="s">
        <v>427</v>
      </c>
      <c r="H16" s="482">
        <f>+'T0 PILs,Tax Provision '!I39</f>
        <v>254597.48671083548</v>
      </c>
    </row>
    <row r="17" spans="4:9" x14ac:dyDescent="0.2">
      <c r="D17" s="118" t="s">
        <v>399</v>
      </c>
      <c r="E17" s="118"/>
      <c r="F17" s="118"/>
      <c r="G17" s="493" t="s">
        <v>427</v>
      </c>
      <c r="H17" s="492">
        <f>+'T0 PILs,Tax Provision '!G24</f>
        <v>0.15000000000000002</v>
      </c>
    </row>
    <row r="18" spans="4:9" x14ac:dyDescent="0.2">
      <c r="D18" s="118" t="s">
        <v>478</v>
      </c>
      <c r="E18" s="118"/>
      <c r="F18" s="118"/>
      <c r="G18" s="493" t="s">
        <v>427</v>
      </c>
      <c r="H18" s="492">
        <f>+'T0 PILs,Tax Provision '!G23</f>
        <v>0.115</v>
      </c>
    </row>
    <row r="19" spans="4:9" x14ac:dyDescent="0.2">
      <c r="D19" s="430"/>
      <c r="E19" s="430"/>
      <c r="F19" s="430"/>
      <c r="G19" s="430"/>
      <c r="H19" s="430"/>
    </row>
    <row r="20" spans="4:9" x14ac:dyDescent="0.2">
      <c r="D20" s="430"/>
      <c r="E20" s="430"/>
      <c r="F20" s="430"/>
      <c r="G20" s="430"/>
      <c r="H20" s="430"/>
    </row>
    <row r="21" spans="4:9" x14ac:dyDescent="0.2">
      <c r="D21" s="430"/>
      <c r="E21" s="430"/>
      <c r="F21" s="430"/>
      <c r="G21" s="430"/>
      <c r="H21" s="430"/>
    </row>
    <row r="22" spans="4:9" x14ac:dyDescent="0.2">
      <c r="D22" s="489" t="s">
        <v>477</v>
      </c>
      <c r="E22" s="489"/>
      <c r="F22" s="489"/>
      <c r="G22" s="430"/>
      <c r="H22" s="430"/>
    </row>
    <row r="23" spans="4:9" x14ac:dyDescent="0.2">
      <c r="D23" s="430" t="s">
        <v>473</v>
      </c>
      <c r="E23" s="430"/>
      <c r="F23" s="430"/>
      <c r="G23" s="493" t="s">
        <v>426</v>
      </c>
      <c r="H23" s="494">
        <f>+'T1 Taxable Income Test Year'!F12</f>
        <v>3237547.367196383</v>
      </c>
    </row>
    <row r="24" spans="4:9" x14ac:dyDescent="0.2">
      <c r="D24" s="430" t="s">
        <v>472</v>
      </c>
      <c r="E24" s="430"/>
      <c r="F24" s="430"/>
      <c r="G24" s="493" t="s">
        <v>426</v>
      </c>
      <c r="H24" s="495">
        <f>+'T1 Taxable Income Test Year'!F124</f>
        <v>706147.74616024178</v>
      </c>
    </row>
    <row r="25" spans="4:9" x14ac:dyDescent="0.2">
      <c r="D25" s="430" t="s">
        <v>474</v>
      </c>
      <c r="E25" s="430"/>
      <c r="F25" s="430"/>
      <c r="G25" s="488" t="s">
        <v>440</v>
      </c>
      <c r="H25" s="496">
        <f>+H24-H23</f>
        <v>-2531399.6210361412</v>
      </c>
      <c r="I25" s="487" t="s">
        <v>476</v>
      </c>
    </row>
  </sheetData>
  <sheetProtection password="C2FC" sheet="1" objects="1" scenarios="1"/>
  <mergeCells count="4">
    <mergeCell ref="C1:G1"/>
    <mergeCell ref="C2:K2"/>
    <mergeCell ref="C3:K3"/>
    <mergeCell ref="C4:K4"/>
  </mergeCells>
  <hyperlinks>
    <hyperlink ref="G16" location="'T0 PILs,Tax Provision '!A1" display="'T0"/>
    <hyperlink ref="G15" location="'T0 PILs,Tax Provision '!A1" display="'T0"/>
    <hyperlink ref="G14" location="'T1 Taxable Income Test Year'!A1" display="'T1"/>
    <hyperlink ref="G24" location="'T1 Taxable Income Test Year'!A1" display="'T1"/>
    <hyperlink ref="G23" location="'T1 Taxable Income Test Year'!A1" display="'T1"/>
    <hyperlink ref="G17" location="'T0 PILs,Tax Provision '!A1" display="'T0"/>
    <hyperlink ref="G18" location="'T0 PILs,Tax Provision '!A1" display="'T0"/>
  </hyperlinks>
  <pageMargins left="0.35433070866141736" right="0.35433070866141736" top="0.59055118110236227" bottom="0.59055118110236227" header="0.51181102362204722" footer="0.51181102362204722"/>
  <pageSetup scale="60"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zoomScale="80" zoomScaleNormal="80" workbookViewId="0">
      <selection activeCell="G10" sqref="G10"/>
    </sheetView>
  </sheetViews>
  <sheetFormatPr defaultRowHeight="12.75" x14ac:dyDescent="0.2"/>
  <cols>
    <col min="1" max="1" width="3.85546875" style="11" customWidth="1"/>
    <col min="2" max="2" width="3.42578125" style="11" customWidth="1"/>
    <col min="3" max="3" width="48" style="11" customWidth="1"/>
    <col min="4" max="4" width="4.7109375" style="11" customWidth="1"/>
    <col min="5" max="5" width="17.28515625" style="11" customWidth="1"/>
    <col min="6" max="6" width="3.28515625" style="11" customWidth="1"/>
    <col min="7" max="7" width="20.42578125" style="11" customWidth="1"/>
    <col min="8" max="9" width="18.140625" style="11" customWidth="1"/>
    <col min="10" max="10" width="2.7109375" style="11" customWidth="1"/>
    <col min="11" max="11" width="7.7109375" style="11" customWidth="1"/>
    <col min="12" max="12" width="18" style="11" customWidth="1"/>
    <col min="13" max="16384" width="9.140625" style="11"/>
  </cols>
  <sheetData>
    <row r="1" spans="1:9" ht="21.75" x14ac:dyDescent="0.2">
      <c r="A1" s="311"/>
      <c r="B1" s="2"/>
      <c r="C1" s="574"/>
      <c r="D1" s="574"/>
      <c r="E1" s="574"/>
      <c r="F1" s="1"/>
    </row>
    <row r="2" spans="1:9" ht="18" x14ac:dyDescent="0.25">
      <c r="A2" s="2"/>
      <c r="B2" s="2"/>
      <c r="C2" s="575"/>
      <c r="D2" s="575"/>
      <c r="E2" s="575"/>
      <c r="F2" s="575"/>
      <c r="G2" s="575"/>
      <c r="H2" s="575"/>
      <c r="I2" s="575"/>
    </row>
    <row r="3" spans="1:9" ht="18" x14ac:dyDescent="0.25">
      <c r="A3" s="2"/>
      <c r="B3" s="2"/>
      <c r="C3" s="575"/>
      <c r="D3" s="575"/>
      <c r="E3" s="575"/>
      <c r="F3" s="575"/>
      <c r="G3" s="575"/>
      <c r="H3" s="575"/>
      <c r="I3" s="575"/>
    </row>
    <row r="4" spans="1:9" ht="18" x14ac:dyDescent="0.25">
      <c r="A4" s="2"/>
      <c r="B4" s="2"/>
      <c r="C4" s="575"/>
      <c r="D4" s="575"/>
      <c r="E4" s="575"/>
      <c r="F4" s="575"/>
      <c r="G4" s="575"/>
      <c r="H4" s="575"/>
      <c r="I4" s="575"/>
    </row>
    <row r="5" spans="1:9" ht="18" x14ac:dyDescent="0.25">
      <c r="A5" s="2"/>
      <c r="B5" s="2"/>
      <c r="C5" s="6"/>
      <c r="E5" s="4"/>
      <c r="F5" s="6"/>
    </row>
    <row r="6" spans="1:9" ht="61.5" customHeight="1" x14ac:dyDescent="0.25">
      <c r="A6" s="2"/>
      <c r="B6" s="2"/>
      <c r="D6" s="4"/>
      <c r="E6" s="4"/>
    </row>
    <row r="7" spans="1:9" ht="61.5" customHeight="1" x14ac:dyDescent="0.25">
      <c r="C7" s="136"/>
      <c r="D7" s="4"/>
      <c r="E7" s="4"/>
    </row>
    <row r="8" spans="1:9" ht="18" x14ac:dyDescent="0.25">
      <c r="D8" s="4"/>
      <c r="E8" s="4"/>
    </row>
    <row r="9" spans="1:9" ht="15.75" x14ac:dyDescent="0.25">
      <c r="C9" s="130" t="s">
        <v>1</v>
      </c>
      <c r="D9" s="128"/>
      <c r="F9" s="167" t="s">
        <v>447</v>
      </c>
      <c r="G9" s="367">
        <f>+'[3]I3 TB Data'!$F$15</f>
        <v>88072561.675636098</v>
      </c>
      <c r="H9" s="162"/>
    </row>
    <row r="10" spans="1:9" ht="15.75" x14ac:dyDescent="0.25">
      <c r="C10" s="130"/>
      <c r="D10" s="128"/>
      <c r="F10" s="167"/>
      <c r="G10" s="131"/>
      <c r="H10" s="163"/>
    </row>
    <row r="11" spans="1:9" ht="18" x14ac:dyDescent="0.25">
      <c r="C11" s="365" t="s">
        <v>351</v>
      </c>
      <c r="D11" s="128"/>
      <c r="F11" s="167"/>
      <c r="H11" s="163"/>
    </row>
    <row r="12" spans="1:9" ht="15" x14ac:dyDescent="0.2">
      <c r="C12" s="11" t="s">
        <v>191</v>
      </c>
      <c r="D12" s="128"/>
      <c r="E12" s="366">
        <f>+'[4]3. Data_Input_Sheet'!$E$56</f>
        <v>0.04</v>
      </c>
      <c r="F12" s="167" t="s">
        <v>192</v>
      </c>
      <c r="G12" s="129">
        <f>G9*E12</f>
        <v>3522902.4670254439</v>
      </c>
      <c r="H12" s="162" t="s">
        <v>193</v>
      </c>
    </row>
    <row r="13" spans="1:9" ht="15" x14ac:dyDescent="0.2">
      <c r="C13" s="11" t="s">
        <v>194</v>
      </c>
      <c r="D13" s="128"/>
      <c r="E13" s="366">
        <f>+'[4]3. Data_Input_Sheet'!$E$55</f>
        <v>0.56000000000000005</v>
      </c>
      <c r="F13" s="165" t="s">
        <v>195</v>
      </c>
      <c r="G13" s="129">
        <f>G9*E13</f>
        <v>49320634.538356222</v>
      </c>
      <c r="H13" s="163" t="s">
        <v>196</v>
      </c>
    </row>
    <row r="14" spans="1:9" ht="15" x14ac:dyDescent="0.2">
      <c r="C14" s="11" t="s">
        <v>197</v>
      </c>
      <c r="D14" s="128"/>
      <c r="E14" s="366">
        <f>+'[4]3. Data_Input_Sheet'!$E$57</f>
        <v>0.4</v>
      </c>
      <c r="F14" s="168" t="s">
        <v>198</v>
      </c>
      <c r="G14" s="129">
        <f>G9*E14</f>
        <v>35229024.670254439</v>
      </c>
      <c r="H14" s="162" t="s">
        <v>199</v>
      </c>
    </row>
    <row r="15" spans="1:9" x14ac:dyDescent="0.2">
      <c r="D15" s="128"/>
      <c r="E15" s="127"/>
      <c r="F15" s="167"/>
      <c r="H15" s="163"/>
    </row>
    <row r="16" spans="1:9" ht="15" x14ac:dyDescent="0.2">
      <c r="C16" s="11" t="s">
        <v>255</v>
      </c>
      <c r="D16" s="128"/>
      <c r="E16" s="366">
        <f>+'[5]3. Data_Input_Sheet'!$E$63</f>
        <v>1.6500000000000001E-2</v>
      </c>
      <c r="F16" s="166" t="s">
        <v>200</v>
      </c>
      <c r="G16" s="129">
        <f>G12*E16</f>
        <v>58127.890705919825</v>
      </c>
      <c r="H16" s="163" t="s">
        <v>201</v>
      </c>
    </row>
    <row r="17" spans="3:13" ht="15" x14ac:dyDescent="0.2">
      <c r="C17" s="11" t="s">
        <v>202</v>
      </c>
      <c r="D17" s="128"/>
      <c r="E17" s="366">
        <f>+'[5]3. Data_Input_Sheet'!$E$62</f>
        <v>4.1013059004787029E-2</v>
      </c>
      <c r="F17" s="167" t="s">
        <v>203</v>
      </c>
      <c r="G17" s="129">
        <f>G13*E17</f>
        <v>2022790.0944751408</v>
      </c>
      <c r="H17" s="163" t="s">
        <v>204</v>
      </c>
    </row>
    <row r="18" spans="3:13" ht="15.75" x14ac:dyDescent="0.25">
      <c r="C18" s="71" t="s">
        <v>235</v>
      </c>
      <c r="D18" s="128"/>
      <c r="E18" s="366">
        <f>+'[5]3. Data_Input_Sheet'!$E$64</f>
        <v>9.1899999999999996E-2</v>
      </c>
      <c r="F18" s="167" t="s">
        <v>205</v>
      </c>
      <c r="G18" s="150">
        <f>G14*E18</f>
        <v>3237547.367196383</v>
      </c>
      <c r="H18" s="163" t="s">
        <v>206</v>
      </c>
      <c r="I18" s="439" t="s">
        <v>426</v>
      </c>
    </row>
    <row r="19" spans="3:13" ht="16.5" thickBot="1" x14ac:dyDescent="0.3">
      <c r="C19" s="130" t="s">
        <v>190</v>
      </c>
      <c r="D19" s="128"/>
      <c r="E19" s="10"/>
      <c r="F19" s="67"/>
      <c r="G19" s="151">
        <f>SUM(G16:G18)</f>
        <v>5318465.3523774436</v>
      </c>
      <c r="H19" s="164" t="s">
        <v>207</v>
      </c>
    </row>
    <row r="24" spans="3:13" ht="18" x14ac:dyDescent="0.25">
      <c r="C24" s="365" t="s">
        <v>352</v>
      </c>
      <c r="G24" s="203" t="s">
        <v>383</v>
      </c>
      <c r="H24" s="203" t="s">
        <v>185</v>
      </c>
      <c r="I24" s="203" t="s">
        <v>186</v>
      </c>
      <c r="J24" s="203"/>
    </row>
    <row r="25" spans="3:13" x14ac:dyDescent="0.2">
      <c r="C25" s="120"/>
      <c r="G25" s="67"/>
      <c r="I25" s="67"/>
    </row>
    <row r="26" spans="3:13" x14ac:dyDescent="0.2">
      <c r="C26" s="576" t="s">
        <v>178</v>
      </c>
      <c r="D26" s="576"/>
      <c r="E26" s="576"/>
      <c r="G26" s="535" t="s">
        <v>484</v>
      </c>
      <c r="H26" s="535" t="s">
        <v>484</v>
      </c>
      <c r="I26" s="535" t="s">
        <v>484</v>
      </c>
      <c r="M26" s="281"/>
    </row>
    <row r="27" spans="3:13" x14ac:dyDescent="0.2">
      <c r="C27" s="11" t="s">
        <v>176</v>
      </c>
      <c r="G27" s="67"/>
      <c r="H27" s="67"/>
      <c r="I27" s="67"/>
      <c r="M27" s="281"/>
    </row>
    <row r="28" spans="3:13" ht="12.75" customHeight="1" x14ac:dyDescent="0.2">
      <c r="C28" s="577" t="s">
        <v>335</v>
      </c>
      <c r="D28" s="577"/>
      <c r="E28" s="577"/>
      <c r="F28" s="282"/>
      <c r="G28" s="535" t="s">
        <v>485</v>
      </c>
      <c r="H28" s="535" t="s">
        <v>484</v>
      </c>
      <c r="I28" s="535" t="s">
        <v>484</v>
      </c>
      <c r="M28" s="283"/>
    </row>
    <row r="29" spans="3:13" x14ac:dyDescent="0.2">
      <c r="C29" s="11" t="s">
        <v>176</v>
      </c>
      <c r="G29" s="67"/>
      <c r="H29" s="67"/>
      <c r="I29" s="67"/>
    </row>
    <row r="30" spans="3:13" x14ac:dyDescent="0.2">
      <c r="C30" s="576" t="s">
        <v>179</v>
      </c>
      <c r="D30" s="576"/>
      <c r="E30" s="576"/>
      <c r="G30" s="535" t="s">
        <v>484</v>
      </c>
      <c r="H30" s="535" t="s">
        <v>484</v>
      </c>
      <c r="I30" s="535" t="s">
        <v>484</v>
      </c>
    </row>
    <row r="31" spans="3:13" x14ac:dyDescent="0.2">
      <c r="C31" s="136" t="s">
        <v>176</v>
      </c>
      <c r="G31" s="67"/>
      <c r="H31" s="67"/>
      <c r="I31" s="67"/>
    </row>
    <row r="32" spans="3:13" x14ac:dyDescent="0.2">
      <c r="C32" s="576" t="s">
        <v>180</v>
      </c>
      <c r="D32" s="576"/>
      <c r="E32" s="576"/>
      <c r="G32" s="535" t="s">
        <v>484</v>
      </c>
      <c r="H32" s="535" t="s">
        <v>484</v>
      </c>
      <c r="I32" s="535" t="s">
        <v>484</v>
      </c>
    </row>
    <row r="33" spans="3:9" x14ac:dyDescent="0.2">
      <c r="C33" s="136" t="s">
        <v>176</v>
      </c>
      <c r="G33" s="67"/>
      <c r="H33" s="67"/>
      <c r="I33" s="67"/>
    </row>
    <row r="34" spans="3:9" x14ac:dyDescent="0.2">
      <c r="C34" s="576" t="s">
        <v>181</v>
      </c>
      <c r="D34" s="576"/>
      <c r="E34" s="576"/>
      <c r="G34" s="535" t="s">
        <v>484</v>
      </c>
      <c r="H34" s="535" t="s">
        <v>484</v>
      </c>
      <c r="I34" s="535" t="s">
        <v>484</v>
      </c>
    </row>
    <row r="35" spans="3:9" x14ac:dyDescent="0.2">
      <c r="C35" s="136" t="s">
        <v>176</v>
      </c>
      <c r="G35" s="67"/>
      <c r="H35" s="67"/>
      <c r="I35" s="67"/>
    </row>
    <row r="36" spans="3:9" x14ac:dyDescent="0.2">
      <c r="C36" s="576" t="s">
        <v>182</v>
      </c>
      <c r="D36" s="576"/>
      <c r="E36" s="576"/>
      <c r="G36" s="535" t="s">
        <v>484</v>
      </c>
      <c r="H36" s="535" t="s">
        <v>484</v>
      </c>
      <c r="I36" s="535" t="s">
        <v>484</v>
      </c>
    </row>
    <row r="37" spans="3:9" x14ac:dyDescent="0.2">
      <c r="C37" s="136"/>
      <c r="G37" s="67"/>
      <c r="H37" s="67"/>
      <c r="I37" s="67"/>
    </row>
    <row r="38" spans="3:9" x14ac:dyDescent="0.2">
      <c r="C38" s="576" t="s">
        <v>183</v>
      </c>
      <c r="D38" s="576"/>
      <c r="E38" s="576"/>
      <c r="G38" s="535" t="s">
        <v>485</v>
      </c>
      <c r="H38" s="535" t="s">
        <v>485</v>
      </c>
      <c r="I38" s="535" t="s">
        <v>485</v>
      </c>
    </row>
    <row r="39" spans="3:9" x14ac:dyDescent="0.2">
      <c r="C39" s="278" t="s">
        <v>177</v>
      </c>
      <c r="G39" s="67"/>
      <c r="H39" s="67"/>
      <c r="I39" s="67"/>
    </row>
    <row r="40" spans="3:9" ht="9" customHeight="1" x14ac:dyDescent="0.2">
      <c r="C40" s="278"/>
      <c r="G40" s="67"/>
      <c r="H40" s="67"/>
      <c r="I40" s="67"/>
    </row>
    <row r="41" spans="3:9" x14ac:dyDescent="0.2">
      <c r="C41" s="576" t="s">
        <v>184</v>
      </c>
      <c r="D41" s="576"/>
      <c r="E41" s="576"/>
      <c r="G41" s="535" t="s">
        <v>484</v>
      </c>
      <c r="H41" s="535" t="s">
        <v>485</v>
      </c>
      <c r="I41" s="535" t="s">
        <v>484</v>
      </c>
    </row>
  </sheetData>
  <sheetProtection password="C2FC" sheet="1" objects="1" scenarios="1"/>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disablePrompts="1" count="1">
    <dataValidation type="list" allowBlank="1" showInputMessage="1" showErrorMessage="1" sqref="G26:I26 G28:I28 G30:I30 G32:I32 G34:I34 G36:I36 G38:I38 G41:I41">
      <formula1>"Yes, No"</formula1>
    </dataValidation>
  </dataValidations>
  <hyperlinks>
    <hyperlink ref="I18" location="'T1 Taxable Income Test Year'!A1" display="'T1"/>
  </hyperlinks>
  <pageMargins left="0.35433070866141736" right="0.35433070866141736" top="0.59055118110236227" bottom="0.59055118110236227" header="0.51181102362204722" footer="0.51181102362204722"/>
  <pageSetup scale="70" orientation="portrait" r:id="rId1"/>
  <headerFooter alignWithMargins="0"/>
  <colBreaks count="1" manualBreakCount="1">
    <brk id="12" max="6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38"/>
  <sheetViews>
    <sheetView zoomScale="80" zoomScaleNormal="80" workbookViewId="0"/>
  </sheetViews>
  <sheetFormatPr defaultRowHeight="12.75" x14ac:dyDescent="0.2"/>
  <cols>
    <col min="1" max="2" width="4.7109375" style="11" customWidth="1"/>
    <col min="3" max="3" width="52.7109375" style="11" customWidth="1"/>
    <col min="4" max="4" width="4.140625" style="11" customWidth="1"/>
    <col min="5" max="9" width="16.140625" style="11" bestFit="1" customWidth="1"/>
    <col min="10" max="16384" width="9.140625" style="11"/>
  </cols>
  <sheetData>
    <row r="1" spans="1:9" ht="21.75" x14ac:dyDescent="0.2">
      <c r="A1" s="312"/>
      <c r="C1" s="574"/>
      <c r="D1" s="574"/>
    </row>
    <row r="2" spans="1:9" ht="18" x14ac:dyDescent="0.25">
      <c r="C2" s="575"/>
      <c r="D2" s="575"/>
    </row>
    <row r="3" spans="1:9" ht="18" x14ac:dyDescent="0.25">
      <c r="C3" s="575"/>
      <c r="D3" s="575"/>
    </row>
    <row r="4" spans="1:9" ht="42" customHeight="1" x14ac:dyDescent="0.25">
      <c r="C4" s="575"/>
      <c r="D4" s="575"/>
    </row>
    <row r="5" spans="1:9" ht="42" customHeight="1" x14ac:dyDescent="0.2"/>
    <row r="6" spans="1:9" ht="42" customHeight="1" x14ac:dyDescent="0.2"/>
    <row r="7" spans="1:9" ht="42" customHeight="1" x14ac:dyDescent="0.2"/>
    <row r="9" spans="1:9" x14ac:dyDescent="0.2">
      <c r="C9" s="298" t="s">
        <v>210</v>
      </c>
      <c r="D9" s="324"/>
      <c r="E9" s="324"/>
      <c r="F9" s="324"/>
      <c r="G9" s="324"/>
      <c r="H9" s="324"/>
    </row>
    <row r="10" spans="1:9" x14ac:dyDescent="0.2">
      <c r="C10" s="298" t="s">
        <v>211</v>
      </c>
      <c r="D10" s="324"/>
      <c r="E10" s="325" t="s">
        <v>212</v>
      </c>
      <c r="F10" s="325" t="s">
        <v>212</v>
      </c>
      <c r="G10" s="325" t="s">
        <v>212</v>
      </c>
      <c r="H10" s="325" t="s">
        <v>212</v>
      </c>
      <c r="I10" s="325" t="s">
        <v>212</v>
      </c>
    </row>
    <row r="11" spans="1:9" x14ac:dyDescent="0.2">
      <c r="C11" s="298" t="s">
        <v>425</v>
      </c>
      <c r="D11" s="324"/>
      <c r="E11" s="557">
        <v>40909</v>
      </c>
      <c r="F11" s="557">
        <v>41275</v>
      </c>
      <c r="G11" s="557">
        <v>41640</v>
      </c>
      <c r="H11" s="557">
        <v>42005</v>
      </c>
      <c r="I11" s="557">
        <v>42370</v>
      </c>
    </row>
    <row r="12" spans="1:9" x14ac:dyDescent="0.2">
      <c r="C12" s="324"/>
      <c r="D12" s="324"/>
      <c r="E12" s="325"/>
      <c r="F12" s="325"/>
      <c r="G12" s="325"/>
      <c r="H12" s="325"/>
      <c r="I12" s="325"/>
    </row>
    <row r="13" spans="1:9" x14ac:dyDescent="0.2">
      <c r="C13" s="298" t="s">
        <v>213</v>
      </c>
      <c r="D13" s="324"/>
      <c r="E13" s="324"/>
      <c r="F13" s="324"/>
      <c r="G13" s="324"/>
      <c r="H13" s="324"/>
      <c r="I13" s="324"/>
    </row>
    <row r="14" spans="1:9" x14ac:dyDescent="0.2">
      <c r="C14" s="324" t="s">
        <v>214</v>
      </c>
      <c r="D14" s="326"/>
      <c r="E14" s="327">
        <v>0.38</v>
      </c>
      <c r="F14" s="327">
        <v>0.38</v>
      </c>
      <c r="G14" s="327">
        <v>0.38</v>
      </c>
      <c r="H14" s="327">
        <v>0.38</v>
      </c>
      <c r="I14" s="327">
        <v>0.38</v>
      </c>
    </row>
    <row r="15" spans="1:9" x14ac:dyDescent="0.2">
      <c r="C15" s="324" t="s">
        <v>215</v>
      </c>
      <c r="D15" s="326"/>
      <c r="E15" s="328">
        <v>-0.1</v>
      </c>
      <c r="F15" s="328">
        <v>-0.1</v>
      </c>
      <c r="G15" s="328">
        <v>-0.1</v>
      </c>
      <c r="H15" s="328">
        <v>-0.1</v>
      </c>
      <c r="I15" s="328">
        <v>-0.1</v>
      </c>
    </row>
    <row r="16" spans="1:9" x14ac:dyDescent="0.2">
      <c r="C16" s="324" t="s">
        <v>216</v>
      </c>
      <c r="D16" s="326"/>
      <c r="E16" s="327">
        <f>SUM(E14:E15)</f>
        <v>0.28000000000000003</v>
      </c>
      <c r="F16" s="327">
        <f>SUM(F14:F15)</f>
        <v>0.28000000000000003</v>
      </c>
      <c r="G16" s="327">
        <f>SUM(G14:G15)</f>
        <v>0.28000000000000003</v>
      </c>
      <c r="H16" s="327">
        <f>SUM(H14:H15)</f>
        <v>0.28000000000000003</v>
      </c>
      <c r="I16" s="327">
        <f>SUM(I14:I15)</f>
        <v>0.28000000000000003</v>
      </c>
    </row>
    <row r="17" spans="3:9" x14ac:dyDescent="0.2">
      <c r="C17" s="324"/>
      <c r="D17" s="324"/>
      <c r="E17" s="327"/>
      <c r="F17" s="327"/>
      <c r="G17" s="327"/>
      <c r="H17" s="327"/>
      <c r="I17" s="327"/>
    </row>
    <row r="18" spans="3:9" x14ac:dyDescent="0.2">
      <c r="C18" s="324" t="s">
        <v>217</v>
      </c>
      <c r="D18" s="326"/>
      <c r="E18" s="329">
        <v>-0.13</v>
      </c>
      <c r="F18" s="329">
        <v>-0.13</v>
      </c>
      <c r="G18" s="329">
        <v>-0.13</v>
      </c>
      <c r="H18" s="329">
        <v>-0.13</v>
      </c>
      <c r="I18" s="329">
        <v>-0.13</v>
      </c>
    </row>
    <row r="19" spans="3:9" x14ac:dyDescent="0.2">
      <c r="C19" s="298" t="s">
        <v>481</v>
      </c>
      <c r="D19" s="324"/>
      <c r="E19" s="330">
        <f>E16+E18</f>
        <v>0.15000000000000002</v>
      </c>
      <c r="F19" s="330">
        <f>F16+F18</f>
        <v>0.15000000000000002</v>
      </c>
      <c r="G19" s="330">
        <f>G16+G18</f>
        <v>0.15000000000000002</v>
      </c>
      <c r="H19" s="330">
        <f>H16+H18</f>
        <v>0.15000000000000002</v>
      </c>
      <c r="I19" s="330">
        <f>I16+I18</f>
        <v>0.15000000000000002</v>
      </c>
    </row>
    <row r="20" spans="3:9" x14ac:dyDescent="0.2">
      <c r="C20" s="324"/>
      <c r="D20" s="326"/>
      <c r="E20" s="327"/>
      <c r="F20" s="331"/>
      <c r="G20" s="326"/>
      <c r="H20" s="326"/>
      <c r="I20" s="326"/>
    </row>
    <row r="21" spans="3:9" x14ac:dyDescent="0.2">
      <c r="C21" s="298" t="s">
        <v>218</v>
      </c>
      <c r="D21" s="326"/>
      <c r="E21" s="328">
        <v>0.115</v>
      </c>
      <c r="F21" s="332">
        <v>0.115</v>
      </c>
      <c r="G21" s="328">
        <v>0.115</v>
      </c>
      <c r="H21" s="328">
        <v>0.115</v>
      </c>
      <c r="I21" s="328">
        <v>0.115</v>
      </c>
    </row>
    <row r="22" spans="3:9" x14ac:dyDescent="0.2">
      <c r="C22" s="324"/>
      <c r="D22" s="326"/>
      <c r="E22" s="327"/>
      <c r="F22" s="331"/>
      <c r="G22" s="326"/>
      <c r="H22" s="326"/>
      <c r="I22" s="326"/>
    </row>
    <row r="23" spans="3:9" ht="13.5" thickBot="1" x14ac:dyDescent="0.25">
      <c r="C23" s="298" t="s">
        <v>219</v>
      </c>
      <c r="D23" s="326"/>
      <c r="E23" s="333">
        <f>E19+E21</f>
        <v>0.26500000000000001</v>
      </c>
      <c r="F23" s="334">
        <f>F19+F21</f>
        <v>0.26500000000000001</v>
      </c>
      <c r="G23" s="334">
        <f>G19+G21</f>
        <v>0.26500000000000001</v>
      </c>
      <c r="H23" s="334">
        <f>H19+H21</f>
        <v>0.26500000000000001</v>
      </c>
      <c r="I23" s="334">
        <f>I19+I21</f>
        <v>0.26500000000000001</v>
      </c>
    </row>
    <row r="24" spans="3:9" x14ac:dyDescent="0.2">
      <c r="C24" s="324"/>
      <c r="D24" s="326"/>
      <c r="E24" s="327"/>
      <c r="F24" s="326"/>
      <c r="G24" s="326"/>
      <c r="H24" s="326"/>
      <c r="I24" s="326"/>
    </row>
    <row r="25" spans="3:9" x14ac:dyDescent="0.2">
      <c r="C25" s="298" t="s">
        <v>220</v>
      </c>
      <c r="D25" s="326"/>
      <c r="E25" s="327"/>
      <c r="F25" s="326"/>
      <c r="G25" s="326"/>
      <c r="H25" s="326"/>
      <c r="I25" s="326"/>
    </row>
    <row r="26" spans="3:9" x14ac:dyDescent="0.2">
      <c r="C26" s="335" t="s">
        <v>221</v>
      </c>
      <c r="D26" s="326"/>
      <c r="E26" s="336">
        <v>500000</v>
      </c>
      <c r="F26" s="336">
        <v>500000</v>
      </c>
      <c r="G26" s="336">
        <v>500000</v>
      </c>
      <c r="H26" s="336">
        <v>500000</v>
      </c>
      <c r="I26" s="336">
        <v>500000</v>
      </c>
    </row>
    <row r="27" spans="3:9" x14ac:dyDescent="0.2">
      <c r="C27" s="324" t="s">
        <v>222</v>
      </c>
      <c r="D27" s="326"/>
      <c r="E27" s="336">
        <v>500000</v>
      </c>
      <c r="F27" s="336">
        <v>500000</v>
      </c>
      <c r="G27" s="336">
        <v>500000</v>
      </c>
      <c r="H27" s="336">
        <v>500000</v>
      </c>
      <c r="I27" s="336">
        <v>500000</v>
      </c>
    </row>
    <row r="28" spans="3:9" x14ac:dyDescent="0.2">
      <c r="C28" s="324"/>
      <c r="D28" s="326"/>
      <c r="E28" s="327"/>
      <c r="F28" s="327"/>
      <c r="G28" s="327"/>
      <c r="H28" s="327"/>
      <c r="I28" s="327"/>
    </row>
    <row r="29" spans="3:9" x14ac:dyDescent="0.2">
      <c r="C29" s="324" t="s">
        <v>223</v>
      </c>
      <c r="D29" s="326"/>
      <c r="E29" s="327">
        <v>0.11</v>
      </c>
      <c r="F29" s="327">
        <v>0.11</v>
      </c>
      <c r="G29" s="327">
        <v>0.11</v>
      </c>
      <c r="H29" s="327">
        <v>0.11</v>
      </c>
      <c r="I29" s="327">
        <v>0.105</v>
      </c>
    </row>
    <row r="30" spans="3:9" x14ac:dyDescent="0.2">
      <c r="C30" s="324"/>
      <c r="D30" s="326"/>
      <c r="E30" s="327"/>
      <c r="F30" s="327"/>
      <c r="G30" s="327"/>
      <c r="H30" s="327"/>
      <c r="I30" s="327"/>
    </row>
    <row r="31" spans="3:9" x14ac:dyDescent="0.2">
      <c r="C31" s="324" t="s">
        <v>224</v>
      </c>
      <c r="D31" s="326"/>
      <c r="E31" s="327">
        <v>4.4999999999999998E-2</v>
      </c>
      <c r="F31" s="327">
        <v>4.4999999999999998E-2</v>
      </c>
      <c r="G31" s="327">
        <v>4.4999999999999998E-2</v>
      </c>
      <c r="H31" s="327">
        <v>4.4999999999999998E-2</v>
      </c>
      <c r="I31" s="327">
        <v>4.4999999999999998E-2</v>
      </c>
    </row>
    <row r="32" spans="3:9" x14ac:dyDescent="0.2">
      <c r="C32" s="324"/>
      <c r="D32" s="326"/>
      <c r="E32" s="337"/>
      <c r="F32" s="337"/>
      <c r="G32" s="324"/>
      <c r="H32" s="324"/>
    </row>
    <row r="33" spans="3:8" x14ac:dyDescent="0.2">
      <c r="C33" s="324"/>
      <c r="D33" s="326"/>
      <c r="E33" s="324"/>
      <c r="F33" s="324"/>
      <c r="G33" s="324"/>
      <c r="H33" s="324"/>
    </row>
    <row r="34" spans="3:8" x14ac:dyDescent="0.2">
      <c r="C34" s="338" t="s">
        <v>408</v>
      </c>
      <c r="D34" s="326"/>
      <c r="E34" s="324"/>
      <c r="F34" s="324"/>
      <c r="G34" s="324"/>
      <c r="H34" s="324"/>
    </row>
    <row r="35" spans="3:8" x14ac:dyDescent="0.2">
      <c r="C35" s="431" t="s">
        <v>409</v>
      </c>
      <c r="D35" s="324"/>
      <c r="E35" s="324"/>
      <c r="F35" s="324"/>
      <c r="G35" s="324"/>
      <c r="H35" s="324"/>
    </row>
    <row r="36" spans="3:8" x14ac:dyDescent="0.2">
      <c r="C36" s="430" t="s">
        <v>410</v>
      </c>
    </row>
    <row r="37" spans="3:8" x14ac:dyDescent="0.2">
      <c r="C37" s="430" t="s">
        <v>411</v>
      </c>
    </row>
    <row r="38" spans="3:8" x14ac:dyDescent="0.2">
      <c r="C38" s="430" t="s">
        <v>412</v>
      </c>
    </row>
  </sheetData>
  <sheetProtection password="C2FC" sheet="1" objects="1" scenarios="1"/>
  <mergeCells count="4">
    <mergeCell ref="C1:D1"/>
    <mergeCell ref="C2:D2"/>
    <mergeCell ref="C3:D3"/>
    <mergeCell ref="C4:D4"/>
  </mergeCells>
  <phoneticPr fontId="3" type="noConversion"/>
  <pageMargins left="0.75" right="0.75" top="1" bottom="1" header="0.5" footer="0.5"/>
  <pageSetup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zoomScale="90" zoomScaleNormal="90" workbookViewId="0"/>
  </sheetViews>
  <sheetFormatPr defaultRowHeight="12.75" x14ac:dyDescent="0.2"/>
  <cols>
    <col min="1" max="1" width="4.28515625" style="11" customWidth="1"/>
    <col min="2" max="2" width="13.28515625" style="11" customWidth="1"/>
    <col min="3" max="3" width="32.28515625" style="11" customWidth="1"/>
    <col min="4" max="4" width="42.7109375" style="11" customWidth="1"/>
    <col min="5" max="5" width="11.42578125" style="11" bestFit="1" customWidth="1"/>
    <col min="6" max="6" width="6" style="11" customWidth="1"/>
    <col min="7" max="7" width="16.140625" style="11" bestFit="1" customWidth="1"/>
    <col min="8" max="8" width="9.140625" style="11"/>
    <col min="9" max="9" width="16.28515625" style="11" bestFit="1" customWidth="1"/>
    <col min="10" max="10" width="11.7109375" style="11" bestFit="1" customWidth="1"/>
    <col min="11" max="11" width="4.5703125" style="11" customWidth="1"/>
    <col min="12" max="16384" width="9.140625" style="11"/>
  </cols>
  <sheetData>
    <row r="1" spans="1:12" ht="21.75" x14ac:dyDescent="0.2">
      <c r="A1" s="312"/>
      <c r="C1" s="574"/>
      <c r="D1" s="574"/>
      <c r="E1" s="574"/>
      <c r="F1" s="574"/>
      <c r="G1" s="574"/>
      <c r="H1" s="24"/>
    </row>
    <row r="2" spans="1:12" ht="18" x14ac:dyDescent="0.25">
      <c r="C2" s="575"/>
      <c r="D2" s="575"/>
      <c r="E2" s="575"/>
      <c r="F2" s="575"/>
      <c r="G2" s="575"/>
      <c r="H2" s="575"/>
      <c r="I2" s="575"/>
      <c r="J2" s="575"/>
      <c r="K2" s="575"/>
      <c r="L2" s="575"/>
    </row>
    <row r="3" spans="1:12" ht="24.75" customHeight="1" x14ac:dyDescent="0.25">
      <c r="C3" s="575"/>
      <c r="D3" s="575"/>
      <c r="E3" s="575"/>
      <c r="F3" s="575"/>
      <c r="G3" s="575"/>
      <c r="H3" s="575"/>
      <c r="I3" s="575"/>
      <c r="J3" s="575"/>
      <c r="K3" s="575"/>
      <c r="L3" s="575"/>
    </row>
    <row r="4" spans="1:12" ht="50.25" customHeight="1" x14ac:dyDescent="0.25">
      <c r="C4" s="575"/>
      <c r="D4" s="575"/>
      <c r="E4" s="575"/>
      <c r="F4" s="575"/>
      <c r="G4" s="575"/>
      <c r="H4" s="575"/>
      <c r="I4" s="575"/>
      <c r="J4" s="575"/>
      <c r="K4" s="575"/>
      <c r="L4" s="575"/>
    </row>
    <row r="5" spans="1:12" ht="50.25" customHeight="1" x14ac:dyDescent="0.2"/>
    <row r="6" spans="1:12" ht="23.25" x14ac:dyDescent="0.35">
      <c r="C6" s="284" t="s">
        <v>389</v>
      </c>
    </row>
    <row r="8" spans="1:12" ht="15.75" x14ac:dyDescent="0.2">
      <c r="C8" s="579" t="s">
        <v>391</v>
      </c>
      <c r="D8" s="579"/>
      <c r="E8" s="579"/>
      <c r="F8" s="579"/>
      <c r="G8" s="116"/>
      <c r="H8" s="116"/>
      <c r="I8" s="381" t="s">
        <v>358</v>
      </c>
      <c r="J8" s="122"/>
    </row>
    <row r="9" spans="1:12" x14ac:dyDescent="0.2">
      <c r="C9" s="121"/>
      <c r="D9" s="121"/>
      <c r="E9" s="116"/>
      <c r="F9" s="116"/>
      <c r="G9" s="116"/>
      <c r="H9" s="116"/>
      <c r="I9" s="29"/>
      <c r="J9" s="122"/>
    </row>
    <row r="10" spans="1:12" x14ac:dyDescent="0.2">
      <c r="C10" s="123" t="s">
        <v>209</v>
      </c>
      <c r="D10" s="123"/>
      <c r="E10" s="116"/>
      <c r="F10" s="116"/>
      <c r="G10" s="116"/>
      <c r="H10" s="438" t="s">
        <v>446</v>
      </c>
      <c r="I10" s="321">
        <f>'H1 Adj. Taxable Income Historic'!G119</f>
        <v>3</v>
      </c>
      <c r="J10" s="235" t="s">
        <v>0</v>
      </c>
    </row>
    <row r="11" spans="1:12" hidden="1" x14ac:dyDescent="0.2">
      <c r="C11" s="124"/>
      <c r="D11" s="124"/>
      <c r="E11" s="116"/>
      <c r="F11" s="116"/>
      <c r="G11" s="116"/>
      <c r="H11" s="116"/>
      <c r="I11" s="116"/>
      <c r="J11" s="236"/>
    </row>
    <row r="12" spans="1:12" hidden="1" x14ac:dyDescent="0.2">
      <c r="C12" s="140" t="s">
        <v>246</v>
      </c>
      <c r="D12" s="140"/>
      <c r="E12" s="116"/>
      <c r="F12" s="116"/>
      <c r="G12" s="116"/>
      <c r="H12" s="116"/>
      <c r="I12" s="116"/>
      <c r="J12" s="236"/>
    </row>
    <row r="13" spans="1:12" ht="14.25" hidden="1" x14ac:dyDescent="0.2">
      <c r="C13" s="297" t="s">
        <v>241</v>
      </c>
      <c r="D13" s="298" t="s">
        <v>313</v>
      </c>
      <c r="E13" s="382"/>
      <c r="F13" s="233" t="s">
        <v>187</v>
      </c>
      <c r="G13" s="385"/>
      <c r="H13" s="233" t="s">
        <v>247</v>
      </c>
      <c r="J13" s="236"/>
    </row>
    <row r="14" spans="1:12" hidden="1" x14ac:dyDescent="0.2">
      <c r="C14" s="300"/>
      <c r="F14" s="136"/>
      <c r="H14" s="136"/>
      <c r="J14" s="136"/>
    </row>
    <row r="15" spans="1:12" ht="14.25" hidden="1" x14ac:dyDescent="0.2">
      <c r="C15" s="297" t="s">
        <v>242</v>
      </c>
      <c r="D15" s="144" t="s">
        <v>222</v>
      </c>
      <c r="E15" s="383">
        <f>IF(I10&gt;'B. Tax Rates &amp; Exemptions'!F27,'B. Tax Rates &amp; Exemptions'!F27,0)</f>
        <v>0</v>
      </c>
      <c r="F15" s="233" t="s">
        <v>188</v>
      </c>
      <c r="G15" s="116"/>
      <c r="H15" s="234"/>
      <c r="I15" s="116"/>
      <c r="J15" s="236"/>
    </row>
    <row r="16" spans="1:12" ht="14.25" hidden="1" x14ac:dyDescent="0.2">
      <c r="C16" s="300"/>
      <c r="D16" s="144" t="s">
        <v>340</v>
      </c>
      <c r="E16" s="382"/>
      <c r="F16" s="233" t="s">
        <v>189</v>
      </c>
      <c r="G16" s="384"/>
      <c r="H16" s="233" t="s">
        <v>248</v>
      </c>
      <c r="I16" s="116"/>
      <c r="J16" s="236"/>
    </row>
    <row r="17" spans="3:10" ht="14.25" hidden="1" x14ac:dyDescent="0.2">
      <c r="C17" s="300"/>
      <c r="D17" s="144"/>
      <c r="E17" s="116"/>
      <c r="F17" s="116"/>
      <c r="G17" s="116"/>
      <c r="H17" s="234"/>
      <c r="I17" s="116"/>
      <c r="J17" s="236"/>
    </row>
    <row r="18" spans="3:10" hidden="1" x14ac:dyDescent="0.2">
      <c r="C18" s="300"/>
      <c r="H18" s="136"/>
      <c r="I18" s="116"/>
      <c r="J18" s="236"/>
    </row>
    <row r="19" spans="3:10" hidden="1" x14ac:dyDescent="0.2">
      <c r="C19" s="300"/>
      <c r="H19" s="136"/>
      <c r="I19" s="116"/>
      <c r="J19" s="236"/>
    </row>
    <row r="20" spans="3:10" ht="14.25" hidden="1" x14ac:dyDescent="0.2">
      <c r="C20" s="297" t="s">
        <v>243</v>
      </c>
      <c r="D20" s="124"/>
      <c r="E20" s="116"/>
      <c r="F20" s="116"/>
      <c r="G20" s="116"/>
      <c r="H20" s="234"/>
      <c r="I20" s="321">
        <f>SUM(G13:G19)</f>
        <v>0</v>
      </c>
      <c r="J20" s="235" t="s">
        <v>254</v>
      </c>
    </row>
    <row r="21" spans="3:10" hidden="1" x14ac:dyDescent="0.2">
      <c r="C21" s="124"/>
      <c r="D21" s="124"/>
      <c r="E21" s="116"/>
      <c r="F21" s="116"/>
      <c r="G21" s="116"/>
      <c r="H21" s="234"/>
      <c r="I21" s="116"/>
      <c r="J21" s="236"/>
    </row>
    <row r="22" spans="3:10" hidden="1" x14ac:dyDescent="0.2">
      <c r="C22" s="124"/>
      <c r="D22" s="124"/>
      <c r="E22" s="116"/>
      <c r="F22" s="116"/>
      <c r="G22" s="116"/>
      <c r="H22" s="234"/>
      <c r="I22" s="116"/>
      <c r="J22" s="236"/>
    </row>
    <row r="23" spans="3:10" ht="14.25" x14ac:dyDescent="0.2">
      <c r="C23" s="202" t="s">
        <v>249</v>
      </c>
      <c r="D23" s="144" t="s">
        <v>413</v>
      </c>
      <c r="E23" s="116"/>
      <c r="G23" s="382">
        <v>0.115</v>
      </c>
      <c r="H23" s="233" t="s">
        <v>187</v>
      </c>
      <c r="I23" s="116"/>
      <c r="J23" s="236"/>
    </row>
    <row r="24" spans="3:10" ht="14.25" x14ac:dyDescent="0.2">
      <c r="C24" s="124"/>
      <c r="D24" s="144" t="s">
        <v>398</v>
      </c>
      <c r="E24" s="116"/>
      <c r="F24" s="116"/>
      <c r="G24" s="382">
        <v>0.15</v>
      </c>
      <c r="H24" s="233" t="s">
        <v>415</v>
      </c>
      <c r="I24" s="116"/>
      <c r="J24" s="236"/>
    </row>
    <row r="25" spans="3:10" ht="14.25" x14ac:dyDescent="0.2">
      <c r="C25" s="124"/>
      <c r="D25" s="144" t="s">
        <v>414</v>
      </c>
      <c r="E25" s="116"/>
      <c r="F25" s="116"/>
      <c r="H25" s="234"/>
      <c r="I25" s="322">
        <f>SUM(G23:G24)</f>
        <v>0.26500000000000001</v>
      </c>
      <c r="J25" s="235" t="s">
        <v>370</v>
      </c>
    </row>
    <row r="26" spans="3:10" x14ac:dyDescent="0.2">
      <c r="C26" s="124"/>
      <c r="D26" s="124"/>
      <c r="E26" s="116"/>
      <c r="F26" s="116"/>
      <c r="G26" s="116"/>
      <c r="H26" s="234"/>
      <c r="I26" s="116"/>
      <c r="J26" s="236"/>
    </row>
    <row r="27" spans="3:10" x14ac:dyDescent="0.2">
      <c r="C27" s="116"/>
      <c r="D27" s="116"/>
      <c r="E27" s="116"/>
      <c r="F27" s="116"/>
      <c r="G27" s="116"/>
      <c r="H27" s="234"/>
      <c r="I27" s="116"/>
      <c r="J27" s="236"/>
    </row>
    <row r="28" spans="3:10" x14ac:dyDescent="0.2">
      <c r="C28" s="118" t="s">
        <v>171</v>
      </c>
      <c r="D28" s="118"/>
      <c r="E28" s="116"/>
      <c r="F28" s="116"/>
      <c r="G28" s="116"/>
      <c r="H28" s="234"/>
      <c r="I28" s="323">
        <f>I10*I25</f>
        <v>0.79500000000000004</v>
      </c>
      <c r="J28" s="235" t="s">
        <v>417</v>
      </c>
    </row>
    <row r="29" spans="3:10" ht="6.75" customHeight="1" x14ac:dyDescent="0.2">
      <c r="C29" s="116"/>
      <c r="D29" s="116"/>
      <c r="E29" s="116"/>
      <c r="F29" s="116"/>
      <c r="G29" s="116"/>
      <c r="H29" s="234"/>
      <c r="I29" s="119"/>
      <c r="J29" s="236"/>
    </row>
    <row r="30" spans="3:10" x14ac:dyDescent="0.2">
      <c r="C30" s="124" t="s">
        <v>172</v>
      </c>
      <c r="D30" s="116"/>
      <c r="E30" s="116"/>
      <c r="F30" s="116"/>
      <c r="G30" s="116"/>
      <c r="H30" s="234"/>
      <c r="I30" s="386"/>
      <c r="J30" s="235" t="s">
        <v>418</v>
      </c>
    </row>
    <row r="31" spans="3:10" x14ac:dyDescent="0.2">
      <c r="C31" s="124" t="s">
        <v>173</v>
      </c>
      <c r="D31" s="116"/>
      <c r="E31" s="116"/>
      <c r="F31" s="116"/>
      <c r="G31" s="116"/>
      <c r="H31" s="234"/>
      <c r="I31" s="386"/>
      <c r="J31" s="235" t="s">
        <v>419</v>
      </c>
    </row>
    <row r="32" spans="3:10" x14ac:dyDescent="0.2">
      <c r="C32" s="118" t="s">
        <v>250</v>
      </c>
      <c r="D32" s="116"/>
      <c r="E32" s="116"/>
      <c r="F32" s="116"/>
      <c r="G32" s="116"/>
      <c r="H32" s="234"/>
      <c r="I32" s="323">
        <f>SUM(I30:I31)</f>
        <v>0</v>
      </c>
      <c r="J32" s="235" t="s">
        <v>420</v>
      </c>
    </row>
    <row r="33" spans="3:10" x14ac:dyDescent="0.2">
      <c r="C33" s="116"/>
      <c r="D33" s="116"/>
      <c r="E33" s="116"/>
      <c r="F33" s="116"/>
      <c r="G33" s="116"/>
      <c r="H33" s="234"/>
      <c r="I33" s="125"/>
      <c r="J33" s="236"/>
    </row>
    <row r="34" spans="3:10" x14ac:dyDescent="0.2">
      <c r="C34" s="118" t="s">
        <v>390</v>
      </c>
      <c r="D34" s="118"/>
      <c r="E34" s="116"/>
      <c r="F34" s="116"/>
      <c r="G34" s="116"/>
      <c r="H34" s="234"/>
      <c r="I34" s="323">
        <f>IF(I28-I32&lt;0,0,I28-I32)</f>
        <v>0.79500000000000004</v>
      </c>
      <c r="J34" s="235" t="s">
        <v>421</v>
      </c>
    </row>
    <row r="35" spans="3:10" x14ac:dyDescent="0.2">
      <c r="C35" s="116"/>
      <c r="D35" s="116"/>
      <c r="E35" s="116"/>
      <c r="F35" s="116"/>
      <c r="G35" s="116"/>
      <c r="H35" s="234"/>
      <c r="I35" s="126"/>
    </row>
    <row r="36" spans="3:10" x14ac:dyDescent="0.2">
      <c r="C36" s="116"/>
      <c r="D36" s="116"/>
      <c r="E36" s="116"/>
      <c r="F36" s="116"/>
      <c r="G36" s="261"/>
      <c r="H36" s="233"/>
      <c r="I36" s="309"/>
    </row>
    <row r="37" spans="3:10" x14ac:dyDescent="0.2">
      <c r="C37" s="115"/>
      <c r="D37" s="115"/>
      <c r="E37" s="116"/>
      <c r="F37" s="116"/>
      <c r="G37" s="116"/>
      <c r="H37" s="116"/>
      <c r="I37" s="117"/>
    </row>
    <row r="38" spans="3:10" x14ac:dyDescent="0.2">
      <c r="C38" s="71"/>
      <c r="G38" s="116"/>
      <c r="H38" s="116"/>
      <c r="I38" s="117"/>
    </row>
    <row r="39" spans="3:10" ht="32.25" customHeight="1" x14ac:dyDescent="0.2">
      <c r="C39" s="578"/>
      <c r="D39" s="578"/>
      <c r="E39" s="578"/>
      <c r="F39" s="578"/>
      <c r="G39" s="116"/>
      <c r="H39" s="116"/>
      <c r="I39" s="309"/>
    </row>
    <row r="40" spans="3:10" x14ac:dyDescent="0.2">
      <c r="C40" s="116"/>
      <c r="D40" s="116"/>
      <c r="E40" s="116"/>
      <c r="F40" s="116"/>
      <c r="G40" s="116"/>
      <c r="H40" s="116"/>
      <c r="I40" s="302"/>
    </row>
    <row r="42" spans="3:10" x14ac:dyDescent="0.2">
      <c r="C42" s="71"/>
    </row>
    <row r="43" spans="3:10" ht="36" customHeight="1" x14ac:dyDescent="0.2">
      <c r="C43" s="578"/>
      <c r="D43" s="578"/>
      <c r="E43" s="578"/>
      <c r="F43" s="578"/>
      <c r="I43" s="308"/>
    </row>
    <row r="44" spans="3:10" x14ac:dyDescent="0.2">
      <c r="I44" s="307"/>
    </row>
    <row r="45" spans="3:10" x14ac:dyDescent="0.2">
      <c r="I45" s="307"/>
    </row>
    <row r="46" spans="3:10" x14ac:dyDescent="0.2">
      <c r="I46" s="304"/>
    </row>
  </sheetData>
  <sheetProtection password="C2FC"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49" priority="1" stopIfTrue="1">
      <formula>ISBLANK(I30)</formula>
    </cfRule>
  </conditionalFormatting>
  <hyperlinks>
    <hyperlink ref="H10" location="'H1 Adj. Taxable Income Historic'!A1" display="'H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zoomScale="80" zoomScaleNormal="80" workbookViewId="0">
      <selection activeCell="E15" sqref="E15"/>
    </sheetView>
  </sheetViews>
  <sheetFormatPr defaultRowHeight="12.75" x14ac:dyDescent="0.2"/>
  <cols>
    <col min="1" max="1" width="3" style="11" customWidth="1"/>
    <col min="2" max="2" width="2.28515625" style="11" customWidth="1"/>
    <col min="3" max="3" width="75.42578125" style="11" customWidth="1"/>
    <col min="4" max="4" width="9.140625" style="11"/>
    <col min="5" max="5" width="13.7109375" style="11" customWidth="1"/>
    <col min="6" max="6" width="16.7109375" style="11" customWidth="1"/>
    <col min="7" max="7" width="13.42578125" style="11" customWidth="1"/>
    <col min="8" max="16384" width="9.140625" style="11"/>
  </cols>
  <sheetData>
    <row r="1" spans="1:9" ht="21.75" x14ac:dyDescent="0.2">
      <c r="A1" s="312"/>
      <c r="C1" s="574"/>
      <c r="D1" s="574"/>
      <c r="E1" s="574"/>
      <c r="F1" s="1"/>
    </row>
    <row r="2" spans="1:9" ht="18" x14ac:dyDescent="0.25">
      <c r="C2" s="575"/>
      <c r="D2" s="575"/>
      <c r="E2" s="575"/>
      <c r="F2" s="575"/>
      <c r="G2" s="575"/>
      <c r="H2" s="575"/>
      <c r="I2" s="575"/>
    </row>
    <row r="3" spans="1:9" ht="18" x14ac:dyDescent="0.25">
      <c r="C3" s="575"/>
      <c r="D3" s="575"/>
      <c r="E3" s="575"/>
      <c r="F3" s="575"/>
      <c r="G3" s="575"/>
      <c r="H3" s="575"/>
      <c r="I3" s="575"/>
    </row>
    <row r="4" spans="1:9" ht="18" x14ac:dyDescent="0.25">
      <c r="C4" s="575"/>
      <c r="D4" s="575"/>
      <c r="E4" s="575"/>
      <c r="F4" s="575"/>
      <c r="G4" s="575"/>
      <c r="H4" s="575"/>
      <c r="I4" s="575"/>
    </row>
    <row r="6" spans="1:9" ht="37.5" customHeight="1" x14ac:dyDescent="0.2"/>
    <row r="8" spans="1:9" ht="28.5" customHeight="1" x14ac:dyDescent="0.35">
      <c r="C8" s="420" t="s">
        <v>388</v>
      </c>
    </row>
    <row r="9" spans="1:9" ht="23.25" x14ac:dyDescent="0.35">
      <c r="C9" s="284"/>
    </row>
    <row r="10" spans="1:9" ht="13.5" thickBot="1" x14ac:dyDescent="0.25"/>
    <row r="11" spans="1:9" ht="24" x14ac:dyDescent="0.2">
      <c r="C11" s="169"/>
      <c r="D11" s="170" t="s">
        <v>4</v>
      </c>
      <c r="E11" s="171" t="s">
        <v>5</v>
      </c>
      <c r="F11" s="171" t="s">
        <v>6</v>
      </c>
      <c r="G11" s="172" t="s">
        <v>208</v>
      </c>
    </row>
    <row r="12" spans="1:9" x14ac:dyDescent="0.2">
      <c r="C12" s="173" t="s">
        <v>7</v>
      </c>
      <c r="D12" s="16" t="s">
        <v>0</v>
      </c>
      <c r="E12" s="558">
        <v>2941700</v>
      </c>
      <c r="F12" s="245"/>
      <c r="G12" s="174">
        <f>+E12-F12</f>
        <v>2941700</v>
      </c>
    </row>
    <row r="13" spans="1:9" x14ac:dyDescent="0.2">
      <c r="C13" s="175" t="s">
        <v>8</v>
      </c>
      <c r="D13" s="17"/>
      <c r="E13" s="18"/>
      <c r="F13" s="19"/>
      <c r="G13" s="176"/>
    </row>
    <row r="14" spans="1:9" x14ac:dyDescent="0.2">
      <c r="C14" s="177" t="s">
        <v>9</v>
      </c>
      <c r="D14" s="21">
        <v>103</v>
      </c>
      <c r="E14" s="416">
        <v>14890</v>
      </c>
      <c r="F14" s="246"/>
      <c r="G14" s="174">
        <f t="shared" ref="G14:G54" si="0">+E14-F14</f>
        <v>14890</v>
      </c>
    </row>
    <row r="15" spans="1:9" x14ac:dyDescent="0.2">
      <c r="C15" s="177" t="s">
        <v>10</v>
      </c>
      <c r="D15" s="21">
        <v>104</v>
      </c>
      <c r="E15" s="558">
        <v>2513457</v>
      </c>
      <c r="F15" s="245"/>
      <c r="G15" s="174">
        <f t="shared" si="0"/>
        <v>2513457</v>
      </c>
    </row>
    <row r="16" spans="1:9" x14ac:dyDescent="0.2">
      <c r="C16" s="177" t="s">
        <v>11</v>
      </c>
      <c r="D16" s="21">
        <v>106</v>
      </c>
      <c r="E16" s="416">
        <v>112526</v>
      </c>
      <c r="F16" s="245"/>
      <c r="G16" s="174">
        <f t="shared" si="0"/>
        <v>112526</v>
      </c>
    </row>
    <row r="17" spans="3:7" x14ac:dyDescent="0.2">
      <c r="C17" s="177" t="s">
        <v>12</v>
      </c>
      <c r="D17" s="21">
        <v>107</v>
      </c>
      <c r="E17" s="245"/>
      <c r="F17" s="246"/>
      <c r="G17" s="174">
        <f t="shared" si="0"/>
        <v>0</v>
      </c>
    </row>
    <row r="18" spans="3:7" x14ac:dyDescent="0.2">
      <c r="C18" s="177" t="s">
        <v>13</v>
      </c>
      <c r="D18" s="21">
        <v>108</v>
      </c>
      <c r="E18" s="245"/>
      <c r="F18" s="246"/>
      <c r="G18" s="174">
        <f t="shared" si="0"/>
        <v>0</v>
      </c>
    </row>
    <row r="19" spans="3:7" x14ac:dyDescent="0.2">
      <c r="C19" s="177" t="s">
        <v>14</v>
      </c>
      <c r="D19" s="21">
        <v>109</v>
      </c>
      <c r="E19" s="245"/>
      <c r="F19" s="245"/>
      <c r="G19" s="174">
        <f t="shared" si="0"/>
        <v>0</v>
      </c>
    </row>
    <row r="20" spans="3:7" x14ac:dyDescent="0.2">
      <c r="C20" s="177" t="s">
        <v>15</v>
      </c>
      <c r="D20" s="21">
        <v>110</v>
      </c>
      <c r="E20" s="245"/>
      <c r="F20" s="245"/>
      <c r="G20" s="174">
        <f t="shared" si="0"/>
        <v>0</v>
      </c>
    </row>
    <row r="21" spans="3:7" x14ac:dyDescent="0.2">
      <c r="C21" s="177" t="s">
        <v>16</v>
      </c>
      <c r="D21" s="21">
        <v>111</v>
      </c>
      <c r="E21" s="245"/>
      <c r="F21" s="246"/>
      <c r="G21" s="174">
        <f t="shared" si="0"/>
        <v>0</v>
      </c>
    </row>
    <row r="22" spans="3:7" x14ac:dyDescent="0.2">
      <c r="C22" s="177" t="s">
        <v>17</v>
      </c>
      <c r="D22" s="21">
        <v>112</v>
      </c>
      <c r="E22" s="274"/>
      <c r="F22" s="245"/>
      <c r="G22" s="174">
        <f t="shared" si="0"/>
        <v>0</v>
      </c>
    </row>
    <row r="23" spans="3:7" x14ac:dyDescent="0.2">
      <c r="C23" s="177" t="s">
        <v>18</v>
      </c>
      <c r="D23" s="21">
        <v>113</v>
      </c>
      <c r="E23" s="245"/>
      <c r="F23" s="246"/>
      <c r="G23" s="174">
        <f t="shared" si="0"/>
        <v>0</v>
      </c>
    </row>
    <row r="24" spans="3:7" x14ac:dyDescent="0.2">
      <c r="C24" s="177" t="s">
        <v>19</v>
      </c>
      <c r="D24" s="21">
        <v>114</v>
      </c>
      <c r="E24" s="245"/>
      <c r="F24" s="245"/>
      <c r="G24" s="174">
        <f t="shared" si="0"/>
        <v>0</v>
      </c>
    </row>
    <row r="25" spans="3:7" x14ac:dyDescent="0.2">
      <c r="C25" s="177" t="s">
        <v>20</v>
      </c>
      <c r="D25" s="21">
        <v>116</v>
      </c>
      <c r="E25" s="245"/>
      <c r="F25" s="245"/>
      <c r="G25" s="174">
        <f t="shared" si="0"/>
        <v>0</v>
      </c>
    </row>
    <row r="26" spans="3:7" x14ac:dyDescent="0.2">
      <c r="C26" s="177" t="s">
        <v>21</v>
      </c>
      <c r="D26" s="21">
        <v>118</v>
      </c>
      <c r="E26" s="245"/>
      <c r="F26" s="245"/>
      <c r="G26" s="174">
        <f t="shared" si="0"/>
        <v>0</v>
      </c>
    </row>
    <row r="27" spans="3:7" x14ac:dyDescent="0.2">
      <c r="C27" s="177" t="s">
        <v>22</v>
      </c>
      <c r="D27" s="21">
        <v>119</v>
      </c>
      <c r="E27" s="245"/>
      <c r="F27" s="245"/>
      <c r="G27" s="174">
        <f t="shared" si="0"/>
        <v>0</v>
      </c>
    </row>
    <row r="28" spans="3:7" x14ac:dyDescent="0.2">
      <c r="C28" s="177" t="s">
        <v>23</v>
      </c>
      <c r="D28" s="21">
        <v>120</v>
      </c>
      <c r="E28" s="416">
        <v>354</v>
      </c>
      <c r="F28" s="245"/>
      <c r="G28" s="174">
        <f t="shared" si="0"/>
        <v>354</v>
      </c>
    </row>
    <row r="29" spans="3:7" x14ac:dyDescent="0.2">
      <c r="C29" s="177" t="s">
        <v>24</v>
      </c>
      <c r="D29" s="21">
        <v>121</v>
      </c>
      <c r="E29" s="558">
        <v>4545</v>
      </c>
      <c r="F29" s="245"/>
      <c r="G29" s="174">
        <f t="shared" si="0"/>
        <v>4545</v>
      </c>
    </row>
    <row r="30" spans="3:7" x14ac:dyDescent="0.2">
      <c r="C30" s="177" t="s">
        <v>25</v>
      </c>
      <c r="D30" s="21">
        <v>122</v>
      </c>
      <c r="E30" s="245"/>
      <c r="F30" s="245"/>
      <c r="G30" s="174">
        <f t="shared" si="0"/>
        <v>0</v>
      </c>
    </row>
    <row r="31" spans="3:7" x14ac:dyDescent="0.2">
      <c r="C31" s="177" t="s">
        <v>26</v>
      </c>
      <c r="D31" s="21">
        <v>123</v>
      </c>
      <c r="E31" s="245"/>
      <c r="F31" s="245"/>
      <c r="G31" s="174">
        <f t="shared" si="0"/>
        <v>0</v>
      </c>
    </row>
    <row r="32" spans="3:7" x14ac:dyDescent="0.2">
      <c r="C32" s="177" t="s">
        <v>27</v>
      </c>
      <c r="D32" s="21">
        <v>124</v>
      </c>
      <c r="E32" s="245"/>
      <c r="F32" s="245"/>
      <c r="G32" s="174">
        <f t="shared" si="0"/>
        <v>0</v>
      </c>
    </row>
    <row r="33" spans="3:7" x14ac:dyDescent="0.2">
      <c r="C33" s="178" t="s">
        <v>28</v>
      </c>
      <c r="D33" s="23">
        <v>125</v>
      </c>
      <c r="E33" s="245"/>
      <c r="F33" s="247"/>
      <c r="G33" s="174">
        <f t="shared" si="0"/>
        <v>0</v>
      </c>
    </row>
    <row r="34" spans="3:7" x14ac:dyDescent="0.2">
      <c r="C34" s="177" t="s">
        <v>29</v>
      </c>
      <c r="D34" s="21">
        <v>126</v>
      </c>
      <c r="E34" s="416">
        <v>288978</v>
      </c>
      <c r="F34" s="246"/>
      <c r="G34" s="174">
        <f t="shared" si="0"/>
        <v>288978</v>
      </c>
    </row>
    <row r="35" spans="3:7" x14ac:dyDescent="0.2">
      <c r="C35" s="177" t="s">
        <v>30</v>
      </c>
      <c r="D35" s="21">
        <v>127</v>
      </c>
      <c r="E35" s="245"/>
      <c r="F35" s="245"/>
      <c r="G35" s="174">
        <f t="shared" si="0"/>
        <v>0</v>
      </c>
    </row>
    <row r="36" spans="3:7" x14ac:dyDescent="0.2">
      <c r="C36" s="177" t="s">
        <v>31</v>
      </c>
      <c r="D36" s="21">
        <v>205</v>
      </c>
      <c r="E36" s="245"/>
      <c r="F36" s="245"/>
      <c r="G36" s="174">
        <f t="shared" si="0"/>
        <v>0</v>
      </c>
    </row>
    <row r="37" spans="3:7" x14ac:dyDescent="0.2">
      <c r="C37" s="177" t="s">
        <v>32</v>
      </c>
      <c r="D37" s="21">
        <v>206</v>
      </c>
      <c r="E37" s="245"/>
      <c r="F37" s="245"/>
      <c r="G37" s="174">
        <f t="shared" si="0"/>
        <v>0</v>
      </c>
    </row>
    <row r="38" spans="3:7" x14ac:dyDescent="0.2">
      <c r="C38" s="177" t="s">
        <v>33</v>
      </c>
      <c r="D38" s="21">
        <v>208</v>
      </c>
      <c r="E38" s="245"/>
      <c r="F38" s="245"/>
      <c r="G38" s="174">
        <f t="shared" si="0"/>
        <v>0</v>
      </c>
    </row>
    <row r="39" spans="3:7" x14ac:dyDescent="0.2">
      <c r="C39" s="177" t="s">
        <v>34</v>
      </c>
      <c r="D39" s="21">
        <v>212</v>
      </c>
      <c r="E39" s="245"/>
      <c r="F39" s="245"/>
      <c r="G39" s="174">
        <f t="shared" si="0"/>
        <v>0</v>
      </c>
    </row>
    <row r="40" spans="3:7" x14ac:dyDescent="0.2">
      <c r="C40" s="177" t="s">
        <v>35</v>
      </c>
      <c r="D40" s="21">
        <v>216</v>
      </c>
      <c r="E40" s="245"/>
      <c r="F40" s="245"/>
      <c r="G40" s="174">
        <f t="shared" si="0"/>
        <v>0</v>
      </c>
    </row>
    <row r="41" spans="3:7" x14ac:dyDescent="0.2">
      <c r="C41" s="177" t="s">
        <v>36</v>
      </c>
      <c r="D41" s="21">
        <v>220</v>
      </c>
      <c r="E41" s="245"/>
      <c r="F41" s="245"/>
      <c r="G41" s="174">
        <f t="shared" si="0"/>
        <v>0</v>
      </c>
    </row>
    <row r="42" spans="3:7" x14ac:dyDescent="0.2">
      <c r="C42" s="177" t="s">
        <v>37</v>
      </c>
      <c r="D42" s="21">
        <v>226</v>
      </c>
      <c r="E42" s="245"/>
      <c r="F42" s="245"/>
      <c r="G42" s="174">
        <f t="shared" si="0"/>
        <v>0</v>
      </c>
    </row>
    <row r="43" spans="3:7" x14ac:dyDescent="0.2">
      <c r="C43" s="177" t="s">
        <v>38</v>
      </c>
      <c r="D43" s="21">
        <v>227</v>
      </c>
      <c r="E43" s="245"/>
      <c r="F43" s="245"/>
      <c r="G43" s="174">
        <f t="shared" si="0"/>
        <v>0</v>
      </c>
    </row>
    <row r="44" spans="3:7" x14ac:dyDescent="0.2">
      <c r="C44" s="177" t="s">
        <v>39</v>
      </c>
      <c r="D44" s="21">
        <v>228</v>
      </c>
      <c r="E44" s="245"/>
      <c r="F44" s="245"/>
      <c r="G44" s="174">
        <f t="shared" si="0"/>
        <v>0</v>
      </c>
    </row>
    <row r="45" spans="3:7" x14ac:dyDescent="0.2">
      <c r="C45" s="177" t="s">
        <v>40</v>
      </c>
      <c r="D45" s="21">
        <v>231</v>
      </c>
      <c r="E45" s="245"/>
      <c r="F45" s="245"/>
      <c r="G45" s="174">
        <f t="shared" si="0"/>
        <v>0</v>
      </c>
    </row>
    <row r="46" spans="3:7" x14ac:dyDescent="0.2">
      <c r="C46" s="177" t="s">
        <v>41</v>
      </c>
      <c r="D46" s="21">
        <v>235</v>
      </c>
      <c r="E46" s="245"/>
      <c r="F46" s="245"/>
      <c r="G46" s="174">
        <f t="shared" si="0"/>
        <v>0</v>
      </c>
    </row>
    <row r="47" spans="3:7" x14ac:dyDescent="0.2">
      <c r="C47" s="177" t="s">
        <v>42</v>
      </c>
      <c r="D47" s="21">
        <v>236</v>
      </c>
      <c r="E47" s="245"/>
      <c r="F47" s="245"/>
      <c r="G47" s="174">
        <f t="shared" si="0"/>
        <v>0</v>
      </c>
    </row>
    <row r="48" spans="3:7" ht="24" x14ac:dyDescent="0.2">
      <c r="C48" s="177" t="s">
        <v>43</v>
      </c>
      <c r="D48" s="21">
        <v>237</v>
      </c>
      <c r="E48" s="245"/>
      <c r="F48" s="245"/>
      <c r="G48" s="179">
        <f t="shared" si="0"/>
        <v>0</v>
      </c>
    </row>
    <row r="49" spans="3:7" x14ac:dyDescent="0.2">
      <c r="C49" s="580" t="s">
        <v>44</v>
      </c>
      <c r="D49" s="581"/>
      <c r="E49" s="581"/>
      <c r="F49" s="581"/>
      <c r="G49" s="582"/>
    </row>
    <row r="50" spans="3:7" x14ac:dyDescent="0.2">
      <c r="C50" s="177" t="s">
        <v>45</v>
      </c>
      <c r="D50" s="21">
        <v>290</v>
      </c>
      <c r="E50" s="416">
        <v>4737493</v>
      </c>
      <c r="F50" s="245"/>
      <c r="G50" s="180">
        <f t="shared" si="0"/>
        <v>4737493</v>
      </c>
    </row>
    <row r="51" spans="3:7" x14ac:dyDescent="0.2">
      <c r="C51" s="177" t="s">
        <v>46</v>
      </c>
      <c r="D51" s="21">
        <v>291</v>
      </c>
      <c r="E51" s="416">
        <v>948925</v>
      </c>
      <c r="F51" s="245"/>
      <c r="G51" s="180">
        <f t="shared" si="0"/>
        <v>948925</v>
      </c>
    </row>
    <row r="52" spans="3:7" x14ac:dyDescent="0.2">
      <c r="C52" s="177" t="s">
        <v>47</v>
      </c>
      <c r="D52" s="21">
        <v>292</v>
      </c>
      <c r="E52" s="245"/>
      <c r="F52" s="245"/>
      <c r="G52" s="180">
        <f t="shared" si="0"/>
        <v>0</v>
      </c>
    </row>
    <row r="53" spans="3:7" x14ac:dyDescent="0.2">
      <c r="C53" s="177" t="s">
        <v>48</v>
      </c>
      <c r="D53" s="21">
        <v>293</v>
      </c>
      <c r="E53" s="416">
        <v>25576</v>
      </c>
      <c r="F53" s="245"/>
      <c r="G53" s="180">
        <f t="shared" si="0"/>
        <v>25576</v>
      </c>
    </row>
    <row r="54" spans="3:7" x14ac:dyDescent="0.2">
      <c r="C54" s="268"/>
      <c r="D54" s="21">
        <v>294</v>
      </c>
      <c r="E54" s="274"/>
      <c r="F54" s="245"/>
      <c r="G54" s="180">
        <f t="shared" si="0"/>
        <v>0</v>
      </c>
    </row>
    <row r="55" spans="3:7" x14ac:dyDescent="0.2">
      <c r="C55" s="268"/>
      <c r="D55" s="25">
        <v>295</v>
      </c>
      <c r="E55" s="245"/>
      <c r="F55" s="245"/>
      <c r="G55" s="180">
        <f t="shared" ref="G55:G70" si="1">+E55-F55</f>
        <v>0</v>
      </c>
    </row>
    <row r="56" spans="3:7" x14ac:dyDescent="0.2">
      <c r="C56" s="285" t="s">
        <v>323</v>
      </c>
      <c r="D56" s="25"/>
      <c r="E56" s="245"/>
      <c r="F56" s="245"/>
      <c r="G56" s="180">
        <f t="shared" si="1"/>
        <v>0</v>
      </c>
    </row>
    <row r="57" spans="3:7" x14ac:dyDescent="0.2">
      <c r="C57" s="285" t="s">
        <v>324</v>
      </c>
      <c r="D57" s="25"/>
      <c r="E57" s="245"/>
      <c r="F57" s="245"/>
      <c r="G57" s="180">
        <f t="shared" si="1"/>
        <v>0</v>
      </c>
    </row>
    <row r="58" spans="3:7" x14ac:dyDescent="0.2">
      <c r="C58" s="285" t="s">
        <v>325</v>
      </c>
      <c r="D58" s="25"/>
      <c r="E58" s="245"/>
      <c r="F58" s="245"/>
      <c r="G58" s="180">
        <f t="shared" si="1"/>
        <v>0</v>
      </c>
    </row>
    <row r="59" spans="3:7" x14ac:dyDescent="0.2">
      <c r="C59" s="285" t="s">
        <v>326</v>
      </c>
      <c r="D59" s="25"/>
      <c r="E59" s="245"/>
      <c r="F59" s="245"/>
      <c r="G59" s="180">
        <f t="shared" si="1"/>
        <v>0</v>
      </c>
    </row>
    <row r="60" spans="3:7" x14ac:dyDescent="0.2">
      <c r="C60" s="285" t="s">
        <v>327</v>
      </c>
      <c r="D60" s="25"/>
      <c r="E60" s="245"/>
      <c r="F60" s="245"/>
      <c r="G60" s="180">
        <f t="shared" si="1"/>
        <v>0</v>
      </c>
    </row>
    <row r="61" spans="3:7" x14ac:dyDescent="0.2">
      <c r="C61" s="268"/>
      <c r="D61" s="25"/>
      <c r="E61" s="245"/>
      <c r="F61" s="245"/>
      <c r="G61" s="180">
        <f t="shared" si="1"/>
        <v>0</v>
      </c>
    </row>
    <row r="62" spans="3:7" x14ac:dyDescent="0.2">
      <c r="C62" s="268" t="s">
        <v>486</v>
      </c>
      <c r="D62" s="25"/>
      <c r="E62" s="416">
        <v>40557</v>
      </c>
      <c r="F62" s="245"/>
      <c r="G62" s="180">
        <f t="shared" si="1"/>
        <v>40557</v>
      </c>
    </row>
    <row r="63" spans="3:7" x14ac:dyDescent="0.2">
      <c r="C63" s="268" t="s">
        <v>487</v>
      </c>
      <c r="D63" s="25"/>
      <c r="E63" s="416">
        <v>387138</v>
      </c>
      <c r="F63" s="245"/>
      <c r="G63" s="180">
        <f t="shared" si="1"/>
        <v>387138</v>
      </c>
    </row>
    <row r="64" spans="3:7" x14ac:dyDescent="0.2">
      <c r="C64" s="268"/>
      <c r="D64" s="25"/>
      <c r="E64" s="245"/>
      <c r="F64" s="245"/>
      <c r="G64" s="180">
        <f t="shared" si="1"/>
        <v>0</v>
      </c>
    </row>
    <row r="65" spans="3:7" x14ac:dyDescent="0.2">
      <c r="C65" s="268"/>
      <c r="D65" s="25"/>
      <c r="E65" s="245"/>
      <c r="F65" s="245"/>
      <c r="G65" s="180">
        <f t="shared" si="1"/>
        <v>0</v>
      </c>
    </row>
    <row r="66" spans="3:7" x14ac:dyDescent="0.2">
      <c r="C66" s="268"/>
      <c r="D66" s="25"/>
      <c r="E66" s="245"/>
      <c r="F66" s="245"/>
      <c r="G66" s="180">
        <f t="shared" si="1"/>
        <v>0</v>
      </c>
    </row>
    <row r="67" spans="3:7" x14ac:dyDescent="0.2">
      <c r="C67" s="268"/>
      <c r="D67" s="25"/>
      <c r="E67" s="245"/>
      <c r="F67" s="245"/>
      <c r="G67" s="180">
        <f t="shared" si="1"/>
        <v>0</v>
      </c>
    </row>
    <row r="68" spans="3:7" x14ac:dyDescent="0.2">
      <c r="C68" s="268"/>
      <c r="D68" s="25"/>
      <c r="E68" s="245"/>
      <c r="F68" s="245"/>
      <c r="G68" s="180">
        <f t="shared" si="1"/>
        <v>0</v>
      </c>
    </row>
    <row r="69" spans="3:7" x14ac:dyDescent="0.2">
      <c r="C69" s="268"/>
      <c r="D69" s="21"/>
      <c r="E69" s="245"/>
      <c r="F69" s="245"/>
      <c r="G69" s="180">
        <f t="shared" si="1"/>
        <v>0</v>
      </c>
    </row>
    <row r="70" spans="3:7" ht="13.5" thickBot="1" x14ac:dyDescent="0.25">
      <c r="C70" s="269"/>
      <c r="D70" s="340"/>
      <c r="E70" s="267"/>
      <c r="F70" s="267"/>
      <c r="G70" s="180">
        <f t="shared" si="1"/>
        <v>0</v>
      </c>
    </row>
    <row r="71" spans="3:7" ht="13.5" thickBot="1" x14ac:dyDescent="0.25">
      <c r="C71" s="26" t="s">
        <v>49</v>
      </c>
      <c r="D71" s="27"/>
      <c r="E71" s="28">
        <f>SUM(E13:E70)</f>
        <v>9074439</v>
      </c>
      <c r="F71" s="28">
        <f>SUM(F13:F70)</f>
        <v>0</v>
      </c>
      <c r="G71" s="270">
        <f>SUM(G13:G70)</f>
        <v>9074439</v>
      </c>
    </row>
    <row r="72" spans="3:7" x14ac:dyDescent="0.2">
      <c r="C72" s="181"/>
      <c r="D72" s="29"/>
      <c r="E72" s="30"/>
      <c r="F72" s="30"/>
      <c r="G72" s="182"/>
    </row>
    <row r="73" spans="3:7" x14ac:dyDescent="0.2">
      <c r="C73" s="183" t="s">
        <v>50</v>
      </c>
      <c r="D73" s="31"/>
      <c r="E73" s="32"/>
      <c r="F73" s="32"/>
      <c r="G73" s="184"/>
    </row>
    <row r="74" spans="3:7" x14ac:dyDescent="0.2">
      <c r="C74" s="177" t="s">
        <v>51</v>
      </c>
      <c r="D74" s="21">
        <v>401</v>
      </c>
      <c r="E74" s="558">
        <v>1200</v>
      </c>
      <c r="F74" s="245"/>
      <c r="G74" s="185">
        <f t="shared" ref="G74:G107" si="2">+E74-F74</f>
        <v>1200</v>
      </c>
    </row>
    <row r="75" spans="3:7" x14ac:dyDescent="0.2">
      <c r="C75" s="178" t="s">
        <v>52</v>
      </c>
      <c r="D75" s="21">
        <v>402</v>
      </c>
      <c r="E75" s="416"/>
      <c r="F75" s="245"/>
      <c r="G75" s="185">
        <f t="shared" si="2"/>
        <v>0</v>
      </c>
    </row>
    <row r="76" spans="3:7" x14ac:dyDescent="0.2">
      <c r="C76" s="177" t="s">
        <v>53</v>
      </c>
      <c r="D76" s="21">
        <v>403</v>
      </c>
      <c r="E76" s="416">
        <v>2389605</v>
      </c>
      <c r="F76" s="245"/>
      <c r="G76" s="185">
        <f t="shared" si="2"/>
        <v>2389605</v>
      </c>
    </row>
    <row r="77" spans="3:7" x14ac:dyDescent="0.2">
      <c r="C77" s="178" t="s">
        <v>54</v>
      </c>
      <c r="D77" s="21">
        <v>404</v>
      </c>
      <c r="E77" s="416"/>
      <c r="F77" s="245"/>
      <c r="G77" s="185">
        <f t="shared" si="2"/>
        <v>0</v>
      </c>
    </row>
    <row r="78" spans="3:7" x14ac:dyDescent="0.2">
      <c r="C78" s="177" t="s">
        <v>55</v>
      </c>
      <c r="D78" s="21">
        <v>405</v>
      </c>
      <c r="E78" s="416">
        <v>5974</v>
      </c>
      <c r="F78" s="245"/>
      <c r="G78" s="185">
        <f t="shared" si="2"/>
        <v>5974</v>
      </c>
    </row>
    <row r="79" spans="3:7" x14ac:dyDescent="0.2">
      <c r="C79" s="177" t="s">
        <v>56</v>
      </c>
      <c r="D79" s="21">
        <v>406</v>
      </c>
      <c r="E79" s="416"/>
      <c r="F79" s="245"/>
      <c r="G79" s="185">
        <f t="shared" si="2"/>
        <v>0</v>
      </c>
    </row>
    <row r="80" spans="3:7" x14ac:dyDescent="0.2">
      <c r="C80" s="177" t="s">
        <v>20</v>
      </c>
      <c r="D80" s="21">
        <v>409</v>
      </c>
      <c r="E80" s="416"/>
      <c r="F80" s="245"/>
      <c r="G80" s="185">
        <f t="shared" si="2"/>
        <v>0</v>
      </c>
    </row>
    <row r="81" spans="3:7" x14ac:dyDescent="0.2">
      <c r="C81" s="177" t="s">
        <v>57</v>
      </c>
      <c r="D81" s="21">
        <v>411</v>
      </c>
      <c r="E81" s="416"/>
      <c r="F81" s="245"/>
      <c r="G81" s="185">
        <f t="shared" si="2"/>
        <v>0</v>
      </c>
    </row>
    <row r="82" spans="3:7" x14ac:dyDescent="0.2">
      <c r="C82" s="177" t="s">
        <v>58</v>
      </c>
      <c r="D82" s="23">
        <v>413</v>
      </c>
      <c r="E82" s="416"/>
      <c r="F82" s="245"/>
      <c r="G82" s="185">
        <f t="shared" si="2"/>
        <v>0</v>
      </c>
    </row>
    <row r="83" spans="3:7" x14ac:dyDescent="0.2">
      <c r="C83" s="177" t="s">
        <v>59</v>
      </c>
      <c r="D83" s="21">
        <v>414</v>
      </c>
      <c r="E83" s="558">
        <v>265257</v>
      </c>
      <c r="F83" s="245"/>
      <c r="G83" s="185">
        <f t="shared" si="2"/>
        <v>265257</v>
      </c>
    </row>
    <row r="84" spans="3:7" x14ac:dyDescent="0.2">
      <c r="C84" s="177" t="s">
        <v>60</v>
      </c>
      <c r="D84" s="21">
        <v>416</v>
      </c>
      <c r="E84" s="245"/>
      <c r="F84" s="245"/>
      <c r="G84" s="185">
        <f t="shared" si="2"/>
        <v>0</v>
      </c>
    </row>
    <row r="85" spans="3:7" x14ac:dyDescent="0.2">
      <c r="C85" s="177" t="s">
        <v>61</v>
      </c>
      <c r="D85" s="21">
        <v>305</v>
      </c>
      <c r="E85" s="245"/>
      <c r="F85" s="245"/>
      <c r="G85" s="185">
        <f t="shared" si="2"/>
        <v>0</v>
      </c>
    </row>
    <row r="86" spans="3:7" x14ac:dyDescent="0.2">
      <c r="C86" s="177" t="s">
        <v>62</v>
      </c>
      <c r="D86" s="21">
        <v>306</v>
      </c>
      <c r="E86" s="245"/>
      <c r="F86" s="245"/>
      <c r="G86" s="185">
        <f t="shared" si="2"/>
        <v>0</v>
      </c>
    </row>
    <row r="87" spans="3:7" x14ac:dyDescent="0.2">
      <c r="C87" s="186" t="s">
        <v>63</v>
      </c>
      <c r="D87" s="21"/>
      <c r="E87" s="245"/>
      <c r="F87" s="245"/>
      <c r="G87" s="180"/>
    </row>
    <row r="88" spans="3:7" x14ac:dyDescent="0.2">
      <c r="C88" s="177"/>
      <c r="D88" s="21"/>
      <c r="E88" s="245"/>
      <c r="F88" s="245"/>
      <c r="G88" s="180"/>
    </row>
    <row r="89" spans="3:7" x14ac:dyDescent="0.2">
      <c r="C89" s="178" t="s">
        <v>64</v>
      </c>
      <c r="D89" s="21">
        <v>390</v>
      </c>
      <c r="E89" s="416">
        <v>4737493</v>
      </c>
      <c r="F89" s="245"/>
      <c r="G89" s="185">
        <f t="shared" si="2"/>
        <v>4737493</v>
      </c>
    </row>
    <row r="90" spans="3:7" x14ac:dyDescent="0.2">
      <c r="C90" s="178" t="s">
        <v>65</v>
      </c>
      <c r="D90" s="21">
        <v>391</v>
      </c>
      <c r="E90" s="416">
        <v>3523</v>
      </c>
      <c r="F90" s="245"/>
      <c r="G90" s="185">
        <f t="shared" si="2"/>
        <v>3523</v>
      </c>
    </row>
    <row r="91" spans="3:7" x14ac:dyDescent="0.2">
      <c r="C91" s="177" t="s">
        <v>66</v>
      </c>
      <c r="D91" s="21">
        <v>392</v>
      </c>
      <c r="E91" s="416">
        <v>2902440</v>
      </c>
      <c r="F91" s="245"/>
      <c r="G91" s="185">
        <f t="shared" si="2"/>
        <v>2902440</v>
      </c>
    </row>
    <row r="92" spans="3:7" x14ac:dyDescent="0.2">
      <c r="C92" s="416" t="s">
        <v>491</v>
      </c>
      <c r="D92" s="21">
        <v>393</v>
      </c>
      <c r="E92" s="416">
        <v>1406300</v>
      </c>
      <c r="F92" s="245"/>
      <c r="G92" s="185">
        <f t="shared" si="2"/>
        <v>1406300</v>
      </c>
    </row>
    <row r="93" spans="3:7" x14ac:dyDescent="0.2">
      <c r="C93" s="416" t="s">
        <v>492</v>
      </c>
      <c r="D93" s="21">
        <v>394</v>
      </c>
      <c r="E93" s="416">
        <v>304344</v>
      </c>
      <c r="F93" s="245"/>
      <c r="G93" s="185">
        <f t="shared" si="2"/>
        <v>304344</v>
      </c>
    </row>
    <row r="94" spans="3:7" x14ac:dyDescent="0.2">
      <c r="C94" s="177" t="s">
        <v>328</v>
      </c>
      <c r="D94" s="25"/>
      <c r="E94" s="245"/>
      <c r="F94" s="245"/>
      <c r="G94" s="180">
        <f t="shared" si="2"/>
        <v>0</v>
      </c>
    </row>
    <row r="95" spans="3:7" x14ac:dyDescent="0.2">
      <c r="C95" s="177" t="s">
        <v>329</v>
      </c>
      <c r="D95" s="25"/>
      <c r="E95" s="245"/>
      <c r="F95" s="245"/>
      <c r="G95" s="180">
        <f t="shared" si="2"/>
        <v>0</v>
      </c>
    </row>
    <row r="96" spans="3:7" x14ac:dyDescent="0.2">
      <c r="C96" s="177" t="s">
        <v>330</v>
      </c>
      <c r="D96" s="25"/>
      <c r="E96" s="245"/>
      <c r="F96" s="245"/>
      <c r="G96" s="180">
        <f t="shared" si="2"/>
        <v>0</v>
      </c>
    </row>
    <row r="97" spans="3:7" x14ac:dyDescent="0.2">
      <c r="C97" s="177" t="s">
        <v>331</v>
      </c>
      <c r="D97" s="25"/>
      <c r="E97" s="245"/>
      <c r="F97" s="245"/>
      <c r="G97" s="180">
        <f t="shared" si="2"/>
        <v>0</v>
      </c>
    </row>
    <row r="98" spans="3:7" x14ac:dyDescent="0.2">
      <c r="C98" s="177" t="s">
        <v>332</v>
      </c>
      <c r="D98" s="25"/>
      <c r="E98" s="245"/>
      <c r="F98" s="245"/>
      <c r="G98" s="180">
        <f t="shared" si="2"/>
        <v>0</v>
      </c>
    </row>
    <row r="99" spans="3:7" x14ac:dyDescent="0.2">
      <c r="C99" s="177" t="s">
        <v>333</v>
      </c>
      <c r="D99" s="25"/>
      <c r="E99" s="245"/>
      <c r="F99" s="245"/>
      <c r="G99" s="180">
        <f t="shared" si="2"/>
        <v>0</v>
      </c>
    </row>
    <row r="100" spans="3:7" x14ac:dyDescent="0.2">
      <c r="C100" s="177" t="s">
        <v>334</v>
      </c>
      <c r="D100" s="25"/>
      <c r="E100" s="245"/>
      <c r="F100" s="245"/>
      <c r="G100" s="180">
        <f t="shared" si="2"/>
        <v>0</v>
      </c>
    </row>
    <row r="101" spans="3:7" x14ac:dyDescent="0.2">
      <c r="C101" s="268"/>
      <c r="D101" s="25"/>
      <c r="E101" s="245"/>
      <c r="F101" s="245"/>
      <c r="G101" s="180">
        <f t="shared" si="2"/>
        <v>0</v>
      </c>
    </row>
    <row r="102" spans="3:7" x14ac:dyDescent="0.2">
      <c r="C102" s="268"/>
      <c r="D102" s="25"/>
      <c r="E102" s="245"/>
      <c r="F102" s="245"/>
      <c r="G102" s="180">
        <f t="shared" si="2"/>
        <v>0</v>
      </c>
    </row>
    <row r="103" spans="3:7" x14ac:dyDescent="0.2">
      <c r="C103" s="268"/>
      <c r="D103" s="25"/>
      <c r="E103" s="245"/>
      <c r="F103" s="245"/>
      <c r="G103" s="180">
        <f t="shared" si="2"/>
        <v>0</v>
      </c>
    </row>
    <row r="104" spans="3:7" x14ac:dyDescent="0.2">
      <c r="C104" s="268"/>
      <c r="D104" s="25"/>
      <c r="E104" s="245"/>
      <c r="F104" s="245"/>
      <c r="G104" s="180">
        <f t="shared" si="2"/>
        <v>0</v>
      </c>
    </row>
    <row r="105" spans="3:7" x14ac:dyDescent="0.2">
      <c r="C105" s="268"/>
      <c r="D105" s="25"/>
      <c r="E105" s="245"/>
      <c r="F105" s="245"/>
      <c r="G105" s="180">
        <f t="shared" si="2"/>
        <v>0</v>
      </c>
    </row>
    <row r="106" spans="3:7" x14ac:dyDescent="0.2">
      <c r="C106" s="268"/>
      <c r="D106" s="25"/>
      <c r="E106" s="245"/>
      <c r="F106" s="245"/>
      <c r="G106" s="180">
        <f t="shared" si="2"/>
        <v>0</v>
      </c>
    </row>
    <row r="107" spans="3:7" x14ac:dyDescent="0.2">
      <c r="C107" s="268"/>
      <c r="D107" s="21"/>
      <c r="E107" s="245"/>
      <c r="F107" s="245"/>
      <c r="G107" s="180">
        <f t="shared" si="2"/>
        <v>0</v>
      </c>
    </row>
    <row r="108" spans="3:7" x14ac:dyDescent="0.2">
      <c r="C108" s="245"/>
      <c r="D108" s="21"/>
      <c r="E108" s="245"/>
      <c r="F108" s="245"/>
      <c r="G108" s="185"/>
    </row>
    <row r="109" spans="3:7" x14ac:dyDescent="0.2">
      <c r="C109" s="187" t="s">
        <v>67</v>
      </c>
      <c r="D109" s="21"/>
      <c r="E109" s="35">
        <f>SUM(E74:E108)</f>
        <v>12016136</v>
      </c>
      <c r="F109" s="35">
        <f>SUM(F74:F108)</f>
        <v>0</v>
      </c>
      <c r="G109" s="191">
        <f>SUM(G74:G108)</f>
        <v>12016136</v>
      </c>
    </row>
    <row r="110" spans="3:7" x14ac:dyDescent="0.2">
      <c r="C110" s="188"/>
      <c r="D110" s="21"/>
      <c r="E110" s="37"/>
      <c r="F110" s="37"/>
      <c r="G110" s="189"/>
    </row>
    <row r="111" spans="3:7" x14ac:dyDescent="0.2">
      <c r="C111" s="190" t="s">
        <v>68</v>
      </c>
      <c r="D111" s="21"/>
      <c r="E111" s="35">
        <f>+E12+E71-E109</f>
        <v>3</v>
      </c>
      <c r="F111" s="35">
        <f>+F12+F71-F109</f>
        <v>0</v>
      </c>
      <c r="G111" s="191">
        <f>+G12+G71-G109</f>
        <v>3</v>
      </c>
    </row>
    <row r="112" spans="3:7" ht="19.5" customHeight="1" x14ac:dyDescent="0.2">
      <c r="C112" s="583"/>
      <c r="D112" s="584"/>
      <c r="E112" s="584"/>
      <c r="F112" s="584"/>
      <c r="G112" s="585"/>
    </row>
    <row r="113" spans="3:8" x14ac:dyDescent="0.2">
      <c r="C113" s="188" t="s">
        <v>69</v>
      </c>
      <c r="D113" s="21">
        <v>311</v>
      </c>
      <c r="E113" s="245"/>
      <c r="F113" s="245"/>
      <c r="G113" s="185">
        <f>+E113-F113</f>
        <v>0</v>
      </c>
    </row>
    <row r="114" spans="3:8" x14ac:dyDescent="0.2">
      <c r="C114" s="188" t="s">
        <v>70</v>
      </c>
      <c r="D114" s="21">
        <v>320</v>
      </c>
      <c r="E114" s="245"/>
      <c r="F114" s="245"/>
      <c r="G114" s="185">
        <f>+E114-F114</f>
        <v>0</v>
      </c>
    </row>
    <row r="115" spans="3:8" x14ac:dyDescent="0.2">
      <c r="C115" s="188" t="s">
        <v>71</v>
      </c>
      <c r="D115" s="21">
        <v>331</v>
      </c>
      <c r="E115" s="245"/>
      <c r="F115" s="245"/>
      <c r="G115" s="185">
        <f>+E115-F115</f>
        <v>0</v>
      </c>
    </row>
    <row r="116" spans="3:8" ht="24" x14ac:dyDescent="0.2">
      <c r="C116" s="188" t="s">
        <v>72</v>
      </c>
      <c r="D116" s="21">
        <v>332</v>
      </c>
      <c r="E116" s="245"/>
      <c r="F116" s="416"/>
      <c r="G116" s="185">
        <f>+E116-F116</f>
        <v>0</v>
      </c>
    </row>
    <row r="117" spans="3:8" x14ac:dyDescent="0.2">
      <c r="C117" s="188" t="s">
        <v>73</v>
      </c>
      <c r="D117" s="21">
        <v>335</v>
      </c>
      <c r="E117" s="245"/>
      <c r="F117" s="245"/>
      <c r="G117" s="185">
        <f>+E117-F117</f>
        <v>0</v>
      </c>
    </row>
    <row r="118" spans="3:8" x14ac:dyDescent="0.2">
      <c r="C118" s="188"/>
      <c r="D118" s="21"/>
      <c r="E118" s="39"/>
      <c r="F118" s="39"/>
      <c r="G118" s="180"/>
    </row>
    <row r="119" spans="3:8" ht="13.5" thickBot="1" x14ac:dyDescent="0.25">
      <c r="C119" s="192" t="s">
        <v>74</v>
      </c>
      <c r="D119" s="193"/>
      <c r="E119" s="194">
        <f>+E111-SUM(E113:E117)</f>
        <v>3</v>
      </c>
      <c r="F119" s="194">
        <f>+F111-SUM(F113:F117)</f>
        <v>0</v>
      </c>
      <c r="G119" s="195">
        <f>+G111-SUM(G113:G117)</f>
        <v>3</v>
      </c>
      <c r="H119" s="440" t="s">
        <v>482</v>
      </c>
    </row>
  </sheetData>
  <sheetProtection password="C2FC" sheet="1" objects="1" scenarios="1"/>
  <mergeCells count="6">
    <mergeCell ref="C49:G49"/>
    <mergeCell ref="C112:G112"/>
    <mergeCell ref="C1:E1"/>
    <mergeCell ref="C2:I2"/>
    <mergeCell ref="C3:I3"/>
    <mergeCell ref="C4:I4"/>
  </mergeCells>
  <phoneticPr fontId="3" type="noConversion"/>
  <conditionalFormatting sqref="G113:G117">
    <cfRule type="cellIs" dxfId="48" priority="12" stopIfTrue="1" operator="lessThan">
      <formula>0</formula>
    </cfRule>
  </conditionalFormatting>
  <conditionalFormatting sqref="E113:F117 E17:F27 F12 C54:C61 E52:F52 E84:F88 C92:C93 C101:C108 F14:F16 E30:F33 F28:F29 E35:F48 F34 F50:F51 E54:F61 F53 C64:C70 E64:F70 F62:F63 F74:F83 E94:F108 F89:F93">
    <cfRule type="expression" dxfId="47" priority="13" stopIfTrue="1">
      <formula>ISBLANK(C12)</formula>
    </cfRule>
  </conditionalFormatting>
  <conditionalFormatting sqref="G12 G14:G48 G50:G70 G74:G86 G89:G108">
    <cfRule type="cellIs" dxfId="46" priority="14" stopIfTrue="1" operator="lessThan">
      <formula>0</formula>
    </cfRule>
  </conditionalFormatting>
  <conditionalFormatting sqref="E12">
    <cfRule type="expression" dxfId="45" priority="11" stopIfTrue="1">
      <formula>ISBLANK(E12)</formula>
    </cfRule>
  </conditionalFormatting>
  <conditionalFormatting sqref="E14:E16">
    <cfRule type="expression" dxfId="44" priority="10" stopIfTrue="1">
      <formula>ISBLANK(E14)</formula>
    </cfRule>
  </conditionalFormatting>
  <conditionalFormatting sqref="E28:E29">
    <cfRule type="expression" dxfId="43" priority="9" stopIfTrue="1">
      <formula>ISBLANK(E28)</formula>
    </cfRule>
  </conditionalFormatting>
  <conditionalFormatting sqref="E34">
    <cfRule type="expression" dxfId="42" priority="8" stopIfTrue="1">
      <formula>ISBLANK(E34)</formula>
    </cfRule>
  </conditionalFormatting>
  <conditionalFormatting sqref="E50:E51">
    <cfRule type="expression" dxfId="41" priority="7" stopIfTrue="1">
      <formula>ISBLANK(E50)</formula>
    </cfRule>
  </conditionalFormatting>
  <conditionalFormatting sqref="E53">
    <cfRule type="expression" dxfId="40" priority="6" stopIfTrue="1">
      <formula>ISBLANK(E53)</formula>
    </cfRule>
  </conditionalFormatting>
  <conditionalFormatting sqref="C62">
    <cfRule type="expression" dxfId="39" priority="5" stopIfTrue="1">
      <formula>ISBLANK(C62)</formula>
    </cfRule>
  </conditionalFormatting>
  <conditionalFormatting sqref="C63">
    <cfRule type="expression" dxfId="38" priority="4" stopIfTrue="1">
      <formula>ISBLANK(C63)</formula>
    </cfRule>
  </conditionalFormatting>
  <conditionalFormatting sqref="E62:E63">
    <cfRule type="expression" dxfId="37" priority="3" stopIfTrue="1">
      <formula>ISBLANK(E62)</formula>
    </cfRule>
  </conditionalFormatting>
  <conditionalFormatting sqref="E74:E83">
    <cfRule type="expression" dxfId="36" priority="2" stopIfTrue="1">
      <formula>ISBLANK(E74)</formula>
    </cfRule>
  </conditionalFormatting>
  <conditionalFormatting sqref="E89:E93">
    <cfRule type="expression" dxfId="35" priority="1" stopIfTrue="1">
      <formula>ISBLANK(E89)</formula>
    </cfRule>
  </conditionalFormatting>
  <hyperlinks>
    <hyperlink ref="H119" location="'H0 PILs,Tax Provision Historic'!A1" display="'H0"/>
  </hyperlinks>
  <pageMargins left="0.35433070866141736" right="0.15748031496062992" top="0.39370078740157483" bottom="0.39370078740157483" header="0.51181102362204722" footer="0.51181102362204722"/>
  <pageSetup scale="67" orientation="portrait" r:id="rId1"/>
  <headerFooter alignWithMargins="0"/>
  <rowBreaks count="1" manualBreakCount="1">
    <brk id="71"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80" zoomScaleNormal="80" workbookViewId="0"/>
  </sheetViews>
  <sheetFormatPr defaultRowHeight="12.75" x14ac:dyDescent="0.2"/>
  <cols>
    <col min="1" max="1" width="4.140625" style="11" customWidth="1"/>
    <col min="2" max="2" width="3.7109375" style="11" customWidth="1"/>
    <col min="3" max="3" width="41.85546875" style="11" bestFit="1" customWidth="1"/>
    <col min="4" max="4" width="9.140625" style="11"/>
    <col min="5" max="5" width="19.7109375" style="11" customWidth="1"/>
    <col min="6" max="8" width="12.85546875" style="11" customWidth="1"/>
    <col min="9" max="16384" width="9.140625" style="11"/>
  </cols>
  <sheetData>
    <row r="1" spans="1:9" ht="21.75" x14ac:dyDescent="0.2">
      <c r="A1" s="312"/>
      <c r="C1" s="574"/>
      <c r="D1" s="574"/>
      <c r="E1" s="574"/>
    </row>
    <row r="2" spans="1:9" ht="18" x14ac:dyDescent="0.25">
      <c r="C2" s="575"/>
      <c r="D2" s="575"/>
      <c r="E2" s="575"/>
      <c r="F2" s="575"/>
      <c r="G2" s="575"/>
      <c r="H2" s="575"/>
      <c r="I2" s="575"/>
    </row>
    <row r="3" spans="1:9" ht="18" x14ac:dyDescent="0.25">
      <c r="C3" s="575"/>
      <c r="D3" s="575"/>
      <c r="E3" s="575"/>
      <c r="F3" s="575"/>
      <c r="G3" s="575"/>
      <c r="H3" s="575"/>
      <c r="I3" s="575"/>
    </row>
    <row r="4" spans="1:9" ht="18" x14ac:dyDescent="0.25">
      <c r="C4" s="575"/>
      <c r="D4" s="575"/>
      <c r="E4" s="575"/>
      <c r="F4" s="575"/>
      <c r="G4" s="575"/>
      <c r="H4" s="575"/>
      <c r="I4" s="575"/>
    </row>
    <row r="5" spans="1:9" ht="37.5" customHeight="1" x14ac:dyDescent="0.2"/>
    <row r="6" spans="1:9" ht="37.5" customHeight="1" x14ac:dyDescent="0.2"/>
    <row r="9" spans="1:9" ht="15" customHeight="1" x14ac:dyDescent="0.25">
      <c r="C9" s="368" t="s">
        <v>386</v>
      </c>
    </row>
    <row r="10" spans="1:9" ht="15" customHeight="1" x14ac:dyDescent="0.25">
      <c r="C10" s="368"/>
    </row>
    <row r="11" spans="1:9" ht="18" x14ac:dyDescent="0.25">
      <c r="C11" s="368" t="s">
        <v>357</v>
      </c>
    </row>
    <row r="13" spans="1:9" ht="36" x14ac:dyDescent="0.2">
      <c r="C13" s="586" t="s">
        <v>153</v>
      </c>
      <c r="D13" s="587"/>
      <c r="E13" s="588"/>
      <c r="F13" s="42" t="s">
        <v>3</v>
      </c>
      <c r="G13" s="42" t="s">
        <v>231</v>
      </c>
      <c r="H13" s="42" t="s">
        <v>154</v>
      </c>
      <c r="I13" s="102"/>
    </row>
    <row r="14" spans="1:9" x14ac:dyDescent="0.2">
      <c r="C14" s="589" t="s">
        <v>387</v>
      </c>
      <c r="D14" s="590"/>
      <c r="E14" s="591"/>
      <c r="F14" s="243">
        <v>0</v>
      </c>
      <c r="G14" s="244"/>
      <c r="H14" s="103">
        <f>F14-G14</f>
        <v>0</v>
      </c>
      <c r="I14" s="480" t="s">
        <v>439</v>
      </c>
    </row>
    <row r="15" spans="1:9" x14ac:dyDescent="0.2">
      <c r="C15" s="102"/>
      <c r="D15" s="102"/>
      <c r="E15" s="102"/>
      <c r="F15" s="104"/>
      <c r="G15" s="104"/>
      <c r="H15" s="104"/>
      <c r="I15" s="104"/>
    </row>
    <row r="16" spans="1:9" ht="36" x14ac:dyDescent="0.2">
      <c r="C16" s="586" t="s">
        <v>159</v>
      </c>
      <c r="D16" s="587"/>
      <c r="E16" s="588"/>
      <c r="F16" s="42" t="s">
        <v>3</v>
      </c>
      <c r="G16" s="42" t="s">
        <v>231</v>
      </c>
      <c r="H16" s="42" t="s">
        <v>154</v>
      </c>
      <c r="I16" s="104"/>
    </row>
    <row r="17" spans="3:9" x14ac:dyDescent="0.2">
      <c r="C17" s="589" t="s">
        <v>387</v>
      </c>
      <c r="D17" s="590"/>
      <c r="E17" s="591"/>
      <c r="F17" s="243"/>
      <c r="G17" s="244"/>
      <c r="H17" s="103">
        <f>F17-G17</f>
        <v>0</v>
      </c>
      <c r="I17" s="480" t="s">
        <v>439</v>
      </c>
    </row>
    <row r="18" spans="3:9" x14ac:dyDescent="0.2">
      <c r="C18" s="109"/>
      <c r="D18" s="102"/>
      <c r="E18" s="102"/>
      <c r="F18" s="104"/>
      <c r="G18" s="104"/>
      <c r="H18" s="104"/>
      <c r="I18" s="104"/>
    </row>
  </sheetData>
  <sheetProtection password="C2FC"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34" priority="1" stopIfTrue="1" operator="lessThan">
      <formula>0</formula>
    </cfRule>
  </conditionalFormatting>
  <conditionalFormatting sqref="F14:G14 F17:G17">
    <cfRule type="expression" dxfId="33" priority="2" stopIfTrue="1">
      <formula>ISBLANK(F14)</formula>
    </cfRule>
  </conditionalFormatting>
  <hyperlinks>
    <hyperlink ref="I14" location="'B4 Sch 4 Loss Cfwd Bridge'!A1" display="'B4"/>
    <hyperlink ref="I17" location="'B4 Sch 4 Loss Cfwd Bridge'!A1" display="'B4"/>
  </hyperlinks>
  <pageMargins left="0.75" right="0.75" top="1" bottom="1" header="0.5" footer="0.5"/>
  <pageSetup scale="90"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zoomScale="80" zoomScaleNormal="80" workbookViewId="0"/>
  </sheetViews>
  <sheetFormatPr defaultRowHeight="12.75" x14ac:dyDescent="0.2"/>
  <cols>
    <col min="1" max="1" width="3.7109375" style="11" customWidth="1"/>
    <col min="2" max="2" width="3.28515625" style="11" customWidth="1"/>
    <col min="3" max="3" width="11.5703125" style="11" bestFit="1" customWidth="1"/>
    <col min="4" max="4" width="66.7109375" style="11" customWidth="1"/>
    <col min="5" max="5" width="13.42578125" style="11" customWidth="1"/>
    <col min="6" max="6" width="11.5703125" style="11" customWidth="1"/>
    <col min="7" max="7" width="14.28515625" style="11" customWidth="1"/>
    <col min="8" max="16384" width="9.140625" style="11"/>
  </cols>
  <sheetData>
    <row r="1" spans="1:13" ht="21.75" x14ac:dyDescent="0.2">
      <c r="A1" s="312"/>
      <c r="C1" s="574"/>
      <c r="D1" s="574"/>
      <c r="E1" s="574"/>
      <c r="F1" s="1"/>
    </row>
    <row r="2" spans="1:13" ht="18" x14ac:dyDescent="0.25">
      <c r="C2" s="575"/>
      <c r="D2" s="575"/>
      <c r="E2" s="575"/>
      <c r="F2" s="575"/>
      <c r="G2" s="575"/>
      <c r="H2" s="575"/>
      <c r="I2" s="575"/>
    </row>
    <row r="3" spans="1:13" ht="41.25" customHeight="1" x14ac:dyDescent="0.25">
      <c r="C3" s="575"/>
      <c r="D3" s="575"/>
      <c r="E3" s="575"/>
      <c r="F3" s="575"/>
      <c r="G3" s="575"/>
      <c r="H3" s="575"/>
      <c r="I3" s="575"/>
    </row>
    <row r="4" spans="1:13" ht="41.25" customHeight="1" x14ac:dyDescent="0.25">
      <c r="C4" s="575"/>
      <c r="D4" s="575"/>
      <c r="E4" s="575"/>
      <c r="F4" s="575"/>
      <c r="G4" s="575"/>
      <c r="H4" s="575"/>
      <c r="I4" s="575"/>
    </row>
    <row r="5" spans="1:13" ht="41.25" customHeight="1" x14ac:dyDescent="0.2"/>
    <row r="6" spans="1:13" ht="18" x14ac:dyDescent="0.25">
      <c r="C6" s="368" t="s">
        <v>353</v>
      </c>
    </row>
    <row r="10" spans="1:13" ht="14.25" customHeight="1" thickBot="1" x14ac:dyDescent="0.4">
      <c r="C10" s="592"/>
      <c r="D10" s="592"/>
      <c r="E10" s="592"/>
      <c r="F10" s="592"/>
      <c r="G10" s="592"/>
    </row>
    <row r="11" spans="1:13" ht="48" x14ac:dyDescent="0.2">
      <c r="C11" s="133" t="s">
        <v>75</v>
      </c>
      <c r="D11" s="134" t="s">
        <v>76</v>
      </c>
      <c r="E11" s="135" t="s">
        <v>384</v>
      </c>
      <c r="F11" s="135" t="s">
        <v>77</v>
      </c>
      <c r="G11" s="457" t="s">
        <v>385</v>
      </c>
      <c r="H11" s="456" t="s">
        <v>435</v>
      </c>
      <c r="M11" s="2"/>
    </row>
    <row r="12" spans="1:13" x14ac:dyDescent="0.2">
      <c r="C12" s="43">
        <v>1</v>
      </c>
      <c r="D12" s="44" t="s">
        <v>79</v>
      </c>
      <c r="E12" s="559">
        <f>+'[6]CCA Continuity 2015'!$D$6</f>
        <v>23497120</v>
      </c>
      <c r="F12" s="372"/>
      <c r="G12" s="37">
        <f>+E12-F12</f>
        <v>23497120</v>
      </c>
      <c r="H12" s="440" t="s">
        <v>434</v>
      </c>
    </row>
    <row r="13" spans="1:13" x14ac:dyDescent="0.2">
      <c r="C13" s="43" t="s">
        <v>318</v>
      </c>
      <c r="D13" s="44" t="s">
        <v>315</v>
      </c>
      <c r="E13" s="559"/>
      <c r="F13" s="372"/>
      <c r="G13" s="37">
        <f>+E13-F13</f>
        <v>0</v>
      </c>
      <c r="H13" s="440" t="s">
        <v>434</v>
      </c>
    </row>
    <row r="14" spans="1:13" x14ac:dyDescent="0.2">
      <c r="C14" s="43">
        <v>2</v>
      </c>
      <c r="D14" s="44" t="s">
        <v>80</v>
      </c>
      <c r="E14" s="559"/>
      <c r="F14" s="372"/>
      <c r="G14" s="37">
        <f t="shared" ref="G14:G43" si="0">+E14-F14</f>
        <v>0</v>
      </c>
      <c r="H14" s="440" t="s">
        <v>434</v>
      </c>
    </row>
    <row r="15" spans="1:13" x14ac:dyDescent="0.2">
      <c r="C15" s="43">
        <v>8</v>
      </c>
      <c r="D15" s="44" t="s">
        <v>81</v>
      </c>
      <c r="E15" s="559">
        <f>+'[6]CCA Continuity 2015'!$D$10</f>
        <v>3623969</v>
      </c>
      <c r="F15" s="372"/>
      <c r="G15" s="37">
        <f t="shared" si="0"/>
        <v>3623969</v>
      </c>
      <c r="H15" s="440" t="s">
        <v>434</v>
      </c>
    </row>
    <row r="16" spans="1:13" x14ac:dyDescent="0.2">
      <c r="C16" s="43">
        <v>10</v>
      </c>
      <c r="D16" s="44" t="s">
        <v>82</v>
      </c>
      <c r="E16" s="559">
        <f>+'[6]CCA Continuity 2015'!$D$11</f>
        <v>933865</v>
      </c>
      <c r="F16" s="372"/>
      <c r="G16" s="37">
        <f t="shared" si="0"/>
        <v>933865</v>
      </c>
      <c r="H16" s="440" t="s">
        <v>434</v>
      </c>
    </row>
    <row r="17" spans="3:8" x14ac:dyDescent="0.2">
      <c r="C17" s="43">
        <v>10.1</v>
      </c>
      <c r="D17" s="44" t="s">
        <v>83</v>
      </c>
      <c r="E17" s="559"/>
      <c r="F17" s="372"/>
      <c r="G17" s="37">
        <f t="shared" si="0"/>
        <v>0</v>
      </c>
      <c r="H17" s="440" t="s">
        <v>434</v>
      </c>
    </row>
    <row r="18" spans="3:8" x14ac:dyDescent="0.2">
      <c r="C18" s="43">
        <v>12</v>
      </c>
      <c r="D18" s="44" t="s">
        <v>84</v>
      </c>
      <c r="E18" s="559">
        <f>+'[6]CCA Continuity 2015'!$D$13</f>
        <v>71196</v>
      </c>
      <c r="F18" s="372"/>
      <c r="G18" s="37">
        <f t="shared" si="0"/>
        <v>71196</v>
      </c>
      <c r="H18" s="440" t="s">
        <v>434</v>
      </c>
    </row>
    <row r="19" spans="3:8" ht="14.25" x14ac:dyDescent="0.25">
      <c r="C19" s="45" t="s">
        <v>85</v>
      </c>
      <c r="D19" s="44" t="s">
        <v>86</v>
      </c>
      <c r="E19" s="559">
        <f>+'[6]CCA Continuity 2015'!$D$14</f>
        <v>56942</v>
      </c>
      <c r="F19" s="372"/>
      <c r="G19" s="37">
        <f t="shared" si="0"/>
        <v>56942</v>
      </c>
      <c r="H19" s="440" t="s">
        <v>434</v>
      </c>
    </row>
    <row r="20" spans="3:8" ht="14.25" x14ac:dyDescent="0.25">
      <c r="C20" s="45" t="s">
        <v>87</v>
      </c>
      <c r="D20" s="44" t="s">
        <v>88</v>
      </c>
      <c r="E20" s="559"/>
      <c r="F20" s="372"/>
      <c r="G20" s="37">
        <f t="shared" si="0"/>
        <v>0</v>
      </c>
      <c r="H20" s="440" t="s">
        <v>434</v>
      </c>
    </row>
    <row r="21" spans="3:8" ht="14.25" x14ac:dyDescent="0.25">
      <c r="C21" s="45" t="s">
        <v>89</v>
      </c>
      <c r="D21" s="44" t="s">
        <v>90</v>
      </c>
      <c r="E21" s="559"/>
      <c r="F21" s="372"/>
      <c r="G21" s="37">
        <f t="shared" si="0"/>
        <v>0</v>
      </c>
      <c r="H21" s="440" t="s">
        <v>434</v>
      </c>
    </row>
    <row r="22" spans="3:8" ht="14.25" x14ac:dyDescent="0.25">
      <c r="C22" s="45" t="s">
        <v>91</v>
      </c>
      <c r="D22" s="44" t="s">
        <v>92</v>
      </c>
      <c r="E22" s="559"/>
      <c r="F22" s="372"/>
      <c r="G22" s="37">
        <f t="shared" si="0"/>
        <v>0</v>
      </c>
      <c r="H22" s="440" t="s">
        <v>434</v>
      </c>
    </row>
    <row r="23" spans="3:8" x14ac:dyDescent="0.2">
      <c r="C23" s="43">
        <v>14</v>
      </c>
      <c r="D23" s="44" t="s">
        <v>93</v>
      </c>
      <c r="E23" s="559"/>
      <c r="F23" s="372"/>
      <c r="G23" s="37">
        <f t="shared" si="0"/>
        <v>0</v>
      </c>
      <c r="H23" s="440" t="s">
        <v>434</v>
      </c>
    </row>
    <row r="24" spans="3:8" x14ac:dyDescent="0.2">
      <c r="C24" s="43">
        <v>17</v>
      </c>
      <c r="D24" s="44" t="s">
        <v>94</v>
      </c>
      <c r="E24" s="559"/>
      <c r="F24" s="372"/>
      <c r="G24" s="37">
        <f t="shared" si="0"/>
        <v>0</v>
      </c>
      <c r="H24" s="440" t="s">
        <v>434</v>
      </c>
    </row>
    <row r="25" spans="3:8" x14ac:dyDescent="0.2">
      <c r="C25" s="43">
        <v>42</v>
      </c>
      <c r="D25" s="44" t="s">
        <v>316</v>
      </c>
      <c r="E25" s="559"/>
      <c r="F25" s="372"/>
      <c r="G25" s="37">
        <f t="shared" ref="G25:G32" si="1">+E25-F25</f>
        <v>0</v>
      </c>
      <c r="H25" s="440" t="s">
        <v>434</v>
      </c>
    </row>
    <row r="26" spans="3:8" x14ac:dyDescent="0.2">
      <c r="C26" s="43">
        <v>43.1</v>
      </c>
      <c r="D26" s="44" t="s">
        <v>95</v>
      </c>
      <c r="E26" s="559"/>
      <c r="F26" s="372"/>
      <c r="G26" s="37">
        <f t="shared" si="1"/>
        <v>0</v>
      </c>
      <c r="H26" s="440" t="s">
        <v>434</v>
      </c>
    </row>
    <row r="27" spans="3:8" x14ac:dyDescent="0.2">
      <c r="C27" s="43">
        <v>43.2</v>
      </c>
      <c r="D27" s="44" t="s">
        <v>317</v>
      </c>
      <c r="E27" s="559"/>
      <c r="F27" s="372"/>
      <c r="G27" s="37">
        <f t="shared" si="1"/>
        <v>0</v>
      </c>
      <c r="H27" s="440" t="s">
        <v>434</v>
      </c>
    </row>
    <row r="28" spans="3:8" x14ac:dyDescent="0.2">
      <c r="C28" s="43">
        <v>45</v>
      </c>
      <c r="D28" s="44" t="s">
        <v>96</v>
      </c>
      <c r="E28" s="559">
        <f>+'[6]CCA Continuity 2015'!$D$21</f>
        <v>1558</v>
      </c>
      <c r="F28" s="372"/>
      <c r="G28" s="37">
        <f t="shared" si="1"/>
        <v>1558</v>
      </c>
      <c r="H28" s="440" t="s">
        <v>434</v>
      </c>
    </row>
    <row r="29" spans="3:8" x14ac:dyDescent="0.2">
      <c r="C29" s="43">
        <v>46</v>
      </c>
      <c r="D29" s="44" t="s">
        <v>97</v>
      </c>
      <c r="E29" s="559"/>
      <c r="F29" s="372"/>
      <c r="G29" s="37">
        <f t="shared" si="1"/>
        <v>0</v>
      </c>
      <c r="H29" s="440" t="s">
        <v>434</v>
      </c>
    </row>
    <row r="30" spans="3:8" x14ac:dyDescent="0.2">
      <c r="C30" s="43">
        <v>47</v>
      </c>
      <c r="D30" s="44" t="s">
        <v>252</v>
      </c>
      <c r="E30" s="559">
        <f>+'[6]CCA Continuity 2015'!$D$24</f>
        <v>32679515</v>
      </c>
      <c r="F30" s="372"/>
      <c r="G30" s="37">
        <f t="shared" si="1"/>
        <v>32679515</v>
      </c>
      <c r="H30" s="440" t="s">
        <v>434</v>
      </c>
    </row>
    <row r="31" spans="3:8" x14ac:dyDescent="0.2">
      <c r="C31" s="43">
        <v>50</v>
      </c>
      <c r="D31" s="44" t="s">
        <v>253</v>
      </c>
      <c r="E31" s="559">
        <f>+'[6]CCA Continuity 2015'!$D$22</f>
        <v>156988</v>
      </c>
      <c r="F31" s="372"/>
      <c r="G31" s="37">
        <f t="shared" si="1"/>
        <v>156988</v>
      </c>
      <c r="H31" s="440" t="s">
        <v>434</v>
      </c>
    </row>
    <row r="32" spans="3:8" x14ac:dyDescent="0.2">
      <c r="C32" s="239">
        <v>52</v>
      </c>
      <c r="D32" s="240" t="s">
        <v>314</v>
      </c>
      <c r="E32" s="559"/>
      <c r="F32" s="372"/>
      <c r="G32" s="37">
        <f t="shared" si="1"/>
        <v>0</v>
      </c>
      <c r="H32" s="440" t="s">
        <v>434</v>
      </c>
    </row>
    <row r="33" spans="3:8" x14ac:dyDescent="0.2">
      <c r="C33" s="239">
        <v>95</v>
      </c>
      <c r="D33" s="242" t="s">
        <v>322</v>
      </c>
      <c r="E33" s="559">
        <f>+'[6]CCA Continuity 2015'!$D$15</f>
        <v>5172305</v>
      </c>
      <c r="F33" s="372"/>
      <c r="G33" s="37">
        <f t="shared" si="0"/>
        <v>5172305</v>
      </c>
      <c r="H33" s="440" t="s">
        <v>434</v>
      </c>
    </row>
    <row r="34" spans="3:8" x14ac:dyDescent="0.2">
      <c r="C34" s="369"/>
      <c r="D34" s="370"/>
      <c r="E34" s="371"/>
      <c r="F34" s="372"/>
      <c r="G34" s="37">
        <f t="shared" si="0"/>
        <v>0</v>
      </c>
    </row>
    <row r="35" spans="3:8" x14ac:dyDescent="0.2">
      <c r="C35" s="369"/>
      <c r="D35" s="370"/>
      <c r="E35" s="371"/>
      <c r="F35" s="372"/>
      <c r="G35" s="37">
        <f t="shared" si="0"/>
        <v>0</v>
      </c>
    </row>
    <row r="36" spans="3:8" x14ac:dyDescent="0.2">
      <c r="C36" s="369"/>
      <c r="D36" s="370"/>
      <c r="E36" s="371"/>
      <c r="F36" s="372"/>
      <c r="G36" s="37">
        <f t="shared" si="0"/>
        <v>0</v>
      </c>
    </row>
    <row r="37" spans="3:8" x14ac:dyDescent="0.2">
      <c r="C37" s="369"/>
      <c r="D37" s="370"/>
      <c r="E37" s="371"/>
      <c r="F37" s="372"/>
      <c r="G37" s="37">
        <f t="shared" si="0"/>
        <v>0</v>
      </c>
    </row>
    <row r="38" spans="3:8" x14ac:dyDescent="0.2">
      <c r="C38" s="369"/>
      <c r="D38" s="370"/>
      <c r="E38" s="371"/>
      <c r="F38" s="372"/>
      <c r="G38" s="37">
        <f t="shared" si="0"/>
        <v>0</v>
      </c>
    </row>
    <row r="39" spans="3:8" x14ac:dyDescent="0.2">
      <c r="C39" s="369"/>
      <c r="D39" s="370"/>
      <c r="E39" s="371"/>
      <c r="F39" s="372"/>
      <c r="G39" s="37">
        <f t="shared" si="0"/>
        <v>0</v>
      </c>
    </row>
    <row r="40" spans="3:8" x14ac:dyDescent="0.2">
      <c r="C40" s="369"/>
      <c r="D40" s="370"/>
      <c r="E40" s="371"/>
      <c r="F40" s="372"/>
      <c r="G40" s="37">
        <f t="shared" si="0"/>
        <v>0</v>
      </c>
    </row>
    <row r="41" spans="3:8" x14ac:dyDescent="0.2">
      <c r="C41" s="369"/>
      <c r="D41" s="370"/>
      <c r="E41" s="371"/>
      <c r="F41" s="372"/>
      <c r="G41" s="37">
        <f t="shared" si="0"/>
        <v>0</v>
      </c>
    </row>
    <row r="42" spans="3:8" x14ac:dyDescent="0.2">
      <c r="C42" s="369"/>
      <c r="D42" s="370"/>
      <c r="E42" s="371"/>
      <c r="F42" s="372"/>
      <c r="G42" s="37">
        <f t="shared" si="0"/>
        <v>0</v>
      </c>
    </row>
    <row r="43" spans="3:8" ht="13.5" thickBot="1" x14ac:dyDescent="0.25">
      <c r="C43" s="369"/>
      <c r="D43" s="370"/>
      <c r="E43" s="373"/>
      <c r="F43" s="373"/>
      <c r="G43" s="37">
        <f t="shared" si="0"/>
        <v>0</v>
      </c>
    </row>
    <row r="44" spans="3:8" ht="13.5" thickBot="1" x14ac:dyDescent="0.25">
      <c r="C44" s="46"/>
      <c r="D44" s="47" t="s">
        <v>98</v>
      </c>
      <c r="E44" s="48">
        <f>SUM(E12:E43)</f>
        <v>66193458</v>
      </c>
      <c r="F44" s="48">
        <f>SUM(F12:F43)</f>
        <v>0</v>
      </c>
      <c r="G44" s="49">
        <f>SUM(G12:G43)</f>
        <v>66193458</v>
      </c>
    </row>
  </sheetData>
  <sheetProtection password="C2FC" sheet="1" objects="1" scenarios="1"/>
  <mergeCells count="5">
    <mergeCell ref="C10:G10"/>
    <mergeCell ref="C1:E1"/>
    <mergeCell ref="C2:I2"/>
    <mergeCell ref="C3:I3"/>
    <mergeCell ref="C4:I4"/>
  </mergeCells>
  <phoneticPr fontId="3" type="noConversion"/>
  <conditionalFormatting sqref="G12:G43">
    <cfRule type="cellIs" dxfId="32" priority="2" stopIfTrue="1" operator="lessThan">
      <formula>0</formula>
    </cfRule>
  </conditionalFormatting>
  <conditionalFormatting sqref="C33:D43">
    <cfRule type="expression" dxfId="31" priority="3" stopIfTrue="1">
      <formula>ISBLANK(C33)</formula>
    </cfRule>
  </conditionalFormatting>
  <conditionalFormatting sqref="E34:F43 F12:F33">
    <cfRule type="expression" dxfId="30" priority="4" stopIfTrue="1">
      <formula>ISBLANK(E12)=FALSE</formula>
    </cfRule>
  </conditionalFormatting>
  <conditionalFormatting sqref="E12:E33">
    <cfRule type="expression" dxfId="29" priority="1" stopIfTrue="1">
      <formula>ISBLANK(E12)=FALSE</formula>
    </cfRule>
  </conditionalFormatting>
  <hyperlinks>
    <hyperlink ref="H12" location="'B8 Schedule 8 CCA Bridge Year'!A1" display="'B8"/>
    <hyperlink ref="H13:H33" location="'B8 Schedule 8 CCA Bridge Year'!A1" display="'B8"/>
  </hyperlinks>
  <pageMargins left="0.35433070866141736" right="0.35433070866141736" top="0.39370078740157483" bottom="0.39370078740157483" header="0.51181102362204722" footer="0.51181102362204722"/>
  <pageSetup scale="71" orientation="portrait" r:id="rId1"/>
  <headerFooter alignWithMargins="0"/>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52</vt:i4>
      </vt:variant>
    </vt:vector>
  </HeadingPairs>
  <TitlesOfParts>
    <vt:vector size="76" baseType="lpstr">
      <vt:lpstr>1. Info and Instructions</vt:lpstr>
      <vt:lpstr>Table of Contents</vt:lpstr>
      <vt:lpstr>S. Summary </vt:lpstr>
      <vt:lpstr>A. Data Input Sheet</vt:lpstr>
      <vt:lpstr>B. Tax Rates &amp; Exemptions</vt:lpstr>
      <vt:lpstr>H0 PILs,Tax Provision Historic</vt:lpstr>
      <vt:lpstr>H1 Adj. Taxable Income Historic</vt:lpstr>
      <vt:lpstr>H4 Sch 4 Loss Cfwd Hist</vt:lpstr>
      <vt:lpstr>H8 Sch 8 Historical</vt:lpstr>
      <vt:lpstr>H10 Schedule 10 CEC Hist</vt:lpstr>
      <vt:lpstr>H13 Sch 13 Tax Reserves Histori</vt:lpstr>
      <vt:lpstr>B0 PILs,Tax Provision Bridge</vt:lpstr>
      <vt:lpstr>B1 Adj. Taxable Income Bridge</vt:lpstr>
      <vt:lpstr>B4 Sch 4 Loss Cfwd Bridge</vt:lpstr>
      <vt:lpstr>B8 Schedule 8 CCA Bridge Year</vt:lpstr>
      <vt:lpstr>B10 Schedule 10 CEC Bridge Year</vt:lpstr>
      <vt:lpstr>B13 Sch 13 Tax Reserves Bridge</vt:lpstr>
      <vt:lpstr>T0 PILs,Tax Provision </vt:lpstr>
      <vt:lpstr>T1 Taxable Income Test Year</vt:lpstr>
      <vt:lpstr>T4 Sch 4 Loss Cfwd</vt:lpstr>
      <vt:lpstr>T8 Schedule 8 CCA Test Year  </vt:lpstr>
      <vt:lpstr>T10 Schedule 10 CEC Test Year</vt:lpstr>
      <vt:lpstr>T13 Sch 13 Reserve Test Year</vt:lpstr>
      <vt:lpstr>Sheet1</vt:lpstr>
      <vt:lpstr>Fed_SB</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'B10 Schedule 10 CEC Bridge Year'!Print_Area</vt:lpstr>
      <vt:lpstr>'B13 Sch 13 Tax Reserves Bridge'!Print_Area</vt:lpstr>
      <vt:lpstr>'B4 Sch 4 Loss Cfwd Bridge'!Print_Area</vt:lpstr>
      <vt:lpstr>'B8 Schedule 8 CCA Bridge Year'!Print_Area</vt:lpstr>
      <vt:lpstr>'H0 PILs,Tax Provision Historic'!Print_Area</vt:lpstr>
      <vt:lpstr>'H1 Adj. Taxable Income Historic'!Print_Area</vt:lpstr>
      <vt:lpstr>'H10 Schedule 10 CEC Hist'!Print_Area</vt:lpstr>
      <vt:lpstr>'H13 Sch 13 Tax Reserves Histori'!Print_Area</vt:lpstr>
      <vt:lpstr>'H4 Sch 4 Loss Cfwd Hist'!Print_Area</vt:lpstr>
      <vt:lpstr>'H8 Sch 8 Historical'!Print_Area</vt:lpstr>
      <vt:lpstr>'S. Summary '!Print_Area</vt:lpstr>
      <vt:lpstr>'T0 PILs,Tax Provision '!Print_Area</vt:lpstr>
      <vt:lpstr>'T1 Taxable Income Test Year'!Print_Area</vt:lpstr>
      <vt:lpstr>'T10 Schedule 10 CEC Test Year'!Print_Area</vt:lpstr>
      <vt:lpstr>'T13 Sch 13 Reserve Test Year'!Print_Area</vt:lpstr>
      <vt:lpstr>'T4 Sch 4 Loss Cfwd'!Print_Area</vt:lpstr>
      <vt:lpstr>'T8 Schedule 8 CCA Test Year  '!Print_Area</vt:lpstr>
      <vt:lpstr>'Table of Contents'!Print_Area</vt:lpstr>
      <vt:lpstr>'B1 Adj. Taxable Income Bridge'!Print_Titles</vt:lpstr>
      <vt:lpstr>ratebase</vt:lpstr>
      <vt:lpstr>Start_1</vt:lpstr>
      <vt:lpstr>Start_10</vt:lpstr>
      <vt:lpstr>Start_11</vt:lpstr>
      <vt:lpstr>Start_12</vt:lpstr>
      <vt:lpstr>Start_13</vt:lpstr>
      <vt:lpstr>Start_14</vt:lpstr>
      <vt:lpstr>Start_15</vt:lpstr>
      <vt:lpstr>Start_16</vt:lpstr>
      <vt:lpstr>Start_17</vt:lpstr>
      <vt:lpstr>Start_18</vt:lpstr>
      <vt:lpstr>Start_19</vt:lpstr>
      <vt:lpstr>Start_20</vt:lpstr>
      <vt:lpstr>Start_21</vt:lpstr>
      <vt:lpstr>Start_22</vt:lpstr>
      <vt:lpstr>Start_23</vt:lpstr>
      <vt:lpstr>Start_3</vt:lpstr>
      <vt:lpstr>'S. Summary '!Start_4</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Cameron McKenzie</cp:lastModifiedBy>
  <cp:lastPrinted>2015-07-19T13:31:20Z</cp:lastPrinted>
  <dcterms:created xsi:type="dcterms:W3CDTF">2009-04-07T15:39:48Z</dcterms:created>
  <dcterms:modified xsi:type="dcterms:W3CDTF">2016-08-12T14:20:48Z</dcterms:modified>
</cp:coreProperties>
</file>