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workbookProtection workbookPassword="82A3" lockStructure="1"/>
  <bookViews>
    <workbookView xWindow="900" yWindow="-30" windowWidth="12945" windowHeight="8460" tabRatio="968" activeTab="7"/>
  </bookViews>
  <sheets>
    <sheet name="1. Info" sheetId="26" r:id="rId1"/>
    <sheet name="2. Table of Contents" sheetId="17" r:id="rId2"/>
    <sheet name="3. Data_Input_Sheet" sheetId="22" r:id="rId3"/>
    <sheet name="4. Rate_Base" sheetId="14" r:id="rId4"/>
    <sheet name="5. Utility Income" sheetId="13" r:id="rId5"/>
    <sheet name="6. Taxes_PILs" sheetId="15" r:id="rId6"/>
    <sheet name="7. Cost_of_Capital" sheetId="12" r:id="rId7"/>
    <sheet name="8. Rev_Def_Suff" sheetId="23" r:id="rId8"/>
    <sheet name="9. Rev_Reqt" sheetId="11" r:id="rId9"/>
    <sheet name="10. Tracking_Sheet" sheetId="27" r:id="rId10"/>
  </sheets>
  <externalReferences>
    <externalReference r:id="rId11"/>
    <externalReference r:id="rId12"/>
    <externalReference r:id="rId13"/>
    <externalReference r:id="rId14"/>
    <externalReference r:id="rId15"/>
  </externalReferences>
  <definedNames>
    <definedName name="LDC_LIST">[1]lists!$AM$1:$AM$80</definedName>
    <definedName name="_xlnm.Print_Area" localSheetId="0">'1. Info'!$A$1:$Q$41</definedName>
    <definedName name="_xlnm.Print_Area" localSheetId="9">'10. Tracking_Sheet'!$B$16:$O$52</definedName>
    <definedName name="_xlnm.Print_Area" localSheetId="1">'2. Table of Contents'!$A$1:$O$30</definedName>
    <definedName name="_xlnm.Print_Area" localSheetId="2">'3. Data_Input_Sheet'!$A$1:$X$87</definedName>
    <definedName name="_xlnm.Print_Area" localSheetId="3">'4. Rate_Base'!$A$1:$X$42</definedName>
    <definedName name="_xlnm.Print_Area" localSheetId="4">'5. Utility Income'!$A$1:$W$57</definedName>
    <definedName name="_xlnm.Print_Area" localSheetId="5">'6. Taxes_PILs'!$A$1:$R$53</definedName>
    <definedName name="_xlnm.Print_Area" localSheetId="6">'7. Cost_of_Capital'!$A$1:$T$69</definedName>
    <definedName name="_xlnm.Print_Area" localSheetId="7">'8. Rev_Def_Suff'!$B$1:$Q$60</definedName>
    <definedName name="_xlnm.Print_Area" localSheetId="8">'9. Rev_Reqt'!$A$1:$R$45</definedName>
    <definedName name="_xlnm.Print_Titles" localSheetId="9">'10. Tracking_Sheet'!$1:$20</definedName>
    <definedName name="ratedescription">[2]hidden1!$D$1:$D$122</definedName>
    <definedName name="units">[2]hidden1!$J$3:$J$8</definedName>
  </definedNames>
  <calcPr calcId="145621" iterate="1"/>
</workbook>
</file>

<file path=xl/calcChain.xml><?xml version="1.0" encoding="utf-8"?>
<calcChain xmlns="http://schemas.openxmlformats.org/spreadsheetml/2006/main">
  <c r="U57" i="22" l="1"/>
  <c r="U56" i="22"/>
  <c r="U55" i="22"/>
  <c r="U50" i="22"/>
  <c r="U49" i="22"/>
  <c r="U33" i="22" l="1"/>
  <c r="U31" i="22"/>
  <c r="U30" i="22"/>
  <c r="U29" i="22"/>
  <c r="U28" i="22"/>
  <c r="M64" i="22" l="1"/>
  <c r="U64" i="22" s="1"/>
  <c r="M63" i="22"/>
  <c r="U63" i="22" s="1"/>
  <c r="M57" i="22"/>
  <c r="M56" i="22"/>
  <c r="M55" i="22"/>
  <c r="M50" i="22"/>
  <c r="M49" i="22"/>
  <c r="M62" i="22" l="1"/>
  <c r="U62" i="22" s="1"/>
  <c r="M33" i="22" l="1"/>
  <c r="O26" i="27" l="1"/>
  <c r="J23" i="27" l="1"/>
  <c r="J26" i="27" s="1"/>
  <c r="J29" i="27" s="1"/>
  <c r="E38" i="27"/>
  <c r="D23" i="27"/>
  <c r="D26" i="27"/>
  <c r="D29" i="27" s="1"/>
  <c r="D32" i="27" s="1"/>
  <c r="D35" i="27" s="1"/>
  <c r="F26" i="27"/>
  <c r="F29" i="27" s="1"/>
  <c r="F32" i="27" s="1"/>
  <c r="F35" i="27" s="1"/>
  <c r="F38" i="27" s="1"/>
  <c r="G26" i="27"/>
  <c r="G29" i="27" s="1"/>
  <c r="G32" i="27" s="1"/>
  <c r="G35" i="27" s="1"/>
  <c r="G38" i="27" s="1"/>
  <c r="O23" i="27"/>
  <c r="L26" i="27"/>
  <c r="L29" i="27" s="1"/>
  <c r="L32" i="27" s="1"/>
  <c r="L35" i="27" s="1"/>
  <c r="L38" i="27" s="1"/>
  <c r="L23" i="27"/>
  <c r="N23" i="27"/>
  <c r="N26" i="27"/>
  <c r="N29" i="27" s="1"/>
  <c r="H26" i="27"/>
  <c r="H29" i="27" s="1"/>
  <c r="H32" i="27" s="1"/>
  <c r="H35" i="27" s="1"/>
  <c r="H38" i="27" s="1"/>
  <c r="E26" i="27"/>
  <c r="E29" i="27" s="1"/>
  <c r="E32" i="27" s="1"/>
  <c r="O29" i="27"/>
  <c r="O32" i="27" s="1"/>
  <c r="M32" i="27"/>
  <c r="M35" i="27" s="1"/>
  <c r="M38" i="27" s="1"/>
  <c r="K29" i="27"/>
  <c r="K32" i="27" s="1"/>
  <c r="K35" i="27" s="1"/>
  <c r="K38" i="27" s="1"/>
  <c r="I26" i="27"/>
  <c r="I29" i="27" s="1"/>
  <c r="I32" i="27" s="1"/>
  <c r="I35" i="27" s="1"/>
  <c r="I38" i="27" s="1"/>
  <c r="M26" i="27"/>
  <c r="F23" i="27"/>
  <c r="O35" i="27" l="1"/>
  <c r="O38" i="27" s="1"/>
  <c r="D38" i="27"/>
  <c r="J32" i="27"/>
  <c r="J35" i="27" s="1"/>
  <c r="N32" i="27"/>
  <c r="N35" i="27" s="1"/>
  <c r="N38" i="27" s="1"/>
  <c r="J38" i="27" l="1"/>
  <c r="U25" i="22" l="1"/>
  <c r="D30" i="27"/>
  <c r="E30" i="27"/>
  <c r="F30" i="27"/>
  <c r="G30" i="27"/>
  <c r="H30" i="27"/>
  <c r="I30" i="27"/>
  <c r="J30" i="27"/>
  <c r="K30" i="27"/>
  <c r="L30" i="27"/>
  <c r="M30" i="27"/>
  <c r="N30" i="27"/>
  <c r="O30" i="27"/>
  <c r="D33" i="27"/>
  <c r="E33" i="27"/>
  <c r="F33" i="27"/>
  <c r="G33" i="27"/>
  <c r="H33" i="27"/>
  <c r="I33" i="27"/>
  <c r="J33" i="27"/>
  <c r="K33" i="27"/>
  <c r="L33" i="27"/>
  <c r="M33" i="27"/>
  <c r="N33" i="27"/>
  <c r="O33" i="27"/>
  <c r="D36" i="27"/>
  <c r="E36" i="27"/>
  <c r="F36" i="27"/>
  <c r="G36" i="27"/>
  <c r="H36" i="27"/>
  <c r="I36" i="27"/>
  <c r="J36" i="27"/>
  <c r="K36" i="27"/>
  <c r="L36" i="27"/>
  <c r="M36" i="27"/>
  <c r="N36" i="27"/>
  <c r="O36" i="27"/>
  <c r="D39" i="27"/>
  <c r="E39" i="27"/>
  <c r="F39" i="27"/>
  <c r="G39" i="27"/>
  <c r="H39" i="27"/>
  <c r="I39" i="27"/>
  <c r="J39" i="27"/>
  <c r="K39" i="27"/>
  <c r="L39" i="27"/>
  <c r="M39" i="27"/>
  <c r="N39" i="27"/>
  <c r="O39" i="27"/>
  <c r="D42" i="27"/>
  <c r="E42" i="27"/>
  <c r="F42" i="27"/>
  <c r="G42" i="27"/>
  <c r="H42" i="27"/>
  <c r="I42" i="27"/>
  <c r="J42" i="27"/>
  <c r="K42" i="27"/>
  <c r="L42" i="27"/>
  <c r="M42" i="27"/>
  <c r="N42" i="27"/>
  <c r="O42" i="27"/>
  <c r="D45" i="27"/>
  <c r="E45" i="27"/>
  <c r="F45" i="27"/>
  <c r="G45" i="27"/>
  <c r="H45" i="27"/>
  <c r="I45" i="27"/>
  <c r="J45" i="27"/>
  <c r="K45" i="27"/>
  <c r="L45" i="27"/>
  <c r="M45" i="27"/>
  <c r="N45" i="27"/>
  <c r="O45" i="27"/>
  <c r="D48" i="27"/>
  <c r="E48" i="27"/>
  <c r="F48" i="27"/>
  <c r="G48" i="27"/>
  <c r="H48" i="27"/>
  <c r="I48" i="27"/>
  <c r="J48" i="27"/>
  <c r="K48" i="27"/>
  <c r="L48" i="27"/>
  <c r="M48" i="27"/>
  <c r="N48" i="27"/>
  <c r="O48" i="27"/>
  <c r="D51" i="27"/>
  <c r="E51" i="27"/>
  <c r="F51" i="27"/>
  <c r="G51" i="27"/>
  <c r="H51" i="27"/>
  <c r="I51" i="27"/>
  <c r="J51" i="27"/>
  <c r="K51" i="27"/>
  <c r="L51" i="27"/>
  <c r="M51" i="27"/>
  <c r="N51" i="27"/>
  <c r="O51" i="27"/>
  <c r="D54" i="27"/>
  <c r="E54" i="27"/>
  <c r="F54" i="27"/>
  <c r="G54" i="27"/>
  <c r="H54" i="27"/>
  <c r="I54" i="27"/>
  <c r="J54" i="27"/>
  <c r="K54" i="27"/>
  <c r="L54" i="27"/>
  <c r="M54" i="27"/>
  <c r="N54" i="27"/>
  <c r="O54" i="27"/>
  <c r="D57" i="27"/>
  <c r="E57" i="27"/>
  <c r="F57" i="27"/>
  <c r="G57" i="27"/>
  <c r="H57" i="27"/>
  <c r="I57" i="27"/>
  <c r="J57" i="27"/>
  <c r="K57" i="27"/>
  <c r="L57" i="27"/>
  <c r="M57" i="27"/>
  <c r="N57" i="27"/>
  <c r="O57" i="27"/>
  <c r="D60" i="27"/>
  <c r="E60" i="27"/>
  <c r="F60" i="27"/>
  <c r="G60" i="27"/>
  <c r="H60" i="27"/>
  <c r="I60" i="27"/>
  <c r="J60" i="27"/>
  <c r="K60" i="27"/>
  <c r="L60" i="27"/>
  <c r="M60" i="27"/>
  <c r="N60" i="27"/>
  <c r="O60" i="27"/>
  <c r="D63" i="27"/>
  <c r="E63" i="27"/>
  <c r="F63" i="27"/>
  <c r="G63" i="27"/>
  <c r="H63" i="27"/>
  <c r="I63" i="27"/>
  <c r="J63" i="27"/>
  <c r="K63" i="27"/>
  <c r="L63" i="27"/>
  <c r="M63" i="27"/>
  <c r="N63" i="27"/>
  <c r="O63" i="27"/>
  <c r="D66" i="27"/>
  <c r="E66" i="27"/>
  <c r="F66" i="27"/>
  <c r="G66" i="27"/>
  <c r="H66" i="27"/>
  <c r="I66" i="27"/>
  <c r="J66" i="27"/>
  <c r="K66" i="27"/>
  <c r="L66" i="27"/>
  <c r="M66" i="27"/>
  <c r="N66" i="27"/>
  <c r="O66" i="27"/>
  <c r="D69" i="27"/>
  <c r="E69" i="27"/>
  <c r="F69" i="27"/>
  <c r="G69" i="27"/>
  <c r="H69" i="27"/>
  <c r="I69" i="27"/>
  <c r="J69" i="27"/>
  <c r="K69" i="27"/>
  <c r="L69" i="27"/>
  <c r="M69" i="27"/>
  <c r="N69" i="27"/>
  <c r="O69" i="27"/>
  <c r="D72" i="27"/>
  <c r="E72" i="27"/>
  <c r="F72" i="27"/>
  <c r="G72" i="27"/>
  <c r="H72" i="27"/>
  <c r="I72" i="27"/>
  <c r="J72" i="27"/>
  <c r="K72" i="27"/>
  <c r="L72" i="27"/>
  <c r="M72" i="27"/>
  <c r="N72" i="27"/>
  <c r="O72" i="27"/>
  <c r="D75" i="27"/>
  <c r="E75" i="27"/>
  <c r="F75" i="27"/>
  <c r="G75" i="27"/>
  <c r="H75" i="27"/>
  <c r="I75" i="27"/>
  <c r="J75" i="27"/>
  <c r="K75" i="27"/>
  <c r="L75" i="27"/>
  <c r="M75" i="27"/>
  <c r="N75" i="27"/>
  <c r="O75" i="27"/>
  <c r="D78" i="27"/>
  <c r="E78" i="27"/>
  <c r="F78" i="27"/>
  <c r="G78" i="27"/>
  <c r="H78" i="27"/>
  <c r="I78" i="27"/>
  <c r="J78" i="27"/>
  <c r="K78" i="27"/>
  <c r="L78" i="27"/>
  <c r="M78" i="27"/>
  <c r="N78" i="27"/>
  <c r="O78" i="27"/>
  <c r="D81" i="27"/>
  <c r="E81" i="27"/>
  <c r="F81" i="27"/>
  <c r="G81" i="27"/>
  <c r="H81" i="27"/>
  <c r="I81" i="27"/>
  <c r="J81" i="27"/>
  <c r="K81" i="27"/>
  <c r="L81" i="27"/>
  <c r="M81" i="27"/>
  <c r="N81" i="27"/>
  <c r="O81" i="27"/>
  <c r="D84" i="27"/>
  <c r="E84" i="27"/>
  <c r="F84" i="27"/>
  <c r="G84" i="27"/>
  <c r="H84" i="27"/>
  <c r="I84" i="27"/>
  <c r="J84" i="27"/>
  <c r="K84" i="27"/>
  <c r="L84" i="27"/>
  <c r="M84" i="27"/>
  <c r="N84" i="27"/>
  <c r="O84" i="27"/>
  <c r="D87" i="27"/>
  <c r="E87" i="27"/>
  <c r="F87" i="27"/>
  <c r="G87" i="27"/>
  <c r="H87" i="27"/>
  <c r="I87" i="27"/>
  <c r="J87" i="27"/>
  <c r="K87" i="27"/>
  <c r="L87" i="27"/>
  <c r="M87" i="27"/>
  <c r="N87" i="27"/>
  <c r="O87" i="27"/>
  <c r="D90" i="27"/>
  <c r="E90" i="27"/>
  <c r="F90" i="27"/>
  <c r="G90" i="27"/>
  <c r="H90" i="27"/>
  <c r="I90" i="27"/>
  <c r="J90" i="27"/>
  <c r="K90" i="27"/>
  <c r="L90" i="27"/>
  <c r="M90" i="27"/>
  <c r="N90" i="27"/>
  <c r="O90" i="27"/>
  <c r="D93" i="27"/>
  <c r="E93" i="27"/>
  <c r="F93" i="27"/>
  <c r="G93" i="27"/>
  <c r="H93" i="27"/>
  <c r="I93" i="27"/>
  <c r="J93" i="27"/>
  <c r="K93" i="27"/>
  <c r="L93" i="27"/>
  <c r="M93" i="27"/>
  <c r="N93" i="27"/>
  <c r="O93" i="27"/>
  <c r="D96" i="27"/>
  <c r="E96" i="27"/>
  <c r="F96" i="27"/>
  <c r="G96" i="27"/>
  <c r="H96" i="27"/>
  <c r="I96" i="27"/>
  <c r="J96" i="27"/>
  <c r="K96" i="27"/>
  <c r="L96" i="27"/>
  <c r="M96" i="27"/>
  <c r="N96" i="27"/>
  <c r="O96" i="27"/>
  <c r="D99" i="27"/>
  <c r="E99" i="27"/>
  <c r="F99" i="27"/>
  <c r="G99" i="27"/>
  <c r="H99" i="27"/>
  <c r="I99" i="27"/>
  <c r="J99" i="27"/>
  <c r="K99" i="27"/>
  <c r="L99" i="27"/>
  <c r="M99" i="27"/>
  <c r="N99" i="27"/>
  <c r="O99" i="27"/>
  <c r="D102" i="27"/>
  <c r="E102" i="27"/>
  <c r="F102" i="27"/>
  <c r="G102" i="27"/>
  <c r="H102" i="27"/>
  <c r="I102" i="27"/>
  <c r="J102" i="27"/>
  <c r="K102" i="27"/>
  <c r="L102" i="27"/>
  <c r="M102" i="27"/>
  <c r="N102" i="27"/>
  <c r="O102" i="27"/>
  <c r="D105" i="27"/>
  <c r="E105" i="27"/>
  <c r="F105" i="27"/>
  <c r="G105" i="27"/>
  <c r="H105" i="27"/>
  <c r="I105" i="27"/>
  <c r="J105" i="27"/>
  <c r="K105" i="27"/>
  <c r="L105" i="27"/>
  <c r="M105" i="27"/>
  <c r="N105" i="27"/>
  <c r="O105" i="27"/>
  <c r="D108" i="27"/>
  <c r="E108" i="27"/>
  <c r="F108" i="27"/>
  <c r="G108" i="27"/>
  <c r="H108" i="27"/>
  <c r="I108" i="27"/>
  <c r="J108" i="27"/>
  <c r="K108" i="27"/>
  <c r="L108" i="27"/>
  <c r="M108" i="27"/>
  <c r="N108" i="27"/>
  <c r="O108" i="27"/>
  <c r="D111" i="27"/>
  <c r="E111" i="27"/>
  <c r="F111" i="27"/>
  <c r="G111" i="27"/>
  <c r="H111" i="27"/>
  <c r="I111" i="27"/>
  <c r="J111" i="27"/>
  <c r="K111" i="27"/>
  <c r="L111" i="27"/>
  <c r="M111" i="27"/>
  <c r="N111" i="27"/>
  <c r="O111" i="27"/>
  <c r="D114" i="27"/>
  <c r="E114" i="27"/>
  <c r="F114" i="27"/>
  <c r="G114" i="27"/>
  <c r="H114" i="27"/>
  <c r="I114" i="27"/>
  <c r="J114" i="27"/>
  <c r="K114" i="27"/>
  <c r="L114" i="27"/>
  <c r="M114" i="27"/>
  <c r="N114" i="27"/>
  <c r="O114" i="27"/>
  <c r="D117" i="27"/>
  <c r="E117" i="27"/>
  <c r="F117" i="27"/>
  <c r="G117" i="27"/>
  <c r="H117" i="27"/>
  <c r="I117" i="27"/>
  <c r="J117" i="27"/>
  <c r="K117" i="27"/>
  <c r="L117" i="27"/>
  <c r="M117" i="27"/>
  <c r="N117" i="27"/>
  <c r="O117" i="27"/>
  <c r="D120" i="27"/>
  <c r="E120" i="27"/>
  <c r="F120" i="27"/>
  <c r="G120" i="27"/>
  <c r="H120" i="27"/>
  <c r="I120" i="27"/>
  <c r="J120" i="27"/>
  <c r="K120" i="27"/>
  <c r="L120" i="27"/>
  <c r="M120" i="27"/>
  <c r="N120" i="27"/>
  <c r="O120" i="27"/>
  <c r="D123" i="27"/>
  <c r="E123" i="27"/>
  <c r="F123" i="27"/>
  <c r="G123" i="27"/>
  <c r="H123" i="27"/>
  <c r="I123" i="27"/>
  <c r="J123" i="27"/>
  <c r="K123" i="27"/>
  <c r="L123" i="27"/>
  <c r="M123" i="27"/>
  <c r="N123" i="27"/>
  <c r="O123" i="27"/>
  <c r="D126" i="27"/>
  <c r="E126" i="27"/>
  <c r="F126" i="27"/>
  <c r="G126" i="27"/>
  <c r="H126" i="27"/>
  <c r="I126" i="27"/>
  <c r="J126" i="27"/>
  <c r="K126" i="27"/>
  <c r="L126" i="27"/>
  <c r="M126" i="27"/>
  <c r="N126" i="27"/>
  <c r="O126" i="27"/>
  <c r="D129" i="27"/>
  <c r="E129" i="27"/>
  <c r="F129" i="27"/>
  <c r="G129" i="27"/>
  <c r="H129" i="27"/>
  <c r="I129" i="27"/>
  <c r="J129" i="27"/>
  <c r="K129" i="27"/>
  <c r="L129" i="27"/>
  <c r="M129" i="27"/>
  <c r="N129" i="27"/>
  <c r="O129" i="27"/>
  <c r="D132" i="27"/>
  <c r="E132" i="27"/>
  <c r="F132" i="27"/>
  <c r="G132" i="27"/>
  <c r="H132" i="27"/>
  <c r="I132" i="27"/>
  <c r="J132" i="27"/>
  <c r="K132" i="27"/>
  <c r="L132" i="27"/>
  <c r="M132" i="27"/>
  <c r="N132" i="27"/>
  <c r="O132" i="27"/>
  <c r="D135" i="27"/>
  <c r="E135" i="27"/>
  <c r="F135" i="27"/>
  <c r="G135" i="27"/>
  <c r="H135" i="27"/>
  <c r="I135" i="27"/>
  <c r="J135" i="27"/>
  <c r="K135" i="27"/>
  <c r="L135" i="27"/>
  <c r="M135" i="27"/>
  <c r="N135" i="27"/>
  <c r="O135" i="27"/>
  <c r="D138" i="27"/>
  <c r="E138" i="27"/>
  <c r="F138" i="27"/>
  <c r="G138" i="27"/>
  <c r="H138" i="27"/>
  <c r="I138" i="27"/>
  <c r="J138" i="27"/>
  <c r="K138" i="27"/>
  <c r="L138" i="27"/>
  <c r="M138" i="27"/>
  <c r="N138" i="27"/>
  <c r="O138" i="27"/>
  <c r="D141" i="27"/>
  <c r="E141" i="27"/>
  <c r="F141" i="27"/>
  <c r="G141" i="27"/>
  <c r="H141" i="27"/>
  <c r="I141" i="27"/>
  <c r="J141" i="27"/>
  <c r="K141" i="27"/>
  <c r="L141" i="27"/>
  <c r="M141" i="27"/>
  <c r="N141" i="27"/>
  <c r="O141" i="27"/>
  <c r="D144" i="27"/>
  <c r="E144" i="27"/>
  <c r="F144" i="27"/>
  <c r="G144" i="27"/>
  <c r="H144" i="27"/>
  <c r="I144" i="27"/>
  <c r="J144" i="27"/>
  <c r="K144" i="27"/>
  <c r="L144" i="27"/>
  <c r="M144" i="27"/>
  <c r="N144" i="27"/>
  <c r="O144" i="27"/>
  <c r="D147" i="27"/>
  <c r="E147" i="27"/>
  <c r="F147" i="27"/>
  <c r="G147" i="27"/>
  <c r="H147" i="27"/>
  <c r="I147" i="27"/>
  <c r="J147" i="27"/>
  <c r="K147" i="27"/>
  <c r="L147" i="27"/>
  <c r="M147" i="27"/>
  <c r="N147" i="27"/>
  <c r="O147" i="27"/>
  <c r="D150" i="27"/>
  <c r="E150" i="27"/>
  <c r="F150" i="27"/>
  <c r="G150" i="27"/>
  <c r="H150" i="27"/>
  <c r="I150" i="27"/>
  <c r="J150" i="27"/>
  <c r="K150" i="27"/>
  <c r="L150" i="27"/>
  <c r="M150" i="27"/>
  <c r="N150" i="27"/>
  <c r="O150" i="27"/>
  <c r="D153" i="27"/>
  <c r="E153" i="27"/>
  <c r="F153" i="27"/>
  <c r="G153" i="27"/>
  <c r="H153" i="27"/>
  <c r="I153" i="27"/>
  <c r="J153" i="27"/>
  <c r="K153" i="27"/>
  <c r="L153" i="27"/>
  <c r="M153" i="27"/>
  <c r="N153" i="27"/>
  <c r="O153" i="27"/>
  <c r="D156" i="27"/>
  <c r="E156" i="27"/>
  <c r="F156" i="27"/>
  <c r="G156" i="27"/>
  <c r="H156" i="27"/>
  <c r="I156" i="27"/>
  <c r="J156" i="27"/>
  <c r="K156" i="27"/>
  <c r="L156" i="27"/>
  <c r="M156" i="27"/>
  <c r="N156" i="27"/>
  <c r="O156" i="27"/>
  <c r="D159" i="27"/>
  <c r="E159" i="27"/>
  <c r="F159" i="27"/>
  <c r="G159" i="27"/>
  <c r="H159" i="27"/>
  <c r="I159" i="27"/>
  <c r="J159" i="27"/>
  <c r="K159" i="27"/>
  <c r="L159" i="27"/>
  <c r="M159" i="27"/>
  <c r="N159" i="27"/>
  <c r="O159" i="27"/>
  <c r="D162" i="27"/>
  <c r="E162" i="27"/>
  <c r="F162" i="27"/>
  <c r="G162" i="27"/>
  <c r="H162" i="27"/>
  <c r="I162" i="27"/>
  <c r="J162" i="27"/>
  <c r="K162" i="27"/>
  <c r="L162" i="27"/>
  <c r="M162" i="27"/>
  <c r="N162" i="27"/>
  <c r="O162" i="27"/>
  <c r="D165" i="27"/>
  <c r="E165" i="27"/>
  <c r="F165" i="27"/>
  <c r="G165" i="27"/>
  <c r="H165" i="27"/>
  <c r="I165" i="27"/>
  <c r="J165" i="27"/>
  <c r="K165" i="27"/>
  <c r="L165" i="27"/>
  <c r="M165" i="27"/>
  <c r="N165" i="27"/>
  <c r="O165" i="27"/>
  <c r="D168" i="27"/>
  <c r="E168" i="27"/>
  <c r="F168" i="27"/>
  <c r="G168" i="27"/>
  <c r="H168" i="27"/>
  <c r="I168" i="27"/>
  <c r="J168" i="27"/>
  <c r="K168" i="27"/>
  <c r="L168" i="27"/>
  <c r="M168" i="27"/>
  <c r="N168" i="27"/>
  <c r="O168" i="27"/>
  <c r="D171" i="27"/>
  <c r="E171" i="27"/>
  <c r="F171" i="27"/>
  <c r="G171" i="27"/>
  <c r="H171" i="27"/>
  <c r="I171" i="27"/>
  <c r="J171" i="27"/>
  <c r="K171" i="27"/>
  <c r="L171" i="27"/>
  <c r="M171" i="27"/>
  <c r="N171" i="27"/>
  <c r="O171" i="27"/>
  <c r="D174" i="27"/>
  <c r="E174" i="27"/>
  <c r="F174" i="27"/>
  <c r="G174" i="27"/>
  <c r="H174" i="27"/>
  <c r="I174" i="27"/>
  <c r="J174" i="27"/>
  <c r="K174" i="27"/>
  <c r="L174" i="27"/>
  <c r="M174" i="27"/>
  <c r="N174" i="27"/>
  <c r="O174" i="27"/>
  <c r="D177" i="27"/>
  <c r="E177" i="27"/>
  <c r="F177" i="27"/>
  <c r="G177" i="27"/>
  <c r="H177" i="27"/>
  <c r="I177" i="27"/>
  <c r="J177" i="27"/>
  <c r="K177" i="27"/>
  <c r="L177" i="27"/>
  <c r="M177" i="27"/>
  <c r="N177" i="27"/>
  <c r="O177" i="27"/>
  <c r="D180" i="27"/>
  <c r="E180" i="27"/>
  <c r="F180" i="27"/>
  <c r="G180" i="27"/>
  <c r="H180" i="27"/>
  <c r="I180" i="27"/>
  <c r="J180" i="27"/>
  <c r="K180" i="27"/>
  <c r="L180" i="27"/>
  <c r="M180" i="27"/>
  <c r="N180" i="27"/>
  <c r="O180" i="27"/>
  <c r="D183" i="27"/>
  <c r="E183" i="27"/>
  <c r="F183" i="27"/>
  <c r="G183" i="27"/>
  <c r="H183" i="27"/>
  <c r="I183" i="27"/>
  <c r="J183" i="27"/>
  <c r="K183" i="27"/>
  <c r="L183" i="27"/>
  <c r="M183" i="27"/>
  <c r="N183" i="27"/>
  <c r="O183" i="27"/>
  <c r="D186" i="27"/>
  <c r="E186" i="27"/>
  <c r="F186" i="27"/>
  <c r="G186" i="27"/>
  <c r="H186" i="27"/>
  <c r="I186" i="27"/>
  <c r="J186" i="27"/>
  <c r="K186" i="27"/>
  <c r="L186" i="27"/>
  <c r="M186" i="27"/>
  <c r="N186" i="27"/>
  <c r="O186" i="27"/>
  <c r="D189" i="27"/>
  <c r="E189" i="27"/>
  <c r="F189" i="27"/>
  <c r="G189" i="27"/>
  <c r="H189" i="27"/>
  <c r="I189" i="27"/>
  <c r="J189" i="27"/>
  <c r="K189" i="27"/>
  <c r="L189" i="27"/>
  <c r="M189" i="27"/>
  <c r="N189" i="27"/>
  <c r="O189" i="27"/>
  <c r="D192" i="27"/>
  <c r="E192" i="27"/>
  <c r="F192" i="27"/>
  <c r="G192" i="27"/>
  <c r="H192" i="27"/>
  <c r="I192" i="27"/>
  <c r="J192" i="27"/>
  <c r="K192" i="27"/>
  <c r="L192" i="27"/>
  <c r="M192" i="27"/>
  <c r="N192" i="27"/>
  <c r="O192" i="27"/>
  <c r="D195" i="27"/>
  <c r="E195" i="27"/>
  <c r="F195" i="27"/>
  <c r="G195" i="27"/>
  <c r="H195" i="27"/>
  <c r="I195" i="27"/>
  <c r="J195" i="27"/>
  <c r="K195" i="27"/>
  <c r="L195" i="27"/>
  <c r="M195" i="27"/>
  <c r="N195" i="27"/>
  <c r="O195" i="27"/>
  <c r="D198" i="27"/>
  <c r="E198" i="27"/>
  <c r="F198" i="27"/>
  <c r="G198" i="27"/>
  <c r="H198" i="27"/>
  <c r="I198" i="27"/>
  <c r="J198" i="27"/>
  <c r="K198" i="27"/>
  <c r="L198" i="27"/>
  <c r="M198" i="27"/>
  <c r="N198" i="27"/>
  <c r="O198" i="27"/>
  <c r="D201" i="27"/>
  <c r="E201" i="27"/>
  <c r="F201" i="27"/>
  <c r="G201" i="27"/>
  <c r="H201" i="27"/>
  <c r="I201" i="27"/>
  <c r="J201" i="27"/>
  <c r="K201" i="27"/>
  <c r="L201" i="27"/>
  <c r="M201" i="27"/>
  <c r="N201" i="27"/>
  <c r="O201" i="27"/>
  <c r="O27" i="27"/>
  <c r="N27" i="27"/>
  <c r="M27" i="27"/>
  <c r="L27" i="27"/>
  <c r="K27" i="27"/>
  <c r="J27" i="27"/>
  <c r="I27" i="27"/>
  <c r="H27" i="27"/>
  <c r="G27" i="27"/>
  <c r="F27" i="27"/>
  <c r="E27" i="27"/>
  <c r="D27" i="27" l="1"/>
  <c r="Q26" i="27" l="1"/>
  <c r="Q29" i="27"/>
  <c r="Q32" i="27"/>
  <c r="Q35" i="27"/>
  <c r="Q38" i="27"/>
  <c r="Q41" i="27"/>
  <c r="Q44" i="27"/>
  <c r="Q47" i="27"/>
  <c r="Q50" i="27"/>
  <c r="Q53" i="27"/>
  <c r="Q56" i="27"/>
  <c r="Q59" i="27"/>
  <c r="Q62" i="27"/>
  <c r="Q65" i="27"/>
  <c r="Q68" i="27"/>
  <c r="Q71" i="27"/>
  <c r="Q74" i="27"/>
  <c r="Q77" i="27"/>
  <c r="Q80" i="27"/>
  <c r="Q83" i="27"/>
  <c r="Q86" i="27"/>
  <c r="Q89" i="27"/>
  <c r="Q92" i="27"/>
  <c r="Q95" i="27"/>
  <c r="Q98" i="27"/>
  <c r="Q101" i="27"/>
  <c r="Q104" i="27"/>
  <c r="Q107" i="27"/>
  <c r="Q110" i="27"/>
  <c r="Q113" i="27"/>
  <c r="Q116" i="27"/>
  <c r="Q119" i="27"/>
  <c r="Q122" i="27"/>
  <c r="Q125" i="27"/>
  <c r="Q128" i="27"/>
  <c r="Q131" i="27"/>
  <c r="Q134" i="27"/>
  <c r="Q137" i="27"/>
  <c r="Q140" i="27"/>
  <c r="Q143" i="27"/>
  <c r="Q146" i="27"/>
  <c r="Q149" i="27"/>
  <c r="Q152" i="27"/>
  <c r="Q155" i="27"/>
  <c r="Q158" i="27"/>
  <c r="Q161" i="27"/>
  <c r="Q164" i="27"/>
  <c r="Q167" i="27"/>
  <c r="Q170" i="27"/>
  <c r="Q173" i="27"/>
  <c r="Q176" i="27"/>
  <c r="Q179" i="27"/>
  <c r="Q182" i="27"/>
  <c r="Q185" i="27"/>
  <c r="Q188" i="27"/>
  <c r="Q191" i="27"/>
  <c r="Q194" i="27"/>
  <c r="Q197" i="27"/>
  <c r="Q200" i="27"/>
  <c r="Q23" i="27"/>
  <c r="J13" i="23" l="1"/>
  <c r="O11" i="14"/>
  <c r="N13" i="13" l="1"/>
  <c r="J13" i="13" s="1"/>
  <c r="K12" i="15"/>
  <c r="J13" i="11"/>
  <c r="N27" i="11"/>
  <c r="G40" i="15"/>
  <c r="K40" i="15" s="1"/>
  <c r="G39" i="15"/>
  <c r="K39" i="15" s="1"/>
  <c r="O39" i="15" s="1"/>
  <c r="G25" i="15"/>
  <c r="K25" i="15" s="1"/>
  <c r="O25" i="15" s="1"/>
  <c r="L17" i="12"/>
  <c r="L49" i="12" s="1"/>
  <c r="G13" i="14"/>
  <c r="S13" i="14"/>
  <c r="G14" i="14"/>
  <c r="S14" i="14"/>
  <c r="S15" i="14" s="1"/>
  <c r="G24" i="14"/>
  <c r="S24" i="14"/>
  <c r="S26" i="14" s="1"/>
  <c r="S25" i="14"/>
  <c r="M21" i="22"/>
  <c r="U21" i="22" s="1"/>
  <c r="W28" i="14" s="1"/>
  <c r="F33" i="12"/>
  <c r="F49" i="12" s="1"/>
  <c r="L18" i="12"/>
  <c r="L50" i="12" s="1"/>
  <c r="F34" i="12"/>
  <c r="F50" i="12" s="1"/>
  <c r="L22" i="12"/>
  <c r="L54" i="12" s="1"/>
  <c r="F38" i="12"/>
  <c r="F54" i="12" s="1"/>
  <c r="L23" i="12"/>
  <c r="L55" i="12" s="1"/>
  <c r="F39" i="12"/>
  <c r="F55" i="12" s="1"/>
  <c r="L39" i="12"/>
  <c r="F18" i="11"/>
  <c r="F22" i="13"/>
  <c r="F15" i="11" s="1"/>
  <c r="K21" i="27" s="1"/>
  <c r="F23" i="13"/>
  <c r="F16" i="11" s="1"/>
  <c r="I21" i="27" s="1"/>
  <c r="F24" i="13"/>
  <c r="F17" i="11" s="1"/>
  <c r="F26" i="13"/>
  <c r="F20" i="11" s="1"/>
  <c r="G28" i="14"/>
  <c r="F17" i="12"/>
  <c r="F18" i="12"/>
  <c r="F22" i="12"/>
  <c r="F23" i="12"/>
  <c r="Q33" i="22"/>
  <c r="AC1" i="26"/>
  <c r="F29" i="12" s="1"/>
  <c r="P35" i="23"/>
  <c r="U38" i="22"/>
  <c r="V24" i="13" s="1"/>
  <c r="N17" i="11" s="1"/>
  <c r="U40" i="22"/>
  <c r="V26" i="13" s="1"/>
  <c r="N20" i="11" s="1"/>
  <c r="N35" i="23"/>
  <c r="M38" i="22"/>
  <c r="N24" i="13" s="1"/>
  <c r="J17" i="11" s="1"/>
  <c r="M40" i="22"/>
  <c r="N26" i="13" s="1"/>
  <c r="J20" i="11" s="1"/>
  <c r="L35" i="23"/>
  <c r="J35" i="23"/>
  <c r="G35" i="15"/>
  <c r="K35" i="15" s="1"/>
  <c r="O35" i="15" s="1"/>
  <c r="Q31" i="22"/>
  <c r="R47" i="13" s="1"/>
  <c r="Q30" i="22"/>
  <c r="R46" i="13" s="1"/>
  <c r="Q29" i="22"/>
  <c r="R45" i="13" s="1"/>
  <c r="Q28" i="22"/>
  <c r="R44" i="13" s="1"/>
  <c r="Q25" i="22"/>
  <c r="R22" i="13"/>
  <c r="R23" i="13"/>
  <c r="R24" i="13"/>
  <c r="R26" i="13"/>
  <c r="F25" i="13"/>
  <c r="J24" i="13"/>
  <c r="J26" i="13"/>
  <c r="N13" i="11"/>
  <c r="P1" i="23"/>
  <c r="N13" i="23"/>
  <c r="F35" i="23"/>
  <c r="H35" i="23"/>
  <c r="D62" i="12"/>
  <c r="O12" i="15"/>
  <c r="V13" i="13"/>
  <c r="Q12" i="22"/>
  <c r="S11" i="14" s="1"/>
  <c r="W11" i="14"/>
  <c r="U1" i="22"/>
  <c r="I12" i="22"/>
  <c r="K11" i="14" s="1"/>
  <c r="E39" i="22"/>
  <c r="M39" i="22"/>
  <c r="U39" i="22"/>
  <c r="E59" i="22"/>
  <c r="M59" i="22"/>
  <c r="U59" i="22"/>
  <c r="E60" i="22"/>
  <c r="M60" i="22"/>
  <c r="U60" i="22"/>
  <c r="F35" i="12" l="1"/>
  <c r="I24" i="27"/>
  <c r="K24" i="27"/>
  <c r="O28" i="14"/>
  <c r="S28" i="14" s="1"/>
  <c r="N18" i="11"/>
  <c r="V25" i="13"/>
  <c r="F56" i="12"/>
  <c r="L56" i="12" s="1"/>
  <c r="P43" i="23" s="1"/>
  <c r="F40" i="12"/>
  <c r="F24" i="12"/>
  <c r="L24" i="12" s="1"/>
  <c r="F19" i="12"/>
  <c r="L19" i="12" s="1"/>
  <c r="G15" i="14"/>
  <c r="N25" i="13"/>
  <c r="G41" i="15"/>
  <c r="F51" i="12"/>
  <c r="L51" i="12" s="1"/>
  <c r="R48" i="13"/>
  <c r="J18" i="11"/>
  <c r="F27" i="13"/>
  <c r="R13" i="13"/>
  <c r="O40" i="15"/>
  <c r="O41" i="15" s="1"/>
  <c r="K41" i="15"/>
  <c r="N43" i="23" l="1"/>
  <c r="L58" i="12"/>
  <c r="N47" i="23" s="1"/>
  <c r="F26" i="12"/>
  <c r="L26" i="12"/>
  <c r="E21" i="27" s="1"/>
  <c r="E24" i="27" s="1"/>
  <c r="K28" i="14"/>
  <c r="R25" i="13"/>
  <c r="R27" i="13" s="1"/>
  <c r="J25" i="13"/>
  <c r="F42" i="12"/>
  <c r="F58" i="12"/>
  <c r="F33" i="23"/>
  <c r="H33" i="23"/>
  <c r="F24" i="23"/>
  <c r="H24" i="23"/>
  <c r="F43" i="23"/>
  <c r="H43" i="23"/>
  <c r="N33" i="23"/>
  <c r="P33" i="23"/>
  <c r="J33" i="23"/>
  <c r="L33" i="23"/>
  <c r="G24" i="27" l="1"/>
  <c r="H24" i="27"/>
  <c r="P47" i="23"/>
  <c r="F47" i="23"/>
  <c r="H47" i="23"/>
  <c r="J24" i="27" l="1"/>
  <c r="M24" i="27"/>
  <c r="F24" i="27" l="1"/>
  <c r="N24" i="27" l="1"/>
  <c r="L24" i="27"/>
  <c r="F30" i="23" l="1"/>
  <c r="H30" i="23"/>
  <c r="G18" i="15"/>
  <c r="F45" i="13" l="1"/>
  <c r="F47" i="13"/>
  <c r="F46" i="13"/>
  <c r="F44" i="13" l="1"/>
  <c r="F48" i="13" s="1"/>
  <c r="E33" i="22"/>
  <c r="F27" i="11" s="1"/>
  <c r="H21" i="23" l="1"/>
  <c r="F17" i="13"/>
  <c r="F21" i="23"/>
  <c r="F32" i="11" l="1"/>
  <c r="M21" i="27" s="1"/>
  <c r="F20" i="23" l="1"/>
  <c r="F22" i="23" s="1"/>
  <c r="G25" i="14" l="1"/>
  <c r="G26" i="14" l="1"/>
  <c r="G30" i="14" l="1"/>
  <c r="G21" i="27"/>
  <c r="G17" i="14" l="1"/>
  <c r="G18" i="14" s="1"/>
  <c r="H21" i="27"/>
  <c r="F38" i="23" l="1"/>
  <c r="F21" i="27"/>
  <c r="H38" i="23"/>
  <c r="J26" i="12"/>
  <c r="J17" i="12" l="1"/>
  <c r="J22" i="12"/>
  <c r="J23" i="12"/>
  <c r="P23" i="12" s="1"/>
  <c r="J18" i="12"/>
  <c r="P18" i="12" s="1"/>
  <c r="P22" i="12" l="1"/>
  <c r="J24" i="12"/>
  <c r="F40" i="23" s="1"/>
  <c r="P17" i="12"/>
  <c r="P19" i="12" s="1"/>
  <c r="J19" i="12"/>
  <c r="H40" i="23" l="1"/>
  <c r="G16" i="15"/>
  <c r="G20" i="15" s="1"/>
  <c r="P24" i="12"/>
  <c r="H50" i="23" s="1"/>
  <c r="F50" i="23" s="1"/>
  <c r="F30" i="13"/>
  <c r="P26" i="12" l="1"/>
  <c r="D21" i="27" s="1"/>
  <c r="D24" i="27" s="1"/>
  <c r="F25" i="23"/>
  <c r="H25" i="23"/>
  <c r="H26" i="23" s="1"/>
  <c r="F32" i="13"/>
  <c r="F23" i="11"/>
  <c r="F22" i="11" l="1"/>
  <c r="F26" i="23"/>
  <c r="F28" i="23" s="1"/>
  <c r="F31" i="23" s="1"/>
  <c r="F34" i="23" s="1"/>
  <c r="F36" i="23" s="1"/>
  <c r="F46" i="23" l="1"/>
  <c r="F48" i="23" s="1"/>
  <c r="F42" i="23"/>
  <c r="F44" i="23" s="1"/>
  <c r="F51" i="23"/>
  <c r="F52" i="23" s="1"/>
  <c r="O21" i="27" l="1"/>
  <c r="O24" i="27" s="1"/>
  <c r="H19" i="23"/>
  <c r="E47" i="22" l="1"/>
  <c r="G24" i="15"/>
  <c r="G26" i="15" l="1"/>
  <c r="G29" i="15"/>
  <c r="G31" i="15" s="1"/>
  <c r="F35" i="13" s="1"/>
  <c r="G33" i="15" l="1"/>
  <c r="F19" i="11" s="1"/>
  <c r="F25" i="11" l="1"/>
  <c r="J21" i="27"/>
  <c r="H20" i="23"/>
  <c r="H22" i="23" s="1"/>
  <c r="H28" i="23" s="1"/>
  <c r="H31" i="23" s="1"/>
  <c r="H34" i="23" s="1"/>
  <c r="F16" i="13"/>
  <c r="L21" i="27" l="1"/>
  <c r="F28" i="11"/>
  <c r="N21" i="27" s="1"/>
  <c r="F31" i="11"/>
  <c r="F33" i="11" s="1"/>
  <c r="F35" i="11" s="1"/>
  <c r="F18" i="13"/>
  <c r="F34" i="13" s="1"/>
  <c r="F37" i="13" s="1"/>
  <c r="H36" i="23" s="1"/>
  <c r="H42" i="23" l="1"/>
  <c r="H44" i="23" s="1"/>
  <c r="H46" i="23"/>
  <c r="H48" i="23" s="1"/>
  <c r="H51" i="23" s="1"/>
  <c r="L34" i="12" l="1"/>
  <c r="L38" i="12"/>
  <c r="L40" i="12" l="1"/>
  <c r="I30" i="22" l="1"/>
  <c r="J46" i="13" s="1"/>
  <c r="N46" i="13"/>
  <c r="V46" i="13" s="1"/>
  <c r="L43" i="23"/>
  <c r="J43" i="23"/>
  <c r="L33" i="12"/>
  <c r="L35" i="12" l="1"/>
  <c r="L42" i="12" s="1"/>
  <c r="J22" i="13" l="1"/>
  <c r="M36" i="22"/>
  <c r="N22" i="13" s="1"/>
  <c r="U36" i="22"/>
  <c r="V22" i="13" s="1"/>
  <c r="I29" i="22"/>
  <c r="J45" i="13" s="1"/>
  <c r="N45" i="13"/>
  <c r="V45" i="13" s="1"/>
  <c r="I31" i="22"/>
  <c r="J47" i="13" s="1"/>
  <c r="N47" i="13"/>
  <c r="V47" i="13" s="1"/>
  <c r="I28" i="22"/>
  <c r="J44" i="13" s="1"/>
  <c r="N44" i="13"/>
  <c r="K24" i="14"/>
  <c r="M19" i="22"/>
  <c r="U19" i="22"/>
  <c r="J47" i="23"/>
  <c r="L47" i="23"/>
  <c r="J48" i="13" l="1"/>
  <c r="N15" i="11"/>
  <c r="O24" i="14"/>
  <c r="W24" i="14"/>
  <c r="J15" i="11"/>
  <c r="V44" i="13"/>
  <c r="V48" i="13" s="1"/>
  <c r="N48" i="13"/>
  <c r="P21" i="23" l="1"/>
  <c r="V17" i="13"/>
  <c r="N21" i="23"/>
  <c r="J21" i="23"/>
  <c r="N17" i="13"/>
  <c r="L21" i="23" l="1"/>
  <c r="J32" i="11"/>
  <c r="J17" i="13"/>
  <c r="R17" i="13"/>
  <c r="N32" i="11"/>
  <c r="I33" i="22" l="1"/>
  <c r="J27" i="11"/>
  <c r="I25" i="22" l="1"/>
  <c r="J20" i="23"/>
  <c r="J22" i="23" s="1"/>
  <c r="N20" i="23"/>
  <c r="N22" i="23" s="1"/>
  <c r="I20" i="22" l="1"/>
  <c r="K25" i="14" l="1"/>
  <c r="U20" i="22"/>
  <c r="M20" i="22"/>
  <c r="W25" i="14" l="1"/>
  <c r="W26" i="14" s="1"/>
  <c r="W30" i="14" s="1"/>
  <c r="K26" i="14"/>
  <c r="O25" i="14"/>
  <c r="O26" i="14" s="1"/>
  <c r="O30" i="14" s="1"/>
  <c r="O17" i="14" l="1"/>
  <c r="K30" i="14"/>
  <c r="K17" i="14" s="1"/>
  <c r="W17" i="14"/>
  <c r="S30" i="14"/>
  <c r="S17" i="14" s="1"/>
  <c r="S18" i="14" s="1"/>
  <c r="M16" i="22" l="1"/>
  <c r="K13" i="14"/>
  <c r="U16" i="22"/>
  <c r="O13" i="14" l="1"/>
  <c r="W13" i="14"/>
  <c r="K18" i="15" l="1"/>
  <c r="J30" i="23"/>
  <c r="L30" i="23"/>
  <c r="I26" i="22" l="1"/>
  <c r="N16" i="13"/>
  <c r="N18" i="13" l="1"/>
  <c r="J16" i="13"/>
  <c r="J18" i="13" s="1"/>
  <c r="J31" i="11"/>
  <c r="J33" i="11" s="1"/>
  <c r="M17" i="22" l="1"/>
  <c r="U17" i="22"/>
  <c r="K14" i="14"/>
  <c r="J23" i="13" l="1"/>
  <c r="J27" i="13" s="1"/>
  <c r="M37" i="22"/>
  <c r="N23" i="13" s="1"/>
  <c r="U37" i="22"/>
  <c r="V23" i="13" s="1"/>
  <c r="W14" i="14"/>
  <c r="W15" i="14" s="1"/>
  <c r="W18" i="14" s="1"/>
  <c r="K15" i="14"/>
  <c r="K18" i="14" s="1"/>
  <c r="O14" i="14"/>
  <c r="O15" i="14" s="1"/>
  <c r="O18" i="14" s="1"/>
  <c r="P38" i="23" l="1"/>
  <c r="J58" i="12"/>
  <c r="N38" i="23"/>
  <c r="V27" i="13"/>
  <c r="N16" i="11"/>
  <c r="N27" i="13"/>
  <c r="J16" i="11"/>
  <c r="J38" i="23"/>
  <c r="L38" i="23"/>
  <c r="J42" i="12"/>
  <c r="J49" i="12" l="1"/>
  <c r="J54" i="12"/>
  <c r="J55" i="12"/>
  <c r="P55" i="12" s="1"/>
  <c r="J50" i="12"/>
  <c r="P50" i="12" s="1"/>
  <c r="J33" i="12"/>
  <c r="J39" i="12"/>
  <c r="P39" i="12" s="1"/>
  <c r="J38" i="12"/>
  <c r="J34" i="12"/>
  <c r="P34" i="12" s="1"/>
  <c r="J24" i="23"/>
  <c r="L24" i="23"/>
  <c r="P24" i="23"/>
  <c r="N24" i="23"/>
  <c r="J56" i="12" l="1"/>
  <c r="N40" i="23" s="1"/>
  <c r="P54" i="12"/>
  <c r="P33" i="12"/>
  <c r="P35" i="12" s="1"/>
  <c r="J35" i="12"/>
  <c r="P49" i="12"/>
  <c r="P51" i="12" s="1"/>
  <c r="J51" i="12"/>
  <c r="J40" i="12"/>
  <c r="J40" i="23" s="1"/>
  <c r="P38" i="12"/>
  <c r="K16" i="15" l="1"/>
  <c r="K20" i="15" s="1"/>
  <c r="P40" i="12"/>
  <c r="L50" i="23" s="1"/>
  <c r="L40" i="23"/>
  <c r="N30" i="13"/>
  <c r="O16" i="15"/>
  <c r="P56" i="12"/>
  <c r="P50" i="23" s="1"/>
  <c r="V30" i="13"/>
  <c r="P40" i="23"/>
  <c r="P58" i="12" l="1"/>
  <c r="P42" i="12"/>
  <c r="J23" i="11"/>
  <c r="J50" i="23"/>
  <c r="P25" i="23"/>
  <c r="N25" i="23"/>
  <c r="N26" i="23" s="1"/>
  <c r="N28" i="23" s="1"/>
  <c r="V32" i="13"/>
  <c r="R30" i="13"/>
  <c r="R32" i="13" s="1"/>
  <c r="J30" i="13"/>
  <c r="J32" i="13" s="1"/>
  <c r="J34" i="13" s="1"/>
  <c r="J25" i="23"/>
  <c r="J26" i="23" s="1"/>
  <c r="J28" i="23" s="1"/>
  <c r="J31" i="23" s="1"/>
  <c r="J34" i="23" s="1"/>
  <c r="J36" i="23" s="1"/>
  <c r="L25" i="23"/>
  <c r="N32" i="13"/>
  <c r="N34" i="13" s="1"/>
  <c r="N23" i="11"/>
  <c r="N50" i="23"/>
  <c r="J46" i="23" l="1"/>
  <c r="J48" i="23" s="1"/>
  <c r="J42" i="23"/>
  <c r="J44" i="23" s="1"/>
  <c r="N22" i="11"/>
  <c r="P26" i="23"/>
  <c r="J51" i="23"/>
  <c r="J52" i="23" s="1"/>
  <c r="L19" i="23" s="1"/>
  <c r="L20" i="23" s="1"/>
  <c r="L22" i="23" s="1"/>
  <c r="J22" i="11"/>
  <c r="L26" i="23"/>
  <c r="L28" i="23" l="1"/>
  <c r="L31" i="23" s="1"/>
  <c r="L34" i="23" s="1"/>
  <c r="K24" i="15" l="1"/>
  <c r="M47" i="22"/>
  <c r="K26" i="15" l="1"/>
  <c r="K29" i="15"/>
  <c r="K33" i="15" l="1"/>
  <c r="J19" i="11" s="1"/>
  <c r="J25" i="11" s="1"/>
  <c r="J35" i="11" s="1"/>
  <c r="K31" i="15"/>
  <c r="N35" i="13" s="1"/>
  <c r="J28" i="11" l="1"/>
  <c r="J35" i="13"/>
  <c r="J37" i="13" s="1"/>
  <c r="N37" i="13"/>
  <c r="L36" i="23" s="1"/>
  <c r="L46" i="23" l="1"/>
  <c r="L48" i="23" s="1"/>
  <c r="L51" i="23" s="1"/>
  <c r="L42" i="23"/>
  <c r="L44" i="23" s="1"/>
  <c r="U44" i="22" l="1"/>
  <c r="O18" i="15" l="1"/>
  <c r="O20" i="15" s="1"/>
  <c r="P30" i="23"/>
  <c r="N30" i="23"/>
  <c r="N31" i="23" s="1"/>
  <c r="N34" i="23" s="1"/>
  <c r="N36" i="23" s="1"/>
  <c r="N46" i="23" l="1"/>
  <c r="N48" i="23" s="1"/>
  <c r="N42" i="23"/>
  <c r="N44" i="23" s="1"/>
  <c r="N51" i="23"/>
  <c r="N52" i="23" s="1"/>
  <c r="P19" i="23" s="1"/>
  <c r="U46" i="22" l="1"/>
  <c r="U47" i="22" l="1"/>
  <c r="O24" i="15"/>
  <c r="O29" i="15" l="1"/>
  <c r="O31" i="15" s="1"/>
  <c r="V35" i="13" s="1"/>
  <c r="O26" i="15"/>
  <c r="R35" i="13" l="1"/>
  <c r="O33" i="15"/>
  <c r="N19" i="11" s="1"/>
  <c r="N25" i="11" s="1"/>
  <c r="N28" i="11" l="1"/>
  <c r="U26" i="22" l="1"/>
  <c r="V16" i="13" l="1"/>
  <c r="Q26" i="22"/>
  <c r="P20" i="23"/>
  <c r="P22" i="23" s="1"/>
  <c r="P28" i="23" s="1"/>
  <c r="P31" i="23" s="1"/>
  <c r="P34" i="23" s="1"/>
  <c r="V18" i="13" l="1"/>
  <c r="V34" i="13" s="1"/>
  <c r="V37" i="13" s="1"/>
  <c r="P36" i="23" s="1"/>
  <c r="R16" i="13"/>
  <c r="R18" i="13" s="1"/>
  <c r="R34" i="13" s="1"/>
  <c r="R37" i="13" s="1"/>
  <c r="N31" i="11"/>
  <c r="N33" i="11" s="1"/>
  <c r="N35" i="11" s="1"/>
  <c r="P46" i="23" l="1"/>
  <c r="P48" i="23" s="1"/>
  <c r="P51" i="23" s="1"/>
  <c r="P42" i="23"/>
  <c r="P44" i="23" s="1"/>
</calcChain>
</file>

<file path=xl/sharedStrings.xml><?xml version="1.0" encoding="utf-8"?>
<sst xmlns="http://schemas.openxmlformats.org/spreadsheetml/2006/main" count="493" uniqueCount="328">
  <si>
    <t>Working Capital Allowance</t>
  </si>
  <si>
    <t>Total Rate Base</t>
  </si>
  <si>
    <t>(1)</t>
  </si>
  <si>
    <t>(2)</t>
  </si>
  <si>
    <t>Application</t>
  </si>
  <si>
    <t>Cost of Power</t>
  </si>
  <si>
    <t>Taxes/PILs</t>
  </si>
  <si>
    <t>Rate Base</t>
  </si>
  <si>
    <t>($)</t>
  </si>
  <si>
    <t>Controllable Expenses</t>
  </si>
  <si>
    <t>Working Capital Base</t>
  </si>
  <si>
    <t>Debt</t>
  </si>
  <si>
    <t xml:space="preserve">  Long-term Debt</t>
  </si>
  <si>
    <t xml:space="preserve">  Short-term Debt</t>
  </si>
  <si>
    <t>Total Debt</t>
  </si>
  <si>
    <t>Equity</t>
  </si>
  <si>
    <t xml:space="preserve">  Common Equity</t>
  </si>
  <si>
    <t xml:space="preserve">  Preferred Shares</t>
  </si>
  <si>
    <t>Total Equity</t>
  </si>
  <si>
    <t>Total</t>
  </si>
  <si>
    <t>(%)</t>
  </si>
  <si>
    <t>Cost Rate</t>
  </si>
  <si>
    <t>Return</t>
  </si>
  <si>
    <t xml:space="preserve">Application   </t>
  </si>
  <si>
    <t>Operating Revenues:</t>
  </si>
  <si>
    <t>Operating Expenses:</t>
  </si>
  <si>
    <t>Depreciation/Amortization</t>
  </si>
  <si>
    <t>Income taxes</t>
  </si>
  <si>
    <t>Determination of Taxable Income</t>
  </si>
  <si>
    <t>Adjustments required to arrive at taxable utility income</t>
  </si>
  <si>
    <t>Taxable income</t>
  </si>
  <si>
    <t>Calculation of Utility income Taxes</t>
  </si>
  <si>
    <t>Total taxes</t>
  </si>
  <si>
    <t>Tax Rates</t>
  </si>
  <si>
    <t>Amortization/Depreciation</t>
  </si>
  <si>
    <t>Other revenue</t>
  </si>
  <si>
    <t>Particulars</t>
  </si>
  <si>
    <t>Line No.</t>
  </si>
  <si>
    <t>Notes</t>
  </si>
  <si>
    <t>OM+A Expenses</t>
  </si>
  <si>
    <t>Total revenue</t>
  </si>
  <si>
    <r>
      <t>Particulars</t>
    </r>
    <r>
      <rPr>
        <sz val="10"/>
        <rFont val="Arial"/>
        <family val="2"/>
      </rPr>
      <t xml:space="preserve">                                </t>
    </r>
  </si>
  <si>
    <t>Notes:</t>
  </si>
  <si>
    <t>Capital taxes</t>
  </si>
  <si>
    <t>Property taxes</t>
  </si>
  <si>
    <t>Property Taxes</t>
  </si>
  <si>
    <t>Capitalization Ratio</t>
  </si>
  <si>
    <t>Utility Income</t>
  </si>
  <si>
    <t>Utility Rate Base</t>
  </si>
  <si>
    <t>Indicated Rate of Return</t>
  </si>
  <si>
    <t>Capitalization/Cost of Capital</t>
  </si>
  <si>
    <t>Pale green cells represent inputs</t>
  </si>
  <si>
    <t>Distribution revenue</t>
  </si>
  <si>
    <t xml:space="preserve">  Specific Service Charges</t>
  </si>
  <si>
    <t xml:space="preserve">  Late Payment Charges</t>
  </si>
  <si>
    <t xml:space="preserve">  Other Distribution Revenue</t>
  </si>
  <si>
    <t xml:space="preserve">  Other Income and Deductions</t>
  </si>
  <si>
    <t>Total Revenue Offsets</t>
  </si>
  <si>
    <t>Allowance for Working Capital</t>
  </si>
  <si>
    <t xml:space="preserve">Particulars </t>
  </si>
  <si>
    <t xml:space="preserve">   </t>
  </si>
  <si>
    <t xml:space="preserve">   Controllable Expenses</t>
  </si>
  <si>
    <t xml:space="preserve">   Cost of Power</t>
  </si>
  <si>
    <t xml:space="preserve">   Working Capital Rate (%)</t>
  </si>
  <si>
    <t>Other Revenue</t>
  </si>
  <si>
    <t xml:space="preserve">   OM+A Expenses</t>
  </si>
  <si>
    <t xml:space="preserve">   Property taxes</t>
  </si>
  <si>
    <t xml:space="preserve">   Capital taxes</t>
  </si>
  <si>
    <t xml:space="preserve">      Specific Service Charges</t>
  </si>
  <si>
    <t xml:space="preserve">      Late Payment Charges</t>
  </si>
  <si>
    <t xml:space="preserve">      Other Distribution Revenue</t>
  </si>
  <si>
    <t xml:space="preserve">      Other Income and Deductions</t>
  </si>
  <si>
    <t>Taxable Income:</t>
  </si>
  <si>
    <t>Utility Income Taxes and Rates:</t>
  </si>
  <si>
    <t xml:space="preserve">   Long-term debt Capitalization Ratio (%)</t>
  </si>
  <si>
    <t xml:space="preserve">   Short-term debt Capitalization Ratio (%)</t>
  </si>
  <si>
    <t xml:space="preserve">   Common Equity Capitalization Ratio (%)</t>
  </si>
  <si>
    <t xml:space="preserve">   Prefered Shares Capitalization Ratio (%)</t>
  </si>
  <si>
    <t xml:space="preserve">   Long-term debt Cost Rate (%)</t>
  </si>
  <si>
    <t xml:space="preserve">   Short-term debt Cost Rate (%)</t>
  </si>
  <si>
    <t xml:space="preserve">   Common Equity Cost Rate (%)</t>
  </si>
  <si>
    <t xml:space="preserve">   Prefered Shares Cost Rate (%)</t>
  </si>
  <si>
    <t xml:space="preserve">Working Capital Rate % </t>
  </si>
  <si>
    <t xml:space="preserve">   Federal tax (%)</t>
  </si>
  <si>
    <t xml:space="preserve">   Provincial tax (%)</t>
  </si>
  <si>
    <t>Allowance for Working Capital:</t>
  </si>
  <si>
    <t xml:space="preserve">   Other Revenue:</t>
  </si>
  <si>
    <t xml:space="preserve">   Capital Taxes</t>
  </si>
  <si>
    <t>Capital Structure:</t>
  </si>
  <si>
    <t>Cost of Capital</t>
  </si>
  <si>
    <t>All inputs are in dollars ($) except where inputs are individually identified as percentages (%)</t>
  </si>
  <si>
    <t>Income Taxes (Grossed up)</t>
  </si>
  <si>
    <t>4.0% unless an Applicant has proposed or been approved for another amount.</t>
  </si>
  <si>
    <t xml:space="preserve">   Other expenses</t>
  </si>
  <si>
    <t>Other expense</t>
  </si>
  <si>
    <t>Deemed Interest Expense</t>
  </si>
  <si>
    <t>Gross-up of Income Taxes</t>
  </si>
  <si>
    <t>Utility income before income taxes</t>
  </si>
  <si>
    <t>(3)</t>
  </si>
  <si>
    <t>Net of addbacks and deductions to arrive at taxable income.</t>
  </si>
  <si>
    <t xml:space="preserve">   Gross Fixed Assets (average)</t>
  </si>
  <si>
    <t xml:space="preserve">   Accumulated Depreciation (average)</t>
  </si>
  <si>
    <t>Gross Fixed Assets (average)</t>
  </si>
  <si>
    <t>Accumulated Depreciation (average)</t>
  </si>
  <si>
    <t>Net Fixed Assets (average)</t>
  </si>
  <si>
    <t>Utility net income</t>
  </si>
  <si>
    <t>Grossed-up Income Taxes</t>
  </si>
  <si>
    <t>PILs / tax Allowance (Grossed-up Income taxes + Capital taxes)</t>
  </si>
  <si>
    <t>Income taxes (grossed-up)</t>
  </si>
  <si>
    <t xml:space="preserve">   Distribution Revenue at Proposed Rates</t>
  </si>
  <si>
    <t>Total Revenue</t>
  </si>
  <si>
    <t>Utility Income Before Income Taxes</t>
  </si>
  <si>
    <t xml:space="preserve">Utility Net Income </t>
  </si>
  <si>
    <t xml:space="preserve">   Distribution Revenue at Current Rates</t>
  </si>
  <si>
    <t>Total Operating Revenues</t>
  </si>
  <si>
    <t>Taxable Income</t>
  </si>
  <si>
    <t>Income Tax Credits</t>
  </si>
  <si>
    <t>Operating Expenses</t>
  </si>
  <si>
    <t>Total Cost and Expenses</t>
  </si>
  <si>
    <t>Target Return - Equity on Rate Base</t>
  </si>
  <si>
    <t>Requested Rate of Return on Rate Base</t>
  </si>
  <si>
    <t xml:space="preserve"> </t>
  </si>
  <si>
    <t>(4)</t>
  </si>
  <si>
    <t>(5)</t>
  </si>
  <si>
    <t>Average of Gross Fixed Assets at beginning and end of the Test Year</t>
  </si>
  <si>
    <t xml:space="preserve">   Income taxes (not grossed up)</t>
  </si>
  <si>
    <t xml:space="preserve">   Income taxes (grossed up)</t>
  </si>
  <si>
    <t>At Current Approved Rates</t>
  </si>
  <si>
    <t>At Proposed Rates</t>
  </si>
  <si>
    <t>Distribution Revenue (at Proposed Rates)</t>
  </si>
  <si>
    <t>Target Return on Equity</t>
  </si>
  <si>
    <t>Other tax Credits</t>
  </si>
  <si>
    <t xml:space="preserve">Deemed Equity Portion of Rate Base </t>
  </si>
  <si>
    <t>Average of opening and closing balances for the year.</t>
  </si>
  <si>
    <t>Other Expenses</t>
  </si>
  <si>
    <t>Average of Accumulated Depreciation at the beginning and end of the Test Year.  Enter as a negative amount.</t>
  </si>
  <si>
    <t>Federal tax (%)</t>
  </si>
  <si>
    <t>Provincial tax (%)</t>
  </si>
  <si>
    <t>Total tax rate (%)</t>
  </si>
  <si>
    <t>Capital Taxes</t>
  </si>
  <si>
    <t>OM&amp;A Expenses</t>
  </si>
  <si>
    <t>Please note that this model uses MACROS.  Before starting, please ensure that macros have been enabled.</t>
  </si>
  <si>
    <t>Line 11 - Line 8</t>
  </si>
  <si>
    <t xml:space="preserve">   Depreciation/Amortization</t>
  </si>
  <si>
    <t>Difference (Total Revenue Less Distribution Revenue Requirement before Revenues)</t>
  </si>
  <si>
    <t>Utility net income before taxes</t>
  </si>
  <si>
    <t>Adjustments required to arrive at taxable income</t>
  </si>
  <si>
    <t>(6)</t>
  </si>
  <si>
    <t>Capital Taxes not applicable after July 1, 2010 (i.e. for 2011 and later test years)</t>
  </si>
  <si>
    <t>Revenue Deficiency from Below</t>
  </si>
  <si>
    <t>Distribution Revenue</t>
  </si>
  <si>
    <t>Other Operating Revenue Offsets - net</t>
  </si>
  <si>
    <t>Income Tax Rate</t>
  </si>
  <si>
    <t>Income Tax on Taxable Income</t>
  </si>
  <si>
    <t>Per Board Decision</t>
  </si>
  <si>
    <t>Initial Application</t>
  </si>
  <si>
    <t xml:space="preserve">Initial Application   </t>
  </si>
  <si>
    <t>Subtotal (lines 4 to 8)</t>
  </si>
  <si>
    <t>Total Expenses (lines 9 to 10)</t>
  </si>
  <si>
    <t>Completed versions of the Revenue Requirement Work Form are required to be filed in working Microsoft Excel format.</t>
  </si>
  <si>
    <r>
      <t>Gross Revenue Deficiency/</t>
    </r>
    <r>
      <rPr>
        <b/>
        <sz val="10"/>
        <color indexed="10"/>
        <rFont val="Arial"/>
        <family val="2"/>
      </rPr>
      <t>(Sufficiency)</t>
    </r>
  </si>
  <si>
    <r>
      <t>Revenue Deficiency/</t>
    </r>
    <r>
      <rPr>
        <sz val="10"/>
        <color indexed="10"/>
        <rFont val="Arial"/>
        <family val="2"/>
      </rPr>
      <t>(Sufficiency)</t>
    </r>
  </si>
  <si>
    <t>Algoma Power Inc.</t>
  </si>
  <si>
    <t>Atikokan Hydro Inc.</t>
  </si>
  <si>
    <t>Brantford Power Inc.</t>
  </si>
  <si>
    <t>Burlington Hydro Inc.</t>
  </si>
  <si>
    <t>Centre Wellington Hydro Ltd.</t>
  </si>
  <si>
    <t>Chapleau Public Utilities Corporation</t>
  </si>
  <si>
    <t>Cooperative Hydro Embrun Inc.</t>
  </si>
  <si>
    <t>E.L.K. Energy Inc.</t>
  </si>
  <si>
    <t>Enersource Hydro Mississauga Inc.</t>
  </si>
  <si>
    <t>ENWIN Utilities Ltd.</t>
  </si>
  <si>
    <t>Espanola Regional Hydro Distribution Corporation</t>
  </si>
  <si>
    <t>Essex Powerlines Corporation</t>
  </si>
  <si>
    <t>Festival Hydro Inc.</t>
  </si>
  <si>
    <t>Fort Frances Power Corporation</t>
  </si>
  <si>
    <t>Guelph Hydro Electric Systems Inc.</t>
  </si>
  <si>
    <t>Haldimand County Hydro Inc.</t>
  </si>
  <si>
    <t>Halton Hills Hydro Inc.</t>
  </si>
  <si>
    <t>Horizon Utilities Corporation</t>
  </si>
  <si>
    <t>Hydro 2000 Inc.</t>
  </si>
  <si>
    <t>Hydro Hawkesbury Inc.</t>
  </si>
  <si>
    <t>Hydro One Brampton Networks Inc.</t>
  </si>
  <si>
    <t>Kenora Hydro Electric Corporation Ltd.</t>
  </si>
  <si>
    <t>Kingston Hydro Corporation</t>
  </si>
  <si>
    <t>Kitchener-Wilmot Hydro Inc.</t>
  </si>
  <si>
    <t>Lakefront Utilities Inc.</t>
  </si>
  <si>
    <t>London Hydro Inc.</t>
  </si>
  <si>
    <t>Midland Power Utility Corporation</t>
  </si>
  <si>
    <t>Niagara-on-the-Lake Hydro Inc.</t>
  </si>
  <si>
    <t>North Bay Hydro Distribution Limited</t>
  </si>
  <si>
    <t>Northern Ontario Wires Inc.</t>
  </si>
  <si>
    <t>Orangeville Hydro Limited</t>
  </si>
  <si>
    <t>Oshawa PUC Networks Inc.</t>
  </si>
  <si>
    <t>Ottawa River Power Corporation</t>
  </si>
  <si>
    <t>Parry Sound Power Corporation</t>
  </si>
  <si>
    <t>PUC Distribution Inc.</t>
  </si>
  <si>
    <t>Renfrew Hydro Inc.</t>
  </si>
  <si>
    <t>Rideau St. Lawrence Distribution Inc.</t>
  </si>
  <si>
    <t>Sioux Lookout Hydro Inc.</t>
  </si>
  <si>
    <t>St. Thomas Energy Inc.</t>
  </si>
  <si>
    <t>Thunder Bay Hydro Electricity Distribution Inc.</t>
  </si>
  <si>
    <t>Tillsonburg Hydro Inc.</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</si>
  <si>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</si>
  <si>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</si>
  <si>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</si>
  <si>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</si>
  <si>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</si>
  <si>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</si>
  <si>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</si>
  <si>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</si>
  <si>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</si>
  <si>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Fort Albany Power Corporation</t>
  </si>
  <si>
    <t>Greater Sudbury Hydro Inc.</t>
  </si>
  <si>
    <t>Grimsby Power Inc.</t>
  </si>
  <si>
    <t>Hydro Ottawa Limited</t>
  </si>
  <si>
    <t>Kashechewan Power Corporation</t>
  </si>
  <si>
    <t>Lakeland Power Distribution Ltd.</t>
  </si>
  <si>
    <t>Toronto Hydro-Electric System Limited</t>
  </si>
  <si>
    <t>Company Name</t>
  </si>
  <si>
    <t>1. Info</t>
  </si>
  <si>
    <t>3. Data_Input_Sheet</t>
  </si>
  <si>
    <t>4. Rate_Base</t>
  </si>
  <si>
    <t>5. Utility Income</t>
  </si>
  <si>
    <t>6. Taxes_PILs</t>
  </si>
  <si>
    <t>7. Cost_of_Capital</t>
  </si>
  <si>
    <t>9. Rev_Reqt</t>
  </si>
  <si>
    <t>Select option from drop-down list by clicking on cell M10.  This column allows for the application update reflecting the end of discovery or Argument-in-Chief.  Also, the outcome of any Settlement Process can be reflected.</t>
  </si>
  <si>
    <t>Deficiency/Sufficiency in Return on Equity</t>
  </si>
  <si>
    <t>Deficiency/Sufficiency in Rate of Return</t>
  </si>
  <si>
    <t>Pale yellow cells represent drop-down lists</t>
  </si>
  <si>
    <t>Pale green boxes at the bottom of each page are for additional notes</t>
  </si>
  <si>
    <t>Revenue Deficiency/Sufficiency divided by (1 - Tax Rate)</t>
  </si>
  <si>
    <t>Income/(Equity Portion of Rate Base)</t>
  </si>
  <si>
    <t>8. Rev_Def_Suff</t>
  </si>
  <si>
    <t>2. Table of Contents</t>
  </si>
  <si>
    <t>(7)</t>
  </si>
  <si>
    <t>Input total revenue offsets for deriving the base revenue requirement from the service revenue requirement</t>
  </si>
  <si>
    <t>Service Revenue Requirement (before Revenues)</t>
  </si>
  <si>
    <t>Revenue Offsets</t>
  </si>
  <si>
    <t>Base Revenue Requirement</t>
  </si>
  <si>
    <t>General</t>
  </si>
  <si>
    <t>(8)</t>
  </si>
  <si>
    <t>Data in column E is for Application as originally filed.  For updated revenue requirement as a result of interrogatory responses, technical or settlement conferences, etc., use colimn M and Adjustments in column I</t>
  </si>
  <si>
    <t>(9)</t>
  </si>
  <si>
    <t>Data inputs are required on Sheets 3. Data from Sheet 3 will automatically complete calculations on sheets 4 through 9 (Rate Base through Revenue Requirement).  Sheets 4 through 9 do not require any inputs except for notes that the Applicant may wish to enter to support the results.  Pale green cells are available on sheets 4 through 9 to enter both footnotes beside key cells and the related text for the notes at the bottom of each sheet.</t>
  </si>
  <si>
    <t>(excluding Tranformer Owership Allowance credit adjustment)</t>
  </si>
  <si>
    <t>Revenue Requirement</t>
  </si>
  <si>
    <t>Revenue Deficiency/Sufficiency</t>
  </si>
  <si>
    <t>Rate Base and Working Capital</t>
  </si>
  <si>
    <t>Version</t>
  </si>
  <si>
    <t xml:space="preserve">Utility Name   </t>
  </si>
  <si>
    <t>Service Territory</t>
  </si>
  <si>
    <t>Assigned EB Number</t>
  </si>
  <si>
    <t>Name and Title</t>
  </si>
  <si>
    <t xml:space="preserve">Phone Number   </t>
  </si>
  <si>
    <t xml:space="preserve">Email Address   </t>
  </si>
  <si>
    <t>Entegrus Powerlines Inc.</t>
  </si>
  <si>
    <t>Hydro One Networks Inc.</t>
  </si>
  <si>
    <t>Niagara Peninsula Energy Inc.</t>
  </si>
  <si>
    <t>Allowance for Working Capital - Derivation</t>
  </si>
  <si>
    <r>
      <t xml:space="preserve">Data Input </t>
    </r>
    <r>
      <rPr>
        <b/>
        <vertAlign val="superscript"/>
        <sz val="14"/>
        <rFont val="Arial"/>
        <family val="2"/>
      </rPr>
      <t>(1)</t>
    </r>
  </si>
  <si>
    <t>Return on Deemed Equity</t>
  </si>
  <si>
    <t>Tax Adjustments to Accounting               Income per 2013 PILs model</t>
  </si>
  <si>
    <t>10. Tracking Sheet</t>
  </si>
  <si>
    <t>Tracking Form</t>
  </si>
  <si>
    <t>Regulated Return on Capital</t>
  </si>
  <si>
    <t>Regulated Rate of Return</t>
  </si>
  <si>
    <t>Working Capital</t>
  </si>
  <si>
    <t>Amortization / Depreciation</t>
  </si>
  <si>
    <t>OM&amp;A</t>
  </si>
  <si>
    <t>Other Revenues</t>
  </si>
  <si>
    <t>Service Revenue Requirement</t>
  </si>
  <si>
    <t>Grossed up Revenue Deficiency / Sufficiency</t>
  </si>
  <si>
    <t>Original Application</t>
  </si>
  <si>
    <r>
      <t>Reference</t>
    </r>
    <r>
      <rPr>
        <b/>
        <vertAlign val="superscript"/>
        <sz val="10"/>
        <rFont val="Arial"/>
        <family val="2"/>
      </rPr>
      <t xml:space="preserve"> (1)</t>
    </r>
  </si>
  <si>
    <t>Rate Base and Capital Expenditures</t>
  </si>
  <si>
    <r>
      <t>Item / Description</t>
    </r>
    <r>
      <rPr>
        <b/>
        <vertAlign val="superscript"/>
        <sz val="10"/>
        <rFont val="Arial"/>
        <family val="2"/>
      </rPr>
      <t xml:space="preserve"> (2)</t>
    </r>
  </si>
  <si>
    <t>Summary of Proposed Changes</t>
  </si>
  <si>
    <t>Working Capital Allowance ($)</t>
  </si>
  <si>
    <t xml:space="preserve">          Change</t>
  </si>
  <si>
    <t>Page Break 1</t>
  </si>
  <si>
    <t>Page Break 2</t>
  </si>
  <si>
    <t>Page Break 4</t>
  </si>
  <si>
    <t>Page Break 3</t>
  </si>
  <si>
    <r>
      <t xml:space="preserve">The last row shown is the most current estimate of the cost of service data reflecting the original application and any updates provided by the applicant distributor (for updated evidence, responses to interrogatories, undertakings, etc.)
Please ensure a Reference (Column B) and/or Item Description (Column C) is entered.  Please note that unused rows will automatically be hidden and the PRINT AREA set when the PRINT BUTTON on Sheet 1 is activated.
</t>
    </r>
    <r>
      <rPr>
        <b/>
        <vertAlign val="superscript"/>
        <sz val="10"/>
        <rFont val="Arial"/>
        <family val="2"/>
      </rPr>
      <t xml:space="preserve">(1) </t>
    </r>
    <r>
      <rPr>
        <b/>
        <sz val="10"/>
        <rFont val="Arial"/>
        <family val="2"/>
      </rPr>
      <t xml:space="preserve">Short reference to evidence material (interrogatory response, undertaking, exhibit number, Board Decision, Code, Guideline, Report of the Board, etc.)
</t>
    </r>
    <r>
      <rPr>
        <b/>
        <vertAlign val="superscript"/>
        <sz val="10"/>
        <rFont val="Arial"/>
        <family val="2"/>
      </rPr>
      <t>(2)</t>
    </r>
    <r>
      <rPr>
        <b/>
        <sz val="10"/>
        <rFont val="Arial"/>
        <family val="2"/>
      </rPr>
      <t xml:space="preserve"> Short description of change, issue, etc.
</t>
    </r>
    <r>
      <rPr>
        <b/>
        <sz val="10"/>
        <color rgb="FFFF0000"/>
        <rFont val="Arial"/>
        <family val="2"/>
      </rPr>
      <t>60 Tracking Rows have been provided below.  If you require more, please contact Industry Relations @</t>
    </r>
    <r>
      <rPr>
        <b/>
        <sz val="10"/>
        <rFont val="Arial"/>
        <family val="2"/>
      </rPr>
      <t xml:space="preserve"> </t>
    </r>
    <r>
      <rPr>
        <b/>
        <sz val="10"/>
        <color rgb="FF0070C0"/>
        <rFont val="Arial"/>
        <family val="2"/>
      </rPr>
      <t xml:space="preserve">IndustryRelations@ontarioenergyboard.ca. </t>
    </r>
  </si>
  <si>
    <t xml:space="preserve">Attawapiskat Power Corp. </t>
  </si>
  <si>
    <t>Bluewater Power Distribution Corporation</t>
  </si>
  <si>
    <t>Brant County Power Inc.</t>
  </si>
  <si>
    <t>Cambridge and North Dumfries Hydro Inc.</t>
  </si>
  <si>
    <t>Clinton Power Corporation</t>
  </si>
  <si>
    <t>COLLUS Power Corporation</t>
  </si>
  <si>
    <t>Erie Thames Powerlines Corporation</t>
  </si>
  <si>
    <t>Festival Hydro Inc. - Hensall</t>
  </si>
  <si>
    <t>Hearst Power Distribution Company Limited</t>
  </si>
  <si>
    <t>Innisfil Hydro Distribution Systems Limited</t>
  </si>
  <si>
    <t>Milton Hydro Distribution inc.</t>
  </si>
  <si>
    <t>Norfolk Power Distribution Inc.</t>
  </si>
  <si>
    <t>Oakville Hydro Electricity Distribution Inc.</t>
  </si>
  <si>
    <t>Orillia Power Distribution Corporation</t>
  </si>
  <si>
    <t>Peterborough Distribution Incorporated</t>
  </si>
  <si>
    <t>West Perth Power Inc.</t>
  </si>
  <si>
    <t>Canadian Niagara Power Inc.</t>
  </si>
  <si>
    <t>Newmarket - Tay Power Distribution Ltd.</t>
  </si>
  <si>
    <t>PowerStream Inc.</t>
  </si>
  <si>
    <r>
      <t xml:space="preserve">Some Applicants may have a unique rate as a result of a lead-lag study.  </t>
    </r>
    <r>
      <rPr>
        <sz val="10"/>
        <color rgb="FFFF0000"/>
        <rFont val="Arial"/>
        <family val="2"/>
      </rPr>
      <t>The default rate for 2016 cost of service applications is 7.5%, per the letter issued by the Board on June 3, 2015. Alternatively, a utility could conduct and file its own lead-lag study.</t>
    </r>
  </si>
  <si>
    <r>
      <t xml:space="preserve">The default Working Capital Allowance factor is </t>
    </r>
    <r>
      <rPr>
        <sz val="10"/>
        <color rgb="FFFF0000"/>
        <rFont val="Arial"/>
        <family val="2"/>
      </rPr>
      <t>7.5%</t>
    </r>
    <r>
      <rPr>
        <sz val="10"/>
        <rFont val="Arial"/>
        <family val="2"/>
      </rPr>
      <t xml:space="preserve"> (of Cost of Power plus controllable expenses), per the letter issued by the Board on June 3, 2015.  Alternatively, WCA factor based on lead-lag study or approved WCA factor for another distributor, with supporting rationale.</t>
    </r>
  </si>
  <si>
    <t>Town of Milton</t>
  </si>
  <si>
    <t>EB-2015-0089</t>
  </si>
  <si>
    <t>Cameron McKenzie</t>
  </si>
  <si>
    <t>289-429-5212</t>
  </si>
  <si>
    <t>cameronmckenzie@miltonhydro.com</t>
  </si>
  <si>
    <t>Interrogatory Responses</t>
  </si>
  <si>
    <t>5.0 - Staff - 70</t>
  </si>
  <si>
    <t>Revised Cost of Capital parameters</t>
  </si>
  <si>
    <t>3-Staff-39</t>
  </si>
  <si>
    <t>New Load Forecast</t>
  </si>
  <si>
    <t xml:space="preserve">Update 2015 &amp; 2016 Capital Additions </t>
  </si>
  <si>
    <t>2.0 - Staff-13, 2 - EP7, 10</t>
  </si>
  <si>
    <t>3.0 EP -20</t>
  </si>
  <si>
    <t>2.0 Staff -12, 2.0 EP-4</t>
  </si>
  <si>
    <t>COP Adjustment using Oct 15 Price reportrates w/new LF and WMS Charges</t>
  </si>
  <si>
    <t>Revised OM&amp;A to 2016 budget</t>
  </si>
  <si>
    <t>Revised Other Revenue to 2016 budget and added 50% of land proceeds</t>
  </si>
  <si>
    <t>Settlement Proposal</t>
  </si>
  <si>
    <t>2.0 - Staff-13, 4-EP-27</t>
  </si>
  <si>
    <t>Decision</t>
  </si>
  <si>
    <t>Rate Base, OM&amp;A, Other Revenue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</si>
</sst>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quot;$&quot;* #,##0.00_-;_-&quot;$&quot;* &quot;-&quot;??_-;_-@_-"/>
    <numFmt numFmtId="43" formatCode="_-* #,##0.00_-;\-* #,##0.00_-;_-* &quot;-&quot;??_-;_-@_-"/>
    <numFmt numFmtId="164" formatCode="&quot;$&quot;#,##0_);[Red]\(&quot;$&quot;#,##0\)"/>
    <numFmt numFmtId="165" formatCode="0.0%"/>
    <numFmt numFmtId="166" formatCode="_-&quot;$&quot;* #,##0_-;\-&quot;$&quot;* #,##0_-;_-&quot;$&quot;* &quot;-&quot;??_-;_-@_-"/>
    <numFmt numFmtId="167" formatCode="&quot;$&quot;#,##0_);[Red]\(&quot;$&quot;#,##0\);&quot;$&quot;\ \-"/>
    <numFmt numFmtId="168" formatCode="\(#\)"/>
    <numFmt numFmtId="169" formatCode="&quot;$&quot;#,##0.00;[Red]&quot;$&quot;#,##0.00"/>
  </numFmts>
  <fonts count="53" x14ac:knownFonts="1">
    <font>
      <sz val="10"/>
      <name val="Arial"/>
    </font>
    <font>
      <sz val="10"/>
      <name val="Arial"/>
      <family val="2"/>
    </font>
    <font>
      <sz val="8"/>
      <name val="Arial"/>
      <family val="2"/>
    </font>
    <font>
      <b/>
      <sz val="10"/>
      <name val="Arial"/>
      <family val="2"/>
    </font>
    <font>
      <u/>
      <sz val="10"/>
      <color indexed="12"/>
      <name val="Arial"/>
      <family val="2"/>
    </font>
    <font>
      <b/>
      <sz val="12"/>
      <name val="Arial"/>
      <family val="2"/>
    </font>
    <font>
      <sz val="8"/>
      <name val="Arial"/>
      <family val="2"/>
    </font>
    <font>
      <sz val="10"/>
      <name val="Arial"/>
      <family val="2"/>
    </font>
    <font>
      <u/>
      <sz val="10"/>
      <name val="Arial"/>
      <family val="2"/>
    </font>
    <font>
      <u/>
      <sz val="10"/>
      <name val="Arial"/>
      <family val="2"/>
    </font>
    <font>
      <b/>
      <u/>
      <sz val="10"/>
      <name val="Arial"/>
      <family val="2"/>
    </font>
    <font>
      <sz val="10"/>
      <color indexed="10"/>
      <name val="Arial"/>
      <family val="2"/>
    </font>
    <font>
      <b/>
      <sz val="10"/>
      <color indexed="10"/>
      <name val="Arial"/>
      <family val="2"/>
    </font>
    <font>
      <sz val="16"/>
      <color indexed="12"/>
      <name val="Algerian"/>
      <family val="5"/>
    </font>
    <font>
      <sz val="14"/>
      <name val="Arial"/>
      <family val="2"/>
    </font>
    <font>
      <b/>
      <sz val="14"/>
      <name val="Arial"/>
      <family val="2"/>
    </font>
    <font>
      <b/>
      <u/>
      <sz val="10"/>
      <color indexed="12"/>
      <name val="Arial"/>
      <family val="2"/>
    </font>
    <font>
      <b/>
      <sz val="10"/>
      <color indexed="12"/>
      <name val="Arial"/>
      <family val="2"/>
    </font>
    <font>
      <sz val="10"/>
      <color indexed="12"/>
      <name val="Arial"/>
      <family val="2"/>
    </font>
    <font>
      <sz val="10"/>
      <color indexed="12"/>
      <name val="Arial"/>
      <family val="2"/>
    </font>
    <font>
      <b/>
      <sz val="8"/>
      <color indexed="10"/>
      <name val="Arial"/>
      <family val="2"/>
    </font>
    <font>
      <b/>
      <i/>
      <sz val="10"/>
      <color indexed="10"/>
      <name val="Arial"/>
      <family val="2"/>
    </font>
    <font>
      <b/>
      <sz val="10"/>
      <color indexed="9"/>
      <name val="Arial"/>
      <family val="2"/>
    </font>
    <font>
      <sz val="10"/>
      <color indexed="9"/>
      <name val="Arial"/>
      <family val="2"/>
    </font>
    <font>
      <i/>
      <sz val="10"/>
      <name val="Arial"/>
      <family val="2"/>
    </font>
    <font>
      <b/>
      <u/>
      <sz val="12"/>
      <color indexed="10"/>
      <name val="Cooper Black"/>
      <family val="1"/>
    </font>
    <font>
      <sz val="11"/>
      <color indexed="8"/>
      <name val="Calibri"/>
      <family val="2"/>
    </font>
    <font>
      <b/>
      <sz val="9"/>
      <name val="Arial"/>
      <family val="2"/>
    </font>
    <font>
      <sz val="10"/>
      <color indexed="9"/>
      <name val="Arial"/>
      <family val="2"/>
    </font>
    <font>
      <b/>
      <sz val="12"/>
      <name val="Book Antiqua"/>
      <family val="1"/>
    </font>
    <font>
      <sz val="8"/>
      <name val="Arial"/>
      <family val="2"/>
    </font>
    <font>
      <b/>
      <sz val="20"/>
      <color indexed="9"/>
      <name val="Book Antiqua"/>
      <family val="1"/>
    </font>
    <font>
      <b/>
      <sz val="11"/>
      <color indexed="48"/>
      <name val="Arial"/>
      <family val="2"/>
    </font>
    <font>
      <sz val="11"/>
      <name val="Arial"/>
      <family val="2"/>
    </font>
    <font>
      <b/>
      <u/>
      <sz val="12"/>
      <color indexed="12"/>
      <name val="Arial"/>
      <family val="2"/>
    </font>
    <font>
      <u/>
      <sz val="12"/>
      <color indexed="12"/>
      <name val="Arial"/>
      <family val="2"/>
    </font>
    <font>
      <sz val="14"/>
      <color indexed="12"/>
      <name val="Arial"/>
      <family val="2"/>
    </font>
    <font>
      <b/>
      <sz val="10"/>
      <color indexed="9"/>
      <name val="Arial"/>
      <family val="2"/>
    </font>
    <font>
      <sz val="12"/>
      <name val="Arial"/>
      <family val="2"/>
    </font>
    <font>
      <sz val="12"/>
      <color indexed="12"/>
      <name val="Arial"/>
      <family val="2"/>
    </font>
    <font>
      <b/>
      <sz val="12"/>
      <color indexed="12"/>
      <name val="Arial"/>
      <family val="2"/>
    </font>
    <font>
      <b/>
      <sz val="11"/>
      <color theme="3"/>
      <name val="Arial"/>
      <family val="2"/>
      <scheme val="minor"/>
    </font>
    <font>
      <b/>
      <sz val="11"/>
      <color theme="1"/>
      <name val="Arial"/>
      <family val="2"/>
      <scheme val="minor"/>
    </font>
    <font>
      <b/>
      <sz val="11"/>
      <color theme="1"/>
      <name val="Arial"/>
      <family val="2"/>
    </font>
    <font>
      <sz val="11"/>
      <color theme="1"/>
      <name val="Arial"/>
      <family val="2"/>
    </font>
    <font>
      <i/>
      <sz val="11"/>
      <color theme="0" tint="-0.34998626667073579"/>
      <name val="Arial"/>
      <family val="2"/>
    </font>
    <font>
      <b/>
      <vertAlign val="superscript"/>
      <sz val="14"/>
      <name val="Arial"/>
      <family val="2"/>
    </font>
    <font>
      <sz val="10"/>
      <color rgb="FFFF0000"/>
      <name val="Arial"/>
      <family val="2"/>
    </font>
    <font>
      <b/>
      <vertAlign val="superscript"/>
      <sz val="10"/>
      <name val="Arial"/>
      <family val="2"/>
    </font>
    <font>
      <b/>
      <i/>
      <sz val="10"/>
      <name val="Arial"/>
      <family val="2"/>
    </font>
    <font>
      <b/>
      <i/>
      <sz val="18"/>
      <name val="Arial"/>
      <family val="2"/>
    </font>
    <font>
      <b/>
      <sz val="10"/>
      <color rgb="FF0070C0"/>
      <name val="Arial"/>
      <family val="2"/>
    </font>
    <font>
      <b/>
      <sz val="10"/>
      <color rgb="FFFF0000"/>
      <name val="Arial"/>
      <family val="2"/>
    </font>
  </fonts>
  <fills count="8">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2"/>
        <bgColor indexed="64"/>
      </patternFill>
    </fill>
  </fills>
  <borders count="41">
    <border>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right/>
      <top/>
      <bottom style="double">
        <color indexed="64"/>
      </bottom>
      <diagonal/>
    </border>
    <border>
      <left style="thin">
        <color indexed="64"/>
      </left>
      <right/>
      <top/>
      <bottom/>
      <diagonal/>
    </border>
    <border>
      <left/>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double">
        <color indexed="64"/>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diagonal/>
    </border>
    <border>
      <left/>
      <right style="thick">
        <color indexed="9"/>
      </right>
      <top/>
      <bottom/>
      <diagonal/>
    </border>
    <border>
      <left style="thin">
        <color indexed="64"/>
      </left>
      <right/>
      <top style="thin">
        <color indexed="64"/>
      </top>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double">
        <color indexed="64"/>
      </right>
      <top/>
      <bottom/>
      <diagonal/>
    </border>
    <border>
      <left style="medium">
        <color indexed="64"/>
      </left>
      <right style="double">
        <color indexed="64"/>
      </right>
      <top style="medium">
        <color indexed="64"/>
      </top>
      <bottom/>
      <diagonal/>
    </border>
    <border>
      <left/>
      <right style="double">
        <color indexed="64"/>
      </right>
      <top/>
      <bottom style="medium">
        <color indexed="64"/>
      </bottom>
      <diagonal/>
    </border>
    <border>
      <left/>
      <right style="double">
        <color indexed="64"/>
      </right>
      <top/>
      <bottom/>
      <diagonal/>
    </border>
    <border>
      <left/>
      <right style="double">
        <color indexed="64"/>
      </right>
      <top style="medium">
        <color indexed="64"/>
      </top>
      <bottom/>
      <diagonal/>
    </border>
    <border>
      <left style="double">
        <color indexed="64"/>
      </left>
      <right style="double">
        <color indexed="64"/>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double">
        <color indexed="64"/>
      </left>
      <right style="double">
        <color indexed="64"/>
      </right>
      <top/>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style="medium">
        <color indexed="64"/>
      </right>
      <top style="medium">
        <color indexed="64"/>
      </top>
      <bottom style="double">
        <color indexed="64"/>
      </bottom>
      <diagonal/>
    </border>
    <border>
      <left style="double">
        <color indexed="64"/>
      </left>
      <right style="medium">
        <color indexed="64"/>
      </right>
      <top style="double">
        <color indexed="64"/>
      </top>
      <bottom/>
      <diagonal/>
    </border>
    <border>
      <left style="medium">
        <color indexed="64"/>
      </left>
      <right style="medium">
        <color indexed="64"/>
      </right>
      <top style="double">
        <color indexed="64"/>
      </top>
      <bottom/>
      <diagonal/>
    </border>
    <border>
      <left style="medium">
        <color indexed="64"/>
      </left>
      <right style="double">
        <color indexed="64"/>
      </right>
      <top style="double">
        <color indexed="64"/>
      </top>
      <bottom/>
      <diagonal/>
    </border>
    <border>
      <left style="double">
        <color indexed="64"/>
      </left>
      <right style="double">
        <color indexed="64"/>
      </right>
      <top/>
      <bottom style="double">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alignment vertical="top"/>
      <protection locked="0"/>
    </xf>
    <xf numFmtId="0" fontId="26" fillId="0" borderId="0"/>
    <xf numFmtId="9" fontId="1" fillId="0" borderId="0" applyFont="0" applyFill="0" applyBorder="0" applyAlignment="0" applyProtection="0"/>
  </cellStyleXfs>
  <cellXfs count="572">
    <xf numFmtId="0" fontId="0" fillId="0" borderId="0" xfId="0"/>
    <xf numFmtId="0" fontId="13" fillId="2" borderId="0" xfId="0" applyFont="1" applyFill="1" applyAlignment="1" applyProtection="1">
      <alignment vertical="top" wrapText="1"/>
    </xf>
    <xf numFmtId="0" fontId="0" fillId="2" borderId="0" xfId="0" applyFill="1" applyBorder="1" applyProtection="1"/>
    <xf numFmtId="0" fontId="5" fillId="2" borderId="0" xfId="0" applyFont="1" applyFill="1" applyBorder="1" applyAlignment="1" applyProtection="1"/>
    <xf numFmtId="0" fontId="3" fillId="0" borderId="0" xfId="0" applyFont="1" applyProtection="1"/>
    <xf numFmtId="0" fontId="0" fillId="0" borderId="0" xfId="0" applyProtection="1"/>
    <xf numFmtId="0" fontId="7" fillId="2" borderId="0" xfId="0" applyFont="1" applyFill="1" applyBorder="1" applyAlignment="1" applyProtection="1">
      <alignment horizontal="left"/>
    </xf>
    <xf numFmtId="0" fontId="0" fillId="2" borderId="0" xfId="0" applyFill="1" applyBorder="1" applyProtection="1">
      <protection locked="0"/>
    </xf>
    <xf numFmtId="0" fontId="13" fillId="2" borderId="0" xfId="0" applyFont="1" applyFill="1" applyAlignment="1" applyProtection="1">
      <alignment horizontal="left" vertical="top" wrapText="1" indent="1"/>
    </xf>
    <xf numFmtId="0" fontId="20" fillId="2" borderId="0" xfId="0" applyFont="1" applyFill="1" applyBorder="1" applyAlignment="1" applyProtection="1">
      <alignment horizontal="center"/>
    </xf>
    <xf numFmtId="0" fontId="21" fillId="2" borderId="0" xfId="0" applyFont="1" applyFill="1" applyBorder="1" applyAlignment="1" applyProtection="1">
      <alignment vertical="top" wrapText="1"/>
    </xf>
    <xf numFmtId="0" fontId="3" fillId="0" borderId="0" xfId="0" quotePrefix="1" applyFont="1" applyAlignment="1" applyProtection="1">
      <alignment vertical="top"/>
    </xf>
    <xf numFmtId="0" fontId="17" fillId="2" borderId="0" xfId="0" applyFont="1" applyFill="1" applyBorder="1" applyAlignment="1" applyProtection="1">
      <alignment horizontal="center"/>
    </xf>
    <xf numFmtId="0" fontId="3" fillId="0" borderId="0" xfId="0" quotePrefix="1" applyFont="1" applyBorder="1" applyAlignment="1" applyProtection="1">
      <alignment vertical="center"/>
    </xf>
    <xf numFmtId="0" fontId="5" fillId="0" borderId="0" xfId="0" applyFont="1" applyBorder="1" applyAlignment="1" applyProtection="1">
      <alignment vertical="center"/>
    </xf>
    <xf numFmtId="0" fontId="0" fillId="0" borderId="0" xfId="0" applyAlignment="1" applyProtection="1"/>
    <xf numFmtId="0" fontId="17" fillId="0" borderId="0" xfId="0" applyFont="1" applyProtection="1"/>
    <xf numFmtId="0" fontId="16" fillId="0" borderId="0" xfId="0" applyFont="1" applyBorder="1" applyProtection="1"/>
    <xf numFmtId="0" fontId="3" fillId="0" borderId="0" xfId="0" quotePrefix="1" applyFont="1" applyProtection="1"/>
    <xf numFmtId="164" fontId="0" fillId="0" borderId="0" xfId="2" applyNumberFormat="1" applyFont="1" applyFill="1" applyProtection="1"/>
    <xf numFmtId="0" fontId="18" fillId="0" borderId="0" xfId="0" applyFont="1" applyProtection="1"/>
    <xf numFmtId="164" fontId="0" fillId="0" borderId="0" xfId="0" applyNumberFormat="1" applyFill="1" applyProtection="1"/>
    <xf numFmtId="164" fontId="0" fillId="0" borderId="0" xfId="0" applyNumberFormat="1" applyProtection="1"/>
    <xf numFmtId="0" fontId="16" fillId="0" borderId="0" xfId="0" applyFont="1" applyAlignment="1" applyProtection="1"/>
    <xf numFmtId="0" fontId="7" fillId="0" borderId="0" xfId="0" applyFont="1" applyAlignment="1" applyProtection="1"/>
    <xf numFmtId="0" fontId="7" fillId="0" borderId="0" xfId="0" applyFont="1" applyProtection="1"/>
    <xf numFmtId="0" fontId="0" fillId="0" borderId="0" xfId="0" applyFill="1" applyProtection="1"/>
    <xf numFmtId="0" fontId="16" fillId="0" borderId="0" xfId="0" applyFont="1" applyProtection="1"/>
    <xf numFmtId="0" fontId="0" fillId="0" borderId="0" xfId="0" applyAlignment="1" applyProtection="1">
      <alignment wrapText="1"/>
    </xf>
    <xf numFmtId="167" fontId="0" fillId="0" borderId="0" xfId="2" applyNumberFormat="1" applyFont="1" applyFill="1" applyProtection="1"/>
    <xf numFmtId="0" fontId="0" fillId="0" borderId="0" xfId="0" applyFill="1" applyBorder="1" applyProtection="1"/>
    <xf numFmtId="0" fontId="1" fillId="0" borderId="0" xfId="0" applyFont="1" applyProtection="1"/>
    <xf numFmtId="9" fontId="11" fillId="0" borderId="0" xfId="5" applyFont="1" applyFill="1" applyAlignment="1" applyProtection="1">
      <alignment wrapText="1"/>
    </xf>
    <xf numFmtId="0" fontId="0" fillId="2" borderId="0" xfId="0" applyFill="1" applyBorder="1" applyAlignment="1" applyProtection="1">
      <alignment horizontal="left" indent="1"/>
    </xf>
    <xf numFmtId="0" fontId="0" fillId="0" borderId="0" xfId="0" applyBorder="1" applyProtection="1"/>
    <xf numFmtId="0" fontId="0" fillId="0" borderId="1" xfId="0" applyBorder="1" applyProtection="1"/>
    <xf numFmtId="0" fontId="14" fillId="2" borderId="0" xfId="0" applyFont="1" applyFill="1" applyBorder="1" applyAlignment="1" applyProtection="1">
      <alignment horizontal="left" indent="7"/>
    </xf>
    <xf numFmtId="0" fontId="3" fillId="0" borderId="0" xfId="0" applyFont="1" applyBorder="1" applyAlignment="1" applyProtection="1">
      <alignment horizontal="left"/>
    </xf>
    <xf numFmtId="0" fontId="0" fillId="2" borderId="0" xfId="0" applyFill="1" applyBorder="1" applyAlignment="1" applyProtection="1">
      <alignment horizontal="left" indent="2"/>
    </xf>
    <xf numFmtId="0" fontId="5" fillId="0" borderId="0" xfId="0" applyFont="1" applyFill="1" applyAlignment="1" applyProtection="1">
      <alignment vertical="center"/>
    </xf>
    <xf numFmtId="0" fontId="5" fillId="0" borderId="0" xfId="0" applyFont="1" applyFill="1" applyAlignment="1" applyProtection="1">
      <alignment horizontal="center" vertical="center"/>
    </xf>
    <xf numFmtId="0" fontId="3" fillId="0" borderId="2" xfId="0" applyFont="1" applyBorder="1" applyAlignment="1" applyProtection="1">
      <alignment horizontal="right" wrapText="1"/>
    </xf>
    <xf numFmtId="0" fontId="3" fillId="0" borderId="2" xfId="0" applyFont="1" applyBorder="1" applyAlignment="1" applyProtection="1">
      <alignment horizontal="center" vertical="center"/>
    </xf>
    <xf numFmtId="0" fontId="0" fillId="0" borderId="0" xfId="0" applyAlignment="1" applyProtection="1">
      <alignment horizontal="left"/>
    </xf>
    <xf numFmtId="0" fontId="3" fillId="0" borderId="0" xfId="0" applyFont="1" applyBorder="1" applyAlignment="1" applyProtection="1">
      <alignment horizontal="center" vertical="center"/>
    </xf>
    <xf numFmtId="167" fontId="7" fillId="0" borderId="0" xfId="2" applyNumberFormat="1" applyFont="1" applyBorder="1" applyAlignment="1" applyProtection="1">
      <alignment horizontal="right" vertical="center"/>
    </xf>
    <xf numFmtId="167" fontId="0" fillId="0" borderId="0" xfId="2" applyNumberFormat="1" applyFont="1" applyProtection="1"/>
    <xf numFmtId="167" fontId="0" fillId="0" borderId="0" xfId="2" applyNumberFormat="1" applyFont="1" applyBorder="1" applyProtection="1"/>
    <xf numFmtId="167" fontId="0" fillId="0" borderId="0" xfId="2" applyNumberFormat="1" applyFont="1" applyBorder="1" applyAlignment="1" applyProtection="1"/>
    <xf numFmtId="167" fontId="0" fillId="0" borderId="0" xfId="2" applyNumberFormat="1" applyFont="1" applyBorder="1" applyAlignment="1" applyProtection="1">
      <alignment horizontal="right"/>
    </xf>
    <xf numFmtId="167" fontId="0" fillId="0" borderId="3" xfId="2" applyNumberFormat="1" applyFont="1" applyBorder="1" applyAlignment="1" applyProtection="1"/>
    <xf numFmtId="167" fontId="0" fillId="0" borderId="3" xfId="0" applyNumberFormat="1" applyBorder="1" applyAlignment="1" applyProtection="1"/>
    <xf numFmtId="167" fontId="0" fillId="0" borderId="4" xfId="2" applyNumberFormat="1" applyFont="1" applyBorder="1" applyAlignment="1" applyProtection="1"/>
    <xf numFmtId="167" fontId="0" fillId="0" borderId="0" xfId="0" applyNumberFormat="1" applyProtection="1"/>
    <xf numFmtId="167" fontId="0" fillId="0" borderId="2" xfId="2" applyNumberFormat="1" applyFont="1" applyBorder="1" applyProtection="1"/>
    <xf numFmtId="167" fontId="0" fillId="0" borderId="2" xfId="2" applyNumberFormat="1" applyFont="1" applyBorder="1" applyAlignment="1" applyProtection="1"/>
    <xf numFmtId="0" fontId="17" fillId="0" borderId="0" xfId="0" applyFont="1" applyAlignment="1" applyProtection="1">
      <alignment wrapText="1"/>
    </xf>
    <xf numFmtId="166" fontId="0" fillId="0" borderId="0" xfId="0" applyNumberFormat="1" applyFill="1" applyProtection="1"/>
    <xf numFmtId="0" fontId="5" fillId="0" borderId="0" xfId="0" applyFont="1" applyFill="1" applyAlignment="1" applyProtection="1"/>
    <xf numFmtId="0" fontId="5" fillId="0" borderId="0" xfId="0" applyFont="1" applyFill="1" applyAlignment="1" applyProtection="1">
      <alignment horizontal="center"/>
    </xf>
    <xf numFmtId="0" fontId="0" fillId="0" borderId="3" xfId="0" applyBorder="1" applyProtection="1"/>
    <xf numFmtId="0" fontId="0" fillId="0" borderId="0" xfId="0" applyBorder="1" applyAlignment="1" applyProtection="1">
      <alignment wrapText="1"/>
    </xf>
    <xf numFmtId="0" fontId="3" fillId="0" borderId="0" xfId="0" applyFont="1" applyBorder="1" applyAlignment="1" applyProtection="1">
      <alignment wrapText="1"/>
    </xf>
    <xf numFmtId="0" fontId="0" fillId="0" borderId="5" xfId="0" applyFill="1" applyBorder="1" applyAlignment="1" applyProtection="1">
      <alignment horizontal="center" vertical="center"/>
    </xf>
    <xf numFmtId="0" fontId="3" fillId="0" borderId="1" xfId="0" applyFont="1" applyFill="1" applyBorder="1" applyAlignment="1" applyProtection="1">
      <alignment horizontal="center" vertical="center" wrapText="1"/>
    </xf>
    <xf numFmtId="0" fontId="0" fillId="0" borderId="5" xfId="0" applyBorder="1" applyProtection="1"/>
    <xf numFmtId="0" fontId="3" fillId="0" borderId="0" xfId="0" applyFont="1" applyBorder="1" applyProtection="1"/>
    <xf numFmtId="0" fontId="3" fillId="0" borderId="1" xfId="0" applyFont="1" applyFill="1" applyBorder="1" applyAlignment="1" applyProtection="1">
      <alignment vertical="center" wrapText="1"/>
    </xf>
    <xf numFmtId="167" fontId="0" fillId="0" borderId="1" xfId="2" applyNumberFormat="1" applyFont="1" applyBorder="1" applyProtection="1"/>
    <xf numFmtId="0" fontId="3" fillId="0" borderId="0" xfId="0" applyFont="1" applyFill="1" applyBorder="1" applyAlignment="1" applyProtection="1">
      <alignment horizontal="center" vertical="center"/>
    </xf>
    <xf numFmtId="0" fontId="3" fillId="0" borderId="0" xfId="0" applyFont="1" applyBorder="1" applyAlignment="1" applyProtection="1"/>
    <xf numFmtId="0" fontId="7" fillId="0" borderId="0" xfId="0" applyFont="1" applyAlignment="1" applyProtection="1">
      <alignment wrapText="1"/>
    </xf>
    <xf numFmtId="0" fontId="1" fillId="0" borderId="0" xfId="0" applyFont="1" applyFill="1" applyProtection="1"/>
    <xf numFmtId="0" fontId="3" fillId="0" borderId="0" xfId="0" applyFont="1" applyFill="1" applyBorder="1" applyProtection="1"/>
    <xf numFmtId="0" fontId="3" fillId="0" borderId="0" xfId="0" applyFont="1" applyAlignment="1" applyProtection="1">
      <alignment horizontal="left"/>
    </xf>
    <xf numFmtId="0" fontId="3" fillId="0" borderId="0" xfId="0" applyFont="1" applyBorder="1" applyAlignment="1" applyProtection="1">
      <alignment vertical="center"/>
    </xf>
    <xf numFmtId="0" fontId="0" fillId="0" borderId="0" xfId="0" applyBorder="1" applyAlignment="1" applyProtection="1">
      <alignment horizontal="center"/>
    </xf>
    <xf numFmtId="49" fontId="0" fillId="0" borderId="0" xfId="0" applyNumberFormat="1" applyBorder="1" applyProtection="1"/>
    <xf numFmtId="0" fontId="0" fillId="0" borderId="0" xfId="0" quotePrefix="1" applyBorder="1" applyProtection="1"/>
    <xf numFmtId="0" fontId="17" fillId="0" borderId="2" xfId="0" applyFont="1" applyBorder="1" applyProtection="1"/>
    <xf numFmtId="10" fontId="0" fillId="0" borderId="0" xfId="5" applyNumberFormat="1" applyFont="1" applyFill="1" applyBorder="1" applyProtection="1"/>
    <xf numFmtId="10" fontId="0" fillId="0" borderId="2" xfId="5" applyNumberFormat="1" applyFont="1" applyFill="1" applyBorder="1" applyProtection="1"/>
    <xf numFmtId="0" fontId="17" fillId="0" borderId="0" xfId="0" applyFont="1" applyBorder="1" applyProtection="1"/>
    <xf numFmtId="10" fontId="0" fillId="0" borderId="6" xfId="5" applyNumberFormat="1" applyFont="1" applyBorder="1" applyProtection="1"/>
    <xf numFmtId="165" fontId="0" fillId="0" borderId="6" xfId="5" applyNumberFormat="1" applyFont="1" applyBorder="1" applyProtection="1"/>
    <xf numFmtId="167" fontId="0" fillId="0" borderId="6" xfId="2" applyNumberFormat="1" applyFont="1" applyBorder="1" applyProtection="1"/>
    <xf numFmtId="165" fontId="0" fillId="0" borderId="0" xfId="5" applyNumberFormat="1" applyFont="1" applyBorder="1" applyProtection="1"/>
    <xf numFmtId="167" fontId="0" fillId="0" borderId="0" xfId="0" applyNumberFormat="1" applyBorder="1" applyProtection="1"/>
    <xf numFmtId="10" fontId="0" fillId="0" borderId="0" xfId="5" applyNumberFormat="1" applyFont="1" applyBorder="1" applyProtection="1"/>
    <xf numFmtId="0" fontId="0" fillId="0" borderId="0" xfId="0" applyBorder="1" applyAlignment="1" applyProtection="1"/>
    <xf numFmtId="0" fontId="0" fillId="0" borderId="0" xfId="0" quotePrefix="1" applyBorder="1" applyAlignment="1" applyProtection="1"/>
    <xf numFmtId="10" fontId="0" fillId="0" borderId="0" xfId="5" applyNumberFormat="1" applyFont="1" applyBorder="1" applyAlignment="1" applyProtection="1"/>
    <xf numFmtId="10" fontId="0" fillId="0" borderId="0" xfId="5" applyNumberFormat="1" applyFont="1" applyFill="1" applyBorder="1" applyAlignment="1" applyProtection="1"/>
    <xf numFmtId="10" fontId="0" fillId="0" borderId="2" xfId="5" applyNumberFormat="1" applyFont="1" applyFill="1" applyBorder="1" applyAlignment="1" applyProtection="1"/>
    <xf numFmtId="9" fontId="0" fillId="0" borderId="4" xfId="0" applyNumberFormat="1" applyBorder="1" applyProtection="1"/>
    <xf numFmtId="167" fontId="0" fillId="0" borderId="4" xfId="2" applyNumberFormat="1" applyFont="1" applyBorder="1" applyProtection="1"/>
    <xf numFmtId="10" fontId="0" fillId="0" borderId="4" xfId="5" applyNumberFormat="1" applyFont="1" applyBorder="1" applyProtection="1"/>
    <xf numFmtId="0" fontId="5" fillId="2" borderId="0" xfId="0" applyFont="1" applyFill="1" applyBorder="1" applyAlignment="1" applyProtection="1">
      <alignment horizontal="left" indent="1"/>
    </xf>
    <xf numFmtId="0" fontId="8" fillId="0" borderId="0" xfId="0" applyFont="1" applyAlignment="1" applyProtection="1"/>
    <xf numFmtId="0" fontId="8" fillId="0" borderId="0" xfId="0" applyFont="1" applyBorder="1" applyAlignment="1" applyProtection="1"/>
    <xf numFmtId="167" fontId="0" fillId="0" borderId="0" xfId="2" applyNumberFormat="1" applyFont="1" applyFill="1" applyBorder="1" applyProtection="1"/>
    <xf numFmtId="164" fontId="0" fillId="0" borderId="0" xfId="0" applyNumberFormat="1" applyBorder="1" applyProtection="1"/>
    <xf numFmtId="167" fontId="0" fillId="0" borderId="2" xfId="2" applyNumberFormat="1" applyFont="1" applyFill="1" applyBorder="1" applyProtection="1"/>
    <xf numFmtId="0" fontId="8" fillId="0" borderId="0" xfId="0" applyFont="1" applyProtection="1"/>
    <xf numFmtId="0" fontId="8" fillId="0" borderId="0" xfId="0" applyFont="1" applyBorder="1" applyProtection="1"/>
    <xf numFmtId="167" fontId="8" fillId="0" borderId="0" xfId="0" applyNumberFormat="1" applyFont="1" applyProtection="1"/>
    <xf numFmtId="167" fontId="1" fillId="0" borderId="0" xfId="0" applyNumberFormat="1" applyFont="1" applyFill="1" applyAlignment="1" applyProtection="1"/>
    <xf numFmtId="167" fontId="0" fillId="0" borderId="0" xfId="2" applyNumberFormat="1" applyFont="1" applyFill="1" applyBorder="1" applyAlignment="1" applyProtection="1"/>
    <xf numFmtId="164" fontId="0" fillId="0" borderId="0" xfId="0" applyNumberFormat="1" applyBorder="1" applyAlignment="1" applyProtection="1">
      <alignment horizontal="right"/>
    </xf>
    <xf numFmtId="167" fontId="0" fillId="0" borderId="0" xfId="2" applyNumberFormat="1" applyFont="1" applyBorder="1" applyAlignment="1" applyProtection="1">
      <alignment horizontal="center"/>
    </xf>
    <xf numFmtId="0" fontId="9" fillId="0" borderId="0" xfId="0" applyFont="1" applyProtection="1"/>
    <xf numFmtId="0" fontId="9" fillId="0" borderId="0" xfId="0" applyFont="1" applyBorder="1" applyProtection="1"/>
    <xf numFmtId="9" fontId="0" fillId="0" borderId="0" xfId="5" quotePrefix="1" applyFont="1" applyAlignment="1" applyProtection="1">
      <alignment horizontal="right"/>
    </xf>
    <xf numFmtId="9" fontId="0" fillId="0" borderId="0" xfId="5" applyFont="1" applyBorder="1" applyAlignment="1" applyProtection="1">
      <alignment horizontal="right"/>
    </xf>
    <xf numFmtId="0" fontId="0" fillId="0" borderId="0" xfId="0" quotePrefix="1" applyAlignment="1" applyProtection="1">
      <alignment horizontal="right"/>
    </xf>
    <xf numFmtId="10" fontId="0" fillId="0" borderId="0" xfId="5" applyNumberFormat="1" applyFont="1" applyFill="1" applyBorder="1" applyAlignment="1" applyProtection="1">
      <alignment horizontal="right"/>
    </xf>
    <xf numFmtId="10" fontId="0" fillId="0" borderId="6" xfId="0" applyNumberFormat="1" applyBorder="1" applyProtection="1"/>
    <xf numFmtId="9" fontId="0" fillId="0" borderId="0" xfId="0" applyNumberFormat="1" applyBorder="1" applyProtection="1"/>
    <xf numFmtId="10" fontId="0" fillId="0" borderId="6" xfId="5" applyNumberFormat="1" applyFont="1" applyBorder="1" applyAlignment="1" applyProtection="1"/>
    <xf numFmtId="0" fontId="6" fillId="0" borderId="0" xfId="0" applyFont="1" applyAlignment="1" applyProtection="1">
      <alignment wrapText="1"/>
    </xf>
    <xf numFmtId="0" fontId="0" fillId="0" borderId="0" xfId="0" applyAlignment="1" applyProtection="1">
      <alignment horizontal="right"/>
    </xf>
    <xf numFmtId="0" fontId="19" fillId="0" borderId="0" xfId="0" applyFont="1" applyProtection="1"/>
    <xf numFmtId="164" fontId="0" fillId="0" borderId="0" xfId="2" applyNumberFormat="1" applyFont="1" applyAlignment="1" applyProtection="1">
      <alignment horizontal="right"/>
    </xf>
    <xf numFmtId="164" fontId="0" fillId="0" borderId="0" xfId="2" applyNumberFormat="1" applyFont="1" applyFill="1" applyBorder="1" applyAlignment="1" applyProtection="1">
      <alignment horizontal="right"/>
    </xf>
    <xf numFmtId="167" fontId="0" fillId="0" borderId="1" xfId="2" applyNumberFormat="1" applyFont="1" applyFill="1" applyBorder="1" applyProtection="1"/>
    <xf numFmtId="0" fontId="0" fillId="0" borderId="7" xfId="0" applyBorder="1" applyProtection="1"/>
    <xf numFmtId="0" fontId="0" fillId="0" borderId="2" xfId="0" applyBorder="1" applyProtection="1"/>
    <xf numFmtId="0" fontId="3" fillId="0" borderId="0" xfId="0" applyFont="1" applyFill="1" applyAlignment="1" applyProtection="1">
      <alignment horizontal="center"/>
    </xf>
    <xf numFmtId="164" fontId="0" fillId="0" borderId="0" xfId="2" applyNumberFormat="1" applyFont="1" applyBorder="1" applyProtection="1"/>
    <xf numFmtId="0" fontId="7" fillId="0" borderId="0" xfId="0" applyFont="1" applyBorder="1" applyAlignment="1" applyProtection="1"/>
    <xf numFmtId="0" fontId="0" fillId="0" borderId="5" xfId="0" applyBorder="1" applyAlignment="1" applyProtection="1"/>
    <xf numFmtId="0" fontId="0" fillId="0" borderId="1" xfId="0" applyBorder="1" applyAlignment="1" applyProtection="1"/>
    <xf numFmtId="167" fontId="0" fillId="0" borderId="8" xfId="2" applyNumberFormat="1" applyFont="1" applyFill="1" applyBorder="1" applyProtection="1"/>
    <xf numFmtId="49" fontId="3" fillId="0" borderId="0" xfId="0" applyNumberFormat="1" applyFont="1" applyBorder="1" applyProtection="1"/>
    <xf numFmtId="10" fontId="0" fillId="0" borderId="1" xfId="5" applyNumberFormat="1" applyFont="1" applyFill="1" applyBorder="1" applyProtection="1"/>
    <xf numFmtId="0" fontId="0" fillId="0" borderId="4" xfId="0" applyBorder="1" applyProtection="1"/>
    <xf numFmtId="0" fontId="0" fillId="0" borderId="9" xfId="0" applyBorder="1" applyProtection="1"/>
    <xf numFmtId="0" fontId="3" fillId="0" borderId="0" xfId="0" quotePrefix="1" applyFont="1" applyFill="1" applyAlignment="1" applyProtection="1">
      <alignment horizontal="right"/>
    </xf>
    <xf numFmtId="0" fontId="0" fillId="0" borderId="0" xfId="0" applyProtection="1">
      <protection locked="0"/>
    </xf>
    <xf numFmtId="0" fontId="0" fillId="0" borderId="0" xfId="0" applyAlignment="1" applyProtection="1">
      <protection locked="0"/>
    </xf>
    <xf numFmtId="0" fontId="13" fillId="2" borderId="0" xfId="0" applyFont="1" applyFill="1" applyAlignment="1" applyProtection="1">
      <alignment horizontal="left" vertical="top" wrapText="1" indent="7"/>
    </xf>
    <xf numFmtId="167" fontId="0" fillId="0" borderId="4" xfId="2" applyNumberFormat="1" applyFont="1" applyBorder="1" applyAlignment="1" applyProtection="1">
      <alignment horizontal="right"/>
    </xf>
    <xf numFmtId="164" fontId="0" fillId="0" borderId="0" xfId="0" applyNumberFormat="1" applyFill="1" applyAlignment="1" applyProtection="1"/>
    <xf numFmtId="0" fontId="5"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wrapText="1"/>
    </xf>
    <xf numFmtId="0" fontId="25" fillId="2" borderId="0" xfId="0" applyFont="1" applyFill="1" applyProtection="1"/>
    <xf numFmtId="0" fontId="27" fillId="2" borderId="0" xfId="0" applyFont="1" applyFill="1" applyAlignment="1" applyProtection="1">
      <alignment horizontal="center" wrapText="1"/>
    </xf>
    <xf numFmtId="0" fontId="10" fillId="0" borderId="0" xfId="0" applyFont="1" applyBorder="1" applyAlignment="1" applyProtection="1">
      <alignment horizontal="left"/>
    </xf>
    <xf numFmtId="167" fontId="0" fillId="0" borderId="0" xfId="2" applyNumberFormat="1" applyFont="1" applyFill="1" applyBorder="1" applyAlignment="1" applyProtection="1">
      <alignment horizontal="right"/>
    </xf>
    <xf numFmtId="167" fontId="0" fillId="0" borderId="0" xfId="0" applyNumberFormat="1" applyAlignment="1" applyProtection="1"/>
    <xf numFmtId="167" fontId="0" fillId="0" borderId="0" xfId="0" applyNumberFormat="1" applyBorder="1" applyAlignment="1" applyProtection="1"/>
    <xf numFmtId="167" fontId="0" fillId="0" borderId="0" xfId="2" applyNumberFormat="1" applyFont="1" applyAlignment="1" applyProtection="1">
      <alignment horizontal="right"/>
    </xf>
    <xf numFmtId="167" fontId="7" fillId="0" borderId="0" xfId="0" applyNumberFormat="1" applyFont="1" applyAlignment="1" applyProtection="1">
      <alignment horizontal="right"/>
    </xf>
    <xf numFmtId="0" fontId="13" fillId="2" borderId="0" xfId="0" applyFont="1" applyFill="1" applyAlignment="1" applyProtection="1">
      <alignment horizontal="left" vertical="top" wrapText="1" indent="8"/>
    </xf>
    <xf numFmtId="0" fontId="14" fillId="2" borderId="0" xfId="0" applyFont="1" applyFill="1" applyBorder="1" applyAlignment="1" applyProtection="1">
      <alignment horizontal="left" indent="8"/>
    </xf>
    <xf numFmtId="164" fontId="0" fillId="0" borderId="0" xfId="2" applyNumberFormat="1" applyFont="1" applyFill="1" applyBorder="1" applyProtection="1"/>
    <xf numFmtId="49" fontId="10" fillId="0" borderId="0" xfId="0" applyNumberFormat="1" applyFont="1" applyBorder="1" applyAlignment="1" applyProtection="1">
      <alignment horizontal="left"/>
    </xf>
    <xf numFmtId="167" fontId="0" fillId="0" borderId="0" xfId="0" applyNumberFormat="1" applyBorder="1" applyAlignment="1" applyProtection="1">
      <alignment horizontal="center"/>
    </xf>
    <xf numFmtId="167" fontId="0" fillId="0" borderId="0" xfId="0" applyNumberFormat="1" applyBorder="1" applyAlignment="1" applyProtection="1">
      <alignment horizontal="right"/>
    </xf>
    <xf numFmtId="167" fontId="0" fillId="0" borderId="0" xfId="0" applyNumberFormat="1" applyFill="1" applyBorder="1" applyAlignment="1" applyProtection="1">
      <alignment horizontal="right"/>
    </xf>
    <xf numFmtId="167" fontId="0" fillId="0" borderId="0" xfId="0" applyNumberFormat="1" applyFill="1" applyBorder="1" applyProtection="1"/>
    <xf numFmtId="10" fontId="0" fillId="0" borderId="0" xfId="0" applyNumberFormat="1" applyBorder="1" applyProtection="1"/>
    <xf numFmtId="164" fontId="0" fillId="0" borderId="0" xfId="0" applyNumberFormat="1" applyFill="1" applyBorder="1" applyAlignment="1" applyProtection="1">
      <alignment horizontal="right"/>
    </xf>
    <xf numFmtId="0" fontId="9" fillId="0" borderId="0" xfId="0" applyFont="1" applyFill="1" applyBorder="1" applyProtection="1"/>
    <xf numFmtId="9" fontId="0" fillId="0" borderId="0" xfId="5" applyFont="1" applyFill="1" applyBorder="1" applyAlignment="1" applyProtection="1">
      <alignment horizontal="right"/>
    </xf>
    <xf numFmtId="0" fontId="3" fillId="0" borderId="0" xfId="0" applyFont="1" applyAlignment="1" applyProtection="1">
      <alignment wrapText="1"/>
    </xf>
    <xf numFmtId="0" fontId="1" fillId="0" borderId="0" xfId="0" applyFont="1" applyFill="1" applyAlignment="1" applyProtection="1">
      <alignment wrapText="1"/>
    </xf>
    <xf numFmtId="0" fontId="12" fillId="0" borderId="0" xfId="0" quotePrefix="1" applyFont="1" applyProtection="1"/>
    <xf numFmtId="0" fontId="3" fillId="0" borderId="0" xfId="0" applyFont="1" applyFill="1" applyBorder="1" applyAlignment="1" applyProtection="1">
      <alignment horizontal="center" wrapText="1"/>
    </xf>
    <xf numFmtId="0" fontId="0" fillId="0" borderId="0" xfId="0" quotePrefix="1" applyBorder="1" applyAlignment="1" applyProtection="1">
      <alignment horizontal="center"/>
    </xf>
    <xf numFmtId="0" fontId="3" fillId="0" borderId="0" xfId="0" applyFont="1" applyAlignment="1" applyProtection="1">
      <alignment vertical="top"/>
    </xf>
    <xf numFmtId="165" fontId="0" fillId="0" borderId="0" xfId="5" applyNumberFormat="1" applyFont="1" applyFill="1" applyBorder="1" applyProtection="1"/>
    <xf numFmtId="165" fontId="0" fillId="0" borderId="6" xfId="5" applyNumberFormat="1" applyFont="1" applyFill="1" applyBorder="1" applyProtection="1"/>
    <xf numFmtId="0" fontId="28" fillId="0" borderId="0" xfId="0" applyFont="1" applyProtection="1"/>
    <xf numFmtId="167" fontId="0" fillId="0" borderId="0" xfId="2" applyNumberFormat="1" applyFont="1" applyAlignment="1" applyProtection="1"/>
    <xf numFmtId="0" fontId="28" fillId="0" borderId="0" xfId="0" applyFont="1" applyFill="1" applyProtection="1"/>
    <xf numFmtId="0" fontId="0" fillId="0" borderId="0" xfId="0" applyFill="1" applyAlignment="1" applyProtection="1">
      <alignment wrapText="1"/>
    </xf>
    <xf numFmtId="10" fontId="0" fillId="0" borderId="4" xfId="0" applyNumberFormat="1" applyBorder="1" applyProtection="1"/>
    <xf numFmtId="10" fontId="0" fillId="0" borderId="0" xfId="5" applyNumberFormat="1" applyFont="1" applyFill="1" applyProtection="1"/>
    <xf numFmtId="168" fontId="0" fillId="0" borderId="0" xfId="0" applyNumberFormat="1" applyFill="1" applyProtection="1"/>
    <xf numFmtId="168" fontId="3" fillId="0" borderId="0" xfId="0" quotePrefix="1" applyNumberFormat="1" applyFont="1" applyFill="1" applyProtection="1"/>
    <xf numFmtId="165" fontId="0" fillId="0" borderId="0" xfId="0" applyNumberFormat="1" applyFill="1" applyProtection="1"/>
    <xf numFmtId="10" fontId="0" fillId="0" borderId="0" xfId="0" applyNumberFormat="1" applyFill="1" applyProtection="1"/>
    <xf numFmtId="0" fontId="0" fillId="0" borderId="0" xfId="0" applyFill="1" applyAlignment="1" applyProtection="1">
      <alignment horizontal="left"/>
    </xf>
    <xf numFmtId="0" fontId="3" fillId="0" borderId="0" xfId="0" quotePrefix="1" applyFont="1" applyFill="1" applyProtection="1"/>
    <xf numFmtId="168" fontId="0" fillId="0" borderId="0" xfId="0" applyNumberFormat="1" applyFill="1" applyBorder="1" applyProtection="1"/>
    <xf numFmtId="164" fontId="7" fillId="2" borderId="0" xfId="0" applyNumberFormat="1" applyFont="1" applyFill="1" applyBorder="1" applyAlignment="1" applyProtection="1">
      <alignment horizontal="center" vertical="center"/>
    </xf>
    <xf numFmtId="164" fontId="7" fillId="2" borderId="0" xfId="0" applyNumberFormat="1" applyFont="1" applyFill="1" applyProtection="1"/>
    <xf numFmtId="164" fontId="7" fillId="0" borderId="0" xfId="0" applyNumberFormat="1" applyFont="1" applyBorder="1" applyProtection="1"/>
    <xf numFmtId="164" fontId="7" fillId="0" borderId="0" xfId="0" applyNumberFormat="1" applyFont="1" applyFill="1" applyBorder="1" applyProtection="1"/>
    <xf numFmtId="164" fontId="7" fillId="2" borderId="0" xfId="0" applyNumberFormat="1" applyFont="1" applyFill="1" applyBorder="1" applyAlignment="1" applyProtection="1">
      <alignment horizontal="right"/>
    </xf>
    <xf numFmtId="164" fontId="7" fillId="2" borderId="0" xfId="0" applyNumberFormat="1" applyFont="1" applyFill="1" applyBorder="1" applyAlignment="1" applyProtection="1"/>
    <xf numFmtId="164" fontId="7" fillId="2" borderId="0" xfId="0" applyNumberFormat="1" applyFont="1" applyFill="1" applyBorder="1" applyProtection="1"/>
    <xf numFmtId="164" fontId="7" fillId="0" borderId="0" xfId="0" applyNumberFormat="1" applyFont="1" applyFill="1" applyBorder="1" applyAlignment="1" applyProtection="1">
      <alignment horizontal="right"/>
    </xf>
    <xf numFmtId="164" fontId="3" fillId="2" borderId="0" xfId="0" quotePrefix="1" applyNumberFormat="1" applyFont="1" applyFill="1" applyBorder="1" applyAlignment="1" applyProtection="1">
      <alignment horizontal="right"/>
    </xf>
    <xf numFmtId="0" fontId="3" fillId="2" borderId="0" xfId="0" quotePrefix="1" applyFont="1" applyFill="1" applyProtection="1"/>
    <xf numFmtId="0" fontId="0" fillId="0" borderId="0" xfId="0" applyAlignment="1" applyProtection="1">
      <alignment vertical="top"/>
    </xf>
    <xf numFmtId="0" fontId="0" fillId="0" borderId="0" xfId="0" applyFill="1" applyAlignment="1" applyProtection="1">
      <alignment vertical="top"/>
    </xf>
    <xf numFmtId="0" fontId="0" fillId="0" borderId="1" xfId="0" applyBorder="1" applyAlignment="1" applyProtection="1">
      <alignment vertical="top"/>
    </xf>
    <xf numFmtId="0" fontId="0" fillId="0" borderId="0" xfId="0" applyAlignment="1" applyProtection="1">
      <alignment vertical="center"/>
    </xf>
    <xf numFmtId="0" fontId="0" fillId="0" borderId="0" xfId="0" applyFill="1" applyAlignment="1" applyProtection="1">
      <alignment vertical="center"/>
    </xf>
    <xf numFmtId="0" fontId="3" fillId="0" borderId="0" xfId="0" applyFont="1" applyFill="1" applyAlignment="1" applyProtection="1">
      <alignment vertical="top"/>
    </xf>
    <xf numFmtId="10" fontId="0" fillId="0" borderId="1" xfId="5" applyNumberFormat="1" applyFont="1" applyBorder="1" applyAlignment="1" applyProtection="1">
      <alignment vertical="top"/>
    </xf>
    <xf numFmtId="0" fontId="0" fillId="0" borderId="5" xfId="0" applyBorder="1" applyAlignment="1" applyProtection="1">
      <alignment vertical="top"/>
    </xf>
    <xf numFmtId="0" fontId="3" fillId="0" borderId="0" xfId="0" applyFont="1" applyBorder="1" applyAlignment="1" applyProtection="1">
      <alignment vertical="top"/>
    </xf>
    <xf numFmtId="167" fontId="0" fillId="0" borderId="1" xfId="2" applyNumberFormat="1" applyFont="1" applyBorder="1" applyAlignment="1" applyProtection="1">
      <alignment vertical="top"/>
    </xf>
    <xf numFmtId="167" fontId="0" fillId="0" borderId="5" xfId="2" applyNumberFormat="1" applyFont="1" applyBorder="1" applyAlignment="1" applyProtection="1">
      <alignment vertical="top"/>
    </xf>
    <xf numFmtId="167" fontId="0" fillId="0" borderId="7" xfId="2" applyNumberFormat="1" applyFont="1" applyBorder="1" applyAlignment="1" applyProtection="1">
      <alignment vertical="top"/>
    </xf>
    <xf numFmtId="167" fontId="0" fillId="0" borderId="8" xfId="2" applyNumberFormat="1" applyFont="1" applyBorder="1" applyAlignment="1" applyProtection="1">
      <alignment vertical="top"/>
    </xf>
    <xf numFmtId="167" fontId="0" fillId="0" borderId="11" xfId="2" applyNumberFormat="1" applyFont="1" applyBorder="1" applyAlignment="1" applyProtection="1">
      <alignment vertical="top"/>
    </xf>
    <xf numFmtId="167" fontId="0" fillId="0" borderId="12" xfId="2" applyNumberFormat="1" applyFont="1" applyBorder="1" applyAlignment="1" applyProtection="1">
      <alignment vertical="top"/>
    </xf>
    <xf numFmtId="167" fontId="0" fillId="0" borderId="11" xfId="0" applyNumberFormat="1" applyBorder="1" applyAlignment="1" applyProtection="1">
      <alignment vertical="top"/>
    </xf>
    <xf numFmtId="167" fontId="0" fillId="0" borderId="5" xfId="0" applyNumberFormat="1" applyBorder="1" applyAlignment="1" applyProtection="1">
      <alignment vertical="top"/>
    </xf>
    <xf numFmtId="167" fontId="0" fillId="0" borderId="1" xfId="0" applyNumberFormat="1" applyBorder="1" applyAlignment="1" applyProtection="1">
      <alignment vertical="top"/>
    </xf>
    <xf numFmtId="10" fontId="0" fillId="0" borderId="5" xfId="5" applyNumberFormat="1" applyFont="1" applyBorder="1" applyAlignment="1" applyProtection="1">
      <alignment vertical="top"/>
    </xf>
    <xf numFmtId="10" fontId="3" fillId="0" borderId="0" xfId="0" applyNumberFormat="1" applyFont="1" applyBorder="1" applyAlignment="1" applyProtection="1">
      <alignment vertical="top"/>
    </xf>
    <xf numFmtId="10" fontId="0" fillId="0" borderId="0" xfId="0" applyNumberFormat="1" applyAlignment="1" applyProtection="1">
      <alignment vertical="top"/>
    </xf>
    <xf numFmtId="167" fontId="1" fillId="0" borderId="5" xfId="2" applyNumberFormat="1" applyFont="1" applyFill="1" applyBorder="1" applyAlignment="1" applyProtection="1">
      <alignment vertical="top"/>
    </xf>
    <xf numFmtId="0" fontId="3" fillId="0" borderId="0" xfId="0" applyFont="1" applyFill="1" applyBorder="1" applyAlignment="1" applyProtection="1">
      <alignment vertical="top"/>
    </xf>
    <xf numFmtId="167" fontId="1" fillId="0" borderId="1" xfId="0" applyNumberFormat="1" applyFont="1" applyFill="1" applyBorder="1" applyAlignment="1" applyProtection="1">
      <alignment vertical="top"/>
    </xf>
    <xf numFmtId="166" fontId="1" fillId="0" borderId="5" xfId="2" applyNumberFormat="1" applyFont="1" applyFill="1" applyBorder="1" applyAlignment="1" applyProtection="1">
      <alignment vertical="top"/>
    </xf>
    <xf numFmtId="166" fontId="1" fillId="0" borderId="1" xfId="0" applyNumberFormat="1" applyFont="1" applyFill="1" applyBorder="1" applyAlignment="1" applyProtection="1">
      <alignment vertical="top"/>
    </xf>
    <xf numFmtId="10" fontId="0" fillId="0" borderId="7" xfId="5" applyNumberFormat="1" applyFont="1" applyBorder="1" applyAlignment="1" applyProtection="1">
      <alignment vertical="top"/>
    </xf>
    <xf numFmtId="10" fontId="0" fillId="0" borderId="8" xfId="5" applyNumberFormat="1" applyFont="1" applyBorder="1" applyAlignment="1" applyProtection="1">
      <alignment vertical="top"/>
    </xf>
    <xf numFmtId="10" fontId="0" fillId="0" borderId="7" xfId="0" applyNumberFormat="1" applyBorder="1" applyAlignment="1" applyProtection="1">
      <alignment vertical="top"/>
    </xf>
    <xf numFmtId="10" fontId="0" fillId="0" borderId="5" xfId="0" applyNumberFormat="1" applyBorder="1" applyAlignment="1" applyProtection="1">
      <alignment vertical="top"/>
    </xf>
    <xf numFmtId="10" fontId="0" fillId="0" borderId="8" xfId="0" applyNumberFormat="1" applyBorder="1" applyAlignment="1" applyProtection="1">
      <alignment vertical="top"/>
    </xf>
    <xf numFmtId="10" fontId="0" fillId="0" borderId="1" xfId="0" applyNumberFormat="1" applyBorder="1" applyAlignment="1" applyProtection="1">
      <alignment vertical="top"/>
    </xf>
    <xf numFmtId="164" fontId="3" fillId="0" borderId="0" xfId="0" applyNumberFormat="1" applyFont="1" applyBorder="1" applyAlignment="1" applyProtection="1">
      <alignment vertical="top"/>
    </xf>
    <xf numFmtId="164" fontId="0" fillId="0" borderId="0" xfId="0" applyNumberFormat="1" applyAlignment="1" applyProtection="1">
      <alignment vertical="top"/>
    </xf>
    <xf numFmtId="164" fontId="3" fillId="0" borderId="2" xfId="0" quotePrefix="1" applyNumberFormat="1" applyFont="1" applyBorder="1" applyAlignment="1" applyProtection="1">
      <alignment vertical="top"/>
    </xf>
    <xf numFmtId="164" fontId="0" fillId="0" borderId="8" xfId="0" applyNumberFormat="1" applyBorder="1" applyAlignment="1" applyProtection="1">
      <alignment vertical="top"/>
    </xf>
    <xf numFmtId="167" fontId="0" fillId="0" borderId="0" xfId="2" applyNumberFormat="1" applyFont="1" applyFill="1" applyAlignment="1" applyProtection="1">
      <alignment vertical="top"/>
    </xf>
    <xf numFmtId="166" fontId="0" fillId="0" borderId="0" xfId="2" applyNumberFormat="1" applyFont="1" applyFill="1" applyBorder="1" applyAlignment="1" applyProtection="1">
      <alignment vertical="top"/>
    </xf>
    <xf numFmtId="164" fontId="0" fillId="0" borderId="0" xfId="2" applyNumberFormat="1" applyFont="1" applyFill="1" applyAlignment="1" applyProtection="1">
      <alignment vertical="top"/>
    </xf>
    <xf numFmtId="166" fontId="0" fillId="0" borderId="0" xfId="2" applyNumberFormat="1" applyFont="1" applyFill="1" applyAlignment="1" applyProtection="1">
      <alignment vertical="top"/>
    </xf>
    <xf numFmtId="164" fontId="0" fillId="0" borderId="0" xfId="0" applyNumberFormat="1" applyFill="1" applyAlignment="1" applyProtection="1">
      <alignment vertical="top"/>
    </xf>
    <xf numFmtId="166" fontId="0" fillId="0" borderId="0" xfId="2" applyNumberFormat="1" applyFont="1" applyAlignment="1" applyProtection="1">
      <alignment vertical="top"/>
    </xf>
    <xf numFmtId="10" fontId="0" fillId="0" borderId="0" xfId="5" applyNumberFormat="1" applyFont="1" applyFill="1" applyAlignment="1" applyProtection="1">
      <alignment vertical="top"/>
    </xf>
    <xf numFmtId="168" fontId="0" fillId="0" borderId="0" xfId="0" applyNumberFormat="1" applyFill="1" applyAlignment="1" applyProtection="1">
      <alignment vertical="top"/>
    </xf>
    <xf numFmtId="0" fontId="0" fillId="0" borderId="0" xfId="0" applyFill="1" applyBorder="1" applyAlignment="1" applyProtection="1">
      <alignment vertical="top"/>
    </xf>
    <xf numFmtId="164" fontId="0" fillId="0" borderId="0" xfId="0" applyNumberFormat="1" applyFill="1" applyBorder="1" applyAlignment="1" applyProtection="1">
      <alignment vertical="top"/>
    </xf>
    <xf numFmtId="168" fontId="3" fillId="0" borderId="0" xfId="0" quotePrefix="1" applyNumberFormat="1" applyFont="1" applyFill="1" applyAlignment="1" applyProtection="1">
      <alignment vertical="top"/>
    </xf>
    <xf numFmtId="165" fontId="0" fillId="0" borderId="0" xfId="0" applyNumberFormat="1" applyFill="1" applyAlignment="1" applyProtection="1">
      <alignment vertical="top"/>
    </xf>
    <xf numFmtId="165" fontId="0" fillId="0" borderId="13" xfId="0" applyNumberFormat="1" applyFill="1" applyBorder="1" applyAlignment="1" applyProtection="1">
      <alignment vertical="top"/>
    </xf>
    <xf numFmtId="9" fontId="11" fillId="0" borderId="0" xfId="5" applyFont="1" applyFill="1" applyAlignment="1" applyProtection="1">
      <alignment vertical="top" wrapText="1"/>
    </xf>
    <xf numFmtId="9" fontId="0" fillId="0" borderId="0" xfId="5" applyFont="1" applyFill="1" applyAlignment="1" applyProtection="1">
      <alignment vertical="top"/>
    </xf>
    <xf numFmtId="10" fontId="0" fillId="0" borderId="0" xfId="0" applyNumberFormat="1" applyFill="1" applyAlignment="1" applyProtection="1">
      <alignment vertical="top"/>
    </xf>
    <xf numFmtId="167" fontId="0" fillId="0" borderId="2" xfId="2" applyNumberFormat="1" applyFont="1" applyFill="1" applyBorder="1" applyAlignment="1" applyProtection="1">
      <alignment vertical="top"/>
    </xf>
    <xf numFmtId="167" fontId="0" fillId="0" borderId="0" xfId="2" applyNumberFormat="1" applyFont="1" applyFill="1" applyBorder="1" applyAlignment="1" applyProtection="1">
      <alignment vertical="top"/>
    </xf>
    <xf numFmtId="167" fontId="0" fillId="0" borderId="0" xfId="2" applyNumberFormat="1" applyFont="1" applyBorder="1" applyAlignment="1" applyProtection="1">
      <alignment vertical="top"/>
    </xf>
    <xf numFmtId="164" fontId="0" fillId="0" borderId="0" xfId="2" applyNumberFormat="1" applyFont="1" applyAlignment="1" applyProtection="1">
      <alignment vertical="top"/>
    </xf>
    <xf numFmtId="167" fontId="0" fillId="0" borderId="0" xfId="2" applyNumberFormat="1" applyFont="1" applyAlignment="1" applyProtection="1">
      <alignment vertical="top"/>
    </xf>
    <xf numFmtId="167" fontId="0" fillId="0" borderId="0" xfId="2" applyNumberFormat="1" applyFont="1" applyBorder="1" applyAlignment="1" applyProtection="1">
      <alignment horizontal="right" vertical="top"/>
    </xf>
    <xf numFmtId="167" fontId="0" fillId="0" borderId="2" xfId="2" applyNumberFormat="1" applyFont="1" applyBorder="1" applyAlignment="1" applyProtection="1">
      <alignment horizontal="right" vertical="top"/>
    </xf>
    <xf numFmtId="164" fontId="0" fillId="0" borderId="0" xfId="0" applyNumberFormat="1" applyBorder="1" applyAlignment="1" applyProtection="1">
      <alignment vertical="top"/>
    </xf>
    <xf numFmtId="167" fontId="0" fillId="0" borderId="0" xfId="0" applyNumberFormat="1" applyAlignment="1" applyProtection="1">
      <alignment vertical="top"/>
    </xf>
    <xf numFmtId="167" fontId="0" fillId="0" borderId="4" xfId="0" applyNumberFormat="1" applyFill="1" applyBorder="1" applyAlignment="1" applyProtection="1">
      <alignment vertical="top"/>
    </xf>
    <xf numFmtId="167" fontId="0" fillId="0" borderId="0" xfId="0" applyNumberFormat="1" applyFill="1" applyBorder="1" applyAlignment="1" applyProtection="1">
      <alignment vertical="top"/>
    </xf>
    <xf numFmtId="167" fontId="8" fillId="0" borderId="0" xfId="0" applyNumberFormat="1" applyFont="1" applyAlignment="1" applyProtection="1">
      <alignment vertical="top"/>
    </xf>
    <xf numFmtId="164" fontId="8" fillId="0" borderId="0" xfId="0" applyNumberFormat="1" applyFont="1" applyBorder="1" applyAlignment="1" applyProtection="1">
      <alignment vertical="top"/>
    </xf>
    <xf numFmtId="167" fontId="1" fillId="0" borderId="0" xfId="0" applyNumberFormat="1" applyFont="1" applyFill="1" applyAlignment="1" applyProtection="1">
      <alignment vertical="top"/>
    </xf>
    <xf numFmtId="164" fontId="0" fillId="0" borderId="0" xfId="0" applyNumberFormat="1" applyBorder="1" applyAlignment="1" applyProtection="1">
      <alignment horizontal="right" vertical="top"/>
    </xf>
    <xf numFmtId="164" fontId="0" fillId="0" borderId="0" xfId="0" applyNumberFormat="1" applyFill="1" applyBorder="1" applyAlignment="1" applyProtection="1">
      <alignment horizontal="right" vertical="top"/>
    </xf>
    <xf numFmtId="167" fontId="0" fillId="0" borderId="0" xfId="2" applyNumberFormat="1" applyFont="1" applyBorder="1" applyAlignment="1" applyProtection="1">
      <alignment horizontal="center" vertical="top"/>
    </xf>
    <xf numFmtId="167" fontId="0" fillId="0" borderId="4" xfId="2" applyNumberFormat="1" applyFont="1" applyBorder="1" applyAlignment="1" applyProtection="1">
      <alignment horizontal="right" vertical="top"/>
    </xf>
    <xf numFmtId="168" fontId="0" fillId="0" borderId="0" xfId="0" applyNumberFormat="1" applyFill="1" applyAlignment="1" applyProtection="1">
      <alignment vertical="top"/>
      <protection locked="0"/>
    </xf>
    <xf numFmtId="164" fontId="0" fillId="0" borderId="0" xfId="2" applyNumberFormat="1" applyFont="1" applyAlignment="1" applyProtection="1"/>
    <xf numFmtId="164" fontId="0" fillId="0" borderId="0" xfId="2" applyNumberFormat="1" applyFont="1" applyFill="1" applyAlignment="1" applyProtection="1"/>
    <xf numFmtId="0" fontId="26" fillId="0" borderId="0" xfId="4" applyFont="1" applyFill="1" applyBorder="1"/>
    <xf numFmtId="0" fontId="14" fillId="0" borderId="0" xfId="0" applyFont="1" applyFill="1" applyBorder="1" applyAlignment="1" applyProtection="1">
      <alignment horizontal="left"/>
    </xf>
    <xf numFmtId="0" fontId="3" fillId="0" borderId="0" xfId="0" quotePrefix="1" applyFont="1" applyFill="1" applyBorder="1" applyAlignment="1" applyProtection="1">
      <alignment vertical="top"/>
    </xf>
    <xf numFmtId="0" fontId="14" fillId="0" borderId="0" xfId="0" applyFont="1" applyFill="1" applyBorder="1" applyAlignment="1" applyProtection="1">
      <alignment horizontal="left" indent="1"/>
    </xf>
    <xf numFmtId="0" fontId="15" fillId="0" borderId="0" xfId="0" quotePrefix="1" applyFont="1" applyFill="1" applyBorder="1" applyProtection="1"/>
    <xf numFmtId="0" fontId="14" fillId="0" borderId="0" xfId="0" applyFont="1" applyFill="1" applyBorder="1" applyProtection="1"/>
    <xf numFmtId="0" fontId="27" fillId="0" borderId="0" xfId="0" applyFont="1" applyFill="1" applyBorder="1" applyProtection="1"/>
    <xf numFmtId="2" fontId="27" fillId="0" borderId="0" xfId="0" applyNumberFormat="1" applyFont="1" applyFill="1" applyBorder="1" applyAlignment="1" applyProtection="1">
      <alignment horizontal="left" indent="1"/>
    </xf>
    <xf numFmtId="0" fontId="13" fillId="0" borderId="0" xfId="0" applyFont="1" applyFill="1" applyBorder="1" applyAlignment="1" applyProtection="1">
      <alignment vertical="top" wrapText="1"/>
    </xf>
    <xf numFmtId="0" fontId="14" fillId="0" borderId="0" xfId="0" applyFont="1" applyFill="1" applyBorder="1" applyAlignment="1" applyProtection="1">
      <alignment horizontal="left" indent="1"/>
      <protection locked="0"/>
    </xf>
    <xf numFmtId="0" fontId="0" fillId="0" borderId="0" xfId="0" applyAlignment="1" applyProtection="1">
      <alignment horizontal="left"/>
      <protection locked="0"/>
    </xf>
    <xf numFmtId="0" fontId="0" fillId="0" borderId="0" xfId="0" applyAlignment="1" applyProtection="1">
      <alignment horizontal="center"/>
      <protection locked="0"/>
    </xf>
    <xf numFmtId="0" fontId="29" fillId="0" borderId="0" xfId="0" applyFont="1" applyProtection="1"/>
    <xf numFmtId="0" fontId="3" fillId="0" borderId="0" xfId="0" applyFont="1" applyAlignment="1" applyProtection="1">
      <alignment horizontal="left"/>
      <protection locked="0"/>
    </xf>
    <xf numFmtId="0" fontId="3" fillId="0" borderId="0" xfId="0" applyFont="1" applyAlignment="1" applyProtection="1">
      <alignment horizontal="center"/>
      <protection locked="0"/>
    </xf>
    <xf numFmtId="22" fontId="0" fillId="0" borderId="0" xfId="0" applyNumberFormat="1" applyAlignment="1" applyProtection="1">
      <alignment horizontal="left"/>
      <protection locked="0"/>
    </xf>
    <xf numFmtId="0" fontId="1" fillId="0" borderId="0" xfId="1" applyNumberFormat="1" applyFont="1" applyAlignment="1" applyProtection="1">
      <alignment horizontal="center"/>
      <protection locked="0"/>
    </xf>
    <xf numFmtId="22" fontId="0" fillId="0" borderId="0" xfId="0" applyNumberFormat="1" applyAlignment="1" applyProtection="1">
      <alignment horizontal="center"/>
      <protection locked="0"/>
    </xf>
    <xf numFmtId="0" fontId="24" fillId="2" borderId="0" xfId="0" applyNumberFormat="1" applyFont="1" applyFill="1" applyAlignment="1" applyProtection="1">
      <alignment vertical="top" wrapText="1"/>
    </xf>
    <xf numFmtId="0" fontId="17" fillId="2" borderId="0" xfId="0" applyNumberFormat="1" applyFont="1" applyFill="1" applyBorder="1" applyAlignment="1" applyProtection="1">
      <alignment horizontal="center"/>
    </xf>
    <xf numFmtId="0" fontId="21" fillId="2" borderId="0" xfId="0" applyFont="1" applyFill="1" applyBorder="1" applyAlignment="1" applyProtection="1">
      <alignment vertical="center" wrapText="1"/>
    </xf>
    <xf numFmtId="0" fontId="18" fillId="2" borderId="0" xfId="0" applyFont="1" applyFill="1" applyBorder="1" applyProtection="1"/>
    <xf numFmtId="0" fontId="35" fillId="2" borderId="0" xfId="0" applyFont="1" applyFill="1" applyBorder="1" applyProtection="1"/>
    <xf numFmtId="0" fontId="34" fillId="2" borderId="0" xfId="0" applyFont="1" applyFill="1" applyBorder="1" applyAlignment="1" applyProtection="1">
      <alignment horizontal="left"/>
      <protection locked="0"/>
    </xf>
    <xf numFmtId="0" fontId="34" fillId="2" borderId="0" xfId="0" applyFont="1" applyFill="1" applyBorder="1" applyProtection="1"/>
    <xf numFmtId="0" fontId="34" fillId="2" borderId="0" xfId="0" applyFont="1" applyFill="1" applyBorder="1" applyAlignment="1" applyProtection="1">
      <alignment horizontal="center"/>
    </xf>
    <xf numFmtId="0" fontId="18" fillId="2" borderId="0" xfId="0" applyFont="1" applyFill="1" applyBorder="1" applyAlignment="1" applyProtection="1"/>
    <xf numFmtId="0" fontId="18" fillId="2" borderId="0" xfId="0" applyFont="1" applyFill="1" applyBorder="1" applyAlignment="1" applyProtection="1">
      <alignment horizontal="left"/>
    </xf>
    <xf numFmtId="0" fontId="36" fillId="2" borderId="0" xfId="0" applyFont="1" applyFill="1" applyBorder="1" applyAlignment="1" applyProtection="1">
      <alignment horizontal="left" indent="7"/>
    </xf>
    <xf numFmtId="0" fontId="12" fillId="0" borderId="0" xfId="0" quotePrefix="1" applyFont="1" applyBorder="1" applyAlignment="1" applyProtection="1"/>
    <xf numFmtId="0" fontId="3" fillId="0" borderId="2" xfId="0" applyFont="1" applyFill="1" applyBorder="1" applyAlignment="1" applyProtection="1">
      <alignment horizontal="center" vertical="center" wrapText="1"/>
    </xf>
    <xf numFmtId="0" fontId="17" fillId="0" borderId="0" xfId="0" applyFont="1" applyAlignment="1" applyProtection="1">
      <alignment horizontal="center"/>
    </xf>
    <xf numFmtId="0" fontId="0" fillId="0" borderId="0" xfId="0" applyAlignment="1" applyProtection="1">
      <alignment horizontal="center"/>
    </xf>
    <xf numFmtId="0" fontId="3" fillId="0" borderId="0" xfId="0" quotePrefix="1" applyFont="1" applyAlignment="1" applyProtection="1">
      <alignment horizontal="center"/>
    </xf>
    <xf numFmtId="168" fontId="3" fillId="0" borderId="0" xfId="0" quotePrefix="1" applyNumberFormat="1" applyFont="1" applyFill="1" applyAlignment="1" applyProtection="1">
      <alignment horizontal="center" vertical="top" wrapText="1"/>
    </xf>
    <xf numFmtId="0" fontId="0" fillId="0" borderId="0" xfId="0" applyFill="1" applyBorder="1" applyAlignment="1" applyProtection="1">
      <alignment horizontal="center"/>
    </xf>
    <xf numFmtId="0" fontId="0" fillId="0" borderId="0" xfId="0" applyFill="1" applyAlignment="1" applyProtection="1"/>
    <xf numFmtId="0" fontId="3" fillId="2" borderId="2" xfId="0" applyFont="1" applyFill="1" applyBorder="1" applyAlignment="1" applyProtection="1">
      <alignment horizontal="center" vertical="center"/>
    </xf>
    <xf numFmtId="0" fontId="3" fillId="2" borderId="0" xfId="0" applyFont="1" applyFill="1" applyBorder="1" applyAlignment="1" applyProtection="1">
      <alignment horizontal="center" vertical="center"/>
    </xf>
    <xf numFmtId="0" fontId="3" fillId="2" borderId="2" xfId="0" applyFont="1" applyFill="1" applyBorder="1" applyAlignment="1" applyProtection="1">
      <alignment horizontal="center" vertical="center" wrapText="1"/>
    </xf>
    <xf numFmtId="0" fontId="5" fillId="2" borderId="0" xfId="0" applyFont="1" applyFill="1" applyAlignment="1" applyProtection="1">
      <alignment horizontal="center"/>
    </xf>
    <xf numFmtId="0" fontId="5" fillId="2" borderId="0" xfId="0" applyFont="1" applyFill="1" applyAlignment="1" applyProtection="1"/>
    <xf numFmtId="0" fontId="0" fillId="2" borderId="3" xfId="0" applyFill="1" applyBorder="1" applyProtection="1"/>
    <xf numFmtId="0" fontId="0" fillId="2" borderId="0" xfId="0" applyFill="1" applyProtection="1"/>
    <xf numFmtId="0" fontId="19" fillId="0" borderId="0" xfId="0" applyFont="1" applyBorder="1" applyProtection="1"/>
    <xf numFmtId="0" fontId="23" fillId="0" borderId="0" xfId="0" applyFont="1" applyProtection="1"/>
    <xf numFmtId="0" fontId="23" fillId="0" borderId="0" xfId="0" applyFont="1" applyBorder="1" applyProtection="1"/>
    <xf numFmtId="167" fontId="23" fillId="0" borderId="2" xfId="2" applyNumberFormat="1" applyFont="1" applyFill="1" applyBorder="1" applyAlignment="1" applyProtection="1">
      <alignment vertical="top"/>
    </xf>
    <xf numFmtId="167" fontId="23" fillId="0" borderId="0" xfId="2" applyNumberFormat="1" applyFont="1" applyFill="1" applyBorder="1" applyAlignment="1" applyProtection="1">
      <alignment vertical="top"/>
    </xf>
    <xf numFmtId="167" fontId="23" fillId="0" borderId="0" xfId="2" quotePrefix="1" applyNumberFormat="1" applyFont="1" applyFill="1" applyBorder="1" applyAlignment="1" applyProtection="1">
      <alignment vertical="top"/>
    </xf>
    <xf numFmtId="168" fontId="23" fillId="0" borderId="0" xfId="0" applyNumberFormat="1" applyFont="1" applyFill="1" applyAlignment="1" applyProtection="1">
      <alignment vertical="top"/>
    </xf>
    <xf numFmtId="168" fontId="23" fillId="0" borderId="0" xfId="0" quotePrefix="1" applyNumberFormat="1" applyFont="1" applyFill="1" applyAlignment="1" applyProtection="1">
      <alignment vertical="top"/>
    </xf>
    <xf numFmtId="167" fontId="23" fillId="0" borderId="0" xfId="2" applyNumberFormat="1" applyFont="1" applyFill="1" applyBorder="1" applyProtection="1"/>
    <xf numFmtId="168" fontId="23" fillId="0" borderId="0" xfId="0" quotePrefix="1" applyNumberFormat="1" applyFont="1" applyFill="1" applyProtection="1"/>
    <xf numFmtId="0" fontId="22" fillId="0" borderId="0" xfId="0" quotePrefix="1" applyFont="1" applyFill="1" applyProtection="1"/>
    <xf numFmtId="0" fontId="23" fillId="0" borderId="0" xfId="0" applyFont="1" applyFill="1" applyProtection="1"/>
    <xf numFmtId="167" fontId="28" fillId="0" borderId="0" xfId="2" applyNumberFormat="1" applyFont="1" applyProtection="1"/>
    <xf numFmtId="168" fontId="28" fillId="0" borderId="0" xfId="0" applyNumberFormat="1" applyFont="1" applyFill="1" applyBorder="1" applyProtection="1">
      <protection locked="0"/>
    </xf>
    <xf numFmtId="164" fontId="28" fillId="2" borderId="0" xfId="0" applyNumberFormat="1" applyFont="1" applyFill="1" applyProtection="1"/>
    <xf numFmtId="167" fontId="28" fillId="0" borderId="0" xfId="2" applyNumberFormat="1" applyFont="1" applyAlignment="1" applyProtection="1"/>
    <xf numFmtId="167" fontId="28" fillId="0" borderId="0" xfId="0" applyNumberFormat="1" applyFont="1" applyAlignment="1" applyProtection="1"/>
    <xf numFmtId="0" fontId="28" fillId="0" borderId="0" xfId="0" applyFont="1" applyAlignment="1" applyProtection="1">
      <alignment horizontal="center"/>
    </xf>
    <xf numFmtId="164" fontId="28" fillId="0" borderId="0" xfId="2" applyNumberFormat="1" applyFont="1" applyFill="1" applyAlignment="1" applyProtection="1">
      <alignment vertical="top"/>
    </xf>
    <xf numFmtId="0" fontId="28" fillId="0" borderId="0" xfId="0" applyFont="1" applyFill="1" applyAlignment="1" applyProtection="1">
      <alignment vertical="top"/>
    </xf>
    <xf numFmtId="164" fontId="28" fillId="0" borderId="0" xfId="0" applyNumberFormat="1" applyFont="1" applyFill="1" applyAlignment="1" applyProtection="1">
      <alignment vertical="top"/>
    </xf>
    <xf numFmtId="0" fontId="28" fillId="0" borderId="0" xfId="0" applyFont="1" applyAlignment="1" applyProtection="1">
      <alignment vertical="top"/>
    </xf>
    <xf numFmtId="164" fontId="28" fillId="0" borderId="0" xfId="2" applyNumberFormat="1" applyFont="1" applyFill="1" applyProtection="1"/>
    <xf numFmtId="0" fontId="35" fillId="2" borderId="0" xfId="3" applyFont="1" applyFill="1" applyBorder="1" applyAlignment="1" applyProtection="1"/>
    <xf numFmtId="0" fontId="15" fillId="2" borderId="0" xfId="0" applyFont="1" applyFill="1" applyBorder="1" applyAlignment="1" applyProtection="1"/>
    <xf numFmtId="0" fontId="38" fillId="2" borderId="0" xfId="0" applyFont="1" applyFill="1" applyBorder="1" applyProtection="1"/>
    <xf numFmtId="0" fontId="39" fillId="2" borderId="0" xfId="0" applyFont="1" applyFill="1" applyBorder="1" applyProtection="1"/>
    <xf numFmtId="0" fontId="39" fillId="2" borderId="0" xfId="0" applyFont="1" applyFill="1" applyBorder="1" applyProtection="1">
      <protection locked="0"/>
    </xf>
    <xf numFmtId="0" fontId="40" fillId="2" borderId="0" xfId="0" applyFont="1" applyFill="1" applyBorder="1" applyAlignment="1" applyProtection="1">
      <protection locked="0"/>
    </xf>
    <xf numFmtId="0" fontId="40" fillId="2" borderId="0" xfId="0" applyFont="1" applyFill="1" applyBorder="1" applyAlignment="1" applyProtection="1">
      <alignment horizontal="left"/>
      <protection locked="0"/>
    </xf>
    <xf numFmtId="0" fontId="39" fillId="2" borderId="0" xfId="0" applyFont="1" applyFill="1" applyBorder="1" applyAlignment="1" applyProtection="1"/>
    <xf numFmtId="0" fontId="39" fillId="2" borderId="0" xfId="0" applyFont="1" applyFill="1" applyBorder="1" applyAlignment="1" applyProtection="1">
      <alignment horizontal="left"/>
    </xf>
    <xf numFmtId="0" fontId="40" fillId="2" borderId="0" xfId="0" applyFont="1" applyFill="1" applyBorder="1" applyProtection="1">
      <protection locked="0"/>
    </xf>
    <xf numFmtId="0" fontId="38" fillId="0" borderId="0" xfId="0" applyFont="1" applyProtection="1"/>
    <xf numFmtId="167" fontId="0" fillId="0" borderId="0" xfId="2" applyNumberFormat="1" applyFont="1" applyFill="1" applyAlignment="1" applyProtection="1">
      <alignment vertical="top"/>
      <protection locked="0"/>
    </xf>
    <xf numFmtId="168" fontId="0" fillId="0" borderId="0" xfId="0" applyNumberFormat="1" applyFill="1" applyProtection="1">
      <protection locked="0"/>
    </xf>
    <xf numFmtId="167" fontId="0" fillId="0" borderId="6" xfId="2" applyNumberFormat="1" applyFont="1" applyBorder="1" applyAlignment="1" applyProtection="1"/>
    <xf numFmtId="164" fontId="7" fillId="0" borderId="0" xfId="0" applyNumberFormat="1" applyFont="1" applyFill="1" applyBorder="1" applyAlignment="1" applyProtection="1"/>
    <xf numFmtId="0" fontId="3" fillId="0" borderId="0" xfId="0" applyFont="1" applyAlignment="1" applyProtection="1">
      <alignment horizontal="center" vertical="top"/>
    </xf>
    <xf numFmtId="168" fontId="0" fillId="0" borderId="14" xfId="0" applyNumberFormat="1" applyFill="1" applyBorder="1" applyAlignment="1" applyProtection="1">
      <protection locked="0"/>
    </xf>
    <xf numFmtId="168" fontId="0" fillId="0" borderId="0" xfId="0" applyNumberFormat="1" applyFill="1" applyBorder="1" applyProtection="1">
      <protection locked="0"/>
    </xf>
    <xf numFmtId="0" fontId="17" fillId="0" borderId="0" xfId="0" quotePrefix="1" applyFont="1" applyAlignment="1" applyProtection="1">
      <alignment wrapText="1"/>
    </xf>
    <xf numFmtId="10" fontId="0" fillId="0" borderId="0" xfId="0" applyNumberFormat="1" applyFill="1" applyAlignment="1" applyProtection="1">
      <alignment vertical="top"/>
      <protection locked="0"/>
    </xf>
    <xf numFmtId="167" fontId="0" fillId="4" borderId="0" xfId="2" applyNumberFormat="1" applyFont="1" applyFill="1" applyAlignment="1" applyProtection="1">
      <alignment vertical="top"/>
      <protection locked="0"/>
    </xf>
    <xf numFmtId="10" fontId="0" fillId="4" borderId="0" xfId="5" applyNumberFormat="1" applyFont="1" applyFill="1" applyAlignment="1" applyProtection="1">
      <alignment vertical="top"/>
      <protection locked="0"/>
    </xf>
    <xf numFmtId="165" fontId="0" fillId="4" borderId="0" xfId="0" applyNumberFormat="1" applyFill="1" applyAlignment="1" applyProtection="1">
      <alignment vertical="top"/>
      <protection locked="0"/>
    </xf>
    <xf numFmtId="165" fontId="0" fillId="4" borderId="0" xfId="0" applyNumberFormat="1" applyFill="1" applyBorder="1" applyAlignment="1" applyProtection="1">
      <alignment vertical="top"/>
      <protection locked="0"/>
    </xf>
    <xf numFmtId="10" fontId="0" fillId="4" borderId="0" xfId="0" applyNumberFormat="1" applyFill="1" applyAlignment="1" applyProtection="1">
      <alignment vertical="top"/>
      <protection locked="0"/>
    </xf>
    <xf numFmtId="0" fontId="3" fillId="4" borderId="0" xfId="0" quotePrefix="1" applyFont="1" applyFill="1" applyAlignment="1" applyProtection="1">
      <alignment vertical="top"/>
      <protection locked="0"/>
    </xf>
    <xf numFmtId="168" fontId="0" fillId="4" borderId="0" xfId="0" applyNumberFormat="1" applyFill="1" applyAlignment="1" applyProtection="1">
      <alignment vertical="top"/>
      <protection locked="0"/>
    </xf>
    <xf numFmtId="167" fontId="7" fillId="4" borderId="0" xfId="2" applyNumberFormat="1" applyFont="1" applyFill="1" applyAlignment="1" applyProtection="1">
      <alignment vertical="top"/>
      <protection locked="0"/>
    </xf>
    <xf numFmtId="168" fontId="0" fillId="4" borderId="0" xfId="0" applyNumberFormat="1" applyFill="1" applyProtection="1">
      <protection locked="0"/>
    </xf>
    <xf numFmtId="168" fontId="0" fillId="4" borderId="14" xfId="0" applyNumberFormat="1" applyFill="1" applyBorder="1" applyAlignment="1" applyProtection="1">
      <protection locked="0"/>
    </xf>
    <xf numFmtId="168" fontId="0" fillId="4" borderId="0" xfId="0" applyNumberFormat="1" applyFill="1" applyBorder="1" applyProtection="1">
      <protection locked="0"/>
    </xf>
    <xf numFmtId="0" fontId="3" fillId="4" borderId="0" xfId="0" applyFont="1" applyFill="1" applyAlignment="1" applyProtection="1">
      <alignment vertical="top"/>
    </xf>
    <xf numFmtId="0" fontId="0" fillId="4" borderId="0" xfId="0" applyFill="1" applyAlignment="1" applyProtection="1">
      <alignment wrapText="1"/>
      <protection locked="0"/>
    </xf>
    <xf numFmtId="0" fontId="3" fillId="4" borderId="0" xfId="0" applyFont="1" applyFill="1" applyProtection="1">
      <protection locked="0"/>
    </xf>
    <xf numFmtId="0" fontId="42" fillId="0" borderId="0" xfId="0" applyFont="1" applyProtection="1"/>
    <xf numFmtId="2" fontId="41" fillId="0" borderId="0" xfId="0" applyNumberFormat="1" applyFont="1" applyAlignment="1" applyProtection="1">
      <alignment horizontal="left"/>
    </xf>
    <xf numFmtId="0" fontId="29" fillId="0" borderId="0" xfId="0" applyFont="1" applyFill="1" applyBorder="1" applyProtection="1"/>
    <xf numFmtId="0" fontId="33" fillId="0" borderId="0" xfId="0" applyFont="1" applyFill="1" applyBorder="1" applyProtection="1"/>
    <xf numFmtId="0" fontId="43" fillId="0" borderId="0" xfId="0" applyFont="1" applyAlignment="1" applyProtection="1">
      <alignment horizontal="right" vertical="center"/>
    </xf>
    <xf numFmtId="0" fontId="0" fillId="0" borderId="0" xfId="0" applyAlignment="1" applyProtection="1">
      <alignment horizontal="right" vertical="center"/>
    </xf>
    <xf numFmtId="0" fontId="43" fillId="0" borderId="0" xfId="0" applyFont="1" applyAlignment="1" applyProtection="1">
      <alignment horizontal="right" vertical="center" indent="1"/>
    </xf>
    <xf numFmtId="0" fontId="44" fillId="0" borderId="0" xfId="0" applyFont="1" applyProtection="1"/>
    <xf numFmtId="0" fontId="44" fillId="0" borderId="0" xfId="0" applyFont="1" applyAlignment="1" applyProtection="1">
      <alignment horizontal="right" vertical="center"/>
    </xf>
    <xf numFmtId="0" fontId="15" fillId="0" borderId="0" xfId="0" applyFont="1" applyProtection="1"/>
    <xf numFmtId="0" fontId="15" fillId="0" borderId="0" xfId="0" applyFont="1" applyAlignment="1" applyProtection="1">
      <alignment vertical="center"/>
    </xf>
    <xf numFmtId="0" fontId="15" fillId="0" borderId="0" xfId="0" applyFont="1" applyFill="1" applyBorder="1" applyProtection="1"/>
    <xf numFmtId="0" fontId="15" fillId="0" borderId="0" xfId="0" applyFont="1" applyFill="1" applyAlignment="1" applyProtection="1">
      <alignment horizontal="left"/>
    </xf>
    <xf numFmtId="0" fontId="7" fillId="0" borderId="0" xfId="0" applyFont="1" applyAlignment="1" applyProtection="1">
      <alignment horizontal="left" indent="1"/>
    </xf>
    <xf numFmtId="167" fontId="0" fillId="0" borderId="3" xfId="2" applyNumberFormat="1" applyFont="1" applyBorder="1" applyAlignment="1" applyProtection="1"/>
    <xf numFmtId="167" fontId="0" fillId="0" borderId="4" xfId="2" applyNumberFormat="1" applyFont="1" applyBorder="1" applyAlignment="1" applyProtection="1"/>
    <xf numFmtId="0" fontId="3" fillId="0" borderId="2" xfId="0" applyFont="1" applyBorder="1" applyAlignment="1" applyProtection="1">
      <alignment horizontal="center" wrapText="1"/>
    </xf>
    <xf numFmtId="168" fontId="7" fillId="4" borderId="0" xfId="0" applyNumberFormat="1" applyFont="1" applyFill="1" applyAlignment="1" applyProtection="1">
      <alignment vertical="top"/>
      <protection locked="0"/>
    </xf>
    <xf numFmtId="0" fontId="22" fillId="0" borderId="0" xfId="0" applyFont="1" applyAlignment="1" applyProtection="1">
      <alignment horizontal="center" vertical="top"/>
    </xf>
    <xf numFmtId="0" fontId="3" fillId="0" borderId="0" xfId="0" applyFont="1" applyAlignment="1" applyProtection="1">
      <alignment horizontal="center"/>
    </xf>
    <xf numFmtId="0" fontId="37" fillId="0" borderId="0" xfId="0" applyFont="1" applyAlignment="1" applyProtection="1">
      <alignment horizontal="center" vertical="top"/>
    </xf>
    <xf numFmtId="0" fontId="0" fillId="0" borderId="20" xfId="0" applyBorder="1"/>
    <xf numFmtId="0" fontId="0" fillId="0" borderId="0" xfId="0" applyBorder="1"/>
    <xf numFmtId="0" fontId="0" fillId="0" borderId="21" xfId="0" applyBorder="1"/>
    <xf numFmtId="166" fontId="0" fillId="0" borderId="21" xfId="2" applyNumberFormat="1" applyFont="1" applyBorder="1"/>
    <xf numFmtId="166" fontId="0" fillId="0" borderId="21" xfId="0" applyNumberFormat="1" applyBorder="1"/>
    <xf numFmtId="166" fontId="0" fillId="0" borderId="20" xfId="2" applyNumberFormat="1" applyFont="1" applyBorder="1"/>
    <xf numFmtId="166" fontId="0" fillId="0" borderId="20" xfId="0" applyNumberFormat="1" applyBorder="1"/>
    <xf numFmtId="0" fontId="0" fillId="0" borderId="24" xfId="0" applyBorder="1"/>
    <xf numFmtId="166" fontId="0" fillId="0" borderId="24" xfId="2" applyNumberFormat="1" applyFont="1" applyBorder="1"/>
    <xf numFmtId="166" fontId="0" fillId="0" borderId="24" xfId="0" applyNumberFormat="1" applyBorder="1"/>
    <xf numFmtId="10" fontId="0" fillId="0" borderId="24" xfId="5" applyNumberFormat="1" applyFont="1" applyBorder="1"/>
    <xf numFmtId="10" fontId="0" fillId="0" borderId="24" xfId="0" applyNumberFormat="1" applyBorder="1"/>
    <xf numFmtId="0" fontId="0" fillId="0" borderId="26" xfId="0" applyBorder="1"/>
    <xf numFmtId="0" fontId="0" fillId="0" borderId="27" xfId="0" applyBorder="1"/>
    <xf numFmtId="0" fontId="3" fillId="0" borderId="27" xfId="0" applyFont="1" applyBorder="1" applyAlignment="1">
      <alignment vertical="top" wrapText="1"/>
    </xf>
    <xf numFmtId="0" fontId="1" fillId="0" borderId="27" xfId="0" applyFont="1" applyBorder="1" applyAlignment="1">
      <alignment vertical="top" wrapText="1"/>
    </xf>
    <xf numFmtId="0" fontId="5" fillId="0" borderId="4" xfId="0" applyFont="1" applyBorder="1"/>
    <xf numFmtId="0" fontId="0" fillId="0" borderId="4" xfId="0" applyBorder="1"/>
    <xf numFmtId="166" fontId="0" fillId="0" borderId="27" xfId="2" applyNumberFormat="1" applyFont="1" applyBorder="1"/>
    <xf numFmtId="166" fontId="0" fillId="0" borderId="27" xfId="0" applyNumberFormat="1" applyBorder="1"/>
    <xf numFmtId="0" fontId="3" fillId="0" borderId="29" xfId="0" applyFont="1" applyBorder="1" applyAlignment="1">
      <alignment vertical="top"/>
    </xf>
    <xf numFmtId="0" fontId="3" fillId="0" borderId="30" xfId="0" applyFont="1" applyBorder="1" applyAlignment="1">
      <alignment horizontal="center" vertical="top" wrapText="1"/>
    </xf>
    <xf numFmtId="0" fontId="3" fillId="0" borderId="31" xfId="0" applyFont="1" applyBorder="1" applyAlignment="1">
      <alignment horizontal="center" vertical="top" wrapText="1"/>
    </xf>
    <xf numFmtId="0" fontId="0" fillId="0" borderId="32" xfId="0" quotePrefix="1" applyFill="1" applyBorder="1" applyAlignment="1">
      <alignment vertical="top" wrapText="1"/>
    </xf>
    <xf numFmtId="0" fontId="0" fillId="0" borderId="32" xfId="0" applyBorder="1"/>
    <xf numFmtId="0" fontId="3" fillId="0" borderId="36" xfId="0" applyFont="1" applyBorder="1" applyAlignment="1">
      <alignment horizontal="center" vertical="top" wrapText="1"/>
    </xf>
    <xf numFmtId="0" fontId="3" fillId="0" borderId="23" xfId="0" applyFont="1" applyBorder="1" applyAlignment="1">
      <alignment horizontal="center" vertical="top" wrapText="1"/>
    </xf>
    <xf numFmtId="0" fontId="0" fillId="0" borderId="37" xfId="0" applyBorder="1"/>
    <xf numFmtId="0" fontId="3" fillId="0" borderId="22" xfId="0" applyFont="1" applyBorder="1" applyAlignment="1">
      <alignment horizontal="center" vertical="top" wrapText="1"/>
    </xf>
    <xf numFmtId="0" fontId="0" fillId="0" borderId="38" xfId="0" applyBorder="1"/>
    <xf numFmtId="0" fontId="3" fillId="0" borderId="25" xfId="0" applyFont="1" applyBorder="1" applyAlignment="1">
      <alignment horizontal="center" vertical="top" wrapText="1"/>
    </xf>
    <xf numFmtId="0" fontId="0" fillId="0" borderId="39" xfId="0" applyBorder="1"/>
    <xf numFmtId="0" fontId="3" fillId="0" borderId="28" xfId="0" applyFont="1" applyBorder="1" applyAlignment="1">
      <alignment vertical="top" wrapText="1"/>
    </xf>
    <xf numFmtId="0" fontId="0" fillId="0" borderId="0" xfId="0" applyFill="1"/>
    <xf numFmtId="0" fontId="0" fillId="0" borderId="0" xfId="0" applyFill="1" applyBorder="1"/>
    <xf numFmtId="0" fontId="0" fillId="0" borderId="40" xfId="0" applyBorder="1"/>
    <xf numFmtId="0" fontId="15" fillId="0" borderId="0" xfId="0" applyFont="1"/>
    <xf numFmtId="0" fontId="47" fillId="0" borderId="0" xfId="0" applyFont="1" applyFill="1"/>
    <xf numFmtId="0" fontId="47" fillId="0" borderId="0" xfId="0" applyFont="1" applyFill="1" applyAlignment="1">
      <alignment vertical="top" wrapText="1"/>
    </xf>
    <xf numFmtId="0" fontId="1" fillId="7" borderId="32" xfId="0" applyFont="1" applyFill="1" applyBorder="1" applyAlignment="1" applyProtection="1">
      <alignment vertical="top" wrapText="1"/>
      <protection locked="0"/>
    </xf>
    <xf numFmtId="166" fontId="0" fillId="7" borderId="20" xfId="2" applyNumberFormat="1" applyFont="1" applyFill="1" applyBorder="1" applyAlignment="1" applyProtection="1">
      <alignment vertical="top"/>
      <protection locked="0"/>
    </xf>
    <xf numFmtId="10" fontId="0" fillId="7" borderId="24" xfId="5" applyNumberFormat="1" applyFont="1" applyFill="1" applyBorder="1" applyAlignment="1" applyProtection="1">
      <alignment vertical="top"/>
      <protection locked="0"/>
    </xf>
    <xf numFmtId="166" fontId="0" fillId="7" borderId="21" xfId="0" applyNumberFormat="1" applyFill="1" applyBorder="1" applyAlignment="1" applyProtection="1">
      <alignment vertical="top"/>
      <protection locked="0"/>
    </xf>
    <xf numFmtId="166" fontId="0" fillId="7" borderId="24" xfId="0" applyNumberFormat="1" applyFill="1" applyBorder="1" applyAlignment="1" applyProtection="1">
      <alignment vertical="top"/>
      <protection locked="0"/>
    </xf>
    <xf numFmtId="166" fontId="0" fillId="7" borderId="21" xfId="2" applyNumberFormat="1" applyFont="1" applyFill="1" applyBorder="1" applyAlignment="1" applyProtection="1">
      <alignment vertical="top"/>
      <protection locked="0"/>
    </xf>
    <xf numFmtId="166" fontId="0" fillId="7" borderId="27" xfId="2" applyNumberFormat="1" applyFont="1" applyFill="1" applyBorder="1" applyAlignment="1" applyProtection="1">
      <alignment vertical="top"/>
      <protection locked="0"/>
    </xf>
    <xf numFmtId="0" fontId="26" fillId="0" borderId="0" xfId="4" applyFont="1" applyBorder="1"/>
    <xf numFmtId="0" fontId="1" fillId="0" borderId="0" xfId="0" applyFont="1" applyFill="1" applyBorder="1"/>
    <xf numFmtId="0" fontId="3" fillId="0" borderId="0" xfId="0" quotePrefix="1" applyFont="1" applyAlignment="1" applyProtection="1">
      <alignment horizontal="right" vertical="top"/>
    </xf>
    <xf numFmtId="166" fontId="1" fillId="7" borderId="20" xfId="2" applyNumberFormat="1" applyFont="1" applyFill="1" applyBorder="1" applyAlignment="1" applyProtection="1">
      <alignment vertical="top"/>
      <protection locked="0"/>
    </xf>
    <xf numFmtId="166" fontId="1" fillId="7" borderId="21" xfId="0" applyNumberFormat="1" applyFont="1" applyFill="1" applyBorder="1" applyAlignment="1" applyProtection="1">
      <alignment vertical="top"/>
      <protection locked="0"/>
    </xf>
    <xf numFmtId="169" fontId="0" fillId="4" borderId="0" xfId="2" applyNumberFormat="1" applyFont="1" applyFill="1" applyAlignment="1" applyProtection="1">
      <alignment vertical="top"/>
      <protection locked="0"/>
    </xf>
    <xf numFmtId="0" fontId="29" fillId="0" borderId="0" xfId="0" applyFont="1" applyFill="1" applyBorder="1" applyAlignment="1" applyProtection="1">
      <alignment horizontal="left" indent="4"/>
    </xf>
    <xf numFmtId="0" fontId="24" fillId="2" borderId="0" xfId="0" applyNumberFormat="1" applyFont="1" applyFill="1" applyAlignment="1" applyProtection="1">
      <alignment horizontal="left" vertical="top" wrapText="1" indent="4"/>
    </xf>
    <xf numFmtId="0" fontId="31" fillId="0" borderId="0" xfId="0" applyFont="1" applyFill="1" applyAlignment="1" applyProtection="1">
      <alignment horizontal="left"/>
    </xf>
    <xf numFmtId="0" fontId="4" fillId="0" borderId="0" xfId="3" applyFill="1" applyBorder="1" applyAlignment="1" applyProtection="1">
      <alignment horizontal="left"/>
      <protection locked="0"/>
    </xf>
    <xf numFmtId="0" fontId="32" fillId="0" borderId="0" xfId="0" applyFont="1" applyFill="1" applyBorder="1" applyAlignment="1" applyProtection="1">
      <alignment horizontal="left"/>
      <protection locked="0"/>
    </xf>
    <xf numFmtId="0" fontId="44" fillId="4" borderId="16" xfId="0" applyNumberFormat="1" applyFont="1" applyFill="1" applyBorder="1" applyAlignment="1" applyProtection="1">
      <alignment horizontal="left" vertical="center"/>
      <protection locked="0"/>
    </xf>
    <xf numFmtId="0" fontId="44" fillId="4" borderId="17" xfId="0" applyNumberFormat="1" applyFont="1" applyFill="1" applyBorder="1" applyAlignment="1" applyProtection="1">
      <alignment horizontal="left" vertical="center"/>
      <protection locked="0"/>
    </xf>
    <xf numFmtId="0" fontId="44" fillId="4" borderId="18" xfId="0" applyNumberFormat="1" applyFont="1" applyFill="1" applyBorder="1" applyAlignment="1" applyProtection="1">
      <alignment horizontal="left" vertical="center"/>
      <protection locked="0"/>
    </xf>
    <xf numFmtId="0" fontId="44" fillId="5" borderId="16" xfId="0" applyFont="1" applyFill="1" applyBorder="1" applyAlignment="1" applyProtection="1">
      <alignment horizontal="left" vertical="center" wrapText="1"/>
      <protection locked="0"/>
    </xf>
    <xf numFmtId="0" fontId="44" fillId="5" borderId="17" xfId="0" applyFont="1" applyFill="1" applyBorder="1" applyAlignment="1" applyProtection="1">
      <alignment horizontal="left" vertical="center" wrapText="1"/>
      <protection locked="0"/>
    </xf>
    <xf numFmtId="0" fontId="44" fillId="5" borderId="18" xfId="0" applyFont="1" applyFill="1" applyBorder="1" applyAlignment="1" applyProtection="1">
      <alignment horizontal="left" vertical="center" wrapText="1"/>
      <protection locked="0"/>
    </xf>
    <xf numFmtId="0" fontId="45" fillId="4" borderId="16" xfId="0" applyFont="1" applyFill="1" applyBorder="1" applyAlignment="1" applyProtection="1">
      <alignment horizontal="left" vertical="center"/>
      <protection locked="0"/>
    </xf>
    <xf numFmtId="0" fontId="45" fillId="4" borderId="17" xfId="0" applyFont="1" applyFill="1" applyBorder="1" applyAlignment="1" applyProtection="1">
      <alignment horizontal="left" vertical="center"/>
      <protection locked="0"/>
    </xf>
    <xf numFmtId="0" fontId="45" fillId="4" borderId="18" xfId="0" applyFont="1" applyFill="1" applyBorder="1" applyAlignment="1" applyProtection="1">
      <alignment horizontal="left" vertical="center"/>
      <protection locked="0"/>
    </xf>
    <xf numFmtId="0" fontId="44" fillId="4" borderId="16" xfId="0" applyFont="1" applyFill="1" applyBorder="1" applyAlignment="1" applyProtection="1">
      <alignment horizontal="left" vertical="center"/>
      <protection locked="0"/>
    </xf>
    <xf numFmtId="0" fontId="44" fillId="4" borderId="17" xfId="0" applyFont="1" applyFill="1" applyBorder="1" applyAlignment="1" applyProtection="1">
      <alignment horizontal="left" vertical="center"/>
      <protection locked="0"/>
    </xf>
    <xf numFmtId="0" fontId="44" fillId="4" borderId="18" xfId="0" applyFont="1" applyFill="1" applyBorder="1" applyAlignment="1" applyProtection="1">
      <alignment horizontal="left" vertical="center"/>
      <protection locked="0"/>
    </xf>
    <xf numFmtId="0" fontId="13" fillId="0" borderId="0" xfId="0" applyFont="1" applyFill="1" applyBorder="1" applyAlignment="1" applyProtection="1">
      <alignment horizontal="left" vertical="top" wrapText="1"/>
    </xf>
    <xf numFmtId="0" fontId="14" fillId="0" borderId="0" xfId="0" applyFont="1" applyFill="1" applyBorder="1" applyAlignment="1" applyProtection="1">
      <alignment horizontal="left" indent="1"/>
      <protection locked="0"/>
    </xf>
    <xf numFmtId="0" fontId="21" fillId="2" borderId="0" xfId="0" applyFont="1" applyFill="1" applyBorder="1" applyAlignment="1" applyProtection="1">
      <alignment horizontal="left" vertical="center" wrapText="1"/>
    </xf>
    <xf numFmtId="0" fontId="7" fillId="4" borderId="0" xfId="0" applyFont="1" applyFill="1" applyBorder="1" applyAlignment="1" applyProtection="1">
      <alignment horizontal="left"/>
    </xf>
    <xf numFmtId="0" fontId="7" fillId="5" borderId="0" xfId="0" applyFont="1" applyFill="1" applyBorder="1" applyAlignment="1" applyProtection="1">
      <alignment horizontal="left"/>
    </xf>
    <xf numFmtId="0" fontId="22" fillId="2" borderId="0" xfId="0" quotePrefix="1" applyFont="1" applyFill="1" applyAlignment="1" applyProtection="1">
      <alignment wrapText="1"/>
    </xf>
    <xf numFmtId="0" fontId="23" fillId="2" borderId="0" xfId="0" applyFont="1" applyFill="1" applyAlignment="1" applyProtection="1">
      <alignment wrapText="1"/>
    </xf>
    <xf numFmtId="0" fontId="0" fillId="0" borderId="0" xfId="0" applyAlignment="1" applyProtection="1">
      <alignment vertical="center" wrapText="1"/>
    </xf>
    <xf numFmtId="0" fontId="0" fillId="0" borderId="0" xfId="0" applyAlignment="1" applyProtection="1"/>
    <xf numFmtId="0" fontId="0" fillId="0" borderId="0" xfId="0" applyAlignment="1" applyProtection="1">
      <alignment horizontal="left"/>
    </xf>
    <xf numFmtId="0" fontId="0" fillId="4" borderId="0" xfId="0" applyFill="1" applyAlignment="1" applyProtection="1">
      <alignment horizontal="left" wrapText="1"/>
      <protection locked="0"/>
    </xf>
    <xf numFmtId="0" fontId="0" fillId="0" borderId="0" xfId="0" applyFill="1" applyAlignment="1" applyProtection="1">
      <alignment horizontal="left" vertical="top" wrapText="1"/>
    </xf>
    <xf numFmtId="0" fontId="0" fillId="0" borderId="0" xfId="0" applyAlignment="1" applyProtection="1">
      <alignment wrapText="1"/>
    </xf>
    <xf numFmtId="0" fontId="0" fillId="0" borderId="0" xfId="0" applyFill="1" applyAlignment="1" applyProtection="1">
      <alignment horizontal="left" wrapText="1"/>
    </xf>
    <xf numFmtId="0" fontId="1" fillId="0" borderId="0" xfId="0" applyFont="1" applyFill="1" applyAlignment="1" applyProtection="1">
      <alignment horizontal="left" wrapText="1"/>
      <protection locked="0"/>
    </xf>
    <xf numFmtId="0" fontId="0" fillId="0" borderId="0" xfId="0" applyFill="1" applyAlignment="1" applyProtection="1">
      <alignment horizontal="left" wrapText="1"/>
      <protection locked="0"/>
    </xf>
    <xf numFmtId="0" fontId="13" fillId="2" borderId="0" xfId="0" applyFont="1" applyFill="1" applyAlignment="1" applyProtection="1">
      <alignment horizontal="left" vertical="top" wrapText="1"/>
    </xf>
    <xf numFmtId="0" fontId="5"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0" fillId="0" borderId="0" xfId="0" applyFill="1" applyAlignment="1" applyProtection="1">
      <alignment wrapText="1"/>
    </xf>
    <xf numFmtId="0" fontId="14" fillId="2" borderId="0" xfId="0" applyFont="1" applyFill="1" applyBorder="1" applyAlignment="1" applyProtection="1">
      <alignment horizontal="left" indent="7"/>
    </xf>
    <xf numFmtId="0" fontId="3" fillId="0" borderId="0" xfId="0" quotePrefix="1" applyFont="1" applyFill="1" applyAlignment="1" applyProtection="1">
      <alignment vertical="center" wrapText="1"/>
    </xf>
    <xf numFmtId="0" fontId="0" fillId="0" borderId="0" xfId="0" applyAlignment="1">
      <alignment vertical="center" wrapText="1"/>
    </xf>
    <xf numFmtId="0" fontId="3" fillId="0" borderId="0"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protection locked="0"/>
    </xf>
    <xf numFmtId="0" fontId="3" fillId="3" borderId="0" xfId="0" applyFont="1" applyFill="1" applyBorder="1" applyAlignment="1" applyProtection="1">
      <alignment horizontal="center" vertical="center" wrapText="1"/>
      <protection locked="0"/>
    </xf>
    <xf numFmtId="0" fontId="13" fillId="2" borderId="0" xfId="0" applyFont="1" applyFill="1" applyAlignment="1" applyProtection="1">
      <alignment horizontal="left" vertical="top" wrapText="1" indent="7"/>
    </xf>
    <xf numFmtId="0" fontId="10" fillId="0" borderId="0" xfId="0" applyFont="1" applyBorder="1" applyAlignment="1" applyProtection="1">
      <alignment horizontal="left" wrapText="1"/>
    </xf>
    <xf numFmtId="167" fontId="0" fillId="0" borderId="3" xfId="2" applyNumberFormat="1" applyFont="1" applyBorder="1" applyAlignment="1" applyProtection="1">
      <alignment horizontal="right"/>
    </xf>
    <xf numFmtId="167" fontId="0" fillId="0" borderId="4" xfId="2" applyNumberFormat="1" applyFont="1" applyBorder="1" applyAlignment="1" applyProtection="1">
      <alignment horizontal="right"/>
    </xf>
    <xf numFmtId="0" fontId="3" fillId="0" borderId="0" xfId="0" applyFont="1" applyBorder="1" applyAlignment="1" applyProtection="1">
      <alignment horizontal="left"/>
    </xf>
    <xf numFmtId="0" fontId="3" fillId="0" borderId="4" xfId="0" applyFont="1" applyBorder="1" applyAlignment="1" applyProtection="1">
      <alignment horizontal="left"/>
    </xf>
    <xf numFmtId="0" fontId="12" fillId="0" borderId="2" xfId="0" applyFont="1" applyFill="1" applyBorder="1" applyAlignment="1" applyProtection="1">
      <alignment horizontal="left"/>
    </xf>
    <xf numFmtId="0" fontId="3" fillId="0" borderId="2" xfId="0" applyFont="1" applyFill="1" applyBorder="1" applyAlignment="1" applyProtection="1">
      <alignment horizontal="left"/>
    </xf>
    <xf numFmtId="0" fontId="1" fillId="0" borderId="0" xfId="0" applyFont="1" applyAlignment="1" applyProtection="1">
      <alignment wrapText="1"/>
    </xf>
    <xf numFmtId="0" fontId="0" fillId="4" borderId="0" xfId="0" applyFill="1" applyAlignment="1" applyProtection="1">
      <alignment wrapText="1"/>
      <protection locked="0"/>
    </xf>
    <xf numFmtId="0" fontId="0" fillId="4" borderId="0" xfId="0" applyFill="1" applyBorder="1" applyAlignment="1" applyProtection="1">
      <alignment wrapText="1"/>
      <protection locked="0"/>
    </xf>
    <xf numFmtId="167" fontId="0" fillId="0" borderId="0" xfId="2" applyNumberFormat="1" applyFont="1" applyBorder="1" applyAlignment="1" applyProtection="1">
      <alignment horizontal="right"/>
    </xf>
    <xf numFmtId="0" fontId="7" fillId="4" borderId="0" xfId="0" applyFont="1" applyFill="1" applyBorder="1" applyAlignment="1" applyProtection="1">
      <alignment wrapText="1"/>
      <protection locked="0"/>
    </xf>
    <xf numFmtId="167" fontId="0" fillId="0" borderId="3" xfId="0" applyNumberFormat="1" applyBorder="1" applyAlignment="1" applyProtection="1">
      <alignment horizontal="right"/>
    </xf>
    <xf numFmtId="167" fontId="0" fillId="0" borderId="4" xfId="0" applyNumberFormat="1" applyBorder="1" applyAlignment="1" applyProtection="1">
      <alignment horizontal="right"/>
    </xf>
    <xf numFmtId="0" fontId="10" fillId="0" borderId="0" xfId="0" applyFont="1" applyBorder="1" applyAlignment="1" applyProtection="1">
      <alignment horizontal="left"/>
    </xf>
    <xf numFmtId="167" fontId="0" fillId="0" borderId="3" xfId="2" applyNumberFormat="1" applyFont="1" applyFill="1" applyBorder="1" applyAlignment="1" applyProtection="1">
      <alignment horizontal="right"/>
    </xf>
    <xf numFmtId="167" fontId="0" fillId="0" borderId="4" xfId="2" applyNumberFormat="1" applyFont="1" applyFill="1" applyBorder="1" applyAlignment="1" applyProtection="1">
      <alignment horizontal="right"/>
    </xf>
    <xf numFmtId="167" fontId="0" fillId="0" borderId="13" xfId="2" applyNumberFormat="1" applyFont="1" applyBorder="1" applyAlignment="1" applyProtection="1">
      <alignment horizontal="right"/>
    </xf>
    <xf numFmtId="167" fontId="0" fillId="0" borderId="2" xfId="2" applyNumberFormat="1" applyFont="1" applyBorder="1" applyAlignment="1" applyProtection="1">
      <alignment horizontal="right"/>
    </xf>
    <xf numFmtId="167" fontId="0" fillId="0" borderId="3" xfId="2" applyNumberFormat="1" applyFont="1" applyBorder="1" applyAlignment="1" applyProtection="1"/>
    <xf numFmtId="167" fontId="0" fillId="0" borderId="2" xfId="2" applyNumberFormat="1" applyFont="1" applyBorder="1" applyAlignment="1" applyProtection="1"/>
    <xf numFmtId="0" fontId="5" fillId="0" borderId="0" xfId="0" applyFont="1" applyFill="1" applyAlignment="1" applyProtection="1">
      <alignment horizontal="center"/>
    </xf>
    <xf numFmtId="49" fontId="10" fillId="0" borderId="0" xfId="0" applyNumberFormat="1" applyFont="1" applyBorder="1" applyAlignment="1" applyProtection="1">
      <alignment horizontal="left"/>
    </xf>
    <xf numFmtId="0" fontId="5" fillId="0" borderId="0" xfId="0" applyFont="1" applyFill="1" applyAlignment="1" applyProtection="1">
      <alignment horizontal="left"/>
    </xf>
    <xf numFmtId="0" fontId="0" fillId="0" borderId="0" xfId="0" applyAlignment="1" applyProtection="1">
      <alignment horizontal="left" wrapText="1"/>
    </xf>
    <xf numFmtId="0" fontId="23" fillId="0" borderId="0" xfId="0" applyFont="1" applyFill="1" applyAlignment="1" applyProtection="1">
      <alignment wrapText="1"/>
    </xf>
    <xf numFmtId="0" fontId="13" fillId="2" borderId="0" xfId="0" applyFont="1" applyFill="1" applyAlignment="1" applyProtection="1">
      <alignment horizontal="left" vertical="top" wrapText="1" indent="8"/>
    </xf>
    <xf numFmtId="0" fontId="14" fillId="2" borderId="0" xfId="0" applyFont="1" applyFill="1" applyBorder="1" applyAlignment="1" applyProtection="1">
      <alignment horizontal="left" indent="8"/>
    </xf>
    <xf numFmtId="0" fontId="3" fillId="6" borderId="0" xfId="0" applyFont="1" applyFill="1" applyBorder="1" applyAlignment="1" applyProtection="1">
      <alignment horizontal="center" vertical="center"/>
    </xf>
    <xf numFmtId="0" fontId="15" fillId="0" borderId="0" xfId="0" applyFont="1" applyFill="1" applyAlignment="1" applyProtection="1">
      <alignment horizontal="left" vertical="center"/>
    </xf>
    <xf numFmtId="0" fontId="3" fillId="0" borderId="2" xfId="0" applyFont="1" applyBorder="1" applyAlignment="1" applyProtection="1">
      <alignment horizontal="center" vertical="center"/>
    </xf>
    <xf numFmtId="0" fontId="0" fillId="0" borderId="0" xfId="0" applyAlignment="1" applyProtection="1">
      <alignment horizontal="left" vertical="top" wrapText="1"/>
    </xf>
    <xf numFmtId="49" fontId="3"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xf>
    <xf numFmtId="0" fontId="13" fillId="2" borderId="0" xfId="0" applyFont="1" applyFill="1" applyAlignment="1" applyProtection="1">
      <alignment horizontal="left" vertical="top" wrapText="1" indent="6"/>
    </xf>
    <xf numFmtId="0" fontId="14" fillId="2" borderId="0" xfId="0" applyFont="1" applyFill="1" applyBorder="1" applyAlignment="1" applyProtection="1">
      <alignment horizontal="left" indent="6"/>
    </xf>
    <xf numFmtId="0" fontId="3" fillId="0" borderId="0" xfId="0" applyFont="1" applyAlignment="1" applyProtection="1">
      <alignment horizontal="left"/>
    </xf>
    <xf numFmtId="0" fontId="3" fillId="0" borderId="0" xfId="0" applyFont="1" applyBorder="1" applyAlignment="1" applyProtection="1">
      <alignment horizontal="center" vertical="center"/>
    </xf>
    <xf numFmtId="0" fontId="3" fillId="0" borderId="0" xfId="0" applyFont="1" applyBorder="1" applyAlignment="1" applyProtection="1">
      <alignment horizontal="center" wrapText="1"/>
    </xf>
    <xf numFmtId="0" fontId="3" fillId="0" borderId="2" xfId="0" applyFont="1" applyBorder="1" applyAlignment="1" applyProtection="1">
      <alignment horizontal="center" wrapText="1"/>
    </xf>
    <xf numFmtId="0" fontId="3" fillId="2" borderId="2" xfId="0" applyFont="1" applyFill="1" applyBorder="1" applyAlignment="1" applyProtection="1">
      <alignment horizontal="center"/>
    </xf>
    <xf numFmtId="0" fontId="0" fillId="4" borderId="0" xfId="0" applyFill="1" applyAlignment="1" applyProtection="1">
      <alignment horizontal="left" vertical="top" wrapText="1"/>
      <protection locked="0"/>
    </xf>
    <xf numFmtId="0" fontId="1" fillId="4" borderId="0" xfId="0" applyFont="1" applyFill="1" applyAlignment="1" applyProtection="1">
      <alignment horizontal="left" vertical="top" wrapText="1"/>
      <protection locked="0"/>
    </xf>
    <xf numFmtId="0" fontId="3" fillId="2" borderId="10" xfId="0" applyFont="1" applyFill="1" applyBorder="1" applyAlignment="1" applyProtection="1">
      <alignment horizontal="center" vertical="center" wrapText="1"/>
    </xf>
    <xf numFmtId="0" fontId="3" fillId="2" borderId="8" xfId="0" applyFont="1" applyFill="1" applyBorder="1" applyAlignment="1" applyProtection="1">
      <alignment horizontal="center" vertical="center" wrapText="1"/>
    </xf>
    <xf numFmtId="0" fontId="3" fillId="2" borderId="15"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167" fontId="0" fillId="0" borderId="0" xfId="2" applyNumberFormat="1" applyFont="1" applyAlignment="1" applyProtection="1"/>
    <xf numFmtId="167" fontId="0" fillId="0" borderId="0" xfId="0" applyNumberFormat="1" applyAlignment="1" applyProtection="1"/>
    <xf numFmtId="167" fontId="0" fillId="0" borderId="0" xfId="2" applyNumberFormat="1" applyFont="1" applyBorder="1" applyAlignment="1" applyProtection="1"/>
    <xf numFmtId="167" fontId="0" fillId="0" borderId="0" xfId="0" applyNumberFormat="1" applyBorder="1" applyAlignment="1" applyProtection="1"/>
    <xf numFmtId="167" fontId="0" fillId="0" borderId="2" xfId="0" applyNumberFormat="1" applyBorder="1" applyAlignment="1" applyProtection="1"/>
    <xf numFmtId="167" fontId="0" fillId="0" borderId="0" xfId="2" applyNumberFormat="1" applyFont="1" applyFill="1" applyBorder="1" applyAlignment="1" applyProtection="1">
      <alignment horizontal="right"/>
    </xf>
    <xf numFmtId="0" fontId="3" fillId="2" borderId="2" xfId="0" applyFont="1" applyFill="1" applyBorder="1" applyAlignment="1" applyProtection="1">
      <alignment horizontal="center" vertical="center" wrapText="1"/>
    </xf>
    <xf numFmtId="0" fontId="5" fillId="0" borderId="0" xfId="0" applyFont="1" applyFill="1" applyAlignment="1" applyProtection="1">
      <alignment horizontal="center" vertical="center"/>
    </xf>
    <xf numFmtId="167" fontId="0" fillId="0" borderId="2" xfId="0" applyNumberFormat="1" applyBorder="1" applyAlignment="1" applyProtection="1">
      <alignment horizontal="right"/>
    </xf>
    <xf numFmtId="167" fontId="0" fillId="0" borderId="3" xfId="0" applyNumberFormat="1" applyFill="1" applyBorder="1" applyAlignment="1" applyProtection="1">
      <alignment horizontal="right"/>
    </xf>
    <xf numFmtId="167" fontId="0" fillId="0" borderId="4" xfId="0" applyNumberFormat="1" applyFill="1" applyBorder="1" applyAlignment="1" applyProtection="1">
      <alignment horizontal="right"/>
    </xf>
    <xf numFmtId="0" fontId="27" fillId="2" borderId="0" xfId="0" applyFont="1" applyFill="1" applyAlignment="1" applyProtection="1">
      <alignment horizontal="left" wrapText="1"/>
    </xf>
    <xf numFmtId="167" fontId="0" fillId="0" borderId="0" xfId="2" applyNumberFormat="1" applyFont="1" applyAlignment="1" applyProtection="1">
      <alignment horizontal="right"/>
    </xf>
    <xf numFmtId="167" fontId="28" fillId="0" borderId="0" xfId="2" applyNumberFormat="1" applyFont="1" applyAlignment="1" applyProtection="1"/>
    <xf numFmtId="167" fontId="28" fillId="0" borderId="0" xfId="0" applyNumberFormat="1" applyFont="1" applyAlignment="1" applyProtection="1"/>
    <xf numFmtId="167" fontId="0" fillId="0" borderId="0" xfId="0" applyNumberFormat="1" applyBorder="1" applyAlignment="1" applyProtection="1">
      <alignment horizontal="center"/>
    </xf>
    <xf numFmtId="167" fontId="0" fillId="0" borderId="6" xfId="2" applyNumberFormat="1" applyFont="1" applyBorder="1" applyAlignment="1" applyProtection="1">
      <alignment horizontal="right"/>
    </xf>
    <xf numFmtId="167" fontId="7" fillId="0" borderId="0" xfId="2" applyNumberFormat="1" applyFont="1" applyBorder="1" applyAlignment="1" applyProtection="1">
      <alignment horizontal="right" vertical="center"/>
    </xf>
    <xf numFmtId="167" fontId="7" fillId="0" borderId="0" xfId="0" applyNumberFormat="1" applyFont="1" applyAlignment="1" applyProtection="1">
      <alignment horizontal="right"/>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1" fillId="7" borderId="27" xfId="0" applyFont="1" applyFill="1" applyBorder="1" applyAlignment="1" applyProtection="1">
      <alignment horizontal="left" vertical="top" wrapText="1"/>
      <protection locked="0"/>
    </xf>
    <xf numFmtId="0" fontId="0" fillId="7" borderId="27" xfId="0" applyFill="1" applyBorder="1" applyAlignment="1" applyProtection="1">
      <alignment horizontal="left" vertical="top" wrapText="1"/>
      <protection locked="0"/>
    </xf>
    <xf numFmtId="0" fontId="3" fillId="0" borderId="19" xfId="0" applyFont="1" applyBorder="1" applyAlignment="1">
      <alignment horizontal="center" vertical="top"/>
    </xf>
    <xf numFmtId="0" fontId="3" fillId="0" borderId="26" xfId="0" applyFont="1" applyBorder="1" applyAlignment="1">
      <alignment horizontal="center" vertical="top"/>
    </xf>
    <xf numFmtId="0" fontId="3" fillId="0" borderId="33" xfId="0" applyFont="1" applyBorder="1" applyAlignment="1">
      <alignment horizontal="center" vertical="top"/>
    </xf>
    <xf numFmtId="0" fontId="3" fillId="0" borderId="34" xfId="0" applyFont="1" applyBorder="1" applyAlignment="1">
      <alignment horizontal="center" vertical="top"/>
    </xf>
    <xf numFmtId="0" fontId="3" fillId="0" borderId="35" xfId="0" applyFont="1" applyBorder="1" applyAlignment="1">
      <alignment horizontal="center" vertical="top"/>
    </xf>
    <xf numFmtId="0" fontId="3" fillId="0" borderId="19" xfId="0" applyFont="1" applyBorder="1" applyAlignment="1">
      <alignment horizontal="center" vertical="top" wrapText="1"/>
    </xf>
    <xf numFmtId="0" fontId="3" fillId="0" borderId="26" xfId="0" applyFont="1" applyBorder="1" applyAlignment="1">
      <alignment horizontal="center" vertical="top" wrapText="1"/>
    </xf>
    <xf numFmtId="0" fontId="1" fillId="7" borderId="32" xfId="0" applyFont="1" applyFill="1" applyBorder="1" applyAlignment="1" applyProtection="1">
      <alignment horizontal="left" vertical="top" wrapText="1"/>
      <protection locked="0"/>
    </xf>
    <xf numFmtId="0" fontId="0" fillId="7" borderId="32" xfId="0" applyFill="1" applyBorder="1" applyAlignment="1" applyProtection="1">
      <alignment horizontal="left" vertical="top" wrapText="1"/>
      <protection locked="0"/>
    </xf>
    <xf numFmtId="0" fontId="3" fillId="0" borderId="0" xfId="0" applyFont="1" applyBorder="1" applyAlignment="1">
      <alignment horizontal="left" vertical="top" wrapText="1"/>
    </xf>
    <xf numFmtId="0" fontId="1" fillId="0" borderId="0" xfId="0" applyFont="1" applyAlignment="1">
      <alignment horizontal="left"/>
    </xf>
    <xf numFmtId="0" fontId="1" fillId="0" borderId="0" xfId="0" applyFont="1" applyAlignment="1">
      <alignment horizontal="left" vertical="top"/>
    </xf>
    <xf numFmtId="0" fontId="50" fillId="0" borderId="0" xfId="0" applyFont="1" applyAlignment="1">
      <alignment horizontal="center"/>
    </xf>
    <xf numFmtId="0" fontId="49" fillId="0" borderId="0" xfId="0" applyFont="1" applyBorder="1" applyAlignment="1">
      <alignment horizontal="left" vertical="top"/>
    </xf>
  </cellXfs>
  <cellStyles count="6">
    <cellStyle name="Comma" xfId="1" builtinId="3"/>
    <cellStyle name="Currency" xfId="2" builtinId="4"/>
    <cellStyle name="Hyperlink" xfId="3" builtinId="8"/>
    <cellStyle name="Normal" xfId="0" builtinId="0"/>
    <cellStyle name="Normal_Sheet3" xfId="4"/>
    <cellStyle name="Percent" xfId="5" builtinId="5"/>
  </cellStyles>
  <dxfs count="25">
    <dxf>
      <fill>
        <patternFill patternType="none">
          <bgColor indexed="65"/>
        </patternFill>
      </fill>
      <border>
        <bottom/>
      </border>
    </dxf>
    <dxf>
      <fill>
        <patternFill patternType="none">
          <bgColor indexed="65"/>
        </patternFill>
      </fill>
      <border>
        <left/>
        <right/>
        <top/>
        <bottom/>
      </border>
    </dxf>
    <dxf>
      <fill>
        <patternFill>
          <bgColor indexed="9"/>
        </patternFill>
      </fill>
      <border>
        <left/>
        <right/>
        <top/>
        <bottom/>
      </border>
    </dxf>
    <dxf>
      <fill>
        <patternFill patternType="solid">
          <bgColor indexed="9"/>
        </patternFill>
      </fill>
      <border>
        <bottom/>
      </border>
    </dxf>
    <dxf>
      <fill>
        <patternFill patternType="none">
          <bgColor indexed="65"/>
        </patternFill>
      </fill>
      <border>
        <bottom/>
      </border>
    </dxf>
    <dxf>
      <fill>
        <patternFill patternType="none">
          <bgColor indexed="65"/>
        </patternFill>
      </fill>
      <border>
        <top/>
        <bottom/>
      </border>
    </dxf>
    <dxf>
      <font>
        <color theme="1"/>
      </font>
    </dxf>
    <dxf>
      <font>
        <color theme="9" tint="-0.24994659260841701"/>
      </font>
    </dxf>
    <dxf>
      <font>
        <color theme="1"/>
      </font>
    </dxf>
    <dxf>
      <font>
        <color theme="9" tint="-0.24994659260841701"/>
      </font>
    </dxf>
    <dxf>
      <font>
        <color theme="1"/>
      </font>
    </dxf>
    <dxf>
      <font>
        <color theme="9" tint="-0.24994659260841701"/>
      </font>
    </dxf>
    <dxf>
      <fill>
        <patternFill>
          <bgColor indexed="9"/>
        </patternFill>
      </fill>
      <border>
        <bottom style="thin">
          <color indexed="64"/>
        </bottom>
      </border>
    </dxf>
    <dxf>
      <font>
        <color theme="9" tint="-0.24994659260841701"/>
      </font>
    </dxf>
    <dxf>
      <font>
        <color theme="9" tint="-0.24994659260841701"/>
      </font>
    </dxf>
    <dxf>
      <font>
        <color theme="1"/>
      </font>
    </dxf>
    <dxf>
      <font>
        <color theme="1"/>
      </font>
    </dxf>
    <dxf>
      <font>
        <color theme="9" tint="-0.24994659260841701"/>
      </font>
    </dxf>
    <dxf>
      <font>
        <color auto="1"/>
      </font>
    </dxf>
    <dxf>
      <font>
        <color theme="9" tint="-0.24994659260841701"/>
      </font>
    </dxf>
    <dxf>
      <fill>
        <patternFill>
          <bgColor indexed="9"/>
        </patternFill>
      </fill>
      <border>
        <bottom style="thin">
          <color indexed="64"/>
        </bottom>
      </border>
    </dxf>
    <dxf>
      <font>
        <condense val="0"/>
        <extend val="0"/>
        <color indexed="9"/>
      </font>
    </dxf>
    <dxf>
      <font>
        <condense val="0"/>
        <extend val="0"/>
        <color indexed="42"/>
      </font>
    </dxf>
    <dxf>
      <font>
        <condense val="0"/>
        <extend val="0"/>
        <color indexed="9"/>
      </font>
      <border>
        <top/>
      </border>
    </dxf>
    <dxf>
      <fill>
        <patternFill patternType="none">
          <bgColor indexed="65"/>
        </patternFill>
      </fill>
    </dxf>
  </dxfs>
  <tableStyles count="0" defaultTableStyle="TableStyleMedium9" defaultPivotStyle="PivotStyleLight16"/>
  <colors>
    <mruColors>
      <color rgb="FFCCFFCC"/>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609599</xdr:colOff>
      <xdr:row>3</xdr:row>
      <xdr:rowOff>95249</xdr:rowOff>
    </xdr:from>
    <xdr:to>
      <xdr:col>16</xdr:col>
      <xdr:colOff>257174</xdr:colOff>
      <xdr:row>8</xdr:row>
      <xdr:rowOff>152399</xdr:rowOff>
    </xdr:to>
    <xdr:pic macro="[0]!printmacro">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43999" y="581024"/>
          <a:ext cx="866775" cy="866775"/>
        </a:xfrm>
        <a:prstGeom prst="rect">
          <a:avLst/>
        </a:prstGeom>
      </xdr:spPr>
    </xdr:pic>
    <xdr:clientData/>
  </xdr:twoCellAnchor>
  <xdr:twoCellAnchor>
    <xdr:from>
      <xdr:col>0</xdr:col>
      <xdr:colOff>19049</xdr:colOff>
      <xdr:row>31</xdr:row>
      <xdr:rowOff>38099</xdr:rowOff>
    </xdr:from>
    <xdr:to>
      <xdr:col>16</xdr:col>
      <xdr:colOff>485774</xdr:colOff>
      <xdr:row>38</xdr:row>
      <xdr:rowOff>123824</xdr:rowOff>
    </xdr:to>
    <xdr:sp macro="" textlink="">
      <xdr:nvSpPr>
        <xdr:cNvPr id="30" name="Text Box 50"/>
        <xdr:cNvSpPr txBox="1">
          <a:spLocks noChangeArrowheads="1"/>
        </xdr:cNvSpPr>
      </xdr:nvSpPr>
      <xdr:spPr bwMode="auto">
        <a:xfrm>
          <a:off x="19049" y="5791199"/>
          <a:ext cx="10220325"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38100</xdr:colOff>
      <xdr:row>0</xdr:row>
      <xdr:rowOff>47625</xdr:rowOff>
    </xdr:from>
    <xdr:to>
      <xdr:col>14</xdr:col>
      <xdr:colOff>361120</xdr:colOff>
      <xdr:row>11</xdr:row>
      <xdr:rowOff>153641</xdr:rowOff>
    </xdr:to>
    <xdr:grpSp>
      <xdr:nvGrpSpPr>
        <xdr:cNvPr id="9" name="Group 8"/>
        <xdr:cNvGrpSpPr/>
      </xdr:nvGrpSpPr>
      <xdr:grpSpPr>
        <a:xfrm>
          <a:off x="38100" y="47625"/>
          <a:ext cx="8857420" cy="1915766"/>
          <a:chOff x="7686675" y="3581400"/>
          <a:chExt cx="8857420" cy="1915766"/>
        </a:xfrm>
      </xdr:grpSpPr>
      <xdr:pic>
        <xdr:nvPicPr>
          <xdr:cNvPr id="10" name="Picture 9"/>
          <xdr:cNvPicPr>
            <a:picLocks noChangeAspect="1"/>
          </xdr:cNvPicPr>
        </xdr:nvPicPr>
        <xdr:blipFill>
          <a:blip xmlns:r="http://schemas.openxmlformats.org/officeDocument/2006/relationships" r:embed="rId2"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
        <xdr:nvSpPr>
          <xdr:cNvPr id="11" name="Rectangle 10"/>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Revenue Requirement Workform</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(RRWF) for 2016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2" name="Picture 11"/>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Rectangle 12"/>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845837</xdr:colOff>
      <xdr:row>12</xdr:row>
      <xdr:rowOff>10766</xdr:rowOff>
    </xdr:to>
    <xdr:grpSp>
      <xdr:nvGrpSpPr>
        <xdr:cNvPr id="6" name="Group 5"/>
        <xdr:cNvGrpSpPr/>
      </xdr:nvGrpSpPr>
      <xdr:grpSpPr>
        <a:xfrm>
          <a:off x="0" y="0"/>
          <a:ext cx="8842407" cy="2004371"/>
          <a:chOff x="7686675" y="3581400"/>
          <a:chExt cx="8857420" cy="1915766"/>
        </a:xfrm>
      </xdr:grpSpPr>
      <xdr:pic>
        <xdr:nvPicPr>
          <xdr:cNvPr id="7" name="Picture 6"/>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
        <xdr:nvSpPr>
          <xdr:cNvPr id="8" name="Rectangle 7"/>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Revenue Requirement Workform</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(RRWF) for 2016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0</xdr:row>
      <xdr:rowOff>47625</xdr:rowOff>
    </xdr:from>
    <xdr:to>
      <xdr:col>14</xdr:col>
      <xdr:colOff>380170</xdr:colOff>
      <xdr:row>8</xdr:row>
      <xdr:rowOff>182216</xdr:rowOff>
    </xdr:to>
    <xdr:grpSp>
      <xdr:nvGrpSpPr>
        <xdr:cNvPr id="6" name="Group 5"/>
        <xdr:cNvGrpSpPr/>
      </xdr:nvGrpSpPr>
      <xdr:grpSpPr>
        <a:xfrm>
          <a:off x="57150" y="47625"/>
          <a:ext cx="8857420" cy="1915766"/>
          <a:chOff x="7686675" y="3581400"/>
          <a:chExt cx="8857420" cy="1915766"/>
        </a:xfrm>
      </xdr:grpSpPr>
      <xdr:pic>
        <xdr:nvPicPr>
          <xdr:cNvPr id="7" name="Picture 6"/>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
        <xdr:nvSpPr>
          <xdr:cNvPr id="8" name="Rectangle 7"/>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Revenue Requirement Workform</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(RRWF) for 2016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0</xdr:row>
      <xdr:rowOff>19050</xdr:rowOff>
    </xdr:from>
    <xdr:to>
      <xdr:col>18</xdr:col>
      <xdr:colOff>113470</xdr:colOff>
      <xdr:row>7</xdr:row>
      <xdr:rowOff>248891</xdr:rowOff>
    </xdr:to>
    <xdr:grpSp>
      <xdr:nvGrpSpPr>
        <xdr:cNvPr id="6" name="Group 5"/>
        <xdr:cNvGrpSpPr/>
      </xdr:nvGrpSpPr>
      <xdr:grpSpPr>
        <a:xfrm>
          <a:off x="28575" y="19050"/>
          <a:ext cx="8857420" cy="1915766"/>
          <a:chOff x="7686675" y="3581400"/>
          <a:chExt cx="8857420" cy="1915766"/>
        </a:xfrm>
      </xdr:grpSpPr>
      <xdr:pic>
        <xdr:nvPicPr>
          <xdr:cNvPr id="7" name="Picture 6"/>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
        <xdr:nvSpPr>
          <xdr:cNvPr id="8" name="Rectangle 7"/>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Revenue Requirement Workform</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(RRWF) for 2016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22</xdr:col>
      <xdr:colOff>446845</xdr:colOff>
      <xdr:row>4</xdr:row>
      <xdr:rowOff>48866</xdr:rowOff>
    </xdr:to>
    <xdr:grpSp>
      <xdr:nvGrpSpPr>
        <xdr:cNvPr id="6" name="Group 5"/>
        <xdr:cNvGrpSpPr/>
      </xdr:nvGrpSpPr>
      <xdr:grpSpPr>
        <a:xfrm>
          <a:off x="0" y="0"/>
          <a:ext cx="8857420" cy="1915766"/>
          <a:chOff x="7686675" y="3581400"/>
          <a:chExt cx="8857420" cy="1915766"/>
        </a:xfrm>
      </xdr:grpSpPr>
      <xdr:pic>
        <xdr:nvPicPr>
          <xdr:cNvPr id="7" name="Picture 6"/>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
        <xdr:nvSpPr>
          <xdr:cNvPr id="8" name="Rectangle 7"/>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Revenue Requirement Workform</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(RRWF) for 2016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542925</xdr:colOff>
      <xdr:row>40</xdr:row>
      <xdr:rowOff>28575</xdr:rowOff>
    </xdr:from>
    <xdr:to>
      <xdr:col>5</xdr:col>
      <xdr:colOff>762000</xdr:colOff>
      <xdr:row>42</xdr:row>
      <xdr:rowOff>19050</xdr:rowOff>
    </xdr:to>
    <xdr:grpSp>
      <xdr:nvGrpSpPr>
        <xdr:cNvPr id="4113" name="Group 17"/>
        <xdr:cNvGrpSpPr>
          <a:grpSpLocks/>
        </xdr:cNvGrpSpPr>
      </xdr:nvGrpSpPr>
      <xdr:grpSpPr bwMode="auto">
        <a:xfrm>
          <a:off x="895350" y="7620000"/>
          <a:ext cx="2686050" cy="314325"/>
          <a:chOff x="614" y="394"/>
          <a:chExt cx="197" cy="36"/>
        </a:xfrm>
      </xdr:grpSpPr>
      <xdr:pic>
        <xdr:nvPicPr>
          <xdr:cNvPr id="4114" name="Picture 1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5937" t="68555" r="12968" b="23633"/>
          <a:stretch>
            <a:fillRect/>
          </a:stretch>
        </xdr:blipFill>
        <xdr:spPr bwMode="auto">
          <a:xfrm>
            <a:off x="614" y="394"/>
            <a:ext cx="197" cy="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4115" name="Text Box 19"/>
          <xdr:cNvSpPr txBox="1">
            <a:spLocks noChangeArrowheads="1"/>
          </xdr:cNvSpPr>
        </xdr:nvSpPr>
        <xdr:spPr bwMode="auto">
          <a:xfrm>
            <a:off x="618" y="400"/>
            <a:ext cx="188" cy="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27432" bIns="0" anchor="t" upright="1"/>
          <a:lstStyle/>
          <a:p>
            <a:pPr algn="ctr" rtl="0">
              <a:defRPr sz="1000"/>
            </a:pPr>
            <a:r>
              <a:rPr lang="en-CA" sz="1200" b="1" i="0" u="none" strike="noStrike" baseline="0">
                <a:solidFill>
                  <a:srgbClr val="000000"/>
                </a:solidFill>
                <a:latin typeface="+mj-lt"/>
              </a:rPr>
              <a:t>Other Revenues / Revenue Offsets</a:t>
            </a:r>
          </a:p>
        </xdr:txBody>
      </xdr:sp>
    </xdr:grpSp>
    <xdr:clientData/>
  </xdr:twoCellAnchor>
  <xdr:twoCellAnchor>
    <xdr:from>
      <xdr:col>0</xdr:col>
      <xdr:colOff>0</xdr:colOff>
      <xdr:row>0</xdr:row>
      <xdr:rowOff>0</xdr:rowOff>
    </xdr:from>
    <xdr:to>
      <xdr:col>21</xdr:col>
      <xdr:colOff>275395</xdr:colOff>
      <xdr:row>9</xdr:row>
      <xdr:rowOff>67916</xdr:rowOff>
    </xdr:to>
    <xdr:grpSp>
      <xdr:nvGrpSpPr>
        <xdr:cNvPr id="9" name="Group 8"/>
        <xdr:cNvGrpSpPr/>
      </xdr:nvGrpSpPr>
      <xdr:grpSpPr>
        <a:xfrm>
          <a:off x="0" y="0"/>
          <a:ext cx="8857420" cy="1915766"/>
          <a:chOff x="7686675" y="3581400"/>
          <a:chExt cx="8857420" cy="1915766"/>
        </a:xfrm>
      </xdr:grpSpPr>
      <xdr:pic>
        <xdr:nvPicPr>
          <xdr:cNvPr id="10" name="Picture 9"/>
          <xdr:cNvPicPr>
            <a:picLocks noChangeAspect="1"/>
          </xdr:cNvPicPr>
        </xdr:nvPicPr>
        <xdr:blipFill>
          <a:blip xmlns:r="http://schemas.openxmlformats.org/officeDocument/2006/relationships" r:embed="rId2"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
        <xdr:nvSpPr>
          <xdr:cNvPr id="11" name="Rectangle 10"/>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Revenue Requirement Workform</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(RRWF) for 2016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2" name="Picture 11"/>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Rectangle 12"/>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275395</xdr:colOff>
      <xdr:row>7</xdr:row>
      <xdr:rowOff>125066</xdr:rowOff>
    </xdr:to>
    <xdr:grpSp>
      <xdr:nvGrpSpPr>
        <xdr:cNvPr id="6" name="Group 5"/>
        <xdr:cNvGrpSpPr/>
      </xdr:nvGrpSpPr>
      <xdr:grpSpPr>
        <a:xfrm>
          <a:off x="0" y="0"/>
          <a:ext cx="8857420" cy="1915766"/>
          <a:chOff x="7686675" y="3581400"/>
          <a:chExt cx="8857420" cy="1915766"/>
        </a:xfrm>
      </xdr:grpSpPr>
      <xdr:pic>
        <xdr:nvPicPr>
          <xdr:cNvPr id="7" name="Picture 6"/>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
        <xdr:nvSpPr>
          <xdr:cNvPr id="8" name="Rectangle 7"/>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Revenue Requirement Workform</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(RRWF) for 2016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19050</xdr:colOff>
      <xdr:row>0</xdr:row>
      <xdr:rowOff>0</xdr:rowOff>
    </xdr:from>
    <xdr:to>
      <xdr:col>21</xdr:col>
      <xdr:colOff>65845</xdr:colOff>
      <xdr:row>4</xdr:row>
      <xdr:rowOff>48866</xdr:rowOff>
    </xdr:to>
    <xdr:grpSp>
      <xdr:nvGrpSpPr>
        <xdr:cNvPr id="6" name="Group 5"/>
        <xdr:cNvGrpSpPr/>
      </xdr:nvGrpSpPr>
      <xdr:grpSpPr>
        <a:xfrm>
          <a:off x="19050" y="0"/>
          <a:ext cx="8857420" cy="1915766"/>
          <a:chOff x="7686675" y="3581400"/>
          <a:chExt cx="8857420" cy="1915766"/>
        </a:xfrm>
      </xdr:grpSpPr>
      <xdr:pic>
        <xdr:nvPicPr>
          <xdr:cNvPr id="7" name="Picture 6"/>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
        <xdr:nvSpPr>
          <xdr:cNvPr id="8" name="Rectangle 7"/>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Revenue Requirement Workform</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(RRWF) for 2016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275395</xdr:colOff>
      <xdr:row>8</xdr:row>
      <xdr:rowOff>29816</xdr:rowOff>
    </xdr:to>
    <xdr:grpSp>
      <xdr:nvGrpSpPr>
        <xdr:cNvPr id="6" name="Group 5"/>
        <xdr:cNvGrpSpPr/>
      </xdr:nvGrpSpPr>
      <xdr:grpSpPr>
        <a:xfrm>
          <a:off x="0" y="0"/>
          <a:ext cx="8857420" cy="1915766"/>
          <a:chOff x="7686675" y="3581400"/>
          <a:chExt cx="8857420" cy="1915766"/>
        </a:xfrm>
      </xdr:grpSpPr>
      <xdr:pic>
        <xdr:nvPicPr>
          <xdr:cNvPr id="7" name="Picture 6"/>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
        <xdr:nvSpPr>
          <xdr:cNvPr id="8" name="Rectangle 7"/>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Revenue Requirement Workform</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(RRWF) for 2016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0</xdr:row>
      <xdr:rowOff>9525</xdr:rowOff>
    </xdr:from>
    <xdr:to>
      <xdr:col>19</xdr:col>
      <xdr:colOff>161095</xdr:colOff>
      <xdr:row>9</xdr:row>
      <xdr:rowOff>67916</xdr:rowOff>
    </xdr:to>
    <xdr:grpSp>
      <xdr:nvGrpSpPr>
        <xdr:cNvPr id="6" name="Group 5"/>
        <xdr:cNvGrpSpPr/>
      </xdr:nvGrpSpPr>
      <xdr:grpSpPr>
        <a:xfrm>
          <a:off x="9525" y="9525"/>
          <a:ext cx="8857420" cy="1915766"/>
          <a:chOff x="7686675" y="3581400"/>
          <a:chExt cx="8857420" cy="1915766"/>
        </a:xfrm>
      </xdr:grpSpPr>
      <xdr:pic>
        <xdr:nvPicPr>
          <xdr:cNvPr id="7" name="Picture 6"/>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
        <xdr:nvSpPr>
          <xdr:cNvPr id="8" name="Rectangle 7"/>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Revenue Requirement Workform</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(RRWF) for 2016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ntarioenergyboard.ca/OEB/_Documents/2013EDR/Final%202013%20IRM%20RG.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arket%20Operations\Department%20Applications\Reports\Rates\Electricity%20Rates%20-%20Billing%20Determinants%20Database\2012%20IRM%20DEVELOPMENT\2012%20IRM%20MODEL%20(2ND%20AND%203R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evenue_%20Requirement_%20Model%20-%20Revised_2016_2015112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Rate_Design_Model_2016_Corrected_For_Bill_Impacts_20151116_revised_2015112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ILTON_EB-2015-0089_COS_2016_Test_year_Income_Tax_PILs_Workform_20150828_revised_2015121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cell r="J3" t="str">
            <v>$</v>
          </cell>
        </row>
        <row r="4">
          <cell r="D4" t="str">
            <v>Deferral / Variance Account Rate Rider (GA) – if applicable</v>
          </cell>
          <cell r="J4" t="str">
            <v>$/kWh</v>
          </cell>
        </row>
        <row r="5">
          <cell r="D5" t="str">
            <v>Distribution Volumetric Rate</v>
          </cell>
          <cell r="J5" t="str">
            <v>$/kW</v>
          </cell>
        </row>
        <row r="6">
          <cell r="D6" t="str">
            <v>Distribution Wheeling Service Rate</v>
          </cell>
          <cell r="J6" t="str">
            <v>$/kVA</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A Continuity 2005"/>
      <sheetName val="Depr Continuity 2005"/>
      <sheetName val="FA Continuity 2006"/>
      <sheetName val="Depr Continuity 2006"/>
      <sheetName val="FA Continuity 2007"/>
      <sheetName val="Depr Continuity 2007"/>
      <sheetName val="FA Continuity 2008"/>
      <sheetName val="Depr Continuity 2008"/>
      <sheetName val="FA Continuity 2009"/>
      <sheetName val="Depr Continuity 2009"/>
      <sheetName val="FA Continuity 2010-Bridge"/>
      <sheetName val="Depr Continuity 2010 Bridge"/>
      <sheetName val="FA Continuity 2011 Approved"/>
      <sheetName val="Depr Continuity 2011 Approved"/>
      <sheetName val="FA Continuity 2010-Actual"/>
      <sheetName val="Depr Continuity 2010 Actual"/>
      <sheetName val="FA Continuity 2011 Actual"/>
      <sheetName val="Depr Continuity 2011 Actual"/>
      <sheetName val="FA Continuity 2012"/>
      <sheetName val="Depr Continuity 2012"/>
      <sheetName val="FA Continuity 2013 CGAAP"/>
      <sheetName val="Depr Continuity 2013 CGAAP"/>
      <sheetName val="FA Continuity 2013 MIFRS"/>
      <sheetName val="Depr Continuity 2013 MIFRS"/>
      <sheetName val="FA Continuity 2013 MIFRS (2)"/>
      <sheetName val="Depr Continuity 2013 MIFRS (2)"/>
      <sheetName val="FA Continuity 2014 CGAAP"/>
      <sheetName val="Depr Continuity 2014 CGAAP"/>
      <sheetName val="FA Continuity 2014 MIFRS"/>
      <sheetName val="Depr Continuity 2014 MIFRS"/>
      <sheetName val="FA Continuity 2015 CGAAP"/>
      <sheetName val="Depr Continuity 2015 CGAAP"/>
      <sheetName val="FA Continuity 2015P CGAAP Revis"/>
      <sheetName val="FA Continuity 2016 CGAAP revise"/>
      <sheetName val="FA Continuity 2015 MIFRS"/>
      <sheetName val="Depr Continuity 2015 MIFRS"/>
      <sheetName val="FA Continuity 2016 MIFRS"/>
      <sheetName val="Depr Continuity 2016 MIFRS"/>
      <sheetName val="FA Continuity 2015P MIFRS"/>
      <sheetName val="FA Continuity 2016REVISED MIFRS"/>
      <sheetName val="Pivot 2015 Admin OM&amp;A"/>
      <sheetName val="2015 Budget"/>
      <sheetName val="Pivot 2016 Test Year"/>
      <sheetName val="2016 Budget"/>
      <sheetName val="2016 Revised Test Year"/>
      <sheetName val="Trial Balance"/>
      <sheetName val="2005 Balance Sheet"/>
      <sheetName val="2005 Income Statement"/>
      <sheetName val="2006 Balance Sheet"/>
      <sheetName val="2006 Income Statement"/>
      <sheetName val="2007 Balance Sheet"/>
      <sheetName val="2007 Income Statement"/>
      <sheetName val="2008 Balance Sheet"/>
      <sheetName val="2008 Income Statement"/>
      <sheetName val="2009 Balance Sheet"/>
      <sheetName val="2009 Income Statement"/>
      <sheetName val="2010 Balance Sheet"/>
      <sheetName val="2010 Income Statement"/>
      <sheetName val="2011 Balance Sheet"/>
      <sheetName val="2011 Income Statement"/>
      <sheetName val="2012 Balance Sheet"/>
      <sheetName val="2012 Income Statement"/>
      <sheetName val="2013 Balance Sheet"/>
      <sheetName val="2013 Income Statement"/>
      <sheetName val="2014 Balance Sheet"/>
      <sheetName val="2014 Income Statement"/>
      <sheetName val="2015 Bridge Balance Sheet "/>
      <sheetName val="2015 Bridge Income Statement"/>
      <sheetName val="2016 Test Balance Sheet"/>
      <sheetName val="2016 Test Income Statement"/>
      <sheetName val="BS IS Summary "/>
      <sheetName val="Return on Capital"/>
      <sheetName val="Debt &amp; Capital Structure"/>
      <sheetName val="Tax rates"/>
      <sheetName val="CCA Continuity 2015"/>
      <sheetName val="CCA Continuity 2016"/>
      <sheetName val="Reserves Continuity"/>
      <sheetName val="Corporation Loss Continuity"/>
      <sheetName val="Tax Adjustments 2015"/>
      <sheetName val="Tax Adjustments 2016"/>
      <sheetName val="2016 Rev Deficiency"/>
      <sheetName val="Capital Tax &amp; Expense Schedules"/>
      <sheetName val="Revenue Requirement"/>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row r="8">
          <cell r="BX8">
            <v>4.001836439171752E-2</v>
          </cell>
        </row>
        <row r="9">
          <cell r="BX9">
            <v>1.6500000000000001E-2</v>
          </cell>
        </row>
        <row r="10">
          <cell r="BX10">
            <v>9.1899999999999996E-2</v>
          </cell>
        </row>
        <row r="26">
          <cell r="BX26">
            <v>113559514.44347686</v>
          </cell>
        </row>
      </sheetData>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nue Input"/>
      <sheetName val="Transformer Allowance"/>
      <sheetName val="Forecast Data For 2016"/>
      <sheetName val="2015 Existing Rates"/>
      <sheetName val="2016 Test Yr On Existing Rates"/>
      <sheetName val="Cost Allocation Study"/>
      <sheetName val="Rates By Rate Class"/>
      <sheetName val="Allocation Low Voltage Costs"/>
      <sheetName val="Low Voltage Rates"/>
      <sheetName val="LRAM and SSM Rate Rider"/>
      <sheetName val="2016 Rate Riders"/>
      <sheetName val="Distribution Rate Schedule"/>
      <sheetName val="Other Electriciy Rates"/>
      <sheetName val="BILL IMPACTS 1YR"/>
      <sheetName val="BILL IMPACTS 3YR"/>
      <sheetName val="Bill Impact Summary"/>
      <sheetName val="Bill Impact by Class"/>
      <sheetName val="Rate Schedule (Part 1)"/>
      <sheetName val="Rate Schedule (Part 2)"/>
      <sheetName val="Dist. Rev. Reconciliation"/>
      <sheetName val="Revenue Deficiency Analysis"/>
      <sheetName val="Appendix 2-O Table a"/>
      <sheetName val="Appendix 2-O Table b"/>
      <sheetName val="Appendix 2-O Table c"/>
      <sheetName val="Appendix 2-O Table d"/>
      <sheetName val="Bill Impact Summary CMcK"/>
    </sheetNames>
    <sheetDataSet>
      <sheetData sheetId="0"/>
      <sheetData sheetId="1"/>
      <sheetData sheetId="2"/>
      <sheetData sheetId="3"/>
      <sheetData sheetId="4">
        <row r="17">
          <cell r="J17">
            <v>16299875.792926094</v>
          </cell>
        </row>
      </sheetData>
      <sheetData sheetId="5">
        <row r="15">
          <cell r="K15">
            <v>16306076.092278333</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and Instructions"/>
      <sheetName val="Table of Contents"/>
      <sheetName val="S. Summary "/>
      <sheetName val="A. Data Input Sheet"/>
      <sheetName val="B. Tax Rates &amp; Exemptions"/>
      <sheetName val="H0 PILs,Tax Provision Historic"/>
      <sheetName val="H1 Adj. Taxable Income Historic"/>
      <sheetName val="H4 Sch 4 Loss Cfwd Hist"/>
      <sheetName val="H8 Sch 8 Historical"/>
      <sheetName val="H10 Schedule 10 CEC Hist"/>
      <sheetName val="H13 Sch 13 Tax Reserves Histori"/>
      <sheetName val="B0 PILs,Tax Provision Bridge"/>
      <sheetName val="B1 Adj. Taxable Income Bridge"/>
      <sheetName val="B4 Sch 4 Loss Cfwd Bridge"/>
      <sheetName val="B8 Schedule 8 CCA Bridge Year"/>
      <sheetName val="B10 Schedule 10 CEC Bridge Year"/>
      <sheetName val="B13 Sch 13 Tax Reserves Bridge"/>
      <sheetName val="T0 PILs,Tax Provision "/>
      <sheetName val="T1 Taxable Income Test Year"/>
      <sheetName val="T4 Sch 4 Loss Cfwd"/>
      <sheetName val="T8 Schedule 8 CCA Test Year  "/>
      <sheetName val="T10 Schedule 10 CEC Test Year"/>
      <sheetName val="T13 Sch 13 Reserve Test Year"/>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34">
          <cell r="I34">
            <v>187129.15273246408</v>
          </cell>
        </row>
      </sheetData>
      <sheetData sheetId="18">
        <row r="75">
          <cell r="F75">
            <v>3690944.946011859</v>
          </cell>
        </row>
        <row r="114">
          <cell r="F114">
            <v>6222344.5670480002</v>
          </cell>
        </row>
      </sheetData>
      <sheetData sheetId="19"/>
      <sheetData sheetId="20"/>
      <sheetData sheetId="21"/>
      <sheetData sheetId="22"/>
      <sheetData sheetId="2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AG110"/>
  <sheetViews>
    <sheetView showGridLines="0" zoomScaleNormal="100" zoomScaleSheetLayoutView="100" workbookViewId="0"/>
  </sheetViews>
  <sheetFormatPr defaultRowHeight="12.75" x14ac:dyDescent="0.2"/>
  <cols>
    <col min="1" max="21" width="9.140625" style="5"/>
    <col min="22" max="22" width="0" style="5" hidden="1" customWidth="1"/>
    <col min="23" max="25" width="9.140625" style="5" hidden="1" customWidth="1"/>
    <col min="26" max="26" width="3.42578125" style="279" hidden="1" customWidth="1"/>
    <col min="27" max="27" width="46.5703125" style="279" hidden="1" customWidth="1"/>
    <col min="28" max="28" width="42.85546875" style="279" hidden="1" customWidth="1"/>
    <col min="29" max="29" width="16.42578125" style="279" hidden="1" customWidth="1"/>
    <col min="30" max="30" width="13.42578125" style="279" hidden="1" customWidth="1"/>
    <col min="31" max="31" width="13.85546875" style="280" customWidth="1"/>
    <col min="32" max="32" width="24.5703125" style="280" customWidth="1"/>
    <col min="33" max="16384" width="9.140625" style="5"/>
  </cols>
  <sheetData>
    <row r="1" spans="3:33" x14ac:dyDescent="0.2">
      <c r="C1" s="445"/>
      <c r="D1" s="445"/>
      <c r="E1" s="445"/>
      <c r="F1" s="445"/>
      <c r="G1" s="445"/>
      <c r="H1" s="445"/>
      <c r="I1" s="445"/>
      <c r="J1" s="445"/>
      <c r="K1" s="445"/>
      <c r="L1" s="445"/>
      <c r="M1" s="445"/>
      <c r="AC1" s="279" t="str">
        <f>IF('3. Data_Input_Sheet'!M12=0, "", '3. Data_Input_Sheet'!M12)</f>
        <v>Interrogatory Responses</v>
      </c>
    </row>
    <row r="2" spans="3:33" x14ac:dyDescent="0.2">
      <c r="C2" s="445"/>
      <c r="D2" s="445"/>
      <c r="E2" s="445"/>
      <c r="F2" s="445"/>
      <c r="G2" s="445"/>
      <c r="H2" s="445"/>
      <c r="I2" s="445"/>
      <c r="J2" s="445"/>
      <c r="K2" s="445"/>
      <c r="L2" s="445"/>
      <c r="M2" s="445"/>
      <c r="AE2" s="279"/>
      <c r="AF2" s="279"/>
      <c r="AG2" s="279"/>
    </row>
    <row r="3" spans="3:33" x14ac:dyDescent="0.2">
      <c r="C3" s="445"/>
      <c r="D3" s="445"/>
      <c r="E3" s="445"/>
      <c r="F3" s="445"/>
      <c r="G3" s="445"/>
      <c r="H3" s="445"/>
      <c r="I3" s="445"/>
      <c r="J3" s="445"/>
      <c r="K3" s="445"/>
      <c r="L3" s="445"/>
      <c r="M3" s="445"/>
    </row>
    <row r="4" spans="3:33" x14ac:dyDescent="0.2">
      <c r="C4" s="445"/>
      <c r="D4" s="445"/>
      <c r="E4" s="445"/>
      <c r="F4" s="445"/>
      <c r="G4" s="445"/>
      <c r="H4" s="445"/>
      <c r="I4" s="445"/>
      <c r="J4" s="445"/>
      <c r="K4" s="445"/>
      <c r="L4" s="445"/>
      <c r="M4" s="445"/>
    </row>
    <row r="11" spans="3:33" ht="15" x14ac:dyDescent="0.25">
      <c r="P11" s="370" t="s">
        <v>250</v>
      </c>
      <c r="Q11" s="371">
        <v>6</v>
      </c>
    </row>
    <row r="15" spans="3:33" ht="13.5" thickBot="1" x14ac:dyDescent="0.25"/>
    <row r="16" spans="3:33" ht="29.25" customHeight="1" thickTop="1" thickBot="1" x14ac:dyDescent="0.25">
      <c r="F16" s="374" t="s">
        <v>251</v>
      </c>
      <c r="G16" s="451" t="s">
        <v>296</v>
      </c>
      <c r="H16" s="452"/>
      <c r="I16" s="452"/>
      <c r="J16" s="452"/>
      <c r="K16" s="452"/>
      <c r="L16" s="452"/>
      <c r="M16" s="453"/>
    </row>
    <row r="17" spans="2:32" ht="13.5" thickBot="1" x14ac:dyDescent="0.25">
      <c r="F17" s="375"/>
      <c r="G17" s="199"/>
      <c r="H17" s="200"/>
      <c r="I17" s="199"/>
      <c r="J17" s="199"/>
      <c r="K17" s="199"/>
    </row>
    <row r="18" spans="2:32" ht="16.5" thickTop="1" thickBot="1" x14ac:dyDescent="0.25">
      <c r="F18" s="376" t="s">
        <v>252</v>
      </c>
      <c r="G18" s="454" t="s">
        <v>307</v>
      </c>
      <c r="H18" s="455"/>
      <c r="I18" s="455"/>
      <c r="J18" s="455"/>
      <c r="K18" s="456"/>
    </row>
    <row r="19" spans="2:32" ht="15" thickBot="1" x14ac:dyDescent="0.25">
      <c r="F19" s="377"/>
    </row>
    <row r="20" spans="2:32" ht="18" thickTop="1" thickBot="1" x14ac:dyDescent="0.35">
      <c r="C20" s="281"/>
      <c r="F20" s="376" t="s">
        <v>253</v>
      </c>
      <c r="G20" s="457" t="s">
        <v>308</v>
      </c>
      <c r="H20" s="458"/>
      <c r="I20" s="458"/>
      <c r="J20" s="458"/>
      <c r="K20" s="459"/>
      <c r="Z20" s="282"/>
      <c r="AA20" s="282" t="s">
        <v>219</v>
      </c>
      <c r="AB20" s="282"/>
      <c r="AC20" s="282"/>
      <c r="AD20" s="282"/>
      <c r="AE20" s="283"/>
      <c r="AF20" s="283"/>
    </row>
    <row r="21" spans="2:32" ht="15.75" thickBot="1" x14ac:dyDescent="0.3">
      <c r="F21" s="377"/>
      <c r="Z21" s="279">
        <v>1</v>
      </c>
      <c r="AA21" s="437" t="s">
        <v>162</v>
      </c>
      <c r="AE21" s="285"/>
      <c r="AF21" s="286"/>
    </row>
    <row r="22" spans="2:32" ht="18" thickTop="1" thickBot="1" x14ac:dyDescent="0.35">
      <c r="B22" s="443"/>
      <c r="C22" s="443"/>
      <c r="D22" s="30"/>
      <c r="F22" s="376" t="s">
        <v>254</v>
      </c>
      <c r="G22" s="457" t="s">
        <v>309</v>
      </c>
      <c r="H22" s="458"/>
      <c r="I22" s="458"/>
      <c r="J22" s="458"/>
      <c r="K22" s="459"/>
      <c r="Z22" s="279">
        <v>2</v>
      </c>
      <c r="AA22" s="437" t="s">
        <v>163</v>
      </c>
      <c r="AE22" s="285"/>
      <c r="AF22" s="286"/>
    </row>
    <row r="23" spans="2:32" ht="17.25" thickBot="1" x14ac:dyDescent="0.35">
      <c r="B23" s="30"/>
      <c r="C23" s="372"/>
      <c r="D23" s="30"/>
      <c r="F23" s="378"/>
      <c r="G23" s="199"/>
      <c r="H23" s="200"/>
      <c r="I23" s="199"/>
      <c r="J23" s="199"/>
      <c r="K23" s="199"/>
      <c r="Z23" s="279">
        <v>3</v>
      </c>
      <c r="AA23" s="437" t="s">
        <v>286</v>
      </c>
      <c r="AE23" s="285"/>
      <c r="AF23" s="286"/>
    </row>
    <row r="24" spans="2:32" ht="18" thickTop="1" thickBot="1" x14ac:dyDescent="0.35">
      <c r="B24" s="443"/>
      <c r="C24" s="443"/>
      <c r="D24" s="30"/>
      <c r="F24" s="374" t="s">
        <v>255</v>
      </c>
      <c r="G24" s="457" t="s">
        <v>310</v>
      </c>
      <c r="H24" s="458"/>
      <c r="I24" s="458"/>
      <c r="J24" s="458"/>
      <c r="K24" s="459"/>
      <c r="Z24" s="279">
        <v>4</v>
      </c>
      <c r="AA24" s="437" t="s">
        <v>287</v>
      </c>
      <c r="AE24" s="285"/>
      <c r="AF24" s="286"/>
    </row>
    <row r="25" spans="2:32" ht="17.25" thickBot="1" x14ac:dyDescent="0.35">
      <c r="B25" s="30"/>
      <c r="C25" s="372"/>
      <c r="D25" s="30"/>
      <c r="F25" s="378"/>
      <c r="G25" s="199"/>
      <c r="H25" s="200"/>
      <c r="I25" s="199"/>
      <c r="J25" s="199"/>
      <c r="K25" s="199"/>
      <c r="Z25" s="279">
        <v>5</v>
      </c>
      <c r="AA25" s="437" t="s">
        <v>288</v>
      </c>
      <c r="AE25" s="285"/>
      <c r="AF25" s="286"/>
    </row>
    <row r="26" spans="2:32" ht="18" thickTop="1" thickBot="1" x14ac:dyDescent="0.35">
      <c r="B26" s="443"/>
      <c r="C26" s="443"/>
      <c r="D26" s="443"/>
      <c r="F26" s="374" t="s">
        <v>256</v>
      </c>
      <c r="G26" s="448" t="s">
        <v>311</v>
      </c>
      <c r="H26" s="449"/>
      <c r="I26" s="449"/>
      <c r="J26" s="449"/>
      <c r="K26" s="450"/>
      <c r="Z26" s="279">
        <v>6</v>
      </c>
      <c r="AA26" s="437" t="s">
        <v>164</v>
      </c>
      <c r="AE26" s="285"/>
      <c r="AF26" s="286"/>
    </row>
    <row r="27" spans="2:32" ht="16.5" x14ac:dyDescent="0.3">
      <c r="B27" s="30"/>
      <c r="C27" s="372"/>
      <c r="D27" s="30"/>
      <c r="E27" s="373"/>
      <c r="F27" s="30"/>
      <c r="G27" s="30"/>
      <c r="H27" s="30"/>
      <c r="I27" s="30"/>
      <c r="J27" s="30"/>
      <c r="Z27" s="279">
        <v>7</v>
      </c>
      <c r="AA27" s="437" t="s">
        <v>165</v>
      </c>
      <c r="AE27" s="285"/>
      <c r="AF27" s="286"/>
    </row>
    <row r="28" spans="2:32" ht="16.5" x14ac:dyDescent="0.3">
      <c r="B28" s="443"/>
      <c r="C28" s="443"/>
      <c r="D28" s="443"/>
      <c r="E28" s="446"/>
      <c r="F28" s="447"/>
      <c r="G28" s="447"/>
      <c r="H28" s="447"/>
      <c r="I28" s="447"/>
      <c r="J28" s="447"/>
      <c r="Z28" s="279">
        <v>8</v>
      </c>
      <c r="AA28" s="437" t="s">
        <v>289</v>
      </c>
      <c r="AE28" s="285"/>
      <c r="AF28" s="286"/>
    </row>
    <row r="29" spans="2:32" ht="15" x14ac:dyDescent="0.25">
      <c r="B29" s="30"/>
      <c r="C29" s="30"/>
      <c r="D29" s="30"/>
      <c r="E29" s="30"/>
      <c r="F29" s="30"/>
      <c r="G29" s="30"/>
      <c r="H29" s="30"/>
      <c r="I29" s="30"/>
      <c r="J29" s="30"/>
      <c r="Z29" s="279">
        <v>9</v>
      </c>
      <c r="AA29" s="437" t="s">
        <v>302</v>
      </c>
      <c r="AE29" s="285"/>
      <c r="AF29" s="286"/>
    </row>
    <row r="30" spans="2:32" ht="15" x14ac:dyDescent="0.25">
      <c r="Z30" s="279">
        <v>10</v>
      </c>
      <c r="AA30" s="437" t="s">
        <v>166</v>
      </c>
      <c r="AE30" s="285"/>
      <c r="AF30" s="286"/>
    </row>
    <row r="31" spans="2:32" ht="15" x14ac:dyDescent="0.25">
      <c r="Z31" s="279">
        <v>11</v>
      </c>
      <c r="AA31" s="437" t="s">
        <v>167</v>
      </c>
      <c r="AE31" s="285"/>
      <c r="AF31" s="286"/>
    </row>
    <row r="32" spans="2:32" ht="15" x14ac:dyDescent="0.25">
      <c r="Z32" s="279">
        <v>12</v>
      </c>
      <c r="AA32" s="437" t="s">
        <v>290</v>
      </c>
      <c r="AE32" s="285"/>
      <c r="AF32" s="286"/>
    </row>
    <row r="33" spans="2:32" ht="15" x14ac:dyDescent="0.25">
      <c r="Z33" s="279">
        <v>13</v>
      </c>
      <c r="AA33" s="437" t="s">
        <v>291</v>
      </c>
      <c r="AE33" s="285"/>
      <c r="AF33" s="286"/>
    </row>
    <row r="34" spans="2:32" ht="15" x14ac:dyDescent="0.25">
      <c r="Z34" s="279">
        <v>14</v>
      </c>
      <c r="AA34" s="437" t="s">
        <v>168</v>
      </c>
      <c r="AE34" s="285"/>
      <c r="AF34" s="286"/>
    </row>
    <row r="35" spans="2:32" ht="15" x14ac:dyDescent="0.25">
      <c r="B35" s="444"/>
      <c r="C35" s="444"/>
      <c r="D35" s="444"/>
      <c r="E35" s="444"/>
      <c r="F35" s="444"/>
      <c r="G35" s="444"/>
      <c r="H35" s="444"/>
      <c r="I35" s="444"/>
      <c r="J35" s="444"/>
      <c r="K35" s="444"/>
      <c r="L35" s="444"/>
      <c r="Z35" s="279">
        <v>15</v>
      </c>
      <c r="AA35" s="437" t="s">
        <v>169</v>
      </c>
      <c r="AE35" s="285"/>
      <c r="AF35" s="286"/>
    </row>
    <row r="36" spans="2:32" ht="15" x14ac:dyDescent="0.25">
      <c r="B36" s="444"/>
      <c r="C36" s="444"/>
      <c r="D36" s="444"/>
      <c r="E36" s="444"/>
      <c r="F36" s="444"/>
      <c r="G36" s="444"/>
      <c r="H36" s="444"/>
      <c r="I36" s="444"/>
      <c r="J36" s="444"/>
      <c r="K36" s="444"/>
      <c r="L36" s="444"/>
      <c r="Z36" s="279">
        <v>16</v>
      </c>
      <c r="AA36" s="437" t="s">
        <v>170</v>
      </c>
      <c r="AE36" s="285"/>
      <c r="AF36" s="286"/>
    </row>
    <row r="37" spans="2:32" ht="15" x14ac:dyDescent="0.25">
      <c r="B37" s="444"/>
      <c r="C37" s="444"/>
      <c r="D37" s="444"/>
      <c r="E37" s="444"/>
      <c r="F37" s="444"/>
      <c r="G37" s="444"/>
      <c r="H37" s="444"/>
      <c r="I37" s="444"/>
      <c r="J37" s="444"/>
      <c r="K37" s="444"/>
      <c r="L37" s="444"/>
      <c r="Z37" s="279">
        <v>17</v>
      </c>
      <c r="AA37" s="269" t="s">
        <v>257</v>
      </c>
      <c r="AE37" s="285"/>
      <c r="AF37" s="286"/>
    </row>
    <row r="38" spans="2:32" ht="15" x14ac:dyDescent="0.25">
      <c r="B38" s="444"/>
      <c r="C38" s="444"/>
      <c r="D38" s="444"/>
      <c r="E38" s="444"/>
      <c r="F38" s="444"/>
      <c r="G38" s="444"/>
      <c r="H38" s="444"/>
      <c r="I38" s="444"/>
      <c r="J38" s="444"/>
      <c r="K38" s="444"/>
      <c r="L38" s="444"/>
      <c r="Z38" s="279">
        <v>18</v>
      </c>
      <c r="AA38" s="437" t="s">
        <v>171</v>
      </c>
      <c r="AE38" s="285"/>
      <c r="AF38" s="286"/>
    </row>
    <row r="39" spans="2:32" ht="15" x14ac:dyDescent="0.25">
      <c r="B39" s="444"/>
      <c r="C39" s="444"/>
      <c r="D39" s="444"/>
      <c r="E39" s="444"/>
      <c r="F39" s="444"/>
      <c r="G39" s="444"/>
      <c r="H39" s="444"/>
      <c r="I39" s="444"/>
      <c r="J39" s="444"/>
      <c r="K39" s="444"/>
      <c r="L39" s="444"/>
      <c r="Z39" s="279">
        <v>19</v>
      </c>
      <c r="AA39" s="437" t="s">
        <v>292</v>
      </c>
      <c r="AE39" s="285"/>
      <c r="AF39" s="286"/>
    </row>
    <row r="40" spans="2:32" ht="15" x14ac:dyDescent="0.25">
      <c r="B40" s="444"/>
      <c r="C40" s="444"/>
      <c r="D40" s="444"/>
      <c r="E40" s="444"/>
      <c r="F40" s="444"/>
      <c r="G40" s="444"/>
      <c r="H40" s="444"/>
      <c r="I40" s="444"/>
      <c r="J40" s="444"/>
      <c r="K40" s="444"/>
      <c r="L40" s="444"/>
      <c r="Z40" s="279">
        <v>20</v>
      </c>
      <c r="AA40" s="437" t="s">
        <v>172</v>
      </c>
      <c r="AE40" s="285"/>
      <c r="AF40" s="286"/>
    </row>
    <row r="41" spans="2:32" ht="15" x14ac:dyDescent="0.25">
      <c r="B41" s="444"/>
      <c r="C41" s="444"/>
      <c r="D41" s="444"/>
      <c r="E41" s="444"/>
      <c r="F41" s="444"/>
      <c r="G41" s="444"/>
      <c r="H41" s="444"/>
      <c r="I41" s="444"/>
      <c r="J41" s="444"/>
      <c r="K41" s="444"/>
      <c r="L41" s="444"/>
      <c r="Z41" s="279">
        <v>21</v>
      </c>
      <c r="AA41" s="437" t="s">
        <v>173</v>
      </c>
      <c r="AE41" s="285"/>
      <c r="AF41" s="286"/>
    </row>
    <row r="42" spans="2:32" ht="15" x14ac:dyDescent="0.25">
      <c r="Z42" s="279">
        <v>22</v>
      </c>
      <c r="AA42" s="437" t="s">
        <v>174</v>
      </c>
      <c r="AE42" s="285"/>
      <c r="AF42" s="286"/>
    </row>
    <row r="43" spans="2:32" ht="15" x14ac:dyDescent="0.25">
      <c r="Z43" s="279">
        <v>23</v>
      </c>
      <c r="AA43" s="437" t="s">
        <v>293</v>
      </c>
      <c r="AE43" s="285"/>
      <c r="AF43" s="286"/>
    </row>
    <row r="44" spans="2:32" ht="15" x14ac:dyDescent="0.25">
      <c r="Z44" s="279">
        <v>24</v>
      </c>
      <c r="AA44" s="437" t="s">
        <v>212</v>
      </c>
      <c r="AE44" s="285"/>
      <c r="AF44" s="286"/>
    </row>
    <row r="45" spans="2:32" ht="15" x14ac:dyDescent="0.25">
      <c r="Z45" s="279">
        <v>25</v>
      </c>
      <c r="AA45" s="437" t="s">
        <v>175</v>
      </c>
      <c r="AE45" s="285"/>
      <c r="AF45" s="286"/>
    </row>
    <row r="46" spans="2:32" ht="15" x14ac:dyDescent="0.25">
      <c r="Z46" s="279">
        <v>26</v>
      </c>
      <c r="AA46" s="437" t="s">
        <v>213</v>
      </c>
      <c r="AE46" s="285"/>
      <c r="AF46" s="286"/>
    </row>
    <row r="47" spans="2:32" ht="15" x14ac:dyDescent="0.25">
      <c r="Z47" s="279">
        <v>27</v>
      </c>
      <c r="AA47" s="437" t="s">
        <v>214</v>
      </c>
      <c r="AE47" s="285"/>
      <c r="AF47" s="286"/>
    </row>
    <row r="48" spans="2:32" ht="15" x14ac:dyDescent="0.25">
      <c r="Z48" s="279">
        <v>28</v>
      </c>
      <c r="AA48" s="437" t="s">
        <v>176</v>
      </c>
      <c r="AE48" s="285"/>
      <c r="AF48" s="286"/>
    </row>
    <row r="49" spans="2:32" ht="15" x14ac:dyDescent="0.25">
      <c r="B49" s="287"/>
      <c r="C49" s="287"/>
      <c r="D49" s="287"/>
      <c r="Z49" s="279">
        <v>29</v>
      </c>
      <c r="AA49" s="437" t="s">
        <v>177</v>
      </c>
      <c r="AE49" s="285"/>
      <c r="AF49" s="286"/>
    </row>
    <row r="50" spans="2:32" ht="15" x14ac:dyDescent="0.25">
      <c r="Z50" s="279">
        <v>30</v>
      </c>
      <c r="AA50" s="437" t="s">
        <v>178</v>
      </c>
      <c r="AE50" s="285"/>
      <c r="AF50" s="286"/>
    </row>
    <row r="51" spans="2:32" ht="15" x14ac:dyDescent="0.25">
      <c r="Z51" s="279">
        <v>31</v>
      </c>
      <c r="AA51" s="269" t="s">
        <v>294</v>
      </c>
      <c r="AE51" s="285"/>
      <c r="AF51" s="286"/>
    </row>
    <row r="52" spans="2:32" ht="15" x14ac:dyDescent="0.25">
      <c r="Z52" s="279">
        <v>32</v>
      </c>
      <c r="AA52" s="437" t="s">
        <v>179</v>
      </c>
      <c r="AE52" s="285"/>
      <c r="AF52" s="286"/>
    </row>
    <row r="53" spans="2:32" ht="15" x14ac:dyDescent="0.25">
      <c r="Z53" s="279">
        <v>33</v>
      </c>
      <c r="AA53" s="437" t="s">
        <v>180</v>
      </c>
      <c r="AE53" s="285"/>
      <c r="AF53" s="286"/>
    </row>
    <row r="54" spans="2:32" ht="15" x14ac:dyDescent="0.25">
      <c r="Z54" s="279">
        <v>34</v>
      </c>
      <c r="AA54" s="437" t="s">
        <v>181</v>
      </c>
      <c r="AE54" s="285"/>
      <c r="AF54" s="286"/>
    </row>
    <row r="55" spans="2:32" ht="15" x14ac:dyDescent="0.25">
      <c r="Z55" s="279">
        <v>35</v>
      </c>
      <c r="AA55" s="437" t="s">
        <v>182</v>
      </c>
      <c r="AE55" s="285"/>
      <c r="AF55" s="286"/>
    </row>
    <row r="56" spans="2:32" ht="15" x14ac:dyDescent="0.25">
      <c r="Z56" s="279">
        <v>36</v>
      </c>
      <c r="AA56" s="437" t="s">
        <v>258</v>
      </c>
      <c r="AE56" s="285"/>
      <c r="AF56" s="286"/>
    </row>
    <row r="57" spans="2:32" ht="15" x14ac:dyDescent="0.25">
      <c r="Z57" s="279">
        <v>37</v>
      </c>
      <c r="AA57" s="437" t="s">
        <v>215</v>
      </c>
      <c r="AE57" s="285"/>
      <c r="AF57" s="286"/>
    </row>
    <row r="58" spans="2:32" ht="15" x14ac:dyDescent="0.25">
      <c r="Z58" s="279">
        <v>38</v>
      </c>
      <c r="AA58" s="437" t="s">
        <v>295</v>
      </c>
      <c r="AE58" s="285"/>
      <c r="AF58" s="286"/>
    </row>
    <row r="59" spans="2:32" ht="15" x14ac:dyDescent="0.25">
      <c r="Z59" s="279">
        <v>39</v>
      </c>
      <c r="AA59" s="437" t="s">
        <v>216</v>
      </c>
      <c r="AE59" s="285"/>
      <c r="AF59" s="286"/>
    </row>
    <row r="60" spans="2:32" ht="15" x14ac:dyDescent="0.25">
      <c r="Z60" s="279">
        <v>40</v>
      </c>
      <c r="AA60" s="437" t="s">
        <v>183</v>
      </c>
      <c r="AE60" s="285"/>
      <c r="AF60" s="286"/>
    </row>
    <row r="61" spans="2:32" ht="15" x14ac:dyDescent="0.25">
      <c r="Z61" s="279">
        <v>41</v>
      </c>
      <c r="AA61" s="437" t="s">
        <v>184</v>
      </c>
      <c r="AE61" s="285"/>
      <c r="AF61" s="286"/>
    </row>
    <row r="62" spans="2:32" ht="15" x14ac:dyDescent="0.25">
      <c r="Z62" s="279">
        <v>42</v>
      </c>
      <c r="AA62" s="437" t="s">
        <v>185</v>
      </c>
      <c r="AE62" s="285"/>
      <c r="AF62" s="286"/>
    </row>
    <row r="63" spans="2:32" ht="15" x14ac:dyDescent="0.25">
      <c r="Z63" s="279">
        <v>43</v>
      </c>
      <c r="AA63" s="437" t="s">
        <v>186</v>
      </c>
      <c r="AE63" s="285"/>
      <c r="AF63" s="286"/>
    </row>
    <row r="64" spans="2:32" ht="15" x14ac:dyDescent="0.25">
      <c r="Z64" s="279">
        <v>44</v>
      </c>
      <c r="AA64" s="437" t="s">
        <v>217</v>
      </c>
      <c r="AE64" s="285"/>
      <c r="AF64" s="286"/>
    </row>
    <row r="65" spans="26:32" ht="15" x14ac:dyDescent="0.25">
      <c r="Z65" s="279">
        <v>45</v>
      </c>
      <c r="AA65" s="437" t="s">
        <v>187</v>
      </c>
      <c r="AE65" s="285"/>
      <c r="AF65" s="286"/>
    </row>
    <row r="66" spans="26:32" ht="15" x14ac:dyDescent="0.25">
      <c r="Z66" s="279">
        <v>46</v>
      </c>
      <c r="AA66" s="437" t="s">
        <v>188</v>
      </c>
      <c r="AE66" s="285"/>
      <c r="AF66" s="286"/>
    </row>
    <row r="67" spans="26:32" ht="15" x14ac:dyDescent="0.25">
      <c r="Z67" s="279">
        <v>47</v>
      </c>
      <c r="AA67" s="437" t="s">
        <v>296</v>
      </c>
      <c r="AE67" s="285"/>
      <c r="AF67" s="286"/>
    </row>
    <row r="68" spans="26:32" ht="12.75" customHeight="1" x14ac:dyDescent="0.25">
      <c r="Z68" s="279">
        <v>48</v>
      </c>
      <c r="AA68" s="437" t="s">
        <v>303</v>
      </c>
      <c r="AE68" s="285"/>
      <c r="AF68" s="286"/>
    </row>
    <row r="69" spans="26:32" ht="12.75" customHeight="1" x14ac:dyDescent="0.2">
      <c r="Z69" s="279">
        <v>49</v>
      </c>
      <c r="AA69" s="438" t="s">
        <v>259</v>
      </c>
      <c r="AE69" s="285"/>
      <c r="AF69" s="286"/>
    </row>
    <row r="70" spans="26:32" ht="15" customHeight="1" x14ac:dyDescent="0.25">
      <c r="Z70" s="279">
        <v>50</v>
      </c>
      <c r="AA70" s="437" t="s">
        <v>189</v>
      </c>
      <c r="AE70" s="285"/>
      <c r="AF70" s="286"/>
    </row>
    <row r="71" spans="26:32" ht="15" x14ac:dyDescent="0.25">
      <c r="Z71" s="279">
        <v>51</v>
      </c>
      <c r="AA71" s="437" t="s">
        <v>297</v>
      </c>
      <c r="AE71" s="285"/>
      <c r="AF71" s="286"/>
    </row>
    <row r="72" spans="26:32" ht="15" x14ac:dyDescent="0.25">
      <c r="Z72" s="279">
        <v>52</v>
      </c>
      <c r="AA72" s="437" t="s">
        <v>190</v>
      </c>
      <c r="AE72" s="285"/>
      <c r="AF72" s="286"/>
    </row>
    <row r="73" spans="26:32" ht="15" x14ac:dyDescent="0.25">
      <c r="Z73" s="279">
        <v>53</v>
      </c>
      <c r="AA73" s="437" t="s">
        <v>191</v>
      </c>
      <c r="AE73" s="285"/>
      <c r="AF73" s="286"/>
    </row>
    <row r="74" spans="26:32" ht="12.75" customHeight="1" x14ac:dyDescent="0.25">
      <c r="Z74" s="279">
        <v>54</v>
      </c>
      <c r="AA74" s="437" t="s">
        <v>298</v>
      </c>
      <c r="AE74" s="285"/>
      <c r="AF74" s="286"/>
    </row>
    <row r="75" spans="26:32" ht="12.75" customHeight="1" x14ac:dyDescent="0.25">
      <c r="Z75" s="279">
        <v>55</v>
      </c>
      <c r="AA75" s="437" t="s">
        <v>192</v>
      </c>
      <c r="AE75" s="285"/>
      <c r="AF75" s="286"/>
    </row>
    <row r="76" spans="26:32" ht="15" x14ac:dyDescent="0.25">
      <c r="Z76" s="279">
        <v>56</v>
      </c>
      <c r="AA76" s="437" t="s">
        <v>299</v>
      </c>
      <c r="AE76" s="285"/>
      <c r="AF76" s="286"/>
    </row>
    <row r="77" spans="26:32" ht="15" x14ac:dyDescent="0.25">
      <c r="Z77" s="279">
        <v>57</v>
      </c>
      <c r="AA77" s="437" t="s">
        <v>193</v>
      </c>
      <c r="AE77" s="285"/>
      <c r="AF77" s="286"/>
    </row>
    <row r="78" spans="26:32" ht="15" x14ac:dyDescent="0.25">
      <c r="Z78" s="279">
        <v>58</v>
      </c>
      <c r="AA78" s="437" t="s">
        <v>194</v>
      </c>
      <c r="AE78" s="285"/>
      <c r="AF78" s="286"/>
    </row>
    <row r="79" spans="26:32" ht="15" x14ac:dyDescent="0.25">
      <c r="Z79" s="279">
        <v>59</v>
      </c>
      <c r="AA79" s="437" t="s">
        <v>195</v>
      </c>
      <c r="AE79" s="285"/>
      <c r="AF79" s="286"/>
    </row>
    <row r="80" spans="26:32" ht="15" x14ac:dyDescent="0.25">
      <c r="Z80" s="279">
        <v>60</v>
      </c>
      <c r="AA80" s="437" t="s">
        <v>300</v>
      </c>
      <c r="AE80" s="285"/>
      <c r="AF80" s="286"/>
    </row>
    <row r="81" spans="26:32" ht="15" x14ac:dyDescent="0.25">
      <c r="Z81" s="279">
        <v>61</v>
      </c>
      <c r="AA81" s="437" t="s">
        <v>304</v>
      </c>
      <c r="AE81" s="285"/>
      <c r="AF81" s="286"/>
    </row>
    <row r="82" spans="26:32" ht="15" x14ac:dyDescent="0.25">
      <c r="Z82" s="279">
        <v>62</v>
      </c>
      <c r="AA82" s="437" t="s">
        <v>196</v>
      </c>
      <c r="AE82" s="285"/>
      <c r="AF82" s="286"/>
    </row>
    <row r="83" spans="26:32" ht="15" x14ac:dyDescent="0.25">
      <c r="Z83" s="279">
        <v>63</v>
      </c>
      <c r="AA83" s="437" t="s">
        <v>197</v>
      </c>
      <c r="AE83" s="285"/>
      <c r="AF83" s="286"/>
    </row>
    <row r="84" spans="26:32" ht="15" x14ac:dyDescent="0.25">
      <c r="Z84" s="279">
        <v>64</v>
      </c>
      <c r="AA84" s="437" t="s">
        <v>198</v>
      </c>
      <c r="AE84" s="285"/>
      <c r="AF84" s="286"/>
    </row>
    <row r="85" spans="26:32" ht="15" x14ac:dyDescent="0.25">
      <c r="Z85" s="279">
        <v>65</v>
      </c>
      <c r="AA85" s="437" t="s">
        <v>199</v>
      </c>
      <c r="AE85" s="285"/>
      <c r="AF85" s="286"/>
    </row>
    <row r="86" spans="26:32" ht="15" x14ac:dyDescent="0.25">
      <c r="Z86" s="279">
        <v>66</v>
      </c>
      <c r="AA86" s="437" t="s">
        <v>200</v>
      </c>
      <c r="AE86" s="286"/>
      <c r="AF86" s="286"/>
    </row>
    <row r="87" spans="26:32" ht="15" x14ac:dyDescent="0.25">
      <c r="Z87" s="279">
        <v>67</v>
      </c>
      <c r="AA87" s="437" t="s">
        <v>201</v>
      </c>
      <c r="AE87" s="286"/>
      <c r="AF87" s="286"/>
    </row>
    <row r="88" spans="26:32" ht="15" x14ac:dyDescent="0.25">
      <c r="Z88" s="279">
        <v>68</v>
      </c>
      <c r="AA88" s="437" t="s">
        <v>202</v>
      </c>
      <c r="AE88" s="286"/>
      <c r="AF88" s="286"/>
    </row>
    <row r="89" spans="26:32" ht="15" x14ac:dyDescent="0.25">
      <c r="Z89" s="279">
        <v>69</v>
      </c>
      <c r="AA89" s="437" t="s">
        <v>218</v>
      </c>
      <c r="AE89" s="286"/>
      <c r="AF89" s="286"/>
    </row>
    <row r="90" spans="26:32" ht="15" x14ac:dyDescent="0.25">
      <c r="Z90" s="279">
        <v>70</v>
      </c>
      <c r="AA90" s="437" t="s">
        <v>203</v>
      </c>
      <c r="AE90" s="286"/>
      <c r="AF90" s="286"/>
    </row>
    <row r="91" spans="26:32" ht="15" x14ac:dyDescent="0.25">
      <c r="Z91" s="279">
        <v>71</v>
      </c>
      <c r="AA91" s="437" t="s">
        <v>204</v>
      </c>
      <c r="AE91" s="286"/>
      <c r="AF91" s="286"/>
    </row>
    <row r="92" spans="26:32" ht="15" x14ac:dyDescent="0.25">
      <c r="Z92" s="279">
        <v>72</v>
      </c>
      <c r="AA92" s="437" t="s">
        <v>205</v>
      </c>
      <c r="AE92" s="286"/>
      <c r="AF92" s="286"/>
    </row>
    <row r="93" spans="26:32" ht="15" x14ac:dyDescent="0.25">
      <c r="Z93" s="279">
        <v>73</v>
      </c>
      <c r="AA93" s="437" t="s">
        <v>206</v>
      </c>
      <c r="AE93" s="286"/>
      <c r="AF93" s="286"/>
    </row>
    <row r="94" spans="26:32" ht="15" x14ac:dyDescent="0.25">
      <c r="Z94" s="279">
        <v>74</v>
      </c>
      <c r="AA94" s="437" t="s">
        <v>207</v>
      </c>
      <c r="AE94" s="286"/>
      <c r="AF94" s="286"/>
    </row>
    <row r="95" spans="26:32" ht="15" x14ac:dyDescent="0.25">
      <c r="Z95" s="279">
        <v>75</v>
      </c>
      <c r="AA95" s="437" t="s">
        <v>208</v>
      </c>
      <c r="AE95" s="286"/>
      <c r="AF95" s="286"/>
    </row>
    <row r="96" spans="26:32" ht="15" x14ac:dyDescent="0.25">
      <c r="Z96" s="279">
        <v>76</v>
      </c>
      <c r="AA96" s="437" t="s">
        <v>301</v>
      </c>
      <c r="AE96" s="286"/>
      <c r="AF96" s="286"/>
    </row>
    <row r="97" spans="26:32" ht="15" x14ac:dyDescent="0.25">
      <c r="Z97" s="279">
        <v>77</v>
      </c>
      <c r="AA97" s="437" t="s">
        <v>209</v>
      </c>
      <c r="AE97" s="286"/>
      <c r="AF97" s="286"/>
    </row>
    <row r="98" spans="26:32" ht="15" x14ac:dyDescent="0.25">
      <c r="Z98" s="279">
        <v>78</v>
      </c>
      <c r="AA98" s="437" t="s">
        <v>210</v>
      </c>
      <c r="AE98" s="286"/>
      <c r="AF98" s="286"/>
    </row>
    <row r="99" spans="26:32" ht="15" x14ac:dyDescent="0.25">
      <c r="Z99" s="279">
        <v>79</v>
      </c>
      <c r="AA99" s="437" t="s">
        <v>211</v>
      </c>
      <c r="AB99" s="284"/>
      <c r="AE99" s="286"/>
      <c r="AF99" s="286"/>
    </row>
    <row r="100" spans="26:32" ht="15" x14ac:dyDescent="0.25">
      <c r="AA100" s="437"/>
      <c r="AB100" s="284"/>
      <c r="AE100" s="286"/>
      <c r="AF100" s="286"/>
    </row>
    <row r="101" spans="26:32" ht="15" x14ac:dyDescent="0.25">
      <c r="AA101" s="437"/>
      <c r="AB101" s="284"/>
      <c r="AE101" s="286"/>
      <c r="AF101" s="286"/>
    </row>
    <row r="102" spans="26:32" x14ac:dyDescent="0.2">
      <c r="AA102" s="392"/>
      <c r="AB102" s="284"/>
      <c r="AE102" s="286"/>
      <c r="AF102" s="286"/>
    </row>
    <row r="103" spans="26:32" ht="15" customHeight="1" x14ac:dyDescent="0.2">
      <c r="AA103" s="392"/>
      <c r="AB103" s="284"/>
      <c r="AE103" s="286"/>
      <c r="AF103" s="286"/>
    </row>
    <row r="104" spans="26:32" ht="15" customHeight="1" x14ac:dyDescent="0.25">
      <c r="AA104" s="437"/>
      <c r="AB104" s="284"/>
      <c r="AE104" s="286"/>
      <c r="AF104" s="286"/>
    </row>
    <row r="105" spans="26:32" x14ac:dyDescent="0.2">
      <c r="AA105" s="425"/>
      <c r="AB105" s="284"/>
      <c r="AE105" s="286"/>
      <c r="AF105" s="286"/>
    </row>
    <row r="106" spans="26:32" ht="15" customHeight="1" x14ac:dyDescent="0.25">
      <c r="AA106" s="437"/>
      <c r="AB106" s="284"/>
      <c r="AE106" s="286"/>
      <c r="AF106" s="286"/>
    </row>
    <row r="107" spans="26:32" ht="15" x14ac:dyDescent="0.25">
      <c r="AA107" s="437"/>
      <c r="AB107" s="284"/>
      <c r="AE107" s="286"/>
      <c r="AF107" s="286"/>
    </row>
    <row r="108" spans="26:32" ht="15" x14ac:dyDescent="0.25">
      <c r="AA108" s="437"/>
    </row>
    <row r="109" spans="26:32" ht="15" x14ac:dyDescent="0.25">
      <c r="AA109" s="437"/>
    </row>
    <row r="110" spans="26:32" ht="15" x14ac:dyDescent="0.25">
      <c r="AA110" s="437"/>
    </row>
  </sheetData>
  <sheetProtection password="82A3" sheet="1" objects="1" scenarios="1"/>
  <sortState ref="AA21:AA108">
    <sortCondition ref="AA108"/>
  </sortState>
  <mergeCells count="14">
    <mergeCell ref="B28:D28"/>
    <mergeCell ref="B35:L41"/>
    <mergeCell ref="C1:M2"/>
    <mergeCell ref="C3:M4"/>
    <mergeCell ref="E28:J28"/>
    <mergeCell ref="G26:K26"/>
    <mergeCell ref="B22:C22"/>
    <mergeCell ref="G16:M16"/>
    <mergeCell ref="G18:K18"/>
    <mergeCell ref="G20:K20"/>
    <mergeCell ref="G22:K22"/>
    <mergeCell ref="G24:K24"/>
    <mergeCell ref="B24:C24"/>
    <mergeCell ref="B26:D26"/>
  </mergeCells>
  <phoneticPr fontId="30" type="noConversion"/>
  <conditionalFormatting sqref="E22:J22 E24:J24 E26:J26 E28:J28">
    <cfRule type="cellIs" dxfId="24" priority="1" stopIfTrue="1" operator="notEqual">
      <formula>""</formula>
    </cfRule>
  </conditionalFormatting>
  <dataValidations count="2">
    <dataValidation allowBlank="1" showInputMessage="1" showErrorMessage="1" prompt="First and last name, title" sqref="G22:K22"/>
    <dataValidation type="list" allowBlank="1" showInputMessage="1" showErrorMessage="1" sqref="G16:M16">
      <formula1>$AA$21:$AA$99</formula1>
    </dataValidation>
  </dataValidations>
  <pageMargins left="0.75" right="0.75" top="1" bottom="1" header="0.5" footer="0.5"/>
  <pageSetup scale="78" orientation="landscape" r:id="rId1"/>
  <headerFooter alignWithMargins="0"/>
  <colBreaks count="1" manualBreakCount="1">
    <brk id="17" max="42"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2:R212"/>
  <sheetViews>
    <sheetView showGridLines="0" topLeftCell="A9" zoomScale="86" zoomScaleNormal="86" workbookViewId="0">
      <selection activeCell="B16" sqref="B16:O16"/>
    </sheetView>
  </sheetViews>
  <sheetFormatPr defaultRowHeight="12.75" x14ac:dyDescent="0.2"/>
  <cols>
    <col min="1" max="1" width="3.28515625" bestFit="1" customWidth="1"/>
    <col min="2" max="2" width="23.5703125" customWidth="1"/>
    <col min="3" max="3" width="51.7109375" customWidth="1"/>
    <col min="4" max="4" width="13.85546875" customWidth="1"/>
    <col min="5" max="5" width="12.85546875" customWidth="1"/>
    <col min="6" max="7" width="14.7109375" customWidth="1"/>
    <col min="8" max="8" width="14.85546875" customWidth="1"/>
    <col min="9" max="9" width="15.7109375" customWidth="1"/>
    <col min="10" max="10" width="12.85546875" customWidth="1"/>
    <col min="11" max="11" width="14.140625" customWidth="1"/>
    <col min="12" max="12" width="14.28515625" customWidth="1"/>
    <col min="13" max="13" width="12.85546875" customWidth="1"/>
    <col min="14" max="14" width="14.140625" customWidth="1"/>
    <col min="15" max="15" width="12.85546875" customWidth="1"/>
    <col min="16" max="16" width="5.7109375" hidden="1" customWidth="1"/>
    <col min="17" max="18" width="0" hidden="1" customWidth="1"/>
  </cols>
  <sheetData>
    <row r="2" spans="2:15" x14ac:dyDescent="0.2">
      <c r="I2" s="424"/>
      <c r="J2" s="424"/>
      <c r="K2" s="424"/>
      <c r="L2" s="424"/>
      <c r="M2" s="424"/>
      <c r="N2" s="424"/>
      <c r="O2" s="424"/>
    </row>
    <row r="3" spans="2:15" x14ac:dyDescent="0.2">
      <c r="I3" s="428"/>
      <c r="J3" s="428"/>
      <c r="K3" s="428"/>
      <c r="L3" s="428"/>
      <c r="M3" s="428"/>
      <c r="N3" s="428"/>
      <c r="O3" s="428"/>
    </row>
    <row r="4" spans="2:15" x14ac:dyDescent="0.2">
      <c r="I4" s="428"/>
      <c r="J4" s="428"/>
      <c r="K4" s="428"/>
      <c r="L4" s="428"/>
      <c r="M4" s="428"/>
      <c r="N4" s="428"/>
      <c r="O4" s="428"/>
    </row>
    <row r="5" spans="2:15" x14ac:dyDescent="0.2">
      <c r="I5" s="429"/>
      <c r="J5" s="429"/>
      <c r="K5" s="429"/>
      <c r="L5" s="429"/>
      <c r="M5" s="429"/>
      <c r="N5" s="429"/>
      <c r="O5" s="429"/>
    </row>
    <row r="6" spans="2:15" x14ac:dyDescent="0.2">
      <c r="I6" s="429"/>
      <c r="J6" s="429"/>
      <c r="K6" s="429"/>
      <c r="L6" s="429"/>
      <c r="M6" s="429"/>
      <c r="N6" s="429"/>
      <c r="O6" s="429"/>
    </row>
    <row r="7" spans="2:15" x14ac:dyDescent="0.2">
      <c r="I7" s="429"/>
      <c r="J7" s="429"/>
      <c r="K7" s="429"/>
      <c r="L7" s="429"/>
      <c r="M7" s="429"/>
      <c r="N7" s="429"/>
      <c r="O7" s="429"/>
    </row>
    <row r="8" spans="2:15" x14ac:dyDescent="0.2">
      <c r="I8" s="429"/>
      <c r="J8" s="429"/>
      <c r="K8" s="429"/>
      <c r="L8" s="429"/>
      <c r="M8" s="429"/>
      <c r="N8" s="429"/>
      <c r="O8" s="429"/>
    </row>
    <row r="9" spans="2:15" x14ac:dyDescent="0.2">
      <c r="I9" s="429"/>
      <c r="J9" s="429"/>
      <c r="K9" s="429"/>
      <c r="L9" s="429"/>
      <c r="M9" s="429"/>
      <c r="N9" s="429"/>
      <c r="O9" s="429"/>
    </row>
    <row r="10" spans="2:15" x14ac:dyDescent="0.2">
      <c r="I10" s="429"/>
      <c r="J10" s="429"/>
      <c r="K10" s="429"/>
      <c r="L10" s="429"/>
      <c r="M10" s="429"/>
      <c r="N10" s="429"/>
      <c r="O10" s="429"/>
    </row>
    <row r="11" spans="2:15" x14ac:dyDescent="0.2">
      <c r="I11" s="429"/>
      <c r="J11" s="429"/>
      <c r="K11" s="429"/>
      <c r="L11" s="429"/>
      <c r="M11" s="429"/>
      <c r="N11" s="429"/>
      <c r="O11" s="429"/>
    </row>
    <row r="13" spans="2:15" ht="9" customHeight="1" x14ac:dyDescent="0.2"/>
    <row r="14" spans="2:15" ht="18" x14ac:dyDescent="0.25">
      <c r="B14" s="427" t="s">
        <v>265</v>
      </c>
    </row>
    <row r="15" spans="2:15" ht="83.25" customHeight="1" x14ac:dyDescent="0.2">
      <c r="B15" s="554" t="s">
        <v>285</v>
      </c>
      <c r="C15" s="554"/>
      <c r="D15" s="554"/>
      <c r="E15" s="554"/>
      <c r="F15" s="554"/>
      <c r="G15" s="554"/>
      <c r="H15" s="554"/>
      <c r="I15" s="554"/>
      <c r="J15" s="554"/>
      <c r="K15" s="554"/>
      <c r="L15" s="554"/>
      <c r="M15" s="554"/>
      <c r="N15" s="554"/>
      <c r="O15" s="554"/>
    </row>
    <row r="16" spans="2:15" ht="40.5" customHeight="1" x14ac:dyDescent="0.35">
      <c r="B16" s="570" t="s">
        <v>278</v>
      </c>
      <c r="C16" s="570"/>
      <c r="D16" s="570"/>
      <c r="E16" s="570"/>
      <c r="F16" s="570"/>
      <c r="G16" s="570"/>
      <c r="H16" s="570"/>
      <c r="I16" s="570"/>
      <c r="J16" s="570"/>
      <c r="K16" s="570"/>
      <c r="L16" s="570"/>
      <c r="M16" s="570"/>
      <c r="N16" s="570"/>
      <c r="O16" s="570"/>
    </row>
    <row r="17" spans="1:17" ht="9" customHeight="1" thickBot="1" x14ac:dyDescent="0.3">
      <c r="B17" s="407"/>
      <c r="C17" s="408"/>
      <c r="D17" s="408"/>
      <c r="E17" s="408"/>
      <c r="F17" s="408"/>
      <c r="G17" s="408"/>
      <c r="H17" s="408"/>
      <c r="I17" s="408"/>
      <c r="J17" s="408"/>
      <c r="K17" s="408"/>
      <c r="L17" s="408"/>
      <c r="M17" s="408"/>
      <c r="N17" s="408"/>
      <c r="O17" s="408"/>
    </row>
    <row r="18" spans="1:17" ht="16.5" customHeight="1" thickTop="1" thickBot="1" x14ac:dyDescent="0.25">
      <c r="A18" s="404"/>
      <c r="B18" s="403"/>
      <c r="C18" s="403"/>
      <c r="D18" s="558" t="s">
        <v>89</v>
      </c>
      <c r="E18" s="559"/>
      <c r="F18" s="563" t="s">
        <v>276</v>
      </c>
      <c r="G18" s="563"/>
      <c r="H18" s="564"/>
      <c r="I18" s="560" t="s">
        <v>117</v>
      </c>
      <c r="J18" s="561"/>
      <c r="K18" s="562"/>
      <c r="L18" s="558" t="s">
        <v>247</v>
      </c>
      <c r="M18" s="558"/>
      <c r="N18" s="558"/>
      <c r="O18" s="559"/>
      <c r="P18" s="392"/>
    </row>
    <row r="19" spans="1:17" ht="54.75" customHeight="1" thickBot="1" x14ac:dyDescent="0.25">
      <c r="A19" s="404"/>
      <c r="B19" s="411" t="s">
        <v>275</v>
      </c>
      <c r="C19" s="411" t="s">
        <v>277</v>
      </c>
      <c r="D19" s="416" t="s">
        <v>266</v>
      </c>
      <c r="E19" s="412" t="s">
        <v>267</v>
      </c>
      <c r="F19" s="416" t="s">
        <v>7</v>
      </c>
      <c r="G19" s="413" t="s">
        <v>268</v>
      </c>
      <c r="H19" s="412" t="s">
        <v>279</v>
      </c>
      <c r="I19" s="417" t="s">
        <v>269</v>
      </c>
      <c r="J19" s="419" t="s">
        <v>6</v>
      </c>
      <c r="K19" s="421" t="s">
        <v>270</v>
      </c>
      <c r="L19" s="417" t="s">
        <v>272</v>
      </c>
      <c r="M19" s="413" t="s">
        <v>271</v>
      </c>
      <c r="N19" s="413" t="s">
        <v>240</v>
      </c>
      <c r="O19" s="423" t="s">
        <v>273</v>
      </c>
    </row>
    <row r="20" spans="1:17" ht="13.5" thickTop="1" x14ac:dyDescent="0.2">
      <c r="A20" s="404"/>
      <c r="B20" s="404"/>
      <c r="C20" s="404"/>
      <c r="D20" s="391"/>
      <c r="E20" s="398"/>
      <c r="F20" s="391"/>
      <c r="G20" s="393"/>
      <c r="H20" s="398"/>
      <c r="I20" s="418"/>
      <c r="J20" s="420"/>
      <c r="K20" s="422"/>
      <c r="L20" s="418"/>
      <c r="M20" s="393"/>
      <c r="N20" s="393"/>
      <c r="O20" s="422"/>
    </row>
    <row r="21" spans="1:17" x14ac:dyDescent="0.2">
      <c r="A21" s="404"/>
      <c r="B21" s="406"/>
      <c r="C21" s="405" t="s">
        <v>274</v>
      </c>
      <c r="D21" s="396">
        <f>'7. Cost_of_Capital'!P26</f>
        <v>5657435.5419199131</v>
      </c>
      <c r="E21" s="401">
        <f>'7. Cost_of_Capital'!L26</f>
        <v>6.1530564692313952E-2</v>
      </c>
      <c r="F21" s="396">
        <f>'4. Rate_Base'!G18</f>
        <v>91945126.299590215</v>
      </c>
      <c r="G21" s="394">
        <f>'4. Rate_Base'!G26</f>
        <v>116369555.94754119</v>
      </c>
      <c r="H21" s="399">
        <f>'4. Rate_Base'!G30</f>
        <v>8727716.6960655898</v>
      </c>
      <c r="I21" s="396">
        <f>'9. Rev_Reqt'!F16</f>
        <v>3292486.0000000005</v>
      </c>
      <c r="J21" s="394">
        <f>'9. Rev_Reqt'!F19</f>
        <v>256212.267233989</v>
      </c>
      <c r="K21" s="399">
        <f>'9. Rev_Reqt'!F15</f>
        <v>9903387.8672020137</v>
      </c>
      <c r="L21" s="396">
        <f>'9. Rev_Reqt'!F25</f>
        <v>19109521.676355913</v>
      </c>
      <c r="M21" s="394">
        <f>'9. Rev_Reqt'!F32</f>
        <v>1902155</v>
      </c>
      <c r="N21" s="394">
        <f>'9. Rev_Reqt'!F28</f>
        <v>17207366.676355913</v>
      </c>
      <c r="O21" s="409">
        <f>'8. Rev_Def_Suff'!F52</f>
        <v>990646.55091863091</v>
      </c>
    </row>
    <row r="22" spans="1:17" x14ac:dyDescent="0.2">
      <c r="A22" s="392"/>
      <c r="B22" s="415"/>
      <c r="C22" s="404"/>
      <c r="D22" s="391"/>
      <c r="E22" s="398"/>
      <c r="F22" s="391"/>
      <c r="G22" s="393"/>
      <c r="H22" s="398"/>
      <c r="I22" s="391"/>
      <c r="J22" s="393"/>
      <c r="K22" s="398"/>
      <c r="L22" s="391"/>
      <c r="M22" s="393"/>
      <c r="N22" s="393"/>
      <c r="O22" s="404"/>
    </row>
    <row r="23" spans="1:17" x14ac:dyDescent="0.2">
      <c r="A23" s="555">
        <v>1</v>
      </c>
      <c r="B23" s="556" t="s">
        <v>318</v>
      </c>
      <c r="C23" s="430" t="s">
        <v>317</v>
      </c>
      <c r="D23" s="440">
        <f>5657436</f>
        <v>5657436</v>
      </c>
      <c r="E23" s="432">
        <v>6.1499999999999999E-2</v>
      </c>
      <c r="F23" s="431">
        <f>91945126-2086582</f>
        <v>89858544</v>
      </c>
      <c r="G23" s="433">
        <v>116369556</v>
      </c>
      <c r="H23" s="434">
        <v>8727717</v>
      </c>
      <c r="I23" s="431">
        <v>3187941</v>
      </c>
      <c r="J23" s="435">
        <f>+J21+(104545*0.05836)</f>
        <v>262313.51343398902</v>
      </c>
      <c r="K23" s="434">
        <v>9903387.8672020137</v>
      </c>
      <c r="L23" s="431">
        <f>19109521.6763559-104545</f>
        <v>19004976.676355898</v>
      </c>
      <c r="M23" s="433">
        <v>1902155</v>
      </c>
      <c r="N23" s="435">
        <f>17207366.6763559-104545</f>
        <v>17102821.676355898</v>
      </c>
      <c r="O23" s="436">
        <f>990646.550918631-104545</f>
        <v>886101.55091863102</v>
      </c>
      <c r="Q23" t="str">
        <f>IF(AND(ISBLANK(B23), ISBLANK(C23)), "X", "")</f>
        <v/>
      </c>
    </row>
    <row r="24" spans="1:17" x14ac:dyDescent="0.2">
      <c r="A24" s="555"/>
      <c r="B24" s="557"/>
      <c r="C24" s="414" t="s">
        <v>280</v>
      </c>
      <c r="D24" s="397">
        <f>IF(D23="","",D23-D21)</f>
        <v>0.45808008685708046</v>
      </c>
      <c r="E24" s="402">
        <f t="shared" ref="E24:O24" si="0">IF(E23="","",E23-E21)</f>
        <v>-3.0564692313952979E-5</v>
      </c>
      <c r="F24" s="397">
        <f t="shared" si="0"/>
        <v>-2086582.2995902151</v>
      </c>
      <c r="G24" s="395">
        <f t="shared" si="0"/>
        <v>5.2458807826042175E-2</v>
      </c>
      <c r="H24" s="399">
        <f t="shared" si="0"/>
        <v>0.30393441021442413</v>
      </c>
      <c r="I24" s="397">
        <f t="shared" si="0"/>
        <v>-104545.00000000047</v>
      </c>
      <c r="J24" s="395">
        <f t="shared" si="0"/>
        <v>6101.2462000000232</v>
      </c>
      <c r="K24" s="400">
        <f t="shared" si="0"/>
        <v>0</v>
      </c>
      <c r="L24" s="397">
        <f t="shared" si="0"/>
        <v>-104545.0000000149</v>
      </c>
      <c r="M24" s="395">
        <f t="shared" si="0"/>
        <v>0</v>
      </c>
      <c r="N24" s="395">
        <f t="shared" si="0"/>
        <v>-104545.0000000149</v>
      </c>
      <c r="O24" s="410">
        <f t="shared" si="0"/>
        <v>-104544.99999999988</v>
      </c>
    </row>
    <row r="25" spans="1:17" x14ac:dyDescent="0.2">
      <c r="A25" s="555"/>
      <c r="B25" s="404"/>
      <c r="C25" s="404"/>
      <c r="D25" s="391"/>
      <c r="E25" s="398"/>
      <c r="F25" s="391"/>
      <c r="G25" s="393"/>
      <c r="H25" s="398"/>
      <c r="I25" s="391"/>
      <c r="J25" s="393"/>
      <c r="K25" s="398"/>
      <c r="L25" s="391"/>
      <c r="M25" s="393"/>
      <c r="N25" s="393"/>
      <c r="O25" s="404"/>
    </row>
    <row r="26" spans="1:17" x14ac:dyDescent="0.2">
      <c r="A26" s="555">
        <v>2</v>
      </c>
      <c r="B26" s="565" t="s">
        <v>325</v>
      </c>
      <c r="C26" s="430" t="s">
        <v>322</v>
      </c>
      <c r="D26" s="431">
        <f>+D23</f>
        <v>5657436</v>
      </c>
      <c r="E26" s="432">
        <f>+E23</f>
        <v>6.1499999999999999E-2</v>
      </c>
      <c r="F26" s="431">
        <f>+F23+(219060*0.075)</f>
        <v>89874973.5</v>
      </c>
      <c r="G26" s="431">
        <f>+G23+219060</f>
        <v>116588616</v>
      </c>
      <c r="H26" s="431">
        <f>+H23+(219060*0.075)</f>
        <v>8744146.5</v>
      </c>
      <c r="I26" s="431">
        <f t="shared" ref="I26:M26" si="1">+I23</f>
        <v>3187941</v>
      </c>
      <c r="J26" s="431">
        <f>+J23-(219060*0.05836)</f>
        <v>249529.17183398904</v>
      </c>
      <c r="K26" s="431">
        <v>10122448</v>
      </c>
      <c r="L26" s="431">
        <f>+L23+219060</f>
        <v>19224036.676355898</v>
      </c>
      <c r="M26" s="431">
        <f t="shared" si="1"/>
        <v>1902155</v>
      </c>
      <c r="N26" s="431">
        <f>+N23+219060</f>
        <v>17321881.676355898</v>
      </c>
      <c r="O26" s="431">
        <f>+O23+219060</f>
        <v>1105161.550918631</v>
      </c>
      <c r="Q26" t="str">
        <f t="shared" ref="Q26" si="2">IF(AND(ISBLANK(B26), ISBLANK(C26)), "X", "")</f>
        <v/>
      </c>
    </row>
    <row r="27" spans="1:17" x14ac:dyDescent="0.2">
      <c r="A27" s="555"/>
      <c r="B27" s="566"/>
      <c r="C27" s="414" t="s">
        <v>280</v>
      </c>
      <c r="D27" s="397">
        <f t="shared" ref="D27:O27" si="3">IF(D26="","",D26-D23)</f>
        <v>0</v>
      </c>
      <c r="E27" s="402">
        <f t="shared" si="3"/>
        <v>0</v>
      </c>
      <c r="F27" s="397">
        <f t="shared" si="3"/>
        <v>16429.5</v>
      </c>
      <c r="G27" s="395">
        <f t="shared" si="3"/>
        <v>219060</v>
      </c>
      <c r="H27" s="399">
        <f t="shared" si="3"/>
        <v>16429.5</v>
      </c>
      <c r="I27" s="397">
        <f t="shared" si="3"/>
        <v>0</v>
      </c>
      <c r="J27" s="395">
        <f t="shared" si="3"/>
        <v>-12784.341599999985</v>
      </c>
      <c r="K27" s="400">
        <f t="shared" si="3"/>
        <v>219060.13279798627</v>
      </c>
      <c r="L27" s="397">
        <f t="shared" si="3"/>
        <v>219060</v>
      </c>
      <c r="M27" s="395">
        <f t="shared" si="3"/>
        <v>0</v>
      </c>
      <c r="N27" s="395">
        <f t="shared" si="3"/>
        <v>219060</v>
      </c>
      <c r="O27" s="410">
        <f t="shared" si="3"/>
        <v>219060</v>
      </c>
    </row>
    <row r="28" spans="1:17" x14ac:dyDescent="0.2">
      <c r="A28" s="555"/>
      <c r="B28" s="415"/>
      <c r="C28" s="404"/>
      <c r="D28" s="391"/>
      <c r="E28" s="398"/>
      <c r="F28" s="391"/>
      <c r="G28" s="393"/>
      <c r="H28" s="398"/>
      <c r="I28" s="391"/>
      <c r="J28" s="393"/>
      <c r="K28" s="398"/>
      <c r="L28" s="391"/>
      <c r="M28" s="393"/>
      <c r="N28" s="393"/>
      <c r="O28" s="404"/>
    </row>
    <row r="29" spans="1:17" ht="25.5" x14ac:dyDescent="0.2">
      <c r="A29" s="555">
        <v>3</v>
      </c>
      <c r="B29" s="565" t="s">
        <v>319</v>
      </c>
      <c r="C29" s="430" t="s">
        <v>323</v>
      </c>
      <c r="D29" s="431">
        <f>+D26</f>
        <v>5657436</v>
      </c>
      <c r="E29" s="432">
        <f t="shared" ref="E29:K29" si="4">+E26</f>
        <v>6.1499999999999999E-2</v>
      </c>
      <c r="F29" s="431">
        <f t="shared" si="4"/>
        <v>89874973.5</v>
      </c>
      <c r="G29" s="431">
        <f t="shared" si="4"/>
        <v>116588616</v>
      </c>
      <c r="H29" s="431">
        <f t="shared" si="4"/>
        <v>8744146.5</v>
      </c>
      <c r="I29" s="431">
        <f t="shared" si="4"/>
        <v>3187941</v>
      </c>
      <c r="J29" s="431">
        <f>+J26+(116655*0.05836)</f>
        <v>256337.15763398903</v>
      </c>
      <c r="K29" s="431">
        <f t="shared" si="4"/>
        <v>10122448</v>
      </c>
      <c r="L29" s="431">
        <f>+L26</f>
        <v>19224036.676355898</v>
      </c>
      <c r="M29" s="431">
        <v>2018810</v>
      </c>
      <c r="N29" s="431">
        <f>+N26-116655</f>
        <v>17205226.676355898</v>
      </c>
      <c r="O29" s="431">
        <f>+O26-116655</f>
        <v>988506.55091863102</v>
      </c>
      <c r="Q29" t="str">
        <f t="shared" ref="Q29" si="5">IF(AND(ISBLANK(B29), ISBLANK(C29)), "X", "")</f>
        <v/>
      </c>
    </row>
    <row r="30" spans="1:17" x14ac:dyDescent="0.2">
      <c r="A30" s="555"/>
      <c r="B30" s="566"/>
      <c r="C30" s="414" t="s">
        <v>280</v>
      </c>
      <c r="D30" s="397">
        <f t="shared" ref="D30:O30" si="6">IF(D29="","",D29-D26)</f>
        <v>0</v>
      </c>
      <c r="E30" s="402">
        <f t="shared" si="6"/>
        <v>0</v>
      </c>
      <c r="F30" s="397">
        <f t="shared" si="6"/>
        <v>0</v>
      </c>
      <c r="G30" s="395">
        <f t="shared" si="6"/>
        <v>0</v>
      </c>
      <c r="H30" s="399">
        <f t="shared" si="6"/>
        <v>0</v>
      </c>
      <c r="I30" s="397">
        <f t="shared" si="6"/>
        <v>0</v>
      </c>
      <c r="J30" s="395">
        <f t="shared" si="6"/>
        <v>6807.9857999999949</v>
      </c>
      <c r="K30" s="400">
        <f t="shared" si="6"/>
        <v>0</v>
      </c>
      <c r="L30" s="397">
        <f t="shared" si="6"/>
        <v>0</v>
      </c>
      <c r="M30" s="395">
        <f t="shared" si="6"/>
        <v>116655</v>
      </c>
      <c r="N30" s="395">
        <f t="shared" si="6"/>
        <v>-116655</v>
      </c>
      <c r="O30" s="410">
        <f t="shared" si="6"/>
        <v>-116655</v>
      </c>
    </row>
    <row r="31" spans="1:17" x14ac:dyDescent="0.2">
      <c r="A31" s="555"/>
      <c r="B31" s="404"/>
      <c r="C31" s="404"/>
      <c r="D31" s="391"/>
      <c r="E31" s="398"/>
      <c r="F31" s="391"/>
      <c r="G31" s="393"/>
      <c r="H31" s="398"/>
      <c r="I31" s="391"/>
      <c r="J31" s="393"/>
      <c r="K31" s="398"/>
      <c r="L31" s="391"/>
      <c r="M31" s="393"/>
      <c r="N31" s="393"/>
      <c r="O31" s="404"/>
    </row>
    <row r="32" spans="1:17" x14ac:dyDescent="0.2">
      <c r="A32" s="555">
        <v>4</v>
      </c>
      <c r="B32" s="556" t="s">
        <v>315</v>
      </c>
      <c r="C32" s="430" t="s">
        <v>316</v>
      </c>
      <c r="D32" s="431">
        <f>+D29</f>
        <v>5657436</v>
      </c>
      <c r="E32" s="432">
        <f t="shared" ref="E32:N32" si="7">+E29</f>
        <v>6.1499999999999999E-2</v>
      </c>
      <c r="F32" s="431">
        <f t="shared" si="7"/>
        <v>89874973.5</v>
      </c>
      <c r="G32" s="431">
        <f t="shared" si="7"/>
        <v>116588616</v>
      </c>
      <c r="H32" s="431">
        <f t="shared" si="7"/>
        <v>8744146.5</v>
      </c>
      <c r="I32" s="431">
        <f t="shared" si="7"/>
        <v>3187941</v>
      </c>
      <c r="J32" s="431">
        <f t="shared" si="7"/>
        <v>256337.15763398903</v>
      </c>
      <c r="K32" s="431">
        <f t="shared" si="7"/>
        <v>10122448</v>
      </c>
      <c r="L32" s="431">
        <f t="shared" si="7"/>
        <v>19224036.676355898</v>
      </c>
      <c r="M32" s="431">
        <f t="shared" si="7"/>
        <v>2018810</v>
      </c>
      <c r="N32" s="431">
        <f t="shared" si="7"/>
        <v>17205226.676355898</v>
      </c>
      <c r="O32" s="431">
        <f>+O29-60715</f>
        <v>927791.55091863102</v>
      </c>
      <c r="Q32" t="str">
        <f t="shared" ref="Q32" si="8">IF(AND(ISBLANK(B32), ISBLANK(C32)), "X", "")</f>
        <v/>
      </c>
    </row>
    <row r="33" spans="1:17" x14ac:dyDescent="0.2">
      <c r="A33" s="555"/>
      <c r="B33" s="557"/>
      <c r="C33" s="414" t="s">
        <v>280</v>
      </c>
      <c r="D33" s="397">
        <f t="shared" ref="D33:O33" si="9">IF(D32="","",D32-D29)</f>
        <v>0</v>
      </c>
      <c r="E33" s="402">
        <f t="shared" si="9"/>
        <v>0</v>
      </c>
      <c r="F33" s="397">
        <f t="shared" si="9"/>
        <v>0</v>
      </c>
      <c r="G33" s="395">
        <f t="shared" si="9"/>
        <v>0</v>
      </c>
      <c r="H33" s="399">
        <f t="shared" si="9"/>
        <v>0</v>
      </c>
      <c r="I33" s="397">
        <f t="shared" si="9"/>
        <v>0</v>
      </c>
      <c r="J33" s="395">
        <f t="shared" si="9"/>
        <v>0</v>
      </c>
      <c r="K33" s="400">
        <f t="shared" si="9"/>
        <v>0</v>
      </c>
      <c r="L33" s="397">
        <f t="shared" si="9"/>
        <v>0</v>
      </c>
      <c r="M33" s="395">
        <f t="shared" si="9"/>
        <v>0</v>
      </c>
      <c r="N33" s="395">
        <f t="shared" si="9"/>
        <v>0</v>
      </c>
      <c r="O33" s="410">
        <f t="shared" si="9"/>
        <v>-60715</v>
      </c>
    </row>
    <row r="34" spans="1:17" x14ac:dyDescent="0.2">
      <c r="A34" s="555"/>
      <c r="B34" s="415"/>
      <c r="C34" s="404"/>
      <c r="D34" s="391"/>
      <c r="E34" s="398"/>
      <c r="F34" s="391"/>
      <c r="G34" s="393"/>
      <c r="H34" s="398"/>
      <c r="I34" s="391"/>
      <c r="J34" s="393"/>
      <c r="K34" s="398"/>
      <c r="L34" s="391"/>
      <c r="M34" s="393"/>
      <c r="N34" s="393"/>
      <c r="O34" s="404"/>
    </row>
    <row r="35" spans="1:17" x14ac:dyDescent="0.2">
      <c r="A35" s="555">
        <v>5</v>
      </c>
      <c r="B35" s="566" t="s">
        <v>313</v>
      </c>
      <c r="C35" s="430" t="s">
        <v>314</v>
      </c>
      <c r="D35" s="431">
        <f>+D32-200501</f>
        <v>5456935</v>
      </c>
      <c r="E35" s="432">
        <v>6.0400000000000002E-2</v>
      </c>
      <c r="F35" s="431">
        <f>+F32</f>
        <v>89874973.5</v>
      </c>
      <c r="G35" s="441">
        <f>+G32</f>
        <v>116588616</v>
      </c>
      <c r="H35" s="433">
        <f>+H32</f>
        <v>8744146.5</v>
      </c>
      <c r="I35" s="433">
        <f t="shared" ref="I35:M35" si="10">+I32</f>
        <v>3187941</v>
      </c>
      <c r="J35" s="433">
        <f>+J32-(206606*0.05836)+5827</f>
        <v>250106.63147398902</v>
      </c>
      <c r="K35" s="433">
        <f t="shared" si="10"/>
        <v>10122448</v>
      </c>
      <c r="L35" s="433">
        <f>+L32-200501-6105</f>
        <v>19017430.676355898</v>
      </c>
      <c r="M35" s="433">
        <f t="shared" si="10"/>
        <v>2018810</v>
      </c>
      <c r="N35" s="433">
        <f>+N32-200501-6105</f>
        <v>16998620.676355898</v>
      </c>
      <c r="O35" s="433">
        <f>+O32-206606</f>
        <v>721185.55091863102</v>
      </c>
      <c r="Q35" t="str">
        <f t="shared" ref="Q35" si="11">IF(AND(ISBLANK(B35), ISBLANK(C35)), "X", "")</f>
        <v/>
      </c>
    </row>
    <row r="36" spans="1:17" x14ac:dyDescent="0.2">
      <c r="A36" s="555"/>
      <c r="B36" s="566"/>
      <c r="C36" s="414" t="s">
        <v>280</v>
      </c>
      <c r="D36" s="397">
        <f t="shared" ref="D36:O36" si="12">IF(D35="","",D35-D32)</f>
        <v>-200501</v>
      </c>
      <c r="E36" s="402">
        <f t="shared" si="12"/>
        <v>-1.0999999999999968E-3</v>
      </c>
      <c r="F36" s="397">
        <f t="shared" si="12"/>
        <v>0</v>
      </c>
      <c r="G36" s="395">
        <f t="shared" si="12"/>
        <v>0</v>
      </c>
      <c r="H36" s="399">
        <f t="shared" si="12"/>
        <v>0</v>
      </c>
      <c r="I36" s="397">
        <f t="shared" si="12"/>
        <v>0</v>
      </c>
      <c r="J36" s="395">
        <f t="shared" si="12"/>
        <v>-6230.5261600000085</v>
      </c>
      <c r="K36" s="400">
        <f t="shared" si="12"/>
        <v>0</v>
      </c>
      <c r="L36" s="397">
        <f t="shared" si="12"/>
        <v>-206606</v>
      </c>
      <c r="M36" s="395">
        <f t="shared" si="12"/>
        <v>0</v>
      </c>
      <c r="N36" s="395">
        <f t="shared" si="12"/>
        <v>-206606</v>
      </c>
      <c r="O36" s="410">
        <f t="shared" si="12"/>
        <v>-206606</v>
      </c>
    </row>
    <row r="37" spans="1:17" x14ac:dyDescent="0.2">
      <c r="A37" s="555"/>
      <c r="B37" s="404"/>
      <c r="C37" s="404"/>
      <c r="D37" s="391"/>
      <c r="E37" s="398"/>
      <c r="F37" s="391"/>
      <c r="G37" s="393"/>
      <c r="H37" s="398"/>
      <c r="I37" s="391"/>
      <c r="J37" s="393"/>
      <c r="K37" s="398"/>
      <c r="L37" s="391"/>
      <c r="M37" s="393"/>
      <c r="N37" s="393"/>
      <c r="O37" s="404"/>
    </row>
    <row r="38" spans="1:17" s="392" customFormat="1" ht="25.5" x14ac:dyDescent="0.2">
      <c r="A38" s="555">
        <v>6</v>
      </c>
      <c r="B38" s="565" t="s">
        <v>320</v>
      </c>
      <c r="C38" s="430" t="s">
        <v>321</v>
      </c>
      <c r="D38" s="431">
        <f>+D35</f>
        <v>5456935</v>
      </c>
      <c r="E38" s="432">
        <f>+E35</f>
        <v>6.0400000000000002E-2</v>
      </c>
      <c r="F38" s="431">
        <f>+F35+(6541566*0.075)</f>
        <v>90365590.950000003</v>
      </c>
      <c r="G38" s="431">
        <f>+G35+6541566</f>
        <v>123130182</v>
      </c>
      <c r="H38" s="431">
        <f>+H35+(6541566*0.075)</f>
        <v>9234763.9499999993</v>
      </c>
      <c r="I38" s="431">
        <f t="shared" ref="I38:O38" si="13">+I35</f>
        <v>3187941</v>
      </c>
      <c r="J38" s="431">
        <f t="shared" si="13"/>
        <v>250106.63147398902</v>
      </c>
      <c r="K38" s="431">
        <f t="shared" si="13"/>
        <v>10122448</v>
      </c>
      <c r="L38" s="431">
        <f t="shared" si="13"/>
        <v>19017430.676355898</v>
      </c>
      <c r="M38" s="431">
        <f t="shared" si="13"/>
        <v>2018810</v>
      </c>
      <c r="N38" s="431">
        <f t="shared" si="13"/>
        <v>16998620.676355898</v>
      </c>
      <c r="O38" s="431">
        <f t="shared" si="13"/>
        <v>721185.55091863102</v>
      </c>
      <c r="Q38" s="392" t="str">
        <f t="shared" ref="Q38" si="14">IF(AND(ISBLANK(B38), ISBLANK(C38)), "X", "")</f>
        <v/>
      </c>
    </row>
    <row r="39" spans="1:17" s="392" customFormat="1" x14ac:dyDescent="0.2">
      <c r="A39" s="555"/>
      <c r="B39" s="566"/>
      <c r="C39" s="414" t="s">
        <v>280</v>
      </c>
      <c r="D39" s="397">
        <f t="shared" ref="D39:O39" si="15">IF(D38="","",D38-D35)</f>
        <v>0</v>
      </c>
      <c r="E39" s="402">
        <f t="shared" si="15"/>
        <v>0</v>
      </c>
      <c r="F39" s="397">
        <f t="shared" si="15"/>
        <v>490617.45000000298</v>
      </c>
      <c r="G39" s="395">
        <f t="shared" si="15"/>
        <v>6541566</v>
      </c>
      <c r="H39" s="399">
        <f t="shared" si="15"/>
        <v>490617.44999999925</v>
      </c>
      <c r="I39" s="397">
        <f t="shared" si="15"/>
        <v>0</v>
      </c>
      <c r="J39" s="395">
        <f t="shared" si="15"/>
        <v>0</v>
      </c>
      <c r="K39" s="400">
        <f t="shared" si="15"/>
        <v>0</v>
      </c>
      <c r="L39" s="397">
        <f t="shared" si="15"/>
        <v>0</v>
      </c>
      <c r="M39" s="395">
        <f t="shared" si="15"/>
        <v>0</v>
      </c>
      <c r="N39" s="395">
        <f t="shared" si="15"/>
        <v>0</v>
      </c>
      <c r="O39" s="410">
        <f t="shared" si="15"/>
        <v>0</v>
      </c>
    </row>
    <row r="40" spans="1:17" s="392" customFormat="1" x14ac:dyDescent="0.2">
      <c r="A40" s="567"/>
      <c r="B40" s="415"/>
      <c r="C40" s="404"/>
      <c r="D40" s="391"/>
      <c r="E40" s="398"/>
      <c r="F40" s="391"/>
      <c r="G40" s="393"/>
      <c r="H40" s="398"/>
      <c r="I40" s="391"/>
      <c r="J40" s="393"/>
      <c r="K40" s="398"/>
      <c r="L40" s="391"/>
      <c r="M40" s="393"/>
      <c r="N40" s="393"/>
      <c r="O40" s="404"/>
    </row>
    <row r="41" spans="1:17" x14ac:dyDescent="0.2">
      <c r="A41" s="555">
        <v>7</v>
      </c>
      <c r="B41" s="556" t="s">
        <v>324</v>
      </c>
      <c r="C41" s="430" t="s">
        <v>324</v>
      </c>
      <c r="D41" s="431">
        <v>5385342</v>
      </c>
      <c r="E41" s="432">
        <v>5.9799999999999999E-2</v>
      </c>
      <c r="F41" s="431">
        <v>90010310</v>
      </c>
      <c r="G41" s="433">
        <v>123601244</v>
      </c>
      <c r="H41" s="434">
        <v>9270093</v>
      </c>
      <c r="I41" s="431">
        <v>3179163</v>
      </c>
      <c r="J41" s="435">
        <v>253626</v>
      </c>
      <c r="K41" s="434">
        <v>10122448</v>
      </c>
      <c r="L41" s="431">
        <v>18940580</v>
      </c>
      <c r="M41" s="433">
        <v>2018810</v>
      </c>
      <c r="N41" s="435">
        <v>16921770</v>
      </c>
      <c r="O41" s="436">
        <v>621894</v>
      </c>
      <c r="Q41" t="str">
        <f t="shared" ref="Q41" si="16">IF(AND(ISBLANK(B41), ISBLANK(C41)), "X", "")</f>
        <v/>
      </c>
    </row>
    <row r="42" spans="1:17" x14ac:dyDescent="0.2">
      <c r="A42" s="555"/>
      <c r="B42" s="557"/>
      <c r="C42" s="414" t="s">
        <v>280</v>
      </c>
      <c r="D42" s="397">
        <f t="shared" ref="D42:O42" si="17">IF(D41="","",D41-D38)</f>
        <v>-71593</v>
      </c>
      <c r="E42" s="402">
        <f t="shared" si="17"/>
        <v>-6.0000000000000331E-4</v>
      </c>
      <c r="F42" s="397">
        <f t="shared" si="17"/>
        <v>-355280.95000000298</v>
      </c>
      <c r="G42" s="395">
        <f t="shared" si="17"/>
        <v>471062</v>
      </c>
      <c r="H42" s="399">
        <f t="shared" si="17"/>
        <v>35329.050000000745</v>
      </c>
      <c r="I42" s="397">
        <f t="shared" si="17"/>
        <v>-8778</v>
      </c>
      <c r="J42" s="395">
        <f t="shared" si="17"/>
        <v>3519.3685260109778</v>
      </c>
      <c r="K42" s="400">
        <f t="shared" si="17"/>
        <v>0</v>
      </c>
      <c r="L42" s="397">
        <f t="shared" si="17"/>
        <v>-76850.67635589838</v>
      </c>
      <c r="M42" s="395">
        <f t="shared" si="17"/>
        <v>0</v>
      </c>
      <c r="N42" s="395">
        <f t="shared" si="17"/>
        <v>-76850.67635589838</v>
      </c>
      <c r="O42" s="410">
        <f t="shared" si="17"/>
        <v>-99291.550918631023</v>
      </c>
    </row>
    <row r="43" spans="1:17" x14ac:dyDescent="0.2">
      <c r="A43" s="555"/>
      <c r="B43" s="415"/>
      <c r="C43" s="404"/>
      <c r="D43" s="391"/>
      <c r="E43" s="398"/>
      <c r="F43" s="391"/>
      <c r="G43" s="393"/>
      <c r="H43" s="398"/>
      <c r="I43" s="391"/>
      <c r="J43" s="393"/>
      <c r="K43" s="398"/>
      <c r="L43" s="391"/>
      <c r="M43" s="393"/>
      <c r="N43" s="393"/>
      <c r="O43" s="404"/>
    </row>
    <row r="44" spans="1:17" x14ac:dyDescent="0.2">
      <c r="A44" s="555">
        <v>8</v>
      </c>
      <c r="B44" s="556" t="s">
        <v>326</v>
      </c>
      <c r="C44" s="430" t="s">
        <v>327</v>
      </c>
      <c r="D44" s="431">
        <v>5269406</v>
      </c>
      <c r="E44" s="432">
        <v>5.9799999999999999E-2</v>
      </c>
      <c r="F44" s="431">
        <v>88072560</v>
      </c>
      <c r="G44" s="433">
        <v>123051244</v>
      </c>
      <c r="H44" s="434">
        <v>9228843</v>
      </c>
      <c r="I44" s="431">
        <v>3140459</v>
      </c>
      <c r="J44" s="435">
        <v>254597</v>
      </c>
      <c r="K44" s="434">
        <v>9572448</v>
      </c>
      <c r="L44" s="431">
        <v>18236911</v>
      </c>
      <c r="M44" s="433">
        <v>1930835</v>
      </c>
      <c r="N44" s="435">
        <v>16306076</v>
      </c>
      <c r="O44" s="436">
        <v>6200</v>
      </c>
      <c r="Q44" t="str">
        <f t="shared" ref="Q44" si="18">IF(AND(ISBLANK(B44), ISBLANK(C44)), "X", "")</f>
        <v/>
      </c>
    </row>
    <row r="45" spans="1:17" x14ac:dyDescent="0.2">
      <c r="A45" s="555"/>
      <c r="B45" s="557"/>
      <c r="C45" s="414" t="s">
        <v>280</v>
      </c>
      <c r="D45" s="397">
        <f t="shared" ref="D45:O45" si="19">IF(D44="","",D44-D41)</f>
        <v>-115936</v>
      </c>
      <c r="E45" s="402">
        <f t="shared" si="19"/>
        <v>0</v>
      </c>
      <c r="F45" s="397">
        <f t="shared" si="19"/>
        <v>-1937750</v>
      </c>
      <c r="G45" s="395">
        <f t="shared" si="19"/>
        <v>-550000</v>
      </c>
      <c r="H45" s="399">
        <f t="shared" si="19"/>
        <v>-41250</v>
      </c>
      <c r="I45" s="397">
        <f t="shared" si="19"/>
        <v>-38704</v>
      </c>
      <c r="J45" s="395">
        <f t="shared" si="19"/>
        <v>971</v>
      </c>
      <c r="K45" s="400">
        <f t="shared" si="19"/>
        <v>-550000</v>
      </c>
      <c r="L45" s="397">
        <f t="shared" si="19"/>
        <v>-703669</v>
      </c>
      <c r="M45" s="395">
        <f t="shared" si="19"/>
        <v>-87975</v>
      </c>
      <c r="N45" s="395">
        <f t="shared" si="19"/>
        <v>-615694</v>
      </c>
      <c r="O45" s="410">
        <f t="shared" si="19"/>
        <v>-615694</v>
      </c>
    </row>
    <row r="46" spans="1:17" x14ac:dyDescent="0.2">
      <c r="A46" s="555"/>
      <c r="B46" s="404"/>
      <c r="C46" s="404"/>
      <c r="D46" s="391"/>
      <c r="E46" s="398"/>
      <c r="F46" s="391"/>
      <c r="G46" s="393"/>
      <c r="H46" s="398"/>
      <c r="I46" s="391"/>
      <c r="J46" s="393"/>
      <c r="K46" s="398"/>
      <c r="L46" s="391"/>
      <c r="M46" s="393"/>
      <c r="N46" s="393"/>
      <c r="O46" s="404"/>
    </row>
    <row r="47" spans="1:17" x14ac:dyDescent="0.2">
      <c r="A47" s="555">
        <v>9</v>
      </c>
      <c r="B47" s="556"/>
      <c r="C47" s="430"/>
      <c r="D47" s="431"/>
      <c r="E47" s="432"/>
      <c r="F47" s="431"/>
      <c r="G47" s="433"/>
      <c r="H47" s="434"/>
      <c r="I47" s="431"/>
      <c r="J47" s="435"/>
      <c r="K47" s="434"/>
      <c r="L47" s="431"/>
      <c r="M47" s="433"/>
      <c r="N47" s="435"/>
      <c r="O47" s="436"/>
      <c r="Q47" t="str">
        <f t="shared" ref="Q47" si="20">IF(AND(ISBLANK(B47), ISBLANK(C47)), "X", "")</f>
        <v>X</v>
      </c>
    </row>
    <row r="48" spans="1:17" x14ac:dyDescent="0.2">
      <c r="A48" s="555"/>
      <c r="B48" s="557"/>
      <c r="C48" s="414" t="s">
        <v>280</v>
      </c>
      <c r="D48" s="397" t="str">
        <f t="shared" ref="D48:O48" si="21">IF(D47="","",D47-D44)</f>
        <v/>
      </c>
      <c r="E48" s="402" t="str">
        <f t="shared" si="21"/>
        <v/>
      </c>
      <c r="F48" s="397" t="str">
        <f t="shared" si="21"/>
        <v/>
      </c>
      <c r="G48" s="395" t="str">
        <f t="shared" si="21"/>
        <v/>
      </c>
      <c r="H48" s="399" t="str">
        <f t="shared" si="21"/>
        <v/>
      </c>
      <c r="I48" s="397" t="str">
        <f t="shared" si="21"/>
        <v/>
      </c>
      <c r="J48" s="395" t="str">
        <f t="shared" si="21"/>
        <v/>
      </c>
      <c r="K48" s="400" t="str">
        <f t="shared" si="21"/>
        <v/>
      </c>
      <c r="L48" s="397" t="str">
        <f t="shared" si="21"/>
        <v/>
      </c>
      <c r="M48" s="395" t="str">
        <f t="shared" si="21"/>
        <v/>
      </c>
      <c r="N48" s="395" t="str">
        <f t="shared" si="21"/>
        <v/>
      </c>
      <c r="O48" s="410" t="str">
        <f t="shared" si="21"/>
        <v/>
      </c>
    </row>
    <row r="49" spans="1:17" x14ac:dyDescent="0.2">
      <c r="A49" s="555"/>
      <c r="B49" s="404"/>
      <c r="C49" s="404"/>
      <c r="D49" s="391"/>
      <c r="E49" s="398"/>
      <c r="F49" s="391"/>
      <c r="G49" s="393"/>
      <c r="H49" s="398"/>
      <c r="I49" s="391"/>
      <c r="J49" s="393"/>
      <c r="K49" s="398"/>
      <c r="L49" s="391"/>
      <c r="M49" s="393"/>
      <c r="N49" s="393"/>
      <c r="O49" s="404"/>
    </row>
    <row r="50" spans="1:17" x14ac:dyDescent="0.2">
      <c r="A50" s="555">
        <v>10</v>
      </c>
      <c r="B50" s="556"/>
      <c r="C50" s="430"/>
      <c r="D50" s="431"/>
      <c r="E50" s="432"/>
      <c r="F50" s="431"/>
      <c r="G50" s="433"/>
      <c r="H50" s="434"/>
      <c r="I50" s="431"/>
      <c r="J50" s="435"/>
      <c r="K50" s="434"/>
      <c r="L50" s="431"/>
      <c r="M50" s="433"/>
      <c r="N50" s="435"/>
      <c r="O50" s="436"/>
      <c r="Q50" t="str">
        <f t="shared" ref="Q50" si="22">IF(AND(ISBLANK(B50), ISBLANK(C50)), "X", "")</f>
        <v>X</v>
      </c>
    </row>
    <row r="51" spans="1:17" x14ac:dyDescent="0.2">
      <c r="A51" s="555"/>
      <c r="B51" s="557"/>
      <c r="C51" s="414" t="s">
        <v>280</v>
      </c>
      <c r="D51" s="397" t="str">
        <f t="shared" ref="D51:O51" si="23">IF(D50="","",D50-D47)</f>
        <v/>
      </c>
      <c r="E51" s="402" t="str">
        <f t="shared" si="23"/>
        <v/>
      </c>
      <c r="F51" s="397" t="str">
        <f t="shared" si="23"/>
        <v/>
      </c>
      <c r="G51" s="395" t="str">
        <f t="shared" si="23"/>
        <v/>
      </c>
      <c r="H51" s="399" t="str">
        <f t="shared" si="23"/>
        <v/>
      </c>
      <c r="I51" s="397" t="str">
        <f t="shared" si="23"/>
        <v/>
      </c>
      <c r="J51" s="395" t="str">
        <f t="shared" si="23"/>
        <v/>
      </c>
      <c r="K51" s="400" t="str">
        <f t="shared" si="23"/>
        <v/>
      </c>
      <c r="L51" s="397" t="str">
        <f t="shared" si="23"/>
        <v/>
      </c>
      <c r="M51" s="395" t="str">
        <f t="shared" si="23"/>
        <v/>
      </c>
      <c r="N51" s="395" t="str">
        <f t="shared" si="23"/>
        <v/>
      </c>
      <c r="O51" s="410" t="str">
        <f t="shared" si="23"/>
        <v/>
      </c>
    </row>
    <row r="52" spans="1:17" x14ac:dyDescent="0.2">
      <c r="A52" s="555"/>
      <c r="B52" s="415"/>
      <c r="C52" s="404"/>
      <c r="D52" s="391"/>
      <c r="E52" s="398"/>
      <c r="F52" s="391"/>
      <c r="G52" s="393"/>
      <c r="H52" s="398"/>
      <c r="I52" s="391"/>
      <c r="J52" s="393"/>
      <c r="K52" s="398"/>
      <c r="L52" s="391"/>
      <c r="M52" s="393"/>
      <c r="N52" s="393"/>
      <c r="O52" s="404"/>
    </row>
    <row r="53" spans="1:17" x14ac:dyDescent="0.2">
      <c r="A53" s="555">
        <v>11</v>
      </c>
      <c r="B53" s="556"/>
      <c r="C53" s="430"/>
      <c r="D53" s="431"/>
      <c r="E53" s="432"/>
      <c r="F53" s="431"/>
      <c r="G53" s="433"/>
      <c r="H53" s="434"/>
      <c r="I53" s="431"/>
      <c r="J53" s="435"/>
      <c r="K53" s="434"/>
      <c r="L53" s="431"/>
      <c r="M53" s="433"/>
      <c r="N53" s="435"/>
      <c r="O53" s="436"/>
      <c r="Q53" t="str">
        <f t="shared" ref="Q53" si="24">IF(AND(ISBLANK(B53), ISBLANK(C53)), "X", "")</f>
        <v>X</v>
      </c>
    </row>
    <row r="54" spans="1:17" x14ac:dyDescent="0.2">
      <c r="A54" s="555"/>
      <c r="B54" s="557"/>
      <c r="C54" s="414" t="s">
        <v>280</v>
      </c>
      <c r="D54" s="397" t="str">
        <f t="shared" ref="D54:O54" si="25">IF(D53="","",D53-D50)</f>
        <v/>
      </c>
      <c r="E54" s="402" t="str">
        <f t="shared" si="25"/>
        <v/>
      </c>
      <c r="F54" s="397" t="str">
        <f t="shared" si="25"/>
        <v/>
      </c>
      <c r="G54" s="395" t="str">
        <f t="shared" si="25"/>
        <v/>
      </c>
      <c r="H54" s="399" t="str">
        <f t="shared" si="25"/>
        <v/>
      </c>
      <c r="I54" s="397" t="str">
        <f t="shared" si="25"/>
        <v/>
      </c>
      <c r="J54" s="395" t="str">
        <f t="shared" si="25"/>
        <v/>
      </c>
      <c r="K54" s="400" t="str">
        <f t="shared" si="25"/>
        <v/>
      </c>
      <c r="L54" s="397" t="str">
        <f t="shared" si="25"/>
        <v/>
      </c>
      <c r="M54" s="395" t="str">
        <f t="shared" si="25"/>
        <v/>
      </c>
      <c r="N54" s="395" t="str">
        <f t="shared" si="25"/>
        <v/>
      </c>
      <c r="O54" s="410" t="str">
        <f t="shared" si="25"/>
        <v/>
      </c>
    </row>
    <row r="55" spans="1:17" x14ac:dyDescent="0.2">
      <c r="A55" s="555"/>
      <c r="B55" s="404"/>
      <c r="C55" s="404"/>
      <c r="D55" s="391"/>
      <c r="E55" s="398"/>
      <c r="F55" s="391"/>
      <c r="G55" s="393"/>
      <c r="H55" s="398"/>
      <c r="I55" s="391"/>
      <c r="J55" s="393"/>
      <c r="K55" s="398"/>
      <c r="L55" s="391"/>
      <c r="M55" s="393"/>
      <c r="N55" s="393"/>
      <c r="O55" s="404"/>
    </row>
    <row r="56" spans="1:17" x14ac:dyDescent="0.2">
      <c r="A56" s="555">
        <v>12</v>
      </c>
      <c r="B56" s="556"/>
      <c r="C56" s="430"/>
      <c r="D56" s="431"/>
      <c r="E56" s="432"/>
      <c r="F56" s="431"/>
      <c r="G56" s="433"/>
      <c r="H56" s="434"/>
      <c r="I56" s="431"/>
      <c r="J56" s="435"/>
      <c r="K56" s="434"/>
      <c r="L56" s="431"/>
      <c r="M56" s="433"/>
      <c r="N56" s="435"/>
      <c r="O56" s="436"/>
      <c r="Q56" t="str">
        <f t="shared" ref="Q56" si="26">IF(AND(ISBLANK(B56), ISBLANK(C56)), "X", "")</f>
        <v>X</v>
      </c>
    </row>
    <row r="57" spans="1:17" x14ac:dyDescent="0.2">
      <c r="A57" s="555"/>
      <c r="B57" s="557"/>
      <c r="C57" s="414" t="s">
        <v>280</v>
      </c>
      <c r="D57" s="397" t="str">
        <f t="shared" ref="D57:O57" si="27">IF(D56="","",D56-D53)</f>
        <v/>
      </c>
      <c r="E57" s="402" t="str">
        <f t="shared" si="27"/>
        <v/>
      </c>
      <c r="F57" s="397" t="str">
        <f t="shared" si="27"/>
        <v/>
      </c>
      <c r="G57" s="395" t="str">
        <f t="shared" si="27"/>
        <v/>
      </c>
      <c r="H57" s="399" t="str">
        <f t="shared" si="27"/>
        <v/>
      </c>
      <c r="I57" s="397" t="str">
        <f t="shared" si="27"/>
        <v/>
      </c>
      <c r="J57" s="395" t="str">
        <f t="shared" si="27"/>
        <v/>
      </c>
      <c r="K57" s="400" t="str">
        <f t="shared" si="27"/>
        <v/>
      </c>
      <c r="L57" s="397" t="str">
        <f t="shared" si="27"/>
        <v/>
      </c>
      <c r="M57" s="395" t="str">
        <f t="shared" si="27"/>
        <v/>
      </c>
      <c r="N57" s="395" t="str">
        <f t="shared" si="27"/>
        <v/>
      </c>
      <c r="O57" s="410" t="str">
        <f t="shared" si="27"/>
        <v/>
      </c>
    </row>
    <row r="58" spans="1:17" x14ac:dyDescent="0.2">
      <c r="A58" s="555"/>
      <c r="B58" s="404"/>
      <c r="C58" s="404"/>
      <c r="D58" s="391"/>
      <c r="E58" s="398"/>
      <c r="F58" s="391"/>
      <c r="G58" s="393"/>
      <c r="H58" s="398"/>
      <c r="I58" s="391"/>
      <c r="J58" s="393"/>
      <c r="K58" s="398"/>
      <c r="L58" s="391"/>
      <c r="M58" s="393"/>
      <c r="N58" s="393"/>
      <c r="O58" s="404"/>
    </row>
    <row r="59" spans="1:17" x14ac:dyDescent="0.2">
      <c r="A59" s="555">
        <v>13</v>
      </c>
      <c r="B59" s="556"/>
      <c r="C59" s="430"/>
      <c r="D59" s="431"/>
      <c r="E59" s="432"/>
      <c r="F59" s="431"/>
      <c r="G59" s="433"/>
      <c r="H59" s="434"/>
      <c r="I59" s="431"/>
      <c r="J59" s="435"/>
      <c r="K59" s="434"/>
      <c r="L59" s="431"/>
      <c r="M59" s="433"/>
      <c r="N59" s="435"/>
      <c r="O59" s="436"/>
      <c r="Q59" t="str">
        <f t="shared" ref="Q59" si="28">IF(AND(ISBLANK(B59), ISBLANK(C59)), "X", "")</f>
        <v>X</v>
      </c>
    </row>
    <row r="60" spans="1:17" x14ac:dyDescent="0.2">
      <c r="A60" s="555"/>
      <c r="B60" s="557"/>
      <c r="C60" s="414" t="s">
        <v>280</v>
      </c>
      <c r="D60" s="397" t="str">
        <f t="shared" ref="D60:O60" si="29">IF(D59="","",D59-D56)</f>
        <v/>
      </c>
      <c r="E60" s="402" t="str">
        <f t="shared" si="29"/>
        <v/>
      </c>
      <c r="F60" s="397" t="str">
        <f t="shared" si="29"/>
        <v/>
      </c>
      <c r="G60" s="395" t="str">
        <f t="shared" si="29"/>
        <v/>
      </c>
      <c r="H60" s="399" t="str">
        <f t="shared" si="29"/>
        <v/>
      </c>
      <c r="I60" s="397" t="str">
        <f t="shared" si="29"/>
        <v/>
      </c>
      <c r="J60" s="395" t="str">
        <f t="shared" si="29"/>
        <v/>
      </c>
      <c r="K60" s="400" t="str">
        <f t="shared" si="29"/>
        <v/>
      </c>
      <c r="L60" s="397" t="str">
        <f t="shared" si="29"/>
        <v/>
      </c>
      <c r="M60" s="395" t="str">
        <f t="shared" si="29"/>
        <v/>
      </c>
      <c r="N60" s="395" t="str">
        <f t="shared" si="29"/>
        <v/>
      </c>
      <c r="O60" s="410" t="str">
        <f t="shared" si="29"/>
        <v/>
      </c>
    </row>
    <row r="61" spans="1:17" x14ac:dyDescent="0.2">
      <c r="A61" s="555"/>
      <c r="B61" s="404"/>
      <c r="C61" s="404"/>
      <c r="D61" s="391"/>
      <c r="E61" s="398"/>
      <c r="F61" s="391"/>
      <c r="G61" s="393"/>
      <c r="H61" s="398"/>
      <c r="I61" s="391"/>
      <c r="J61" s="393"/>
      <c r="K61" s="398"/>
      <c r="L61" s="391"/>
      <c r="M61" s="393"/>
      <c r="N61" s="393"/>
      <c r="O61" s="404"/>
    </row>
    <row r="62" spans="1:17" x14ac:dyDescent="0.2">
      <c r="A62" s="555">
        <v>14</v>
      </c>
      <c r="B62" s="556"/>
      <c r="C62" s="430"/>
      <c r="D62" s="431"/>
      <c r="E62" s="432"/>
      <c r="F62" s="431"/>
      <c r="G62" s="433"/>
      <c r="H62" s="434"/>
      <c r="I62" s="431"/>
      <c r="J62" s="435"/>
      <c r="K62" s="434"/>
      <c r="L62" s="431"/>
      <c r="M62" s="433"/>
      <c r="N62" s="435"/>
      <c r="O62" s="436"/>
      <c r="Q62" t="str">
        <f t="shared" ref="Q62" si="30">IF(AND(ISBLANK(B62), ISBLANK(C62)), "X", "")</f>
        <v>X</v>
      </c>
    </row>
    <row r="63" spans="1:17" x14ac:dyDescent="0.2">
      <c r="A63" s="555"/>
      <c r="B63" s="557"/>
      <c r="C63" s="414" t="s">
        <v>280</v>
      </c>
      <c r="D63" s="397" t="str">
        <f t="shared" ref="D63:O63" si="31">IF(D62="","",D62-D59)</f>
        <v/>
      </c>
      <c r="E63" s="402" t="str">
        <f t="shared" si="31"/>
        <v/>
      </c>
      <c r="F63" s="397" t="str">
        <f t="shared" si="31"/>
        <v/>
      </c>
      <c r="G63" s="395" t="str">
        <f t="shared" si="31"/>
        <v/>
      </c>
      <c r="H63" s="399" t="str">
        <f t="shared" si="31"/>
        <v/>
      </c>
      <c r="I63" s="397" t="str">
        <f t="shared" si="31"/>
        <v/>
      </c>
      <c r="J63" s="395" t="str">
        <f t="shared" si="31"/>
        <v/>
      </c>
      <c r="K63" s="400" t="str">
        <f t="shared" si="31"/>
        <v/>
      </c>
      <c r="L63" s="397" t="str">
        <f t="shared" si="31"/>
        <v/>
      </c>
      <c r="M63" s="395" t="str">
        <f t="shared" si="31"/>
        <v/>
      </c>
      <c r="N63" s="395" t="str">
        <f t="shared" si="31"/>
        <v/>
      </c>
      <c r="O63" s="410" t="str">
        <f t="shared" si="31"/>
        <v/>
      </c>
    </row>
    <row r="64" spans="1:17" x14ac:dyDescent="0.2">
      <c r="A64" s="555"/>
      <c r="B64" s="404"/>
      <c r="C64" s="404"/>
      <c r="D64" s="391"/>
      <c r="E64" s="398"/>
      <c r="F64" s="391"/>
      <c r="G64" s="393"/>
      <c r="H64" s="398"/>
      <c r="I64" s="391"/>
      <c r="J64" s="393"/>
      <c r="K64" s="398"/>
      <c r="L64" s="391"/>
      <c r="M64" s="393"/>
      <c r="N64" s="393"/>
      <c r="O64" s="404"/>
    </row>
    <row r="65" spans="1:18" x14ac:dyDescent="0.2">
      <c r="A65" s="555">
        <v>15</v>
      </c>
      <c r="B65" s="556"/>
      <c r="C65" s="430"/>
      <c r="D65" s="431"/>
      <c r="E65" s="432"/>
      <c r="F65" s="431"/>
      <c r="G65" s="433"/>
      <c r="H65" s="434"/>
      <c r="I65" s="431"/>
      <c r="J65" s="435"/>
      <c r="K65" s="434"/>
      <c r="L65" s="431"/>
      <c r="M65" s="433"/>
      <c r="N65" s="435"/>
      <c r="O65" s="436"/>
      <c r="Q65" t="str">
        <f t="shared" ref="Q65" si="32">IF(AND(ISBLANK(B65), ISBLANK(C65)), "X", "")</f>
        <v>X</v>
      </c>
    </row>
    <row r="66" spans="1:18" x14ac:dyDescent="0.2">
      <c r="A66" s="555"/>
      <c r="B66" s="557"/>
      <c r="C66" s="414" t="s">
        <v>280</v>
      </c>
      <c r="D66" s="397" t="str">
        <f t="shared" ref="D66:O66" si="33">IF(D65="","",D65-D62)</f>
        <v/>
      </c>
      <c r="E66" s="402" t="str">
        <f t="shared" si="33"/>
        <v/>
      </c>
      <c r="F66" s="397" t="str">
        <f t="shared" si="33"/>
        <v/>
      </c>
      <c r="G66" s="395" t="str">
        <f t="shared" si="33"/>
        <v/>
      </c>
      <c r="H66" s="399" t="str">
        <f t="shared" si="33"/>
        <v/>
      </c>
      <c r="I66" s="397" t="str">
        <f t="shared" si="33"/>
        <v/>
      </c>
      <c r="J66" s="395" t="str">
        <f t="shared" si="33"/>
        <v/>
      </c>
      <c r="K66" s="400" t="str">
        <f t="shared" si="33"/>
        <v/>
      </c>
      <c r="L66" s="397" t="str">
        <f t="shared" si="33"/>
        <v/>
      </c>
      <c r="M66" s="395" t="str">
        <f t="shared" si="33"/>
        <v/>
      </c>
      <c r="N66" s="395" t="str">
        <f t="shared" si="33"/>
        <v/>
      </c>
      <c r="O66" s="410" t="str">
        <f t="shared" si="33"/>
        <v/>
      </c>
    </row>
    <row r="67" spans="1:18" x14ac:dyDescent="0.2">
      <c r="A67" s="555"/>
      <c r="B67" s="404"/>
      <c r="C67" s="404"/>
      <c r="D67" s="391"/>
      <c r="E67" s="398"/>
      <c r="F67" s="391"/>
      <c r="G67" s="393"/>
      <c r="H67" s="398"/>
      <c r="I67" s="391"/>
      <c r="J67" s="393"/>
      <c r="K67" s="398"/>
      <c r="L67" s="391"/>
      <c r="M67" s="393"/>
      <c r="N67" s="393"/>
      <c r="O67" s="404"/>
    </row>
    <row r="68" spans="1:18" x14ac:dyDescent="0.2">
      <c r="A68" s="555">
        <v>16</v>
      </c>
      <c r="B68" s="556"/>
      <c r="C68" s="430"/>
      <c r="D68" s="431"/>
      <c r="E68" s="432"/>
      <c r="F68" s="431"/>
      <c r="G68" s="433"/>
      <c r="H68" s="434"/>
      <c r="I68" s="431"/>
      <c r="J68" s="435"/>
      <c r="K68" s="434"/>
      <c r="L68" s="431"/>
      <c r="M68" s="433"/>
      <c r="N68" s="435"/>
      <c r="O68" s="436"/>
      <c r="Q68" t="str">
        <f t="shared" ref="Q68" si="34">IF(AND(ISBLANK(B68), ISBLANK(C68)), "X", "")</f>
        <v>X</v>
      </c>
    </row>
    <row r="69" spans="1:18" x14ac:dyDescent="0.2">
      <c r="A69" s="555"/>
      <c r="B69" s="557"/>
      <c r="C69" s="414" t="s">
        <v>280</v>
      </c>
      <c r="D69" s="397" t="str">
        <f t="shared" ref="D69:O69" si="35">IF(D68="","",D68-D65)</f>
        <v/>
      </c>
      <c r="E69" s="402" t="str">
        <f t="shared" si="35"/>
        <v/>
      </c>
      <c r="F69" s="397" t="str">
        <f t="shared" si="35"/>
        <v/>
      </c>
      <c r="G69" s="395" t="str">
        <f t="shared" si="35"/>
        <v/>
      </c>
      <c r="H69" s="399" t="str">
        <f t="shared" si="35"/>
        <v/>
      </c>
      <c r="I69" s="397" t="str">
        <f t="shared" si="35"/>
        <v/>
      </c>
      <c r="J69" s="395" t="str">
        <f t="shared" si="35"/>
        <v/>
      </c>
      <c r="K69" s="400" t="str">
        <f t="shared" si="35"/>
        <v/>
      </c>
      <c r="L69" s="397" t="str">
        <f t="shared" si="35"/>
        <v/>
      </c>
      <c r="M69" s="395" t="str">
        <f t="shared" si="35"/>
        <v/>
      </c>
      <c r="N69" s="395" t="str">
        <f t="shared" si="35"/>
        <v/>
      </c>
      <c r="O69" s="410" t="str">
        <f t="shared" si="35"/>
        <v/>
      </c>
    </row>
    <row r="70" spans="1:18" ht="12" customHeight="1" x14ac:dyDescent="0.2">
      <c r="A70" s="555"/>
      <c r="B70" s="404"/>
      <c r="C70" s="404"/>
      <c r="D70" s="391"/>
      <c r="E70" s="398"/>
      <c r="F70" s="391"/>
      <c r="G70" s="393"/>
      <c r="H70" s="398"/>
      <c r="I70" s="391"/>
      <c r="J70" s="393"/>
      <c r="K70" s="398"/>
      <c r="L70" s="391"/>
      <c r="M70" s="393"/>
      <c r="N70" s="393"/>
      <c r="O70" s="404"/>
    </row>
    <row r="71" spans="1:18" x14ac:dyDescent="0.2">
      <c r="A71" s="555">
        <v>17</v>
      </c>
      <c r="B71" s="556"/>
      <c r="C71" s="430"/>
      <c r="D71" s="431"/>
      <c r="E71" s="432"/>
      <c r="F71" s="431"/>
      <c r="G71" s="433"/>
      <c r="H71" s="434"/>
      <c r="I71" s="431"/>
      <c r="J71" s="435"/>
      <c r="K71" s="434"/>
      <c r="L71" s="431"/>
      <c r="M71" s="433"/>
      <c r="N71" s="435"/>
      <c r="O71" s="436"/>
      <c r="Q71" t="str">
        <f t="shared" ref="Q71" si="36">IF(AND(ISBLANK(B71), ISBLANK(C71)), "X", "")</f>
        <v>X</v>
      </c>
    </row>
    <row r="72" spans="1:18" x14ac:dyDescent="0.2">
      <c r="A72" s="555"/>
      <c r="B72" s="557"/>
      <c r="C72" s="414" t="s">
        <v>280</v>
      </c>
      <c r="D72" s="397" t="str">
        <f t="shared" ref="D72:O72" si="37">IF(D71="","",D71-D68)</f>
        <v/>
      </c>
      <c r="E72" s="402" t="str">
        <f t="shared" si="37"/>
        <v/>
      </c>
      <c r="F72" s="397" t="str">
        <f t="shared" si="37"/>
        <v/>
      </c>
      <c r="G72" s="395" t="str">
        <f t="shared" si="37"/>
        <v/>
      </c>
      <c r="H72" s="399" t="str">
        <f t="shared" si="37"/>
        <v/>
      </c>
      <c r="I72" s="397" t="str">
        <f t="shared" si="37"/>
        <v/>
      </c>
      <c r="J72" s="395" t="str">
        <f t="shared" si="37"/>
        <v/>
      </c>
      <c r="K72" s="400" t="str">
        <f t="shared" si="37"/>
        <v/>
      </c>
      <c r="L72" s="397" t="str">
        <f t="shared" si="37"/>
        <v/>
      </c>
      <c r="M72" s="395" t="str">
        <f t="shared" si="37"/>
        <v/>
      </c>
      <c r="N72" s="395" t="str">
        <f t="shared" si="37"/>
        <v/>
      </c>
      <c r="O72" s="410" t="str">
        <f t="shared" si="37"/>
        <v/>
      </c>
    </row>
    <row r="73" spans="1:18" x14ac:dyDescent="0.2">
      <c r="A73" s="555"/>
      <c r="B73" s="404"/>
      <c r="C73" s="404"/>
      <c r="D73" s="391"/>
      <c r="E73" s="398"/>
      <c r="F73" s="391"/>
      <c r="G73" s="393"/>
      <c r="H73" s="398"/>
      <c r="I73" s="391"/>
      <c r="J73" s="393"/>
      <c r="K73" s="398"/>
      <c r="L73" s="391"/>
      <c r="M73" s="393"/>
      <c r="N73" s="393"/>
      <c r="O73" s="404"/>
    </row>
    <row r="74" spans="1:18" x14ac:dyDescent="0.2">
      <c r="A74" s="555">
        <v>18</v>
      </c>
      <c r="B74" s="556"/>
      <c r="C74" s="430"/>
      <c r="D74" s="431"/>
      <c r="E74" s="432"/>
      <c r="F74" s="431"/>
      <c r="G74" s="433"/>
      <c r="H74" s="434"/>
      <c r="I74" s="431"/>
      <c r="J74" s="435"/>
      <c r="K74" s="434"/>
      <c r="L74" s="431"/>
      <c r="M74" s="433"/>
      <c r="N74" s="435"/>
      <c r="O74" s="436"/>
      <c r="Q74" t="str">
        <f t="shared" ref="Q74" si="38">IF(AND(ISBLANK(B74), ISBLANK(C74)), "X", "")</f>
        <v>X</v>
      </c>
    </row>
    <row r="75" spans="1:18" x14ac:dyDescent="0.2">
      <c r="A75" s="555"/>
      <c r="B75" s="557"/>
      <c r="C75" s="414" t="s">
        <v>280</v>
      </c>
      <c r="D75" s="397" t="str">
        <f t="shared" ref="D75:O75" si="39">IF(D74="","",D74-D71)</f>
        <v/>
      </c>
      <c r="E75" s="402" t="str">
        <f t="shared" si="39"/>
        <v/>
      </c>
      <c r="F75" s="397" t="str">
        <f t="shared" si="39"/>
        <v/>
      </c>
      <c r="G75" s="395" t="str">
        <f t="shared" si="39"/>
        <v/>
      </c>
      <c r="H75" s="399" t="str">
        <f t="shared" si="39"/>
        <v/>
      </c>
      <c r="I75" s="397" t="str">
        <f t="shared" si="39"/>
        <v/>
      </c>
      <c r="J75" s="395" t="str">
        <f t="shared" si="39"/>
        <v/>
      </c>
      <c r="K75" s="400" t="str">
        <f t="shared" si="39"/>
        <v/>
      </c>
      <c r="L75" s="397" t="str">
        <f t="shared" si="39"/>
        <v/>
      </c>
      <c r="M75" s="395" t="str">
        <f t="shared" si="39"/>
        <v/>
      </c>
      <c r="N75" s="395" t="str">
        <f t="shared" si="39"/>
        <v/>
      </c>
      <c r="O75" s="410" t="str">
        <f t="shared" si="39"/>
        <v/>
      </c>
    </row>
    <row r="76" spans="1:18" x14ac:dyDescent="0.2">
      <c r="A76" s="555"/>
      <c r="B76" s="404"/>
      <c r="C76" s="404"/>
      <c r="D76" s="391"/>
      <c r="E76" s="398"/>
      <c r="F76" s="391"/>
      <c r="G76" s="393"/>
      <c r="H76" s="398"/>
      <c r="I76" s="391"/>
      <c r="J76" s="393"/>
      <c r="K76" s="398"/>
      <c r="L76" s="391"/>
      <c r="M76" s="393"/>
      <c r="N76" s="393"/>
      <c r="O76" s="404"/>
      <c r="R76" t="s">
        <v>281</v>
      </c>
    </row>
    <row r="77" spans="1:18" x14ac:dyDescent="0.2">
      <c r="A77" s="555">
        <v>19</v>
      </c>
      <c r="B77" s="556"/>
      <c r="C77" s="430"/>
      <c r="D77" s="431"/>
      <c r="E77" s="432"/>
      <c r="F77" s="431"/>
      <c r="G77" s="433"/>
      <c r="H77" s="434"/>
      <c r="I77" s="431"/>
      <c r="J77" s="435"/>
      <c r="K77" s="434"/>
      <c r="L77" s="431"/>
      <c r="M77" s="433"/>
      <c r="N77" s="435"/>
      <c r="O77" s="436"/>
      <c r="Q77" t="str">
        <f t="shared" ref="Q77" si="40">IF(AND(ISBLANK(B77), ISBLANK(C77)), "X", "")</f>
        <v>X</v>
      </c>
    </row>
    <row r="78" spans="1:18" x14ac:dyDescent="0.2">
      <c r="A78" s="555"/>
      <c r="B78" s="557"/>
      <c r="C78" s="414" t="s">
        <v>280</v>
      </c>
      <c r="D78" s="397" t="str">
        <f t="shared" ref="D78:O78" si="41">IF(D77="","",D77-D74)</f>
        <v/>
      </c>
      <c r="E78" s="402" t="str">
        <f t="shared" si="41"/>
        <v/>
      </c>
      <c r="F78" s="397" t="str">
        <f t="shared" si="41"/>
        <v/>
      </c>
      <c r="G78" s="395" t="str">
        <f t="shared" si="41"/>
        <v/>
      </c>
      <c r="H78" s="399" t="str">
        <f t="shared" si="41"/>
        <v/>
      </c>
      <c r="I78" s="397" t="str">
        <f t="shared" si="41"/>
        <v/>
      </c>
      <c r="J78" s="395" t="str">
        <f t="shared" si="41"/>
        <v/>
      </c>
      <c r="K78" s="400" t="str">
        <f t="shared" si="41"/>
        <v/>
      </c>
      <c r="L78" s="397" t="str">
        <f t="shared" si="41"/>
        <v/>
      </c>
      <c r="M78" s="395" t="str">
        <f t="shared" si="41"/>
        <v/>
      </c>
      <c r="N78" s="395" t="str">
        <f t="shared" si="41"/>
        <v/>
      </c>
      <c r="O78" s="410" t="str">
        <f t="shared" si="41"/>
        <v/>
      </c>
    </row>
    <row r="79" spans="1:18" x14ac:dyDescent="0.2">
      <c r="A79" s="555"/>
      <c r="B79" s="404"/>
      <c r="C79" s="404"/>
      <c r="D79" s="391"/>
      <c r="E79" s="398"/>
      <c r="F79" s="391"/>
      <c r="G79" s="393"/>
      <c r="H79" s="398"/>
      <c r="I79" s="391"/>
      <c r="J79" s="393"/>
      <c r="K79" s="398"/>
      <c r="L79" s="391"/>
      <c r="M79" s="393"/>
      <c r="N79" s="393"/>
      <c r="O79" s="404"/>
    </row>
    <row r="80" spans="1:18" x14ac:dyDescent="0.2">
      <c r="A80" s="555">
        <v>20</v>
      </c>
      <c r="B80" s="556"/>
      <c r="C80" s="430"/>
      <c r="D80" s="431"/>
      <c r="E80" s="432"/>
      <c r="F80" s="431"/>
      <c r="G80" s="433"/>
      <c r="H80" s="434"/>
      <c r="I80" s="431"/>
      <c r="J80" s="435"/>
      <c r="K80" s="434"/>
      <c r="L80" s="431"/>
      <c r="M80" s="433"/>
      <c r="N80" s="435"/>
      <c r="O80" s="436"/>
      <c r="Q80" t="str">
        <f t="shared" ref="Q80" si="42">IF(AND(ISBLANK(B80), ISBLANK(C80)), "X", "")</f>
        <v>X</v>
      </c>
    </row>
    <row r="81" spans="1:17" x14ac:dyDescent="0.2">
      <c r="A81" s="555"/>
      <c r="B81" s="557"/>
      <c r="C81" s="414" t="s">
        <v>280</v>
      </c>
      <c r="D81" s="397" t="str">
        <f t="shared" ref="D81:O81" si="43">IF(D80="","",D80-D77)</f>
        <v/>
      </c>
      <c r="E81" s="402" t="str">
        <f t="shared" si="43"/>
        <v/>
      </c>
      <c r="F81" s="397" t="str">
        <f t="shared" si="43"/>
        <v/>
      </c>
      <c r="G81" s="395" t="str">
        <f t="shared" si="43"/>
        <v/>
      </c>
      <c r="H81" s="399" t="str">
        <f t="shared" si="43"/>
        <v/>
      </c>
      <c r="I81" s="397" t="str">
        <f t="shared" si="43"/>
        <v/>
      </c>
      <c r="J81" s="395" t="str">
        <f t="shared" si="43"/>
        <v/>
      </c>
      <c r="K81" s="400" t="str">
        <f t="shared" si="43"/>
        <v/>
      </c>
      <c r="L81" s="397" t="str">
        <f t="shared" si="43"/>
        <v/>
      </c>
      <c r="M81" s="395" t="str">
        <f t="shared" si="43"/>
        <v/>
      </c>
      <c r="N81" s="395" t="str">
        <f t="shared" si="43"/>
        <v/>
      </c>
      <c r="O81" s="410" t="str">
        <f t="shared" si="43"/>
        <v/>
      </c>
    </row>
    <row r="82" spans="1:17" x14ac:dyDescent="0.2">
      <c r="A82" s="555"/>
      <c r="B82" s="404"/>
      <c r="C82" s="404"/>
      <c r="D82" s="391"/>
      <c r="E82" s="398"/>
      <c r="F82" s="391"/>
      <c r="G82" s="393"/>
      <c r="H82" s="398"/>
      <c r="I82" s="391"/>
      <c r="J82" s="393"/>
      <c r="K82" s="398"/>
      <c r="L82" s="391"/>
      <c r="M82" s="393"/>
      <c r="N82" s="393"/>
      <c r="O82" s="404"/>
    </row>
    <row r="83" spans="1:17" x14ac:dyDescent="0.2">
      <c r="A83" s="555">
        <v>21</v>
      </c>
      <c r="B83" s="556"/>
      <c r="C83" s="430"/>
      <c r="D83" s="431"/>
      <c r="E83" s="432"/>
      <c r="F83" s="431"/>
      <c r="G83" s="433"/>
      <c r="H83" s="434"/>
      <c r="I83" s="431"/>
      <c r="J83" s="435"/>
      <c r="K83" s="434"/>
      <c r="L83" s="431"/>
      <c r="M83" s="433"/>
      <c r="N83" s="435"/>
      <c r="O83" s="436"/>
      <c r="Q83" t="str">
        <f t="shared" ref="Q83" si="44">IF(AND(ISBLANK(B83), ISBLANK(C83)), "X", "")</f>
        <v>X</v>
      </c>
    </row>
    <row r="84" spans="1:17" x14ac:dyDescent="0.2">
      <c r="A84" s="555"/>
      <c r="B84" s="557"/>
      <c r="C84" s="414" t="s">
        <v>280</v>
      </c>
      <c r="D84" s="397" t="str">
        <f t="shared" ref="D84:O84" si="45">IF(D83="","",D83-D80)</f>
        <v/>
      </c>
      <c r="E84" s="402" t="str">
        <f t="shared" si="45"/>
        <v/>
      </c>
      <c r="F84" s="397" t="str">
        <f t="shared" si="45"/>
        <v/>
      </c>
      <c r="G84" s="395" t="str">
        <f t="shared" si="45"/>
        <v/>
      </c>
      <c r="H84" s="399" t="str">
        <f t="shared" si="45"/>
        <v/>
      </c>
      <c r="I84" s="397" t="str">
        <f t="shared" si="45"/>
        <v/>
      </c>
      <c r="J84" s="395" t="str">
        <f t="shared" si="45"/>
        <v/>
      </c>
      <c r="K84" s="400" t="str">
        <f t="shared" si="45"/>
        <v/>
      </c>
      <c r="L84" s="397" t="str">
        <f t="shared" si="45"/>
        <v/>
      </c>
      <c r="M84" s="395" t="str">
        <f t="shared" si="45"/>
        <v/>
      </c>
      <c r="N84" s="395" t="str">
        <f t="shared" si="45"/>
        <v/>
      </c>
      <c r="O84" s="410" t="str">
        <f t="shared" si="45"/>
        <v/>
      </c>
    </row>
    <row r="85" spans="1:17" x14ac:dyDescent="0.2">
      <c r="A85" s="555"/>
      <c r="B85" s="404"/>
      <c r="C85" s="404"/>
      <c r="D85" s="391"/>
      <c r="E85" s="398"/>
      <c r="F85" s="391"/>
      <c r="G85" s="393"/>
      <c r="H85" s="398"/>
      <c r="I85" s="391"/>
      <c r="J85" s="393"/>
      <c r="K85" s="398"/>
      <c r="L85" s="391"/>
      <c r="M85" s="393"/>
      <c r="N85" s="393"/>
      <c r="O85" s="404"/>
    </row>
    <row r="86" spans="1:17" x14ac:dyDescent="0.2">
      <c r="A86" s="555">
        <v>22</v>
      </c>
      <c r="B86" s="556"/>
      <c r="C86" s="430"/>
      <c r="D86" s="431"/>
      <c r="E86" s="432"/>
      <c r="F86" s="431"/>
      <c r="G86" s="433"/>
      <c r="H86" s="434"/>
      <c r="I86" s="431"/>
      <c r="J86" s="435"/>
      <c r="K86" s="434"/>
      <c r="L86" s="431"/>
      <c r="M86" s="433"/>
      <c r="N86" s="435"/>
      <c r="O86" s="436"/>
      <c r="Q86" t="str">
        <f t="shared" ref="Q86" si="46">IF(AND(ISBLANK(B86), ISBLANK(C86)), "X", "")</f>
        <v>X</v>
      </c>
    </row>
    <row r="87" spans="1:17" x14ac:dyDescent="0.2">
      <c r="A87" s="555"/>
      <c r="B87" s="557"/>
      <c r="C87" s="414" t="s">
        <v>280</v>
      </c>
      <c r="D87" s="397" t="str">
        <f t="shared" ref="D87:O87" si="47">IF(D86="","",D86-D83)</f>
        <v/>
      </c>
      <c r="E87" s="402" t="str">
        <f t="shared" si="47"/>
        <v/>
      </c>
      <c r="F87" s="397" t="str">
        <f t="shared" si="47"/>
        <v/>
      </c>
      <c r="G87" s="395" t="str">
        <f t="shared" si="47"/>
        <v/>
      </c>
      <c r="H87" s="399" t="str">
        <f t="shared" si="47"/>
        <v/>
      </c>
      <c r="I87" s="397" t="str">
        <f t="shared" si="47"/>
        <v/>
      </c>
      <c r="J87" s="395" t="str">
        <f t="shared" si="47"/>
        <v/>
      </c>
      <c r="K87" s="400" t="str">
        <f t="shared" si="47"/>
        <v/>
      </c>
      <c r="L87" s="397" t="str">
        <f t="shared" si="47"/>
        <v/>
      </c>
      <c r="M87" s="395" t="str">
        <f t="shared" si="47"/>
        <v/>
      </c>
      <c r="N87" s="395" t="str">
        <f t="shared" si="47"/>
        <v/>
      </c>
      <c r="O87" s="410" t="str">
        <f t="shared" si="47"/>
        <v/>
      </c>
    </row>
    <row r="88" spans="1:17" x14ac:dyDescent="0.2">
      <c r="A88" s="555"/>
      <c r="B88" s="404"/>
      <c r="C88" s="404"/>
      <c r="D88" s="391"/>
      <c r="E88" s="398"/>
      <c r="F88" s="391"/>
      <c r="G88" s="393"/>
      <c r="H88" s="398"/>
      <c r="I88" s="391"/>
      <c r="J88" s="393"/>
      <c r="K88" s="398"/>
      <c r="L88" s="391"/>
      <c r="M88" s="393"/>
      <c r="N88" s="393"/>
      <c r="O88" s="404"/>
    </row>
    <row r="89" spans="1:17" x14ac:dyDescent="0.2">
      <c r="A89" s="555">
        <v>23</v>
      </c>
      <c r="B89" s="556"/>
      <c r="C89" s="430"/>
      <c r="D89" s="431"/>
      <c r="E89" s="432"/>
      <c r="F89" s="431"/>
      <c r="G89" s="433"/>
      <c r="H89" s="434"/>
      <c r="I89" s="431"/>
      <c r="J89" s="435"/>
      <c r="K89" s="434"/>
      <c r="L89" s="431"/>
      <c r="M89" s="433"/>
      <c r="N89" s="435"/>
      <c r="O89" s="436"/>
      <c r="Q89" t="str">
        <f t="shared" ref="Q89" si="48">IF(AND(ISBLANK(B89), ISBLANK(C89)), "X", "")</f>
        <v>X</v>
      </c>
    </row>
    <row r="90" spans="1:17" x14ac:dyDescent="0.2">
      <c r="A90" s="555"/>
      <c r="B90" s="557"/>
      <c r="C90" s="414" t="s">
        <v>280</v>
      </c>
      <c r="D90" s="397" t="str">
        <f t="shared" ref="D90:O90" si="49">IF(D89="","",D89-D86)</f>
        <v/>
      </c>
      <c r="E90" s="402" t="str">
        <f t="shared" si="49"/>
        <v/>
      </c>
      <c r="F90" s="397" t="str">
        <f t="shared" si="49"/>
        <v/>
      </c>
      <c r="G90" s="395" t="str">
        <f t="shared" si="49"/>
        <v/>
      </c>
      <c r="H90" s="399" t="str">
        <f t="shared" si="49"/>
        <v/>
      </c>
      <c r="I90" s="397" t="str">
        <f t="shared" si="49"/>
        <v/>
      </c>
      <c r="J90" s="395" t="str">
        <f t="shared" si="49"/>
        <v/>
      </c>
      <c r="K90" s="400" t="str">
        <f t="shared" si="49"/>
        <v/>
      </c>
      <c r="L90" s="397" t="str">
        <f t="shared" si="49"/>
        <v/>
      </c>
      <c r="M90" s="395" t="str">
        <f t="shared" si="49"/>
        <v/>
      </c>
      <c r="N90" s="395" t="str">
        <f t="shared" si="49"/>
        <v/>
      </c>
      <c r="O90" s="410" t="str">
        <f t="shared" si="49"/>
        <v/>
      </c>
    </row>
    <row r="91" spans="1:17" x14ac:dyDescent="0.2">
      <c r="A91" s="555"/>
      <c r="B91" s="404"/>
      <c r="C91" s="404"/>
      <c r="D91" s="391"/>
      <c r="E91" s="398"/>
      <c r="F91" s="391"/>
      <c r="G91" s="393"/>
      <c r="H91" s="398"/>
      <c r="I91" s="391"/>
      <c r="J91" s="393"/>
      <c r="K91" s="398"/>
      <c r="L91" s="391"/>
      <c r="M91" s="393"/>
      <c r="N91" s="393"/>
      <c r="O91" s="404"/>
    </row>
    <row r="92" spans="1:17" x14ac:dyDescent="0.2">
      <c r="A92" s="555">
        <v>24</v>
      </c>
      <c r="B92" s="556"/>
      <c r="C92" s="430"/>
      <c r="D92" s="431"/>
      <c r="E92" s="432"/>
      <c r="F92" s="431"/>
      <c r="G92" s="433"/>
      <c r="H92" s="434"/>
      <c r="I92" s="431"/>
      <c r="J92" s="435"/>
      <c r="K92" s="434"/>
      <c r="L92" s="431"/>
      <c r="M92" s="433"/>
      <c r="N92" s="435"/>
      <c r="O92" s="436"/>
      <c r="Q92" t="str">
        <f t="shared" ref="Q92" si="50">IF(AND(ISBLANK(B92), ISBLANK(C92)), "X", "")</f>
        <v>X</v>
      </c>
    </row>
    <row r="93" spans="1:17" x14ac:dyDescent="0.2">
      <c r="A93" s="555"/>
      <c r="B93" s="557"/>
      <c r="C93" s="414" t="s">
        <v>280</v>
      </c>
      <c r="D93" s="397" t="str">
        <f t="shared" ref="D93:O93" si="51">IF(D92="","",D92-D89)</f>
        <v/>
      </c>
      <c r="E93" s="402" t="str">
        <f t="shared" si="51"/>
        <v/>
      </c>
      <c r="F93" s="397" t="str">
        <f t="shared" si="51"/>
        <v/>
      </c>
      <c r="G93" s="395" t="str">
        <f t="shared" si="51"/>
        <v/>
      </c>
      <c r="H93" s="399" t="str">
        <f t="shared" si="51"/>
        <v/>
      </c>
      <c r="I93" s="397" t="str">
        <f t="shared" si="51"/>
        <v/>
      </c>
      <c r="J93" s="395" t="str">
        <f t="shared" si="51"/>
        <v/>
      </c>
      <c r="K93" s="400" t="str">
        <f t="shared" si="51"/>
        <v/>
      </c>
      <c r="L93" s="397" t="str">
        <f t="shared" si="51"/>
        <v/>
      </c>
      <c r="M93" s="395" t="str">
        <f t="shared" si="51"/>
        <v/>
      </c>
      <c r="N93" s="395" t="str">
        <f t="shared" si="51"/>
        <v/>
      </c>
      <c r="O93" s="410" t="str">
        <f t="shared" si="51"/>
        <v/>
      </c>
    </row>
    <row r="94" spans="1:17" x14ac:dyDescent="0.2">
      <c r="A94" s="555"/>
      <c r="B94" s="404"/>
      <c r="C94" s="404"/>
      <c r="D94" s="391"/>
      <c r="E94" s="398"/>
      <c r="F94" s="391"/>
      <c r="G94" s="393"/>
      <c r="H94" s="398"/>
      <c r="I94" s="391"/>
      <c r="J94" s="393"/>
      <c r="K94" s="398"/>
      <c r="L94" s="391"/>
      <c r="M94" s="393"/>
      <c r="N94" s="393"/>
      <c r="O94" s="404"/>
    </row>
    <row r="95" spans="1:17" x14ac:dyDescent="0.2">
      <c r="A95" s="555">
        <v>25</v>
      </c>
      <c r="B95" s="556"/>
      <c r="C95" s="430"/>
      <c r="D95" s="431"/>
      <c r="E95" s="432"/>
      <c r="F95" s="431"/>
      <c r="G95" s="433"/>
      <c r="H95" s="434"/>
      <c r="I95" s="431"/>
      <c r="J95" s="435"/>
      <c r="K95" s="434"/>
      <c r="L95" s="431"/>
      <c r="M95" s="433"/>
      <c r="N95" s="435"/>
      <c r="O95" s="436"/>
      <c r="Q95" t="str">
        <f t="shared" ref="Q95" si="52">IF(AND(ISBLANK(B95), ISBLANK(C95)), "X", "")</f>
        <v>X</v>
      </c>
    </row>
    <row r="96" spans="1:17" x14ac:dyDescent="0.2">
      <c r="A96" s="555"/>
      <c r="B96" s="557"/>
      <c r="C96" s="414" t="s">
        <v>280</v>
      </c>
      <c r="D96" s="397" t="str">
        <f t="shared" ref="D96:O96" si="53">IF(D95="","",D95-D92)</f>
        <v/>
      </c>
      <c r="E96" s="402" t="str">
        <f t="shared" si="53"/>
        <v/>
      </c>
      <c r="F96" s="397" t="str">
        <f t="shared" si="53"/>
        <v/>
      </c>
      <c r="G96" s="395" t="str">
        <f t="shared" si="53"/>
        <v/>
      </c>
      <c r="H96" s="399" t="str">
        <f t="shared" si="53"/>
        <v/>
      </c>
      <c r="I96" s="397" t="str">
        <f t="shared" si="53"/>
        <v/>
      </c>
      <c r="J96" s="395" t="str">
        <f t="shared" si="53"/>
        <v/>
      </c>
      <c r="K96" s="400" t="str">
        <f t="shared" si="53"/>
        <v/>
      </c>
      <c r="L96" s="397" t="str">
        <f t="shared" si="53"/>
        <v/>
      </c>
      <c r="M96" s="395" t="str">
        <f t="shared" si="53"/>
        <v/>
      </c>
      <c r="N96" s="395" t="str">
        <f t="shared" si="53"/>
        <v/>
      </c>
      <c r="O96" s="410" t="str">
        <f t="shared" si="53"/>
        <v/>
      </c>
    </row>
    <row r="97" spans="1:17" x14ac:dyDescent="0.2">
      <c r="A97" s="555"/>
      <c r="B97" s="404"/>
      <c r="C97" s="404"/>
      <c r="D97" s="391"/>
      <c r="E97" s="398"/>
      <c r="F97" s="391"/>
      <c r="G97" s="393"/>
      <c r="H97" s="398"/>
      <c r="I97" s="391"/>
      <c r="J97" s="393"/>
      <c r="K97" s="398"/>
      <c r="L97" s="391"/>
      <c r="M97" s="393"/>
      <c r="N97" s="393"/>
      <c r="O97" s="404"/>
    </row>
    <row r="98" spans="1:17" x14ac:dyDescent="0.2">
      <c r="A98" s="555">
        <v>26</v>
      </c>
      <c r="B98" s="556"/>
      <c r="C98" s="430"/>
      <c r="D98" s="431"/>
      <c r="E98" s="432"/>
      <c r="F98" s="431"/>
      <c r="G98" s="433"/>
      <c r="H98" s="434"/>
      <c r="I98" s="431"/>
      <c r="J98" s="435"/>
      <c r="K98" s="434"/>
      <c r="L98" s="431"/>
      <c r="M98" s="433"/>
      <c r="N98" s="435"/>
      <c r="O98" s="436"/>
      <c r="Q98" t="str">
        <f t="shared" ref="Q98" si="54">IF(AND(ISBLANK(B98), ISBLANK(C98)), "X", "")</f>
        <v>X</v>
      </c>
    </row>
    <row r="99" spans="1:17" x14ac:dyDescent="0.2">
      <c r="A99" s="555"/>
      <c r="B99" s="557"/>
      <c r="C99" s="414" t="s">
        <v>280</v>
      </c>
      <c r="D99" s="397" t="str">
        <f t="shared" ref="D99:O99" si="55">IF(D98="","",D98-D95)</f>
        <v/>
      </c>
      <c r="E99" s="402" t="str">
        <f t="shared" si="55"/>
        <v/>
      </c>
      <c r="F99" s="397" t="str">
        <f t="shared" si="55"/>
        <v/>
      </c>
      <c r="G99" s="395" t="str">
        <f t="shared" si="55"/>
        <v/>
      </c>
      <c r="H99" s="399" t="str">
        <f t="shared" si="55"/>
        <v/>
      </c>
      <c r="I99" s="397" t="str">
        <f t="shared" si="55"/>
        <v/>
      </c>
      <c r="J99" s="395" t="str">
        <f t="shared" si="55"/>
        <v/>
      </c>
      <c r="K99" s="400" t="str">
        <f t="shared" si="55"/>
        <v/>
      </c>
      <c r="L99" s="397" t="str">
        <f t="shared" si="55"/>
        <v/>
      </c>
      <c r="M99" s="395" t="str">
        <f t="shared" si="55"/>
        <v/>
      </c>
      <c r="N99" s="395" t="str">
        <f t="shared" si="55"/>
        <v/>
      </c>
      <c r="O99" s="410" t="str">
        <f t="shared" si="55"/>
        <v/>
      </c>
    </row>
    <row r="100" spans="1:17" x14ac:dyDescent="0.2">
      <c r="A100" s="555"/>
      <c r="B100" s="404"/>
      <c r="C100" s="404"/>
      <c r="D100" s="391"/>
      <c r="E100" s="398"/>
      <c r="F100" s="391"/>
      <c r="G100" s="393"/>
      <c r="H100" s="398"/>
      <c r="I100" s="391"/>
      <c r="J100" s="393"/>
      <c r="K100" s="398"/>
      <c r="L100" s="391"/>
      <c r="M100" s="393"/>
      <c r="N100" s="393"/>
      <c r="O100" s="404"/>
    </row>
    <row r="101" spans="1:17" x14ac:dyDescent="0.2">
      <c r="A101" s="555">
        <v>27</v>
      </c>
      <c r="B101" s="556"/>
      <c r="C101" s="430"/>
      <c r="D101" s="431"/>
      <c r="E101" s="432"/>
      <c r="F101" s="431"/>
      <c r="G101" s="433"/>
      <c r="H101" s="434"/>
      <c r="I101" s="431"/>
      <c r="J101" s="435"/>
      <c r="K101" s="434"/>
      <c r="L101" s="431"/>
      <c r="M101" s="433"/>
      <c r="N101" s="435"/>
      <c r="O101" s="436"/>
      <c r="Q101" t="str">
        <f t="shared" ref="Q101" si="56">IF(AND(ISBLANK(B101), ISBLANK(C101)), "X", "")</f>
        <v>X</v>
      </c>
    </row>
    <row r="102" spans="1:17" x14ac:dyDescent="0.2">
      <c r="A102" s="555"/>
      <c r="B102" s="557"/>
      <c r="C102" s="414" t="s">
        <v>280</v>
      </c>
      <c r="D102" s="397" t="str">
        <f t="shared" ref="D102:O102" si="57">IF(D101="","",D101-D98)</f>
        <v/>
      </c>
      <c r="E102" s="402" t="str">
        <f t="shared" si="57"/>
        <v/>
      </c>
      <c r="F102" s="397" t="str">
        <f t="shared" si="57"/>
        <v/>
      </c>
      <c r="G102" s="395" t="str">
        <f t="shared" si="57"/>
        <v/>
      </c>
      <c r="H102" s="399" t="str">
        <f t="shared" si="57"/>
        <v/>
      </c>
      <c r="I102" s="397" t="str">
        <f t="shared" si="57"/>
        <v/>
      </c>
      <c r="J102" s="395" t="str">
        <f t="shared" si="57"/>
        <v/>
      </c>
      <c r="K102" s="400" t="str">
        <f t="shared" si="57"/>
        <v/>
      </c>
      <c r="L102" s="397" t="str">
        <f t="shared" si="57"/>
        <v/>
      </c>
      <c r="M102" s="395" t="str">
        <f t="shared" si="57"/>
        <v/>
      </c>
      <c r="N102" s="395" t="str">
        <f t="shared" si="57"/>
        <v/>
      </c>
      <c r="O102" s="410" t="str">
        <f t="shared" si="57"/>
        <v/>
      </c>
    </row>
    <row r="103" spans="1:17" x14ac:dyDescent="0.2">
      <c r="A103" s="555"/>
      <c r="B103" s="404"/>
      <c r="C103" s="404"/>
      <c r="D103" s="391"/>
      <c r="E103" s="398"/>
      <c r="F103" s="391"/>
      <c r="G103" s="393"/>
      <c r="H103" s="398"/>
      <c r="I103" s="391"/>
      <c r="J103" s="393"/>
      <c r="K103" s="398"/>
      <c r="L103" s="391"/>
      <c r="M103" s="393"/>
      <c r="N103" s="393"/>
      <c r="O103" s="404"/>
    </row>
    <row r="104" spans="1:17" x14ac:dyDescent="0.2">
      <c r="A104" s="555">
        <v>28</v>
      </c>
      <c r="B104" s="556"/>
      <c r="C104" s="430"/>
      <c r="D104" s="431"/>
      <c r="E104" s="432"/>
      <c r="F104" s="431"/>
      <c r="G104" s="433"/>
      <c r="H104" s="434"/>
      <c r="I104" s="431"/>
      <c r="J104" s="435"/>
      <c r="K104" s="434"/>
      <c r="L104" s="431"/>
      <c r="M104" s="433"/>
      <c r="N104" s="435"/>
      <c r="O104" s="436"/>
      <c r="Q104" t="str">
        <f t="shared" ref="Q104" si="58">IF(AND(ISBLANK(B104), ISBLANK(C104)), "X", "")</f>
        <v>X</v>
      </c>
    </row>
    <row r="105" spans="1:17" x14ac:dyDescent="0.2">
      <c r="A105" s="555"/>
      <c r="B105" s="557"/>
      <c r="C105" s="414" t="s">
        <v>280</v>
      </c>
      <c r="D105" s="397" t="str">
        <f t="shared" ref="D105:O105" si="59">IF(D104="","",D104-D101)</f>
        <v/>
      </c>
      <c r="E105" s="402" t="str">
        <f t="shared" si="59"/>
        <v/>
      </c>
      <c r="F105" s="397" t="str">
        <f t="shared" si="59"/>
        <v/>
      </c>
      <c r="G105" s="395" t="str">
        <f t="shared" si="59"/>
        <v/>
      </c>
      <c r="H105" s="399" t="str">
        <f t="shared" si="59"/>
        <v/>
      </c>
      <c r="I105" s="397" t="str">
        <f t="shared" si="59"/>
        <v/>
      </c>
      <c r="J105" s="395" t="str">
        <f t="shared" si="59"/>
        <v/>
      </c>
      <c r="K105" s="400" t="str">
        <f t="shared" si="59"/>
        <v/>
      </c>
      <c r="L105" s="397" t="str">
        <f t="shared" si="59"/>
        <v/>
      </c>
      <c r="M105" s="395" t="str">
        <f t="shared" si="59"/>
        <v/>
      </c>
      <c r="N105" s="395" t="str">
        <f t="shared" si="59"/>
        <v/>
      </c>
      <c r="O105" s="410" t="str">
        <f t="shared" si="59"/>
        <v/>
      </c>
    </row>
    <row r="106" spans="1:17" x14ac:dyDescent="0.2">
      <c r="A106" s="555"/>
      <c r="B106" s="404"/>
      <c r="C106" s="404"/>
      <c r="D106" s="391"/>
      <c r="E106" s="398"/>
      <c r="F106" s="391"/>
      <c r="G106" s="393"/>
      <c r="H106" s="398"/>
      <c r="I106" s="391"/>
      <c r="J106" s="393"/>
      <c r="K106" s="398"/>
      <c r="L106" s="391"/>
      <c r="M106" s="393"/>
      <c r="N106" s="393"/>
      <c r="O106" s="404"/>
    </row>
    <row r="107" spans="1:17" x14ac:dyDescent="0.2">
      <c r="A107" s="555">
        <v>29</v>
      </c>
      <c r="B107" s="556"/>
      <c r="C107" s="430"/>
      <c r="D107" s="431"/>
      <c r="E107" s="432"/>
      <c r="F107" s="431"/>
      <c r="G107" s="433"/>
      <c r="H107" s="434"/>
      <c r="I107" s="431"/>
      <c r="J107" s="435"/>
      <c r="K107" s="434"/>
      <c r="L107" s="431"/>
      <c r="M107" s="433"/>
      <c r="N107" s="435"/>
      <c r="O107" s="436"/>
      <c r="Q107" t="str">
        <f t="shared" ref="Q107" si="60">IF(AND(ISBLANK(B107), ISBLANK(C107)), "X", "")</f>
        <v>X</v>
      </c>
    </row>
    <row r="108" spans="1:17" x14ac:dyDescent="0.2">
      <c r="A108" s="555"/>
      <c r="B108" s="557"/>
      <c r="C108" s="414" t="s">
        <v>280</v>
      </c>
      <c r="D108" s="397" t="str">
        <f t="shared" ref="D108:O108" si="61">IF(D107="","",D107-D104)</f>
        <v/>
      </c>
      <c r="E108" s="402" t="str">
        <f t="shared" si="61"/>
        <v/>
      </c>
      <c r="F108" s="397" t="str">
        <f t="shared" si="61"/>
        <v/>
      </c>
      <c r="G108" s="395" t="str">
        <f t="shared" si="61"/>
        <v/>
      </c>
      <c r="H108" s="399" t="str">
        <f t="shared" si="61"/>
        <v/>
      </c>
      <c r="I108" s="397" t="str">
        <f t="shared" si="61"/>
        <v/>
      </c>
      <c r="J108" s="395" t="str">
        <f t="shared" si="61"/>
        <v/>
      </c>
      <c r="K108" s="400" t="str">
        <f t="shared" si="61"/>
        <v/>
      </c>
      <c r="L108" s="397" t="str">
        <f t="shared" si="61"/>
        <v/>
      </c>
      <c r="M108" s="395" t="str">
        <f t="shared" si="61"/>
        <v/>
      </c>
      <c r="N108" s="395" t="str">
        <f t="shared" si="61"/>
        <v/>
      </c>
      <c r="O108" s="410" t="str">
        <f t="shared" si="61"/>
        <v/>
      </c>
    </row>
    <row r="109" spans="1:17" x14ac:dyDescent="0.2">
      <c r="A109" s="555"/>
      <c r="B109" s="404"/>
      <c r="C109" s="404"/>
      <c r="D109" s="391"/>
      <c r="E109" s="398"/>
      <c r="F109" s="391"/>
      <c r="G109" s="393"/>
      <c r="H109" s="398"/>
      <c r="I109" s="391"/>
      <c r="J109" s="393"/>
      <c r="K109" s="398"/>
      <c r="L109" s="391"/>
      <c r="M109" s="393"/>
      <c r="N109" s="393"/>
      <c r="O109" s="404"/>
    </row>
    <row r="110" spans="1:17" x14ac:dyDescent="0.2">
      <c r="A110" s="555">
        <v>30</v>
      </c>
      <c r="B110" s="556"/>
      <c r="C110" s="430"/>
      <c r="D110" s="431"/>
      <c r="E110" s="432"/>
      <c r="F110" s="431"/>
      <c r="G110" s="433"/>
      <c r="H110" s="434"/>
      <c r="I110" s="431"/>
      <c r="J110" s="435"/>
      <c r="K110" s="434"/>
      <c r="L110" s="431"/>
      <c r="M110" s="433"/>
      <c r="N110" s="435"/>
      <c r="O110" s="436"/>
      <c r="Q110" t="str">
        <f t="shared" ref="Q110" si="62">IF(AND(ISBLANK(B110), ISBLANK(C110)), "X", "")</f>
        <v>X</v>
      </c>
    </row>
    <row r="111" spans="1:17" x14ac:dyDescent="0.2">
      <c r="A111" s="555"/>
      <c r="B111" s="557"/>
      <c r="C111" s="414" t="s">
        <v>280</v>
      </c>
      <c r="D111" s="397" t="str">
        <f t="shared" ref="D111:O111" si="63">IF(D110="","",D110-D107)</f>
        <v/>
      </c>
      <c r="E111" s="402" t="str">
        <f t="shared" si="63"/>
        <v/>
      </c>
      <c r="F111" s="397" t="str">
        <f t="shared" si="63"/>
        <v/>
      </c>
      <c r="G111" s="395" t="str">
        <f t="shared" si="63"/>
        <v/>
      </c>
      <c r="H111" s="399" t="str">
        <f t="shared" si="63"/>
        <v/>
      </c>
      <c r="I111" s="397" t="str">
        <f t="shared" si="63"/>
        <v/>
      </c>
      <c r="J111" s="395" t="str">
        <f t="shared" si="63"/>
        <v/>
      </c>
      <c r="K111" s="400" t="str">
        <f t="shared" si="63"/>
        <v/>
      </c>
      <c r="L111" s="397" t="str">
        <f t="shared" si="63"/>
        <v/>
      </c>
      <c r="M111" s="395" t="str">
        <f t="shared" si="63"/>
        <v/>
      </c>
      <c r="N111" s="395" t="str">
        <f t="shared" si="63"/>
        <v/>
      </c>
      <c r="O111" s="410" t="str">
        <f t="shared" si="63"/>
        <v/>
      </c>
    </row>
    <row r="112" spans="1:17" x14ac:dyDescent="0.2">
      <c r="A112" s="555"/>
      <c r="B112" s="404"/>
      <c r="C112" s="404"/>
      <c r="D112" s="391"/>
      <c r="E112" s="398"/>
      <c r="F112" s="391"/>
      <c r="G112" s="393"/>
      <c r="H112" s="398"/>
      <c r="I112" s="391"/>
      <c r="J112" s="393"/>
      <c r="K112" s="398"/>
      <c r="L112" s="391"/>
      <c r="M112" s="393"/>
      <c r="N112" s="393"/>
      <c r="O112" s="404"/>
    </row>
    <row r="113" spans="1:17" x14ac:dyDescent="0.2">
      <c r="A113" s="555">
        <v>31</v>
      </c>
      <c r="B113" s="556"/>
      <c r="C113" s="430"/>
      <c r="D113" s="431"/>
      <c r="E113" s="432"/>
      <c r="F113" s="431"/>
      <c r="G113" s="433"/>
      <c r="H113" s="434"/>
      <c r="I113" s="431"/>
      <c r="J113" s="435"/>
      <c r="K113" s="434"/>
      <c r="L113" s="431"/>
      <c r="M113" s="433"/>
      <c r="N113" s="435"/>
      <c r="O113" s="436"/>
      <c r="Q113" t="str">
        <f t="shared" ref="Q113" si="64">IF(AND(ISBLANK(B113), ISBLANK(C113)), "X", "")</f>
        <v>X</v>
      </c>
    </row>
    <row r="114" spans="1:17" x14ac:dyDescent="0.2">
      <c r="A114" s="555"/>
      <c r="B114" s="557"/>
      <c r="C114" s="414" t="s">
        <v>280</v>
      </c>
      <c r="D114" s="397" t="str">
        <f t="shared" ref="D114:O114" si="65">IF(D113="","",D113-D110)</f>
        <v/>
      </c>
      <c r="E114" s="402" t="str">
        <f t="shared" si="65"/>
        <v/>
      </c>
      <c r="F114" s="397" t="str">
        <f t="shared" si="65"/>
        <v/>
      </c>
      <c r="G114" s="395" t="str">
        <f t="shared" si="65"/>
        <v/>
      </c>
      <c r="H114" s="399" t="str">
        <f t="shared" si="65"/>
        <v/>
      </c>
      <c r="I114" s="397" t="str">
        <f t="shared" si="65"/>
        <v/>
      </c>
      <c r="J114" s="395" t="str">
        <f t="shared" si="65"/>
        <v/>
      </c>
      <c r="K114" s="400" t="str">
        <f t="shared" si="65"/>
        <v/>
      </c>
      <c r="L114" s="397" t="str">
        <f t="shared" si="65"/>
        <v/>
      </c>
      <c r="M114" s="395" t="str">
        <f t="shared" si="65"/>
        <v/>
      </c>
      <c r="N114" s="395" t="str">
        <f t="shared" si="65"/>
        <v/>
      </c>
      <c r="O114" s="410" t="str">
        <f t="shared" si="65"/>
        <v/>
      </c>
    </row>
    <row r="115" spans="1:17" x14ac:dyDescent="0.2">
      <c r="A115" s="555"/>
      <c r="B115" s="404"/>
      <c r="C115" s="404"/>
      <c r="D115" s="391"/>
      <c r="E115" s="398"/>
      <c r="F115" s="391"/>
      <c r="G115" s="393"/>
      <c r="H115" s="398"/>
      <c r="I115" s="391"/>
      <c r="J115" s="393"/>
      <c r="K115" s="398"/>
      <c r="L115" s="391"/>
      <c r="M115" s="393"/>
      <c r="N115" s="393"/>
      <c r="O115" s="404"/>
    </row>
    <row r="116" spans="1:17" x14ac:dyDescent="0.2">
      <c r="A116" s="555">
        <v>32</v>
      </c>
      <c r="B116" s="556"/>
      <c r="C116" s="430"/>
      <c r="D116" s="431"/>
      <c r="E116" s="432"/>
      <c r="F116" s="431"/>
      <c r="G116" s="433"/>
      <c r="H116" s="434"/>
      <c r="I116" s="431"/>
      <c r="J116" s="435"/>
      <c r="K116" s="434"/>
      <c r="L116" s="431"/>
      <c r="M116" s="433"/>
      <c r="N116" s="435"/>
      <c r="O116" s="436"/>
      <c r="Q116" t="str">
        <f t="shared" ref="Q116" si="66">IF(AND(ISBLANK(B116), ISBLANK(C116)), "X", "")</f>
        <v>X</v>
      </c>
    </row>
    <row r="117" spans="1:17" x14ac:dyDescent="0.2">
      <c r="A117" s="555"/>
      <c r="B117" s="557"/>
      <c r="C117" s="414" t="s">
        <v>280</v>
      </c>
      <c r="D117" s="397" t="str">
        <f t="shared" ref="D117:O117" si="67">IF(D116="","",D116-D113)</f>
        <v/>
      </c>
      <c r="E117" s="402" t="str">
        <f t="shared" si="67"/>
        <v/>
      </c>
      <c r="F117" s="397" t="str">
        <f t="shared" si="67"/>
        <v/>
      </c>
      <c r="G117" s="395" t="str">
        <f t="shared" si="67"/>
        <v/>
      </c>
      <c r="H117" s="399" t="str">
        <f t="shared" si="67"/>
        <v/>
      </c>
      <c r="I117" s="397" t="str">
        <f t="shared" si="67"/>
        <v/>
      </c>
      <c r="J117" s="395" t="str">
        <f t="shared" si="67"/>
        <v/>
      </c>
      <c r="K117" s="400" t="str">
        <f t="shared" si="67"/>
        <v/>
      </c>
      <c r="L117" s="397" t="str">
        <f t="shared" si="67"/>
        <v/>
      </c>
      <c r="M117" s="395" t="str">
        <f t="shared" si="67"/>
        <v/>
      </c>
      <c r="N117" s="395" t="str">
        <f t="shared" si="67"/>
        <v/>
      </c>
      <c r="O117" s="410" t="str">
        <f t="shared" si="67"/>
        <v/>
      </c>
    </row>
    <row r="118" spans="1:17" x14ac:dyDescent="0.2">
      <c r="A118" s="555"/>
      <c r="B118" s="404"/>
      <c r="C118" s="404"/>
      <c r="D118" s="391"/>
      <c r="E118" s="398"/>
      <c r="F118" s="391"/>
      <c r="G118" s="393"/>
      <c r="H118" s="398"/>
      <c r="I118" s="391"/>
      <c r="J118" s="393"/>
      <c r="K118" s="398"/>
      <c r="L118" s="391"/>
      <c r="M118" s="393"/>
      <c r="N118" s="393"/>
      <c r="O118" s="404"/>
    </row>
    <row r="119" spans="1:17" x14ac:dyDescent="0.2">
      <c r="A119" s="555">
        <v>33</v>
      </c>
      <c r="B119" s="556"/>
      <c r="C119" s="430"/>
      <c r="D119" s="431"/>
      <c r="E119" s="432"/>
      <c r="F119" s="431"/>
      <c r="G119" s="433"/>
      <c r="H119" s="434"/>
      <c r="I119" s="431"/>
      <c r="J119" s="435"/>
      <c r="K119" s="434"/>
      <c r="L119" s="431"/>
      <c r="M119" s="433"/>
      <c r="N119" s="435"/>
      <c r="O119" s="436"/>
      <c r="Q119" t="str">
        <f t="shared" ref="Q119" si="68">IF(AND(ISBLANK(B119), ISBLANK(C119)), "X", "")</f>
        <v>X</v>
      </c>
    </row>
    <row r="120" spans="1:17" x14ac:dyDescent="0.2">
      <c r="A120" s="555"/>
      <c r="B120" s="557"/>
      <c r="C120" s="414" t="s">
        <v>280</v>
      </c>
      <c r="D120" s="397" t="str">
        <f t="shared" ref="D120:O120" si="69">IF(D119="","",D119-D116)</f>
        <v/>
      </c>
      <c r="E120" s="402" t="str">
        <f t="shared" si="69"/>
        <v/>
      </c>
      <c r="F120" s="397" t="str">
        <f t="shared" si="69"/>
        <v/>
      </c>
      <c r="G120" s="395" t="str">
        <f t="shared" si="69"/>
        <v/>
      </c>
      <c r="H120" s="399" t="str">
        <f t="shared" si="69"/>
        <v/>
      </c>
      <c r="I120" s="397" t="str">
        <f t="shared" si="69"/>
        <v/>
      </c>
      <c r="J120" s="395" t="str">
        <f t="shared" si="69"/>
        <v/>
      </c>
      <c r="K120" s="400" t="str">
        <f t="shared" si="69"/>
        <v/>
      </c>
      <c r="L120" s="397" t="str">
        <f t="shared" si="69"/>
        <v/>
      </c>
      <c r="M120" s="395" t="str">
        <f t="shared" si="69"/>
        <v/>
      </c>
      <c r="N120" s="395" t="str">
        <f t="shared" si="69"/>
        <v/>
      </c>
      <c r="O120" s="410" t="str">
        <f t="shared" si="69"/>
        <v/>
      </c>
    </row>
    <row r="121" spans="1:17" x14ac:dyDescent="0.2">
      <c r="A121" s="555"/>
      <c r="B121" s="404"/>
      <c r="C121" s="404"/>
      <c r="D121" s="391"/>
      <c r="E121" s="398"/>
      <c r="F121" s="391"/>
      <c r="G121" s="393"/>
      <c r="H121" s="398"/>
      <c r="I121" s="391"/>
      <c r="J121" s="393"/>
      <c r="K121" s="398"/>
      <c r="L121" s="391"/>
      <c r="M121" s="393"/>
      <c r="N121" s="393"/>
      <c r="O121" s="404"/>
    </row>
    <row r="122" spans="1:17" x14ac:dyDescent="0.2">
      <c r="A122" s="555">
        <v>34</v>
      </c>
      <c r="B122" s="556"/>
      <c r="C122" s="430"/>
      <c r="D122" s="431"/>
      <c r="E122" s="432"/>
      <c r="F122" s="431"/>
      <c r="G122" s="433"/>
      <c r="H122" s="434"/>
      <c r="I122" s="431"/>
      <c r="J122" s="435"/>
      <c r="K122" s="434"/>
      <c r="L122" s="431"/>
      <c r="M122" s="433"/>
      <c r="N122" s="435"/>
      <c r="O122" s="436"/>
      <c r="Q122" t="str">
        <f t="shared" ref="Q122" si="70">IF(AND(ISBLANK(B122), ISBLANK(C122)), "X", "")</f>
        <v>X</v>
      </c>
    </row>
    <row r="123" spans="1:17" x14ac:dyDescent="0.2">
      <c r="A123" s="555"/>
      <c r="B123" s="557"/>
      <c r="C123" s="414" t="s">
        <v>280</v>
      </c>
      <c r="D123" s="397" t="str">
        <f t="shared" ref="D123:O123" si="71">IF(D122="","",D122-D119)</f>
        <v/>
      </c>
      <c r="E123" s="402" t="str">
        <f t="shared" si="71"/>
        <v/>
      </c>
      <c r="F123" s="397" t="str">
        <f t="shared" si="71"/>
        <v/>
      </c>
      <c r="G123" s="395" t="str">
        <f t="shared" si="71"/>
        <v/>
      </c>
      <c r="H123" s="399" t="str">
        <f t="shared" si="71"/>
        <v/>
      </c>
      <c r="I123" s="397" t="str">
        <f t="shared" si="71"/>
        <v/>
      </c>
      <c r="J123" s="395" t="str">
        <f t="shared" si="71"/>
        <v/>
      </c>
      <c r="K123" s="400" t="str">
        <f t="shared" si="71"/>
        <v/>
      </c>
      <c r="L123" s="397" t="str">
        <f t="shared" si="71"/>
        <v/>
      </c>
      <c r="M123" s="395" t="str">
        <f t="shared" si="71"/>
        <v/>
      </c>
      <c r="N123" s="395" t="str">
        <f t="shared" si="71"/>
        <v/>
      </c>
      <c r="O123" s="410" t="str">
        <f t="shared" si="71"/>
        <v/>
      </c>
    </row>
    <row r="124" spans="1:17" x14ac:dyDescent="0.2">
      <c r="A124" s="555"/>
      <c r="B124" s="404"/>
      <c r="C124" s="404"/>
      <c r="D124" s="391"/>
      <c r="E124" s="398"/>
      <c r="F124" s="391"/>
      <c r="G124" s="393"/>
      <c r="H124" s="398"/>
      <c r="I124" s="391"/>
      <c r="J124" s="393"/>
      <c r="K124" s="398"/>
      <c r="L124" s="391"/>
      <c r="M124" s="393"/>
      <c r="N124" s="393"/>
      <c r="O124" s="404"/>
    </row>
    <row r="125" spans="1:17" x14ac:dyDescent="0.2">
      <c r="A125" s="555">
        <v>35</v>
      </c>
      <c r="B125" s="556"/>
      <c r="C125" s="430"/>
      <c r="D125" s="431"/>
      <c r="E125" s="432"/>
      <c r="F125" s="431"/>
      <c r="G125" s="433"/>
      <c r="H125" s="434"/>
      <c r="I125" s="431"/>
      <c r="J125" s="435"/>
      <c r="K125" s="434"/>
      <c r="L125" s="431"/>
      <c r="M125" s="433"/>
      <c r="N125" s="435"/>
      <c r="O125" s="436"/>
      <c r="Q125" t="str">
        <f t="shared" ref="Q125" si="72">IF(AND(ISBLANK(B125), ISBLANK(C125)), "X", "")</f>
        <v>X</v>
      </c>
    </row>
    <row r="126" spans="1:17" x14ac:dyDescent="0.2">
      <c r="A126" s="555"/>
      <c r="B126" s="557"/>
      <c r="C126" s="414" t="s">
        <v>280</v>
      </c>
      <c r="D126" s="397" t="str">
        <f t="shared" ref="D126:O126" si="73">IF(D125="","",D125-D122)</f>
        <v/>
      </c>
      <c r="E126" s="402" t="str">
        <f t="shared" si="73"/>
        <v/>
      </c>
      <c r="F126" s="397" t="str">
        <f t="shared" si="73"/>
        <v/>
      </c>
      <c r="G126" s="395" t="str">
        <f t="shared" si="73"/>
        <v/>
      </c>
      <c r="H126" s="399" t="str">
        <f t="shared" si="73"/>
        <v/>
      </c>
      <c r="I126" s="397" t="str">
        <f t="shared" si="73"/>
        <v/>
      </c>
      <c r="J126" s="395" t="str">
        <f t="shared" si="73"/>
        <v/>
      </c>
      <c r="K126" s="400" t="str">
        <f t="shared" si="73"/>
        <v/>
      </c>
      <c r="L126" s="397" t="str">
        <f t="shared" si="73"/>
        <v/>
      </c>
      <c r="M126" s="395" t="str">
        <f t="shared" si="73"/>
        <v/>
      </c>
      <c r="N126" s="395" t="str">
        <f t="shared" si="73"/>
        <v/>
      </c>
      <c r="O126" s="410" t="str">
        <f t="shared" si="73"/>
        <v/>
      </c>
    </row>
    <row r="127" spans="1:17" x14ac:dyDescent="0.2">
      <c r="A127" s="555"/>
      <c r="B127" s="404"/>
      <c r="C127" s="404"/>
      <c r="D127" s="391"/>
      <c r="E127" s="398"/>
      <c r="F127" s="391"/>
      <c r="G127" s="393"/>
      <c r="H127" s="398"/>
      <c r="I127" s="391"/>
      <c r="J127" s="393"/>
      <c r="K127" s="398"/>
      <c r="L127" s="391"/>
      <c r="M127" s="393"/>
      <c r="N127" s="393"/>
      <c r="O127" s="404"/>
    </row>
    <row r="128" spans="1:17" x14ac:dyDescent="0.2">
      <c r="A128" s="555">
        <v>36</v>
      </c>
      <c r="B128" s="556"/>
      <c r="C128" s="430"/>
      <c r="D128" s="431"/>
      <c r="E128" s="432"/>
      <c r="F128" s="431"/>
      <c r="G128" s="433"/>
      <c r="H128" s="434"/>
      <c r="I128" s="431"/>
      <c r="J128" s="435"/>
      <c r="K128" s="434"/>
      <c r="L128" s="431"/>
      <c r="M128" s="433"/>
      <c r="N128" s="435"/>
      <c r="O128" s="436"/>
      <c r="Q128" t="str">
        <f t="shared" ref="Q128" si="74">IF(AND(ISBLANK(B128), ISBLANK(C128)), "X", "")</f>
        <v>X</v>
      </c>
    </row>
    <row r="129" spans="1:18" x14ac:dyDescent="0.2">
      <c r="A129" s="555"/>
      <c r="B129" s="557"/>
      <c r="C129" s="414" t="s">
        <v>280</v>
      </c>
      <c r="D129" s="397" t="str">
        <f t="shared" ref="D129:O129" si="75">IF(D128="","",D128-D125)</f>
        <v/>
      </c>
      <c r="E129" s="402" t="str">
        <f t="shared" si="75"/>
        <v/>
      </c>
      <c r="F129" s="397" t="str">
        <f t="shared" si="75"/>
        <v/>
      </c>
      <c r="G129" s="395" t="str">
        <f t="shared" si="75"/>
        <v/>
      </c>
      <c r="H129" s="399" t="str">
        <f t="shared" si="75"/>
        <v/>
      </c>
      <c r="I129" s="397" t="str">
        <f t="shared" si="75"/>
        <v/>
      </c>
      <c r="J129" s="395" t="str">
        <f t="shared" si="75"/>
        <v/>
      </c>
      <c r="K129" s="400" t="str">
        <f t="shared" si="75"/>
        <v/>
      </c>
      <c r="L129" s="397" t="str">
        <f t="shared" si="75"/>
        <v/>
      </c>
      <c r="M129" s="395" t="str">
        <f t="shared" si="75"/>
        <v/>
      </c>
      <c r="N129" s="395" t="str">
        <f t="shared" si="75"/>
        <v/>
      </c>
      <c r="O129" s="410" t="str">
        <f t="shared" si="75"/>
        <v/>
      </c>
    </row>
    <row r="130" spans="1:18" x14ac:dyDescent="0.2">
      <c r="A130" s="555"/>
      <c r="B130" s="404"/>
      <c r="C130" s="404"/>
      <c r="D130" s="391"/>
      <c r="E130" s="398"/>
      <c r="F130" s="391"/>
      <c r="G130" s="393"/>
      <c r="H130" s="398"/>
      <c r="I130" s="391"/>
      <c r="J130" s="393"/>
      <c r="K130" s="398"/>
      <c r="L130" s="391"/>
      <c r="M130" s="393"/>
      <c r="N130" s="393"/>
      <c r="O130" s="404"/>
      <c r="R130" t="s">
        <v>282</v>
      </c>
    </row>
    <row r="131" spans="1:18" x14ac:dyDescent="0.2">
      <c r="A131" s="555">
        <v>37</v>
      </c>
      <c r="B131" s="556"/>
      <c r="C131" s="430"/>
      <c r="D131" s="431"/>
      <c r="E131" s="432"/>
      <c r="F131" s="431"/>
      <c r="G131" s="433"/>
      <c r="H131" s="434"/>
      <c r="I131" s="431"/>
      <c r="J131" s="435"/>
      <c r="K131" s="434"/>
      <c r="L131" s="431"/>
      <c r="M131" s="433"/>
      <c r="N131" s="435"/>
      <c r="O131" s="436"/>
      <c r="Q131" t="str">
        <f t="shared" ref="Q131" si="76">IF(AND(ISBLANK(B131), ISBLANK(C131)), "X", "")</f>
        <v>X</v>
      </c>
    </row>
    <row r="132" spans="1:18" x14ac:dyDescent="0.2">
      <c r="A132" s="555"/>
      <c r="B132" s="557"/>
      <c r="C132" s="414" t="s">
        <v>280</v>
      </c>
      <c r="D132" s="397" t="str">
        <f t="shared" ref="D132:O132" si="77">IF(D131="","",D131-D128)</f>
        <v/>
      </c>
      <c r="E132" s="402" t="str">
        <f t="shared" si="77"/>
        <v/>
      </c>
      <c r="F132" s="397" t="str">
        <f t="shared" si="77"/>
        <v/>
      </c>
      <c r="G132" s="395" t="str">
        <f t="shared" si="77"/>
        <v/>
      </c>
      <c r="H132" s="399" t="str">
        <f t="shared" si="77"/>
        <v/>
      </c>
      <c r="I132" s="397" t="str">
        <f t="shared" si="77"/>
        <v/>
      </c>
      <c r="J132" s="395" t="str">
        <f t="shared" si="77"/>
        <v/>
      </c>
      <c r="K132" s="400" t="str">
        <f t="shared" si="77"/>
        <v/>
      </c>
      <c r="L132" s="397" t="str">
        <f t="shared" si="77"/>
        <v/>
      </c>
      <c r="M132" s="395" t="str">
        <f t="shared" si="77"/>
        <v/>
      </c>
      <c r="N132" s="395" t="str">
        <f t="shared" si="77"/>
        <v/>
      </c>
      <c r="O132" s="410" t="str">
        <f t="shared" si="77"/>
        <v/>
      </c>
    </row>
    <row r="133" spans="1:18" x14ac:dyDescent="0.2">
      <c r="A133" s="555"/>
      <c r="B133" s="404"/>
      <c r="C133" s="404"/>
      <c r="D133" s="391"/>
      <c r="E133" s="398"/>
      <c r="F133" s="391"/>
      <c r="G133" s="393"/>
      <c r="H133" s="398"/>
      <c r="I133" s="391"/>
      <c r="J133" s="393"/>
      <c r="K133" s="398"/>
      <c r="L133" s="391"/>
      <c r="M133" s="393"/>
      <c r="N133" s="393"/>
      <c r="O133" s="404"/>
    </row>
    <row r="134" spans="1:18" x14ac:dyDescent="0.2">
      <c r="A134" s="555">
        <v>38</v>
      </c>
      <c r="B134" s="556"/>
      <c r="C134" s="430"/>
      <c r="D134" s="431"/>
      <c r="E134" s="432"/>
      <c r="F134" s="431"/>
      <c r="G134" s="433"/>
      <c r="H134" s="434"/>
      <c r="I134" s="431"/>
      <c r="J134" s="435"/>
      <c r="K134" s="434"/>
      <c r="L134" s="431"/>
      <c r="M134" s="433"/>
      <c r="N134" s="435"/>
      <c r="O134" s="436"/>
      <c r="Q134" t="str">
        <f t="shared" ref="Q134" si="78">IF(AND(ISBLANK(B134), ISBLANK(C134)), "X", "")</f>
        <v>X</v>
      </c>
    </row>
    <row r="135" spans="1:18" x14ac:dyDescent="0.2">
      <c r="A135" s="555"/>
      <c r="B135" s="557"/>
      <c r="C135" s="414" t="s">
        <v>280</v>
      </c>
      <c r="D135" s="397" t="str">
        <f t="shared" ref="D135:O135" si="79">IF(D134="","",D134-D131)</f>
        <v/>
      </c>
      <c r="E135" s="402" t="str">
        <f t="shared" si="79"/>
        <v/>
      </c>
      <c r="F135" s="397" t="str">
        <f t="shared" si="79"/>
        <v/>
      </c>
      <c r="G135" s="395" t="str">
        <f t="shared" si="79"/>
        <v/>
      </c>
      <c r="H135" s="399" t="str">
        <f t="shared" si="79"/>
        <v/>
      </c>
      <c r="I135" s="397" t="str">
        <f t="shared" si="79"/>
        <v/>
      </c>
      <c r="J135" s="395" t="str">
        <f t="shared" si="79"/>
        <v/>
      </c>
      <c r="K135" s="400" t="str">
        <f t="shared" si="79"/>
        <v/>
      </c>
      <c r="L135" s="397" t="str">
        <f t="shared" si="79"/>
        <v/>
      </c>
      <c r="M135" s="395" t="str">
        <f t="shared" si="79"/>
        <v/>
      </c>
      <c r="N135" s="395" t="str">
        <f t="shared" si="79"/>
        <v/>
      </c>
      <c r="O135" s="410" t="str">
        <f t="shared" si="79"/>
        <v/>
      </c>
    </row>
    <row r="136" spans="1:18" x14ac:dyDescent="0.2">
      <c r="A136" s="555"/>
      <c r="B136" s="404"/>
      <c r="C136" s="404"/>
      <c r="D136" s="391"/>
      <c r="E136" s="398"/>
      <c r="F136" s="391"/>
      <c r="G136" s="393"/>
      <c r="H136" s="398"/>
      <c r="I136" s="391"/>
      <c r="J136" s="393"/>
      <c r="K136" s="398"/>
      <c r="L136" s="391"/>
      <c r="M136" s="393"/>
      <c r="N136" s="393"/>
      <c r="O136" s="404"/>
    </row>
    <row r="137" spans="1:18" x14ac:dyDescent="0.2">
      <c r="A137" s="555">
        <v>39</v>
      </c>
      <c r="B137" s="556"/>
      <c r="C137" s="430"/>
      <c r="D137" s="431"/>
      <c r="E137" s="432"/>
      <c r="F137" s="431"/>
      <c r="G137" s="433"/>
      <c r="H137" s="434"/>
      <c r="I137" s="431"/>
      <c r="J137" s="435"/>
      <c r="K137" s="434"/>
      <c r="L137" s="431"/>
      <c r="M137" s="433"/>
      <c r="N137" s="435"/>
      <c r="O137" s="436"/>
      <c r="Q137" t="str">
        <f t="shared" ref="Q137" si="80">IF(AND(ISBLANK(B137), ISBLANK(C137)), "X", "")</f>
        <v>X</v>
      </c>
    </row>
    <row r="138" spans="1:18" x14ac:dyDescent="0.2">
      <c r="A138" s="555"/>
      <c r="B138" s="557"/>
      <c r="C138" s="414" t="s">
        <v>280</v>
      </c>
      <c r="D138" s="397" t="str">
        <f t="shared" ref="D138:O138" si="81">IF(D137="","",D137-D134)</f>
        <v/>
      </c>
      <c r="E138" s="402" t="str">
        <f t="shared" si="81"/>
        <v/>
      </c>
      <c r="F138" s="397" t="str">
        <f t="shared" si="81"/>
        <v/>
      </c>
      <c r="G138" s="395" t="str">
        <f t="shared" si="81"/>
        <v/>
      </c>
      <c r="H138" s="399" t="str">
        <f t="shared" si="81"/>
        <v/>
      </c>
      <c r="I138" s="397" t="str">
        <f t="shared" si="81"/>
        <v/>
      </c>
      <c r="J138" s="395" t="str">
        <f t="shared" si="81"/>
        <v/>
      </c>
      <c r="K138" s="400" t="str">
        <f t="shared" si="81"/>
        <v/>
      </c>
      <c r="L138" s="397" t="str">
        <f t="shared" si="81"/>
        <v/>
      </c>
      <c r="M138" s="395" t="str">
        <f t="shared" si="81"/>
        <v/>
      </c>
      <c r="N138" s="395" t="str">
        <f t="shared" si="81"/>
        <v/>
      </c>
      <c r="O138" s="410" t="str">
        <f t="shared" si="81"/>
        <v/>
      </c>
    </row>
    <row r="139" spans="1:18" x14ac:dyDescent="0.2">
      <c r="A139" s="555"/>
      <c r="B139" s="404"/>
      <c r="C139" s="404"/>
      <c r="D139" s="391"/>
      <c r="E139" s="398"/>
      <c r="F139" s="391"/>
      <c r="G139" s="393"/>
      <c r="H139" s="398"/>
      <c r="I139" s="391"/>
      <c r="J139" s="393"/>
      <c r="K139" s="398"/>
      <c r="L139" s="391"/>
      <c r="M139" s="393"/>
      <c r="N139" s="393"/>
      <c r="O139" s="404"/>
    </row>
    <row r="140" spans="1:18" x14ac:dyDescent="0.2">
      <c r="A140" s="555">
        <v>40</v>
      </c>
      <c r="B140" s="556"/>
      <c r="C140" s="430"/>
      <c r="D140" s="431"/>
      <c r="E140" s="432"/>
      <c r="F140" s="431"/>
      <c r="G140" s="433"/>
      <c r="H140" s="434"/>
      <c r="I140" s="431"/>
      <c r="J140" s="435"/>
      <c r="K140" s="434"/>
      <c r="L140" s="431"/>
      <c r="M140" s="433"/>
      <c r="N140" s="435"/>
      <c r="O140" s="436"/>
      <c r="Q140" t="str">
        <f t="shared" ref="Q140" si="82">IF(AND(ISBLANK(B140), ISBLANK(C140)), "X", "")</f>
        <v>X</v>
      </c>
    </row>
    <row r="141" spans="1:18" x14ac:dyDescent="0.2">
      <c r="A141" s="555"/>
      <c r="B141" s="557"/>
      <c r="C141" s="414" t="s">
        <v>280</v>
      </c>
      <c r="D141" s="397" t="str">
        <f t="shared" ref="D141:O141" si="83">IF(D140="","",D140-D137)</f>
        <v/>
      </c>
      <c r="E141" s="402" t="str">
        <f t="shared" si="83"/>
        <v/>
      </c>
      <c r="F141" s="397" t="str">
        <f t="shared" si="83"/>
        <v/>
      </c>
      <c r="G141" s="395" t="str">
        <f t="shared" si="83"/>
        <v/>
      </c>
      <c r="H141" s="399" t="str">
        <f t="shared" si="83"/>
        <v/>
      </c>
      <c r="I141" s="397" t="str">
        <f t="shared" si="83"/>
        <v/>
      </c>
      <c r="J141" s="395" t="str">
        <f t="shared" si="83"/>
        <v/>
      </c>
      <c r="K141" s="400" t="str">
        <f t="shared" si="83"/>
        <v/>
      </c>
      <c r="L141" s="397" t="str">
        <f t="shared" si="83"/>
        <v/>
      </c>
      <c r="M141" s="395" t="str">
        <f t="shared" si="83"/>
        <v/>
      </c>
      <c r="N141" s="395" t="str">
        <f t="shared" si="83"/>
        <v/>
      </c>
      <c r="O141" s="410" t="str">
        <f t="shared" si="83"/>
        <v/>
      </c>
    </row>
    <row r="142" spans="1:18" x14ac:dyDescent="0.2">
      <c r="A142" s="555"/>
      <c r="B142" s="404"/>
      <c r="C142" s="404"/>
      <c r="D142" s="391"/>
      <c r="E142" s="398"/>
      <c r="F142" s="391"/>
      <c r="G142" s="393"/>
      <c r="H142" s="398"/>
      <c r="I142" s="391"/>
      <c r="J142" s="393"/>
      <c r="K142" s="398"/>
      <c r="L142" s="391"/>
      <c r="M142" s="393"/>
      <c r="N142" s="393"/>
      <c r="O142" s="404"/>
    </row>
    <row r="143" spans="1:18" x14ac:dyDescent="0.2">
      <c r="A143" s="555">
        <v>41</v>
      </c>
      <c r="B143" s="556"/>
      <c r="C143" s="430"/>
      <c r="D143" s="431"/>
      <c r="E143" s="432"/>
      <c r="F143" s="431"/>
      <c r="G143" s="433"/>
      <c r="H143" s="434"/>
      <c r="I143" s="431"/>
      <c r="J143" s="435"/>
      <c r="K143" s="434"/>
      <c r="L143" s="431"/>
      <c r="M143" s="433"/>
      <c r="N143" s="435"/>
      <c r="O143" s="436"/>
      <c r="Q143" t="str">
        <f t="shared" ref="Q143" si="84">IF(AND(ISBLANK(B143), ISBLANK(C143)), "X", "")</f>
        <v>X</v>
      </c>
    </row>
    <row r="144" spans="1:18" x14ac:dyDescent="0.2">
      <c r="A144" s="555"/>
      <c r="B144" s="557"/>
      <c r="C144" s="414" t="s">
        <v>280</v>
      </c>
      <c r="D144" s="397" t="str">
        <f t="shared" ref="D144:O144" si="85">IF(D143="","",D143-D140)</f>
        <v/>
      </c>
      <c r="E144" s="402" t="str">
        <f t="shared" si="85"/>
        <v/>
      </c>
      <c r="F144" s="397" t="str">
        <f t="shared" si="85"/>
        <v/>
      </c>
      <c r="G144" s="395" t="str">
        <f t="shared" si="85"/>
        <v/>
      </c>
      <c r="H144" s="399" t="str">
        <f t="shared" si="85"/>
        <v/>
      </c>
      <c r="I144" s="397" t="str">
        <f t="shared" si="85"/>
        <v/>
      </c>
      <c r="J144" s="395" t="str">
        <f t="shared" si="85"/>
        <v/>
      </c>
      <c r="K144" s="400" t="str">
        <f t="shared" si="85"/>
        <v/>
      </c>
      <c r="L144" s="397" t="str">
        <f t="shared" si="85"/>
        <v/>
      </c>
      <c r="M144" s="395" t="str">
        <f t="shared" si="85"/>
        <v/>
      </c>
      <c r="N144" s="395" t="str">
        <f t="shared" si="85"/>
        <v/>
      </c>
      <c r="O144" s="410" t="str">
        <f t="shared" si="85"/>
        <v/>
      </c>
    </row>
    <row r="145" spans="1:17" x14ac:dyDescent="0.2">
      <c r="A145" s="555"/>
      <c r="B145" s="404"/>
      <c r="C145" s="404"/>
      <c r="D145" s="391"/>
      <c r="E145" s="398"/>
      <c r="F145" s="391"/>
      <c r="G145" s="393"/>
      <c r="H145" s="398"/>
      <c r="I145" s="391"/>
      <c r="J145" s="393"/>
      <c r="K145" s="398"/>
      <c r="L145" s="391"/>
      <c r="M145" s="393"/>
      <c r="N145" s="393"/>
      <c r="O145" s="404"/>
    </row>
    <row r="146" spans="1:17" x14ac:dyDescent="0.2">
      <c r="A146" s="555">
        <v>42</v>
      </c>
      <c r="B146" s="556"/>
      <c r="C146" s="430"/>
      <c r="D146" s="431"/>
      <c r="E146" s="432"/>
      <c r="F146" s="431"/>
      <c r="G146" s="433"/>
      <c r="H146" s="434"/>
      <c r="I146" s="431"/>
      <c r="J146" s="435"/>
      <c r="K146" s="434"/>
      <c r="L146" s="431"/>
      <c r="M146" s="433"/>
      <c r="N146" s="435"/>
      <c r="O146" s="436"/>
      <c r="Q146" t="str">
        <f t="shared" ref="Q146" si="86">IF(AND(ISBLANK(B146), ISBLANK(C146)), "X", "")</f>
        <v>X</v>
      </c>
    </row>
    <row r="147" spans="1:17" x14ac:dyDescent="0.2">
      <c r="A147" s="555"/>
      <c r="B147" s="557"/>
      <c r="C147" s="414" t="s">
        <v>280</v>
      </c>
      <c r="D147" s="397" t="str">
        <f t="shared" ref="D147:O147" si="87">IF(D146="","",D146-D143)</f>
        <v/>
      </c>
      <c r="E147" s="402" t="str">
        <f t="shared" si="87"/>
        <v/>
      </c>
      <c r="F147" s="397" t="str">
        <f t="shared" si="87"/>
        <v/>
      </c>
      <c r="G147" s="395" t="str">
        <f t="shared" si="87"/>
        <v/>
      </c>
      <c r="H147" s="399" t="str">
        <f t="shared" si="87"/>
        <v/>
      </c>
      <c r="I147" s="397" t="str">
        <f t="shared" si="87"/>
        <v/>
      </c>
      <c r="J147" s="395" t="str">
        <f t="shared" si="87"/>
        <v/>
      </c>
      <c r="K147" s="400" t="str">
        <f t="shared" si="87"/>
        <v/>
      </c>
      <c r="L147" s="397" t="str">
        <f t="shared" si="87"/>
        <v/>
      </c>
      <c r="M147" s="395" t="str">
        <f t="shared" si="87"/>
        <v/>
      </c>
      <c r="N147" s="395" t="str">
        <f t="shared" si="87"/>
        <v/>
      </c>
      <c r="O147" s="410" t="str">
        <f t="shared" si="87"/>
        <v/>
      </c>
    </row>
    <row r="148" spans="1:17" x14ac:dyDescent="0.2">
      <c r="A148" s="555"/>
      <c r="B148" s="404"/>
      <c r="C148" s="404"/>
      <c r="D148" s="391"/>
      <c r="E148" s="398"/>
      <c r="F148" s="391"/>
      <c r="G148" s="393"/>
      <c r="H148" s="398"/>
      <c r="I148" s="391"/>
      <c r="J148" s="393"/>
      <c r="K148" s="398"/>
      <c r="L148" s="391"/>
      <c r="M148" s="393"/>
      <c r="N148" s="393"/>
      <c r="O148" s="404"/>
    </row>
    <row r="149" spans="1:17" x14ac:dyDescent="0.2">
      <c r="A149" s="555">
        <v>43</v>
      </c>
      <c r="B149" s="556"/>
      <c r="C149" s="430"/>
      <c r="D149" s="431"/>
      <c r="E149" s="432"/>
      <c r="F149" s="431"/>
      <c r="G149" s="433"/>
      <c r="H149" s="434"/>
      <c r="I149" s="431"/>
      <c r="J149" s="435"/>
      <c r="K149" s="434"/>
      <c r="L149" s="431"/>
      <c r="M149" s="433"/>
      <c r="N149" s="435"/>
      <c r="O149" s="436"/>
      <c r="Q149" t="str">
        <f t="shared" ref="Q149" si="88">IF(AND(ISBLANK(B149), ISBLANK(C149)), "X", "")</f>
        <v>X</v>
      </c>
    </row>
    <row r="150" spans="1:17" x14ac:dyDescent="0.2">
      <c r="A150" s="555"/>
      <c r="B150" s="557"/>
      <c r="C150" s="414" t="s">
        <v>280</v>
      </c>
      <c r="D150" s="397" t="str">
        <f t="shared" ref="D150:O150" si="89">IF(D149="","",D149-D146)</f>
        <v/>
      </c>
      <c r="E150" s="402" t="str">
        <f t="shared" si="89"/>
        <v/>
      </c>
      <c r="F150" s="397" t="str">
        <f t="shared" si="89"/>
        <v/>
      </c>
      <c r="G150" s="395" t="str">
        <f t="shared" si="89"/>
        <v/>
      </c>
      <c r="H150" s="399" t="str">
        <f t="shared" si="89"/>
        <v/>
      </c>
      <c r="I150" s="397" t="str">
        <f t="shared" si="89"/>
        <v/>
      </c>
      <c r="J150" s="395" t="str">
        <f t="shared" si="89"/>
        <v/>
      </c>
      <c r="K150" s="400" t="str">
        <f t="shared" si="89"/>
        <v/>
      </c>
      <c r="L150" s="397" t="str">
        <f t="shared" si="89"/>
        <v/>
      </c>
      <c r="M150" s="395" t="str">
        <f t="shared" si="89"/>
        <v/>
      </c>
      <c r="N150" s="395" t="str">
        <f t="shared" si="89"/>
        <v/>
      </c>
      <c r="O150" s="410" t="str">
        <f t="shared" si="89"/>
        <v/>
      </c>
    </row>
    <row r="151" spans="1:17" x14ac:dyDescent="0.2">
      <c r="A151" s="555"/>
      <c r="B151" s="404"/>
      <c r="C151" s="404"/>
      <c r="D151" s="391"/>
      <c r="E151" s="398"/>
      <c r="F151" s="391"/>
      <c r="G151" s="393"/>
      <c r="H151" s="398"/>
      <c r="I151" s="391"/>
      <c r="J151" s="393"/>
      <c r="K151" s="398"/>
      <c r="L151" s="391"/>
      <c r="M151" s="393"/>
      <c r="N151" s="393"/>
      <c r="O151" s="404"/>
    </row>
    <row r="152" spans="1:17" x14ac:dyDescent="0.2">
      <c r="A152" s="555">
        <v>44</v>
      </c>
      <c r="B152" s="556"/>
      <c r="C152" s="430"/>
      <c r="D152" s="431"/>
      <c r="E152" s="432"/>
      <c r="F152" s="431"/>
      <c r="G152" s="433"/>
      <c r="H152" s="434"/>
      <c r="I152" s="431"/>
      <c r="J152" s="435"/>
      <c r="K152" s="434"/>
      <c r="L152" s="431"/>
      <c r="M152" s="433"/>
      <c r="N152" s="435"/>
      <c r="O152" s="436"/>
      <c r="Q152" t="str">
        <f t="shared" ref="Q152" si="90">IF(AND(ISBLANK(B152), ISBLANK(C152)), "X", "")</f>
        <v>X</v>
      </c>
    </row>
    <row r="153" spans="1:17" x14ac:dyDescent="0.2">
      <c r="A153" s="555"/>
      <c r="B153" s="557"/>
      <c r="C153" s="414" t="s">
        <v>280</v>
      </c>
      <c r="D153" s="397" t="str">
        <f t="shared" ref="D153:O153" si="91">IF(D152="","",D152-D149)</f>
        <v/>
      </c>
      <c r="E153" s="402" t="str">
        <f t="shared" si="91"/>
        <v/>
      </c>
      <c r="F153" s="397" t="str">
        <f t="shared" si="91"/>
        <v/>
      </c>
      <c r="G153" s="395" t="str">
        <f t="shared" si="91"/>
        <v/>
      </c>
      <c r="H153" s="399" t="str">
        <f t="shared" si="91"/>
        <v/>
      </c>
      <c r="I153" s="397" t="str">
        <f t="shared" si="91"/>
        <v/>
      </c>
      <c r="J153" s="395" t="str">
        <f t="shared" si="91"/>
        <v/>
      </c>
      <c r="K153" s="400" t="str">
        <f t="shared" si="91"/>
        <v/>
      </c>
      <c r="L153" s="397" t="str">
        <f t="shared" si="91"/>
        <v/>
      </c>
      <c r="M153" s="395" t="str">
        <f t="shared" si="91"/>
        <v/>
      </c>
      <c r="N153" s="395" t="str">
        <f t="shared" si="91"/>
        <v/>
      </c>
      <c r="O153" s="410" t="str">
        <f t="shared" si="91"/>
        <v/>
      </c>
    </row>
    <row r="154" spans="1:17" x14ac:dyDescent="0.2">
      <c r="A154" s="555"/>
      <c r="B154" s="404"/>
      <c r="C154" s="404"/>
      <c r="D154" s="391"/>
      <c r="E154" s="398"/>
      <c r="F154" s="391"/>
      <c r="G154" s="393"/>
      <c r="H154" s="398"/>
      <c r="I154" s="391"/>
      <c r="J154" s="393"/>
      <c r="K154" s="398"/>
      <c r="L154" s="391"/>
      <c r="M154" s="393"/>
      <c r="N154" s="393"/>
      <c r="O154" s="404"/>
    </row>
    <row r="155" spans="1:17" x14ac:dyDescent="0.2">
      <c r="A155" s="555">
        <v>45</v>
      </c>
      <c r="B155" s="556"/>
      <c r="C155" s="430"/>
      <c r="D155" s="431"/>
      <c r="E155" s="432"/>
      <c r="F155" s="431"/>
      <c r="G155" s="433"/>
      <c r="H155" s="434"/>
      <c r="I155" s="431"/>
      <c r="J155" s="435"/>
      <c r="K155" s="434"/>
      <c r="L155" s="431"/>
      <c r="M155" s="433"/>
      <c r="N155" s="435"/>
      <c r="O155" s="436"/>
      <c r="Q155" t="str">
        <f t="shared" ref="Q155" si="92">IF(AND(ISBLANK(B155), ISBLANK(C155)), "X", "")</f>
        <v>X</v>
      </c>
    </row>
    <row r="156" spans="1:17" x14ac:dyDescent="0.2">
      <c r="A156" s="555"/>
      <c r="B156" s="557"/>
      <c r="C156" s="414" t="s">
        <v>280</v>
      </c>
      <c r="D156" s="397" t="str">
        <f t="shared" ref="D156:O156" si="93">IF(D155="","",D155-D152)</f>
        <v/>
      </c>
      <c r="E156" s="402" t="str">
        <f t="shared" si="93"/>
        <v/>
      </c>
      <c r="F156" s="397" t="str">
        <f t="shared" si="93"/>
        <v/>
      </c>
      <c r="G156" s="395" t="str">
        <f t="shared" si="93"/>
        <v/>
      </c>
      <c r="H156" s="399" t="str">
        <f t="shared" si="93"/>
        <v/>
      </c>
      <c r="I156" s="397" t="str">
        <f t="shared" si="93"/>
        <v/>
      </c>
      <c r="J156" s="395" t="str">
        <f t="shared" si="93"/>
        <v/>
      </c>
      <c r="K156" s="400" t="str">
        <f t="shared" si="93"/>
        <v/>
      </c>
      <c r="L156" s="397" t="str">
        <f t="shared" si="93"/>
        <v/>
      </c>
      <c r="M156" s="395" t="str">
        <f t="shared" si="93"/>
        <v/>
      </c>
      <c r="N156" s="395" t="str">
        <f t="shared" si="93"/>
        <v/>
      </c>
      <c r="O156" s="410" t="str">
        <f t="shared" si="93"/>
        <v/>
      </c>
    </row>
    <row r="157" spans="1:17" x14ac:dyDescent="0.2">
      <c r="A157" s="555"/>
      <c r="B157" s="404"/>
      <c r="C157" s="404"/>
      <c r="D157" s="391"/>
      <c r="E157" s="398"/>
      <c r="F157" s="391"/>
      <c r="G157" s="393"/>
      <c r="H157" s="398"/>
      <c r="I157" s="391"/>
      <c r="J157" s="393"/>
      <c r="K157" s="398"/>
      <c r="L157" s="391"/>
      <c r="M157" s="393"/>
      <c r="N157" s="393"/>
      <c r="O157" s="404"/>
    </row>
    <row r="158" spans="1:17" x14ac:dyDescent="0.2">
      <c r="A158" s="555">
        <v>46</v>
      </c>
      <c r="B158" s="556"/>
      <c r="C158" s="430"/>
      <c r="D158" s="431"/>
      <c r="E158" s="432"/>
      <c r="F158" s="431"/>
      <c r="G158" s="433"/>
      <c r="H158" s="434"/>
      <c r="I158" s="431"/>
      <c r="J158" s="435"/>
      <c r="K158" s="434"/>
      <c r="L158" s="431"/>
      <c r="M158" s="433"/>
      <c r="N158" s="435"/>
      <c r="O158" s="436"/>
      <c r="Q158" t="str">
        <f t="shared" ref="Q158" si="94">IF(AND(ISBLANK(B158), ISBLANK(C158)), "X", "")</f>
        <v>X</v>
      </c>
    </row>
    <row r="159" spans="1:17" x14ac:dyDescent="0.2">
      <c r="A159" s="555"/>
      <c r="B159" s="557"/>
      <c r="C159" s="414" t="s">
        <v>280</v>
      </c>
      <c r="D159" s="397" t="str">
        <f t="shared" ref="D159:O159" si="95">IF(D158="","",D158-D155)</f>
        <v/>
      </c>
      <c r="E159" s="402" t="str">
        <f t="shared" si="95"/>
        <v/>
      </c>
      <c r="F159" s="397" t="str">
        <f t="shared" si="95"/>
        <v/>
      </c>
      <c r="G159" s="395" t="str">
        <f t="shared" si="95"/>
        <v/>
      </c>
      <c r="H159" s="399" t="str">
        <f t="shared" si="95"/>
        <v/>
      </c>
      <c r="I159" s="397" t="str">
        <f t="shared" si="95"/>
        <v/>
      </c>
      <c r="J159" s="395" t="str">
        <f t="shared" si="95"/>
        <v/>
      </c>
      <c r="K159" s="400" t="str">
        <f t="shared" si="95"/>
        <v/>
      </c>
      <c r="L159" s="397" t="str">
        <f t="shared" si="95"/>
        <v/>
      </c>
      <c r="M159" s="395" t="str">
        <f t="shared" si="95"/>
        <v/>
      </c>
      <c r="N159" s="395" t="str">
        <f t="shared" si="95"/>
        <v/>
      </c>
      <c r="O159" s="410" t="str">
        <f t="shared" si="95"/>
        <v/>
      </c>
    </row>
    <row r="160" spans="1:17" x14ac:dyDescent="0.2">
      <c r="A160" s="555"/>
      <c r="B160" s="404"/>
      <c r="C160" s="404"/>
      <c r="D160" s="391"/>
      <c r="E160" s="398"/>
      <c r="F160" s="391"/>
      <c r="G160" s="393"/>
      <c r="H160" s="398"/>
      <c r="I160" s="391"/>
      <c r="J160" s="393"/>
      <c r="K160" s="398"/>
      <c r="L160" s="391"/>
      <c r="M160" s="393"/>
      <c r="N160" s="393"/>
      <c r="O160" s="404"/>
    </row>
    <row r="161" spans="1:17" x14ac:dyDescent="0.2">
      <c r="A161" s="555">
        <v>47</v>
      </c>
      <c r="B161" s="556"/>
      <c r="C161" s="430"/>
      <c r="D161" s="431"/>
      <c r="E161" s="432"/>
      <c r="F161" s="431"/>
      <c r="G161" s="433"/>
      <c r="H161" s="434"/>
      <c r="I161" s="431"/>
      <c r="J161" s="435"/>
      <c r="K161" s="434"/>
      <c r="L161" s="431"/>
      <c r="M161" s="433"/>
      <c r="N161" s="435"/>
      <c r="O161" s="436"/>
      <c r="Q161" t="str">
        <f t="shared" ref="Q161" si="96">IF(AND(ISBLANK(B161), ISBLANK(C161)), "X", "")</f>
        <v>X</v>
      </c>
    </row>
    <row r="162" spans="1:17" x14ac:dyDescent="0.2">
      <c r="A162" s="555"/>
      <c r="B162" s="557"/>
      <c r="C162" s="414" t="s">
        <v>280</v>
      </c>
      <c r="D162" s="397" t="str">
        <f t="shared" ref="D162:O162" si="97">IF(D161="","",D161-D158)</f>
        <v/>
      </c>
      <c r="E162" s="402" t="str">
        <f t="shared" si="97"/>
        <v/>
      </c>
      <c r="F162" s="397" t="str">
        <f t="shared" si="97"/>
        <v/>
      </c>
      <c r="G162" s="395" t="str">
        <f t="shared" si="97"/>
        <v/>
      </c>
      <c r="H162" s="399" t="str">
        <f t="shared" si="97"/>
        <v/>
      </c>
      <c r="I162" s="397" t="str">
        <f t="shared" si="97"/>
        <v/>
      </c>
      <c r="J162" s="395" t="str">
        <f t="shared" si="97"/>
        <v/>
      </c>
      <c r="K162" s="400" t="str">
        <f t="shared" si="97"/>
        <v/>
      </c>
      <c r="L162" s="397" t="str">
        <f t="shared" si="97"/>
        <v/>
      </c>
      <c r="M162" s="395" t="str">
        <f t="shared" si="97"/>
        <v/>
      </c>
      <c r="N162" s="395" t="str">
        <f t="shared" si="97"/>
        <v/>
      </c>
      <c r="O162" s="410" t="str">
        <f t="shared" si="97"/>
        <v/>
      </c>
    </row>
    <row r="163" spans="1:17" x14ac:dyDescent="0.2">
      <c r="A163" s="555"/>
      <c r="B163" s="404"/>
      <c r="C163" s="404"/>
      <c r="D163" s="391"/>
      <c r="E163" s="398"/>
      <c r="F163" s="391"/>
      <c r="G163" s="393"/>
      <c r="H163" s="398"/>
      <c r="I163" s="391"/>
      <c r="J163" s="393"/>
      <c r="K163" s="398"/>
      <c r="L163" s="391"/>
      <c r="M163" s="393"/>
      <c r="N163" s="393"/>
      <c r="O163" s="404"/>
    </row>
    <row r="164" spans="1:17" x14ac:dyDescent="0.2">
      <c r="A164" s="555">
        <v>48</v>
      </c>
      <c r="B164" s="556"/>
      <c r="C164" s="430"/>
      <c r="D164" s="431"/>
      <c r="E164" s="432"/>
      <c r="F164" s="431"/>
      <c r="G164" s="433"/>
      <c r="H164" s="434"/>
      <c r="I164" s="431"/>
      <c r="J164" s="435"/>
      <c r="K164" s="434"/>
      <c r="L164" s="431"/>
      <c r="M164" s="433"/>
      <c r="N164" s="435"/>
      <c r="O164" s="436"/>
      <c r="Q164" t="str">
        <f t="shared" ref="Q164" si="98">IF(AND(ISBLANK(B164), ISBLANK(C164)), "X", "")</f>
        <v>X</v>
      </c>
    </row>
    <row r="165" spans="1:17" x14ac:dyDescent="0.2">
      <c r="A165" s="555"/>
      <c r="B165" s="557"/>
      <c r="C165" s="414" t="s">
        <v>280</v>
      </c>
      <c r="D165" s="397" t="str">
        <f t="shared" ref="D165:O165" si="99">IF(D164="","",D164-D161)</f>
        <v/>
      </c>
      <c r="E165" s="402" t="str">
        <f t="shared" si="99"/>
        <v/>
      </c>
      <c r="F165" s="397" t="str">
        <f t="shared" si="99"/>
        <v/>
      </c>
      <c r="G165" s="395" t="str">
        <f t="shared" si="99"/>
        <v/>
      </c>
      <c r="H165" s="399" t="str">
        <f t="shared" si="99"/>
        <v/>
      </c>
      <c r="I165" s="397" t="str">
        <f t="shared" si="99"/>
        <v/>
      </c>
      <c r="J165" s="395" t="str">
        <f t="shared" si="99"/>
        <v/>
      </c>
      <c r="K165" s="400" t="str">
        <f t="shared" si="99"/>
        <v/>
      </c>
      <c r="L165" s="397" t="str">
        <f t="shared" si="99"/>
        <v/>
      </c>
      <c r="M165" s="395" t="str">
        <f t="shared" si="99"/>
        <v/>
      </c>
      <c r="N165" s="395" t="str">
        <f t="shared" si="99"/>
        <v/>
      </c>
      <c r="O165" s="410" t="str">
        <f t="shared" si="99"/>
        <v/>
      </c>
    </row>
    <row r="166" spans="1:17" x14ac:dyDescent="0.2">
      <c r="A166" s="555"/>
      <c r="B166" s="404"/>
      <c r="C166" s="404"/>
      <c r="D166" s="391"/>
      <c r="E166" s="398"/>
      <c r="F166" s="391"/>
      <c r="G166" s="393"/>
      <c r="H166" s="398"/>
      <c r="I166" s="391"/>
      <c r="J166" s="393"/>
      <c r="K166" s="398"/>
      <c r="L166" s="391"/>
      <c r="M166" s="393"/>
      <c r="N166" s="393"/>
      <c r="O166" s="404"/>
    </row>
    <row r="167" spans="1:17" x14ac:dyDescent="0.2">
      <c r="A167" s="555">
        <v>49</v>
      </c>
      <c r="B167" s="556"/>
      <c r="C167" s="430"/>
      <c r="D167" s="431"/>
      <c r="E167" s="432"/>
      <c r="F167" s="431"/>
      <c r="G167" s="433"/>
      <c r="H167" s="434"/>
      <c r="I167" s="431"/>
      <c r="J167" s="435"/>
      <c r="K167" s="434"/>
      <c r="L167" s="431"/>
      <c r="M167" s="433"/>
      <c r="N167" s="435"/>
      <c r="O167" s="436"/>
      <c r="Q167" t="str">
        <f t="shared" ref="Q167" si="100">IF(AND(ISBLANK(B167), ISBLANK(C167)), "X", "")</f>
        <v>X</v>
      </c>
    </row>
    <row r="168" spans="1:17" x14ac:dyDescent="0.2">
      <c r="A168" s="555"/>
      <c r="B168" s="557"/>
      <c r="C168" s="414" t="s">
        <v>280</v>
      </c>
      <c r="D168" s="397" t="str">
        <f t="shared" ref="D168:O168" si="101">IF(D167="","",D167-D164)</f>
        <v/>
      </c>
      <c r="E168" s="402" t="str">
        <f t="shared" si="101"/>
        <v/>
      </c>
      <c r="F168" s="397" t="str">
        <f t="shared" si="101"/>
        <v/>
      </c>
      <c r="G168" s="395" t="str">
        <f t="shared" si="101"/>
        <v/>
      </c>
      <c r="H168" s="399" t="str">
        <f t="shared" si="101"/>
        <v/>
      </c>
      <c r="I168" s="397" t="str">
        <f t="shared" si="101"/>
        <v/>
      </c>
      <c r="J168" s="395" t="str">
        <f t="shared" si="101"/>
        <v/>
      </c>
      <c r="K168" s="400" t="str">
        <f t="shared" si="101"/>
        <v/>
      </c>
      <c r="L168" s="397" t="str">
        <f t="shared" si="101"/>
        <v/>
      </c>
      <c r="M168" s="395" t="str">
        <f t="shared" si="101"/>
        <v/>
      </c>
      <c r="N168" s="395" t="str">
        <f t="shared" si="101"/>
        <v/>
      </c>
      <c r="O168" s="410" t="str">
        <f t="shared" si="101"/>
        <v/>
      </c>
    </row>
    <row r="169" spans="1:17" x14ac:dyDescent="0.2">
      <c r="A169" s="555"/>
      <c r="B169" s="404"/>
      <c r="C169" s="404"/>
      <c r="D169" s="391"/>
      <c r="E169" s="398"/>
      <c r="F169" s="391"/>
      <c r="G169" s="393"/>
      <c r="H169" s="398"/>
      <c r="I169" s="391"/>
      <c r="J169" s="393"/>
      <c r="K169" s="398"/>
      <c r="L169" s="391"/>
      <c r="M169" s="393"/>
      <c r="N169" s="393"/>
      <c r="O169" s="404"/>
    </row>
    <row r="170" spans="1:17" x14ac:dyDescent="0.2">
      <c r="A170" s="555">
        <v>50</v>
      </c>
      <c r="B170" s="556"/>
      <c r="C170" s="430"/>
      <c r="D170" s="431"/>
      <c r="E170" s="432"/>
      <c r="F170" s="431"/>
      <c r="G170" s="433"/>
      <c r="H170" s="434"/>
      <c r="I170" s="431"/>
      <c r="J170" s="435"/>
      <c r="K170" s="434"/>
      <c r="L170" s="431"/>
      <c r="M170" s="433"/>
      <c r="N170" s="435"/>
      <c r="O170" s="436"/>
      <c r="Q170" t="str">
        <f t="shared" ref="Q170" si="102">IF(AND(ISBLANK(B170), ISBLANK(C170)), "X", "")</f>
        <v>X</v>
      </c>
    </row>
    <row r="171" spans="1:17" x14ac:dyDescent="0.2">
      <c r="A171" s="555"/>
      <c r="B171" s="557"/>
      <c r="C171" s="414" t="s">
        <v>280</v>
      </c>
      <c r="D171" s="397" t="str">
        <f t="shared" ref="D171:O171" si="103">IF(D170="","",D170-D167)</f>
        <v/>
      </c>
      <c r="E171" s="402" t="str">
        <f t="shared" si="103"/>
        <v/>
      </c>
      <c r="F171" s="397" t="str">
        <f t="shared" si="103"/>
        <v/>
      </c>
      <c r="G171" s="395" t="str">
        <f t="shared" si="103"/>
        <v/>
      </c>
      <c r="H171" s="399" t="str">
        <f t="shared" si="103"/>
        <v/>
      </c>
      <c r="I171" s="397" t="str">
        <f t="shared" si="103"/>
        <v/>
      </c>
      <c r="J171" s="395" t="str">
        <f t="shared" si="103"/>
        <v/>
      </c>
      <c r="K171" s="400" t="str">
        <f t="shared" si="103"/>
        <v/>
      </c>
      <c r="L171" s="397" t="str">
        <f t="shared" si="103"/>
        <v/>
      </c>
      <c r="M171" s="395" t="str">
        <f t="shared" si="103"/>
        <v/>
      </c>
      <c r="N171" s="395" t="str">
        <f t="shared" si="103"/>
        <v/>
      </c>
      <c r="O171" s="410" t="str">
        <f t="shared" si="103"/>
        <v/>
      </c>
    </row>
    <row r="172" spans="1:17" x14ac:dyDescent="0.2">
      <c r="A172" s="555"/>
      <c r="B172" s="404"/>
      <c r="C172" s="404"/>
      <c r="D172" s="391"/>
      <c r="E172" s="398"/>
      <c r="F172" s="391"/>
      <c r="G172" s="393"/>
      <c r="H172" s="398"/>
      <c r="I172" s="391"/>
      <c r="J172" s="393"/>
      <c r="K172" s="398"/>
      <c r="L172" s="391"/>
      <c r="M172" s="393"/>
      <c r="N172" s="393"/>
      <c r="O172" s="404"/>
    </row>
    <row r="173" spans="1:17" x14ac:dyDescent="0.2">
      <c r="A173" s="555">
        <v>51</v>
      </c>
      <c r="B173" s="556"/>
      <c r="C173" s="430"/>
      <c r="D173" s="431"/>
      <c r="E173" s="432"/>
      <c r="F173" s="431"/>
      <c r="G173" s="433"/>
      <c r="H173" s="434"/>
      <c r="I173" s="431"/>
      <c r="J173" s="435"/>
      <c r="K173" s="434"/>
      <c r="L173" s="431"/>
      <c r="M173" s="433"/>
      <c r="N173" s="435"/>
      <c r="O173" s="436"/>
      <c r="Q173" t="str">
        <f t="shared" ref="Q173" si="104">IF(AND(ISBLANK(B173), ISBLANK(C173)), "X", "")</f>
        <v>X</v>
      </c>
    </row>
    <row r="174" spans="1:17" x14ac:dyDescent="0.2">
      <c r="A174" s="555"/>
      <c r="B174" s="557"/>
      <c r="C174" s="414" t="s">
        <v>280</v>
      </c>
      <c r="D174" s="397" t="str">
        <f t="shared" ref="D174:O174" si="105">IF(D173="","",D173-D170)</f>
        <v/>
      </c>
      <c r="E174" s="402" t="str">
        <f t="shared" si="105"/>
        <v/>
      </c>
      <c r="F174" s="397" t="str">
        <f t="shared" si="105"/>
        <v/>
      </c>
      <c r="G174" s="395" t="str">
        <f t="shared" si="105"/>
        <v/>
      </c>
      <c r="H174" s="399" t="str">
        <f t="shared" si="105"/>
        <v/>
      </c>
      <c r="I174" s="397" t="str">
        <f t="shared" si="105"/>
        <v/>
      </c>
      <c r="J174" s="395" t="str">
        <f t="shared" si="105"/>
        <v/>
      </c>
      <c r="K174" s="400" t="str">
        <f t="shared" si="105"/>
        <v/>
      </c>
      <c r="L174" s="397" t="str">
        <f t="shared" si="105"/>
        <v/>
      </c>
      <c r="M174" s="395" t="str">
        <f t="shared" si="105"/>
        <v/>
      </c>
      <c r="N174" s="395" t="str">
        <f t="shared" si="105"/>
        <v/>
      </c>
      <c r="O174" s="410" t="str">
        <f t="shared" si="105"/>
        <v/>
      </c>
    </row>
    <row r="175" spans="1:17" x14ac:dyDescent="0.2">
      <c r="A175" s="555"/>
      <c r="B175" s="404"/>
      <c r="C175" s="404"/>
      <c r="D175" s="391"/>
      <c r="E175" s="398"/>
      <c r="F175" s="391"/>
      <c r="G175" s="393"/>
      <c r="H175" s="398"/>
      <c r="I175" s="391"/>
      <c r="J175" s="393"/>
      <c r="K175" s="398"/>
      <c r="L175" s="391"/>
      <c r="M175" s="393"/>
      <c r="N175" s="393"/>
      <c r="O175" s="404"/>
    </row>
    <row r="176" spans="1:17" x14ac:dyDescent="0.2">
      <c r="A176" s="555">
        <v>52</v>
      </c>
      <c r="B176" s="556"/>
      <c r="C176" s="430"/>
      <c r="D176" s="431"/>
      <c r="E176" s="432"/>
      <c r="F176" s="431"/>
      <c r="G176" s="433"/>
      <c r="H176" s="434"/>
      <c r="I176" s="431"/>
      <c r="J176" s="435"/>
      <c r="K176" s="434"/>
      <c r="L176" s="431"/>
      <c r="M176" s="433"/>
      <c r="N176" s="435"/>
      <c r="O176" s="436"/>
      <c r="Q176" t="str">
        <f t="shared" ref="Q176" si="106">IF(AND(ISBLANK(B176), ISBLANK(C176)), "X", "")</f>
        <v>X</v>
      </c>
    </row>
    <row r="177" spans="1:18" x14ac:dyDescent="0.2">
      <c r="A177" s="555"/>
      <c r="B177" s="557"/>
      <c r="C177" s="414" t="s">
        <v>280</v>
      </c>
      <c r="D177" s="397" t="str">
        <f t="shared" ref="D177:O177" si="107">IF(D176="","",D176-D173)</f>
        <v/>
      </c>
      <c r="E177" s="402" t="str">
        <f t="shared" si="107"/>
        <v/>
      </c>
      <c r="F177" s="397" t="str">
        <f t="shared" si="107"/>
        <v/>
      </c>
      <c r="G177" s="395" t="str">
        <f t="shared" si="107"/>
        <v/>
      </c>
      <c r="H177" s="399" t="str">
        <f t="shared" si="107"/>
        <v/>
      </c>
      <c r="I177" s="397" t="str">
        <f t="shared" si="107"/>
        <v/>
      </c>
      <c r="J177" s="395" t="str">
        <f t="shared" si="107"/>
        <v/>
      </c>
      <c r="K177" s="400" t="str">
        <f t="shared" si="107"/>
        <v/>
      </c>
      <c r="L177" s="397" t="str">
        <f t="shared" si="107"/>
        <v/>
      </c>
      <c r="M177" s="395" t="str">
        <f t="shared" si="107"/>
        <v/>
      </c>
      <c r="N177" s="395" t="str">
        <f t="shared" si="107"/>
        <v/>
      </c>
      <c r="O177" s="410" t="str">
        <f t="shared" si="107"/>
        <v/>
      </c>
    </row>
    <row r="178" spans="1:18" x14ac:dyDescent="0.2">
      <c r="A178" s="555"/>
      <c r="B178" s="404"/>
      <c r="C178" s="404"/>
      <c r="D178" s="391"/>
      <c r="E178" s="398"/>
      <c r="F178" s="391"/>
      <c r="G178" s="393"/>
      <c r="H178" s="398"/>
      <c r="I178" s="391"/>
      <c r="J178" s="393"/>
      <c r="K178" s="398"/>
      <c r="L178" s="391"/>
      <c r="M178" s="393"/>
      <c r="N178" s="393"/>
      <c r="O178" s="404"/>
    </row>
    <row r="179" spans="1:18" x14ac:dyDescent="0.2">
      <c r="A179" s="555">
        <v>53</v>
      </c>
      <c r="B179" s="556"/>
      <c r="C179" s="430"/>
      <c r="D179" s="431"/>
      <c r="E179" s="432"/>
      <c r="F179" s="431"/>
      <c r="G179" s="433"/>
      <c r="H179" s="434"/>
      <c r="I179" s="431"/>
      <c r="J179" s="435"/>
      <c r="K179" s="434"/>
      <c r="L179" s="431"/>
      <c r="M179" s="433"/>
      <c r="N179" s="435"/>
      <c r="O179" s="436"/>
      <c r="Q179" t="str">
        <f t="shared" ref="Q179" si="108">IF(AND(ISBLANK(B179), ISBLANK(C179)), "X", "")</f>
        <v>X</v>
      </c>
    </row>
    <row r="180" spans="1:18" x14ac:dyDescent="0.2">
      <c r="A180" s="555"/>
      <c r="B180" s="557"/>
      <c r="C180" s="414" t="s">
        <v>280</v>
      </c>
      <c r="D180" s="397" t="str">
        <f t="shared" ref="D180:O180" si="109">IF(D179="","",D179-D176)</f>
        <v/>
      </c>
      <c r="E180" s="402" t="str">
        <f t="shared" si="109"/>
        <v/>
      </c>
      <c r="F180" s="397" t="str">
        <f t="shared" si="109"/>
        <v/>
      </c>
      <c r="G180" s="395" t="str">
        <f t="shared" si="109"/>
        <v/>
      </c>
      <c r="H180" s="399" t="str">
        <f t="shared" si="109"/>
        <v/>
      </c>
      <c r="I180" s="397" t="str">
        <f t="shared" si="109"/>
        <v/>
      </c>
      <c r="J180" s="395" t="str">
        <f t="shared" si="109"/>
        <v/>
      </c>
      <c r="K180" s="400" t="str">
        <f t="shared" si="109"/>
        <v/>
      </c>
      <c r="L180" s="397" t="str">
        <f t="shared" si="109"/>
        <v/>
      </c>
      <c r="M180" s="395" t="str">
        <f t="shared" si="109"/>
        <v/>
      </c>
      <c r="N180" s="395" t="str">
        <f t="shared" si="109"/>
        <v/>
      </c>
      <c r="O180" s="410" t="str">
        <f t="shared" si="109"/>
        <v/>
      </c>
    </row>
    <row r="181" spans="1:18" x14ac:dyDescent="0.2">
      <c r="A181" s="555"/>
      <c r="B181" s="404"/>
      <c r="C181" s="404"/>
      <c r="D181" s="391"/>
      <c r="E181" s="398"/>
      <c r="F181" s="391"/>
      <c r="G181" s="393"/>
      <c r="H181" s="398"/>
      <c r="I181" s="391"/>
      <c r="J181" s="393"/>
      <c r="K181" s="398"/>
      <c r="L181" s="391"/>
      <c r="M181" s="393"/>
      <c r="N181" s="393"/>
      <c r="O181" s="404"/>
      <c r="R181" t="s">
        <v>284</v>
      </c>
    </row>
    <row r="182" spans="1:18" x14ac:dyDescent="0.2">
      <c r="A182" s="555">
        <v>54</v>
      </c>
      <c r="B182" s="556"/>
      <c r="C182" s="430"/>
      <c r="D182" s="431"/>
      <c r="E182" s="432"/>
      <c r="F182" s="431"/>
      <c r="G182" s="433"/>
      <c r="H182" s="434"/>
      <c r="I182" s="431"/>
      <c r="J182" s="435"/>
      <c r="K182" s="434"/>
      <c r="L182" s="431"/>
      <c r="M182" s="433"/>
      <c r="N182" s="435"/>
      <c r="O182" s="436"/>
      <c r="Q182" t="str">
        <f t="shared" ref="Q182" si="110">IF(AND(ISBLANK(B182), ISBLANK(C182)), "X", "")</f>
        <v>X</v>
      </c>
    </row>
    <row r="183" spans="1:18" x14ac:dyDescent="0.2">
      <c r="A183" s="555"/>
      <c r="B183" s="557"/>
      <c r="C183" s="414" t="s">
        <v>280</v>
      </c>
      <c r="D183" s="397" t="str">
        <f t="shared" ref="D183:O183" si="111">IF(D182="","",D182-D179)</f>
        <v/>
      </c>
      <c r="E183" s="402" t="str">
        <f t="shared" si="111"/>
        <v/>
      </c>
      <c r="F183" s="397" t="str">
        <f t="shared" si="111"/>
        <v/>
      </c>
      <c r="G183" s="395" t="str">
        <f t="shared" si="111"/>
        <v/>
      </c>
      <c r="H183" s="399" t="str">
        <f t="shared" si="111"/>
        <v/>
      </c>
      <c r="I183" s="397" t="str">
        <f t="shared" si="111"/>
        <v/>
      </c>
      <c r="J183" s="395" t="str">
        <f t="shared" si="111"/>
        <v/>
      </c>
      <c r="K183" s="400" t="str">
        <f t="shared" si="111"/>
        <v/>
      </c>
      <c r="L183" s="397" t="str">
        <f t="shared" si="111"/>
        <v/>
      </c>
      <c r="M183" s="395" t="str">
        <f t="shared" si="111"/>
        <v/>
      </c>
      <c r="N183" s="395" t="str">
        <f t="shared" si="111"/>
        <v/>
      </c>
      <c r="O183" s="410" t="str">
        <f t="shared" si="111"/>
        <v/>
      </c>
    </row>
    <row r="184" spans="1:18" x14ac:dyDescent="0.2">
      <c r="A184" s="555"/>
      <c r="B184" s="404"/>
      <c r="C184" s="404"/>
      <c r="D184" s="391"/>
      <c r="E184" s="398"/>
      <c r="F184" s="391"/>
      <c r="G184" s="393"/>
      <c r="H184" s="398"/>
      <c r="I184" s="391"/>
      <c r="J184" s="393"/>
      <c r="K184" s="398"/>
      <c r="L184" s="391"/>
      <c r="M184" s="393"/>
      <c r="N184" s="393"/>
      <c r="O184" s="404"/>
    </row>
    <row r="185" spans="1:18" x14ac:dyDescent="0.2">
      <c r="A185" s="555">
        <v>55</v>
      </c>
      <c r="B185" s="556"/>
      <c r="C185" s="430"/>
      <c r="D185" s="431"/>
      <c r="E185" s="432"/>
      <c r="F185" s="431"/>
      <c r="G185" s="433"/>
      <c r="H185" s="434"/>
      <c r="I185" s="431"/>
      <c r="J185" s="435"/>
      <c r="K185" s="434"/>
      <c r="L185" s="431"/>
      <c r="M185" s="433"/>
      <c r="N185" s="435"/>
      <c r="O185" s="436"/>
      <c r="Q185" t="str">
        <f t="shared" ref="Q185" si="112">IF(AND(ISBLANK(B185), ISBLANK(C185)), "X", "")</f>
        <v>X</v>
      </c>
    </row>
    <row r="186" spans="1:18" x14ac:dyDescent="0.2">
      <c r="A186" s="555"/>
      <c r="B186" s="557"/>
      <c r="C186" s="414" t="s">
        <v>280</v>
      </c>
      <c r="D186" s="397" t="str">
        <f t="shared" ref="D186:O186" si="113">IF(D185="","",D185-D182)</f>
        <v/>
      </c>
      <c r="E186" s="402" t="str">
        <f t="shared" si="113"/>
        <v/>
      </c>
      <c r="F186" s="397" t="str">
        <f t="shared" si="113"/>
        <v/>
      </c>
      <c r="G186" s="395" t="str">
        <f t="shared" si="113"/>
        <v/>
      </c>
      <c r="H186" s="399" t="str">
        <f t="shared" si="113"/>
        <v/>
      </c>
      <c r="I186" s="397" t="str">
        <f t="shared" si="113"/>
        <v/>
      </c>
      <c r="J186" s="395" t="str">
        <f t="shared" si="113"/>
        <v/>
      </c>
      <c r="K186" s="400" t="str">
        <f t="shared" si="113"/>
        <v/>
      </c>
      <c r="L186" s="397" t="str">
        <f t="shared" si="113"/>
        <v/>
      </c>
      <c r="M186" s="395" t="str">
        <f t="shared" si="113"/>
        <v/>
      </c>
      <c r="N186" s="395" t="str">
        <f t="shared" si="113"/>
        <v/>
      </c>
      <c r="O186" s="410" t="str">
        <f t="shared" si="113"/>
        <v/>
      </c>
    </row>
    <row r="187" spans="1:18" x14ac:dyDescent="0.2">
      <c r="A187" s="555"/>
      <c r="B187" s="404"/>
      <c r="C187" s="404"/>
      <c r="D187" s="391"/>
      <c r="E187" s="398"/>
      <c r="F187" s="391"/>
      <c r="G187" s="393"/>
      <c r="H187" s="398"/>
      <c r="I187" s="391"/>
      <c r="J187" s="393"/>
      <c r="K187" s="398"/>
      <c r="L187" s="391"/>
      <c r="M187" s="393"/>
      <c r="N187" s="393"/>
      <c r="O187" s="404"/>
    </row>
    <row r="188" spans="1:18" x14ac:dyDescent="0.2">
      <c r="A188" s="555">
        <v>56</v>
      </c>
      <c r="B188" s="556"/>
      <c r="C188" s="430"/>
      <c r="D188" s="431"/>
      <c r="E188" s="432"/>
      <c r="F188" s="431"/>
      <c r="G188" s="433"/>
      <c r="H188" s="434"/>
      <c r="I188" s="431"/>
      <c r="J188" s="435"/>
      <c r="K188" s="434"/>
      <c r="L188" s="431"/>
      <c r="M188" s="433"/>
      <c r="N188" s="435"/>
      <c r="O188" s="436"/>
      <c r="Q188" t="str">
        <f t="shared" ref="Q188" si="114">IF(AND(ISBLANK(B188), ISBLANK(C188)), "X", "")</f>
        <v>X</v>
      </c>
    </row>
    <row r="189" spans="1:18" x14ac:dyDescent="0.2">
      <c r="A189" s="555"/>
      <c r="B189" s="557"/>
      <c r="C189" s="414" t="s">
        <v>280</v>
      </c>
      <c r="D189" s="397" t="str">
        <f t="shared" ref="D189:O189" si="115">IF(D188="","",D188-D185)</f>
        <v/>
      </c>
      <c r="E189" s="402" t="str">
        <f t="shared" si="115"/>
        <v/>
      </c>
      <c r="F189" s="397" t="str">
        <f t="shared" si="115"/>
        <v/>
      </c>
      <c r="G189" s="395" t="str">
        <f t="shared" si="115"/>
        <v/>
      </c>
      <c r="H189" s="399" t="str">
        <f t="shared" si="115"/>
        <v/>
      </c>
      <c r="I189" s="397" t="str">
        <f t="shared" si="115"/>
        <v/>
      </c>
      <c r="J189" s="395" t="str">
        <f t="shared" si="115"/>
        <v/>
      </c>
      <c r="K189" s="400" t="str">
        <f t="shared" si="115"/>
        <v/>
      </c>
      <c r="L189" s="397" t="str">
        <f t="shared" si="115"/>
        <v/>
      </c>
      <c r="M189" s="395" t="str">
        <f t="shared" si="115"/>
        <v/>
      </c>
      <c r="N189" s="395" t="str">
        <f t="shared" si="115"/>
        <v/>
      </c>
      <c r="O189" s="410" t="str">
        <f t="shared" si="115"/>
        <v/>
      </c>
    </row>
    <row r="190" spans="1:18" x14ac:dyDescent="0.2">
      <c r="A190" s="555"/>
      <c r="B190" s="404"/>
      <c r="C190" s="404"/>
      <c r="D190" s="391"/>
      <c r="E190" s="398"/>
      <c r="F190" s="391"/>
      <c r="G190" s="393"/>
      <c r="H190" s="398"/>
      <c r="I190" s="391"/>
      <c r="J190" s="393"/>
      <c r="K190" s="398"/>
      <c r="L190" s="391"/>
      <c r="M190" s="393"/>
      <c r="N190" s="393"/>
      <c r="O190" s="404"/>
    </row>
    <row r="191" spans="1:18" x14ac:dyDescent="0.2">
      <c r="A191" s="555">
        <v>57</v>
      </c>
      <c r="B191" s="556"/>
      <c r="C191" s="430"/>
      <c r="D191" s="431"/>
      <c r="E191" s="432"/>
      <c r="F191" s="431"/>
      <c r="G191" s="433"/>
      <c r="H191" s="434"/>
      <c r="I191" s="431"/>
      <c r="J191" s="435"/>
      <c r="K191" s="434"/>
      <c r="L191" s="431"/>
      <c r="M191" s="433"/>
      <c r="N191" s="435"/>
      <c r="O191" s="436"/>
      <c r="Q191" t="str">
        <f t="shared" ref="Q191" si="116">IF(AND(ISBLANK(B191), ISBLANK(C191)), "X", "")</f>
        <v>X</v>
      </c>
    </row>
    <row r="192" spans="1:18" x14ac:dyDescent="0.2">
      <c r="A192" s="555"/>
      <c r="B192" s="557"/>
      <c r="C192" s="414" t="s">
        <v>280</v>
      </c>
      <c r="D192" s="397" t="str">
        <f t="shared" ref="D192:O192" si="117">IF(D191="","",D191-D188)</f>
        <v/>
      </c>
      <c r="E192" s="402" t="str">
        <f t="shared" si="117"/>
        <v/>
      </c>
      <c r="F192" s="397" t="str">
        <f t="shared" si="117"/>
        <v/>
      </c>
      <c r="G192" s="395" t="str">
        <f t="shared" si="117"/>
        <v/>
      </c>
      <c r="H192" s="399" t="str">
        <f t="shared" si="117"/>
        <v/>
      </c>
      <c r="I192" s="397" t="str">
        <f t="shared" si="117"/>
        <v/>
      </c>
      <c r="J192" s="395" t="str">
        <f t="shared" si="117"/>
        <v/>
      </c>
      <c r="K192" s="400" t="str">
        <f t="shared" si="117"/>
        <v/>
      </c>
      <c r="L192" s="397" t="str">
        <f t="shared" si="117"/>
        <v/>
      </c>
      <c r="M192" s="395" t="str">
        <f t="shared" si="117"/>
        <v/>
      </c>
      <c r="N192" s="395" t="str">
        <f t="shared" si="117"/>
        <v/>
      </c>
      <c r="O192" s="410" t="str">
        <f t="shared" si="117"/>
        <v/>
      </c>
    </row>
    <row r="193" spans="1:18" x14ac:dyDescent="0.2">
      <c r="A193" s="555"/>
      <c r="B193" s="404"/>
      <c r="C193" s="404"/>
      <c r="D193" s="391"/>
      <c r="E193" s="398"/>
      <c r="F193" s="391"/>
      <c r="G193" s="393"/>
      <c r="H193" s="398"/>
      <c r="I193" s="391"/>
      <c r="J193" s="393"/>
      <c r="K193" s="398"/>
      <c r="L193" s="391"/>
      <c r="M193" s="393"/>
      <c r="N193" s="393"/>
      <c r="O193" s="404"/>
    </row>
    <row r="194" spans="1:18" x14ac:dyDescent="0.2">
      <c r="A194" s="555">
        <v>58</v>
      </c>
      <c r="B194" s="556"/>
      <c r="C194" s="430"/>
      <c r="D194" s="431"/>
      <c r="E194" s="432"/>
      <c r="F194" s="431"/>
      <c r="G194" s="433"/>
      <c r="H194" s="434"/>
      <c r="I194" s="431"/>
      <c r="J194" s="435"/>
      <c r="K194" s="434"/>
      <c r="L194" s="431"/>
      <c r="M194" s="433"/>
      <c r="N194" s="435"/>
      <c r="O194" s="436"/>
      <c r="Q194" t="str">
        <f t="shared" ref="Q194" si="118">IF(AND(ISBLANK(B194), ISBLANK(C194)), "X", "")</f>
        <v>X</v>
      </c>
    </row>
    <row r="195" spans="1:18" x14ac:dyDescent="0.2">
      <c r="A195" s="555"/>
      <c r="B195" s="557"/>
      <c r="C195" s="414" t="s">
        <v>280</v>
      </c>
      <c r="D195" s="397" t="str">
        <f t="shared" ref="D195:O195" si="119">IF(D194="","",D194-D191)</f>
        <v/>
      </c>
      <c r="E195" s="402" t="str">
        <f t="shared" si="119"/>
        <v/>
      </c>
      <c r="F195" s="397" t="str">
        <f t="shared" si="119"/>
        <v/>
      </c>
      <c r="G195" s="395" t="str">
        <f t="shared" si="119"/>
        <v/>
      </c>
      <c r="H195" s="399" t="str">
        <f t="shared" si="119"/>
        <v/>
      </c>
      <c r="I195" s="397" t="str">
        <f t="shared" si="119"/>
        <v/>
      </c>
      <c r="J195" s="395" t="str">
        <f t="shared" si="119"/>
        <v/>
      </c>
      <c r="K195" s="400" t="str">
        <f t="shared" si="119"/>
        <v/>
      </c>
      <c r="L195" s="397" t="str">
        <f t="shared" si="119"/>
        <v/>
      </c>
      <c r="M195" s="395" t="str">
        <f t="shared" si="119"/>
        <v/>
      </c>
      <c r="N195" s="395" t="str">
        <f t="shared" si="119"/>
        <v/>
      </c>
      <c r="O195" s="410" t="str">
        <f t="shared" si="119"/>
        <v/>
      </c>
    </row>
    <row r="196" spans="1:18" x14ac:dyDescent="0.2">
      <c r="A196" s="555"/>
      <c r="B196" s="404"/>
      <c r="C196" s="404"/>
      <c r="D196" s="391"/>
      <c r="E196" s="398"/>
      <c r="F196" s="391"/>
      <c r="G196" s="393"/>
      <c r="H196" s="398"/>
      <c r="I196" s="391"/>
      <c r="J196" s="393"/>
      <c r="K196" s="398"/>
      <c r="L196" s="391"/>
      <c r="M196" s="393"/>
      <c r="N196" s="393"/>
      <c r="O196" s="404"/>
    </row>
    <row r="197" spans="1:18" x14ac:dyDescent="0.2">
      <c r="A197" s="555">
        <v>59</v>
      </c>
      <c r="B197" s="556"/>
      <c r="C197" s="430"/>
      <c r="D197" s="431"/>
      <c r="E197" s="432"/>
      <c r="F197" s="431"/>
      <c r="G197" s="433"/>
      <c r="H197" s="434"/>
      <c r="I197" s="431"/>
      <c r="J197" s="435"/>
      <c r="K197" s="434"/>
      <c r="L197" s="431"/>
      <c r="M197" s="433"/>
      <c r="N197" s="435"/>
      <c r="O197" s="436"/>
      <c r="Q197" t="str">
        <f t="shared" ref="Q197" si="120">IF(AND(ISBLANK(B197), ISBLANK(C197)), "X", "")</f>
        <v>X</v>
      </c>
    </row>
    <row r="198" spans="1:18" x14ac:dyDescent="0.2">
      <c r="A198" s="555"/>
      <c r="B198" s="557"/>
      <c r="C198" s="414" t="s">
        <v>280</v>
      </c>
      <c r="D198" s="397" t="str">
        <f t="shared" ref="D198:O198" si="121">IF(D197="","",D197-D194)</f>
        <v/>
      </c>
      <c r="E198" s="402" t="str">
        <f t="shared" si="121"/>
        <v/>
      </c>
      <c r="F198" s="397" t="str">
        <f t="shared" si="121"/>
        <v/>
      </c>
      <c r="G198" s="395" t="str">
        <f t="shared" si="121"/>
        <v/>
      </c>
      <c r="H198" s="399" t="str">
        <f t="shared" si="121"/>
        <v/>
      </c>
      <c r="I198" s="397" t="str">
        <f t="shared" si="121"/>
        <v/>
      </c>
      <c r="J198" s="395" t="str">
        <f t="shared" si="121"/>
        <v/>
      </c>
      <c r="K198" s="400" t="str">
        <f t="shared" si="121"/>
        <v/>
      </c>
      <c r="L198" s="397" t="str">
        <f t="shared" si="121"/>
        <v/>
      </c>
      <c r="M198" s="395" t="str">
        <f t="shared" si="121"/>
        <v/>
      </c>
      <c r="N198" s="395" t="str">
        <f t="shared" si="121"/>
        <v/>
      </c>
      <c r="O198" s="410" t="str">
        <f t="shared" si="121"/>
        <v/>
      </c>
    </row>
    <row r="199" spans="1:18" x14ac:dyDescent="0.2">
      <c r="A199" s="555"/>
      <c r="B199" s="404"/>
      <c r="C199" s="404"/>
      <c r="D199" s="391"/>
      <c r="E199" s="398"/>
      <c r="F199" s="391"/>
      <c r="G199" s="393"/>
      <c r="H199" s="398"/>
      <c r="I199" s="391"/>
      <c r="J199" s="393"/>
      <c r="K199" s="398"/>
      <c r="L199" s="391"/>
      <c r="M199" s="393"/>
      <c r="N199" s="393"/>
      <c r="O199" s="404"/>
    </row>
    <row r="200" spans="1:18" x14ac:dyDescent="0.2">
      <c r="A200" s="555">
        <v>60</v>
      </c>
      <c r="B200" s="556"/>
      <c r="C200" s="430"/>
      <c r="D200" s="431"/>
      <c r="E200" s="432"/>
      <c r="F200" s="431"/>
      <c r="G200" s="433"/>
      <c r="H200" s="434"/>
      <c r="I200" s="431"/>
      <c r="J200" s="435"/>
      <c r="K200" s="434"/>
      <c r="L200" s="431"/>
      <c r="M200" s="433"/>
      <c r="N200" s="435"/>
      <c r="O200" s="436"/>
      <c r="Q200" t="str">
        <f t="shared" ref="Q200" si="122">IF(AND(ISBLANK(B200), ISBLANK(C200)), "X", "")</f>
        <v>X</v>
      </c>
    </row>
    <row r="201" spans="1:18" x14ac:dyDescent="0.2">
      <c r="A201" s="555"/>
      <c r="B201" s="557"/>
      <c r="C201" s="414" t="s">
        <v>280</v>
      </c>
      <c r="D201" s="397" t="str">
        <f t="shared" ref="D201:O201" si="123">IF(D200="","",D200-D197)</f>
        <v/>
      </c>
      <c r="E201" s="402" t="str">
        <f t="shared" si="123"/>
        <v/>
      </c>
      <c r="F201" s="397" t="str">
        <f t="shared" si="123"/>
        <v/>
      </c>
      <c r="G201" s="395" t="str">
        <f t="shared" si="123"/>
        <v/>
      </c>
      <c r="H201" s="399" t="str">
        <f t="shared" si="123"/>
        <v/>
      </c>
      <c r="I201" s="397" t="str">
        <f t="shared" si="123"/>
        <v/>
      </c>
      <c r="J201" s="395" t="str">
        <f t="shared" si="123"/>
        <v/>
      </c>
      <c r="K201" s="400" t="str">
        <f t="shared" si="123"/>
        <v/>
      </c>
      <c r="L201" s="397" t="str">
        <f t="shared" si="123"/>
        <v/>
      </c>
      <c r="M201" s="395" t="str">
        <f t="shared" si="123"/>
        <v/>
      </c>
      <c r="N201" s="395" t="str">
        <f t="shared" si="123"/>
        <v/>
      </c>
      <c r="O201" s="410" t="str">
        <f t="shared" si="123"/>
        <v/>
      </c>
    </row>
    <row r="202" spans="1:18" ht="13.5" thickBot="1" x14ac:dyDescent="0.25">
      <c r="A202" s="555"/>
      <c r="B202" s="426"/>
      <c r="C202" s="426"/>
      <c r="D202" s="426"/>
      <c r="E202" s="426"/>
      <c r="F202" s="426"/>
      <c r="G202" s="426"/>
      <c r="H202" s="426"/>
      <c r="I202" s="426"/>
      <c r="J202" s="426"/>
      <c r="K202" s="426"/>
      <c r="L202" s="426"/>
      <c r="M202" s="426"/>
      <c r="N202" s="426"/>
      <c r="O202" s="426"/>
      <c r="P202" s="426"/>
      <c r="Q202" s="426"/>
      <c r="R202" s="426"/>
    </row>
    <row r="203" spans="1:18" ht="13.5" thickTop="1" x14ac:dyDescent="0.2">
      <c r="R203" t="s">
        <v>283</v>
      </c>
    </row>
    <row r="209" spans="2:15" x14ac:dyDescent="0.2">
      <c r="B209" s="571"/>
      <c r="C209" s="571"/>
      <c r="D209" s="571"/>
      <c r="E209" s="571"/>
      <c r="F209" s="571"/>
      <c r="G209" s="571"/>
      <c r="H209" s="571"/>
      <c r="I209" s="571"/>
      <c r="J209" s="571"/>
      <c r="K209" s="571"/>
      <c r="L209" s="571"/>
      <c r="M209" s="571"/>
      <c r="N209" s="571"/>
      <c r="O209" s="571"/>
    </row>
    <row r="211" spans="2:15" x14ac:dyDescent="0.2">
      <c r="B211" s="568"/>
      <c r="C211" s="568"/>
      <c r="D211" s="568"/>
      <c r="E211" s="568"/>
      <c r="F211" s="568"/>
      <c r="G211" s="568"/>
      <c r="H211" s="568"/>
      <c r="I211" s="568"/>
      <c r="J211" s="568"/>
      <c r="K211" s="568"/>
      <c r="L211" s="568"/>
      <c r="M211" s="568"/>
      <c r="N211" s="568"/>
      <c r="O211" s="568"/>
    </row>
    <row r="212" spans="2:15" x14ac:dyDescent="0.2">
      <c r="B212" s="569"/>
      <c r="C212" s="569"/>
      <c r="D212" s="569"/>
      <c r="E212" s="569"/>
      <c r="F212" s="569"/>
      <c r="G212" s="569"/>
      <c r="H212" s="569"/>
      <c r="I212" s="569"/>
      <c r="J212" s="569"/>
      <c r="K212" s="569"/>
      <c r="L212" s="569"/>
      <c r="M212" s="569"/>
      <c r="N212" s="569"/>
      <c r="O212" s="569"/>
    </row>
  </sheetData>
  <sheetProtection password="82A3" sheet="1" objects="1" scenarios="1"/>
  <mergeCells count="129">
    <mergeCell ref="B211:O211"/>
    <mergeCell ref="B212:O212"/>
    <mergeCell ref="B16:O16"/>
    <mergeCell ref="A74:A76"/>
    <mergeCell ref="B74:B75"/>
    <mergeCell ref="B209:O209"/>
    <mergeCell ref="A77:A79"/>
    <mergeCell ref="B77:B78"/>
    <mergeCell ref="A80:A82"/>
    <mergeCell ref="B80:B81"/>
    <mergeCell ref="A68:A70"/>
    <mergeCell ref="B68:B69"/>
    <mergeCell ref="A71:A73"/>
    <mergeCell ref="B71:B72"/>
    <mergeCell ref="A62:A64"/>
    <mergeCell ref="A53:A55"/>
    <mergeCell ref="B53:B54"/>
    <mergeCell ref="A44:A46"/>
    <mergeCell ref="B44:B45"/>
    <mergeCell ref="A47:A49"/>
    <mergeCell ref="B47:B48"/>
    <mergeCell ref="B62:B63"/>
    <mergeCell ref="A65:A67"/>
    <mergeCell ref="B65:B66"/>
    <mergeCell ref="A56:A58"/>
    <mergeCell ref="B56:B57"/>
    <mergeCell ref="A59:A61"/>
    <mergeCell ref="B59:B60"/>
    <mergeCell ref="A38:A40"/>
    <mergeCell ref="B38:B39"/>
    <mergeCell ref="A41:A43"/>
    <mergeCell ref="B41:B42"/>
    <mergeCell ref="A32:A34"/>
    <mergeCell ref="B32:B33"/>
    <mergeCell ref="A35:A37"/>
    <mergeCell ref="B35:B36"/>
    <mergeCell ref="A50:A52"/>
    <mergeCell ref="B50:B51"/>
    <mergeCell ref="D18:E18"/>
    <mergeCell ref="I18:K18"/>
    <mergeCell ref="F18:H18"/>
    <mergeCell ref="L18:O18"/>
    <mergeCell ref="B23:B24"/>
    <mergeCell ref="B26:B27"/>
    <mergeCell ref="A23:A25"/>
    <mergeCell ref="A26:A28"/>
    <mergeCell ref="A29:A31"/>
    <mergeCell ref="B29:B30"/>
    <mergeCell ref="A92:A94"/>
    <mergeCell ref="B92:B93"/>
    <mergeCell ref="A95:A97"/>
    <mergeCell ref="B95:B96"/>
    <mergeCell ref="A98:A100"/>
    <mergeCell ref="B98:B99"/>
    <mergeCell ref="A83:A85"/>
    <mergeCell ref="B83:B84"/>
    <mergeCell ref="A86:A88"/>
    <mergeCell ref="B86:B87"/>
    <mergeCell ref="A89:A91"/>
    <mergeCell ref="B89:B90"/>
    <mergeCell ref="A110:A112"/>
    <mergeCell ref="B110:B111"/>
    <mergeCell ref="A113:A115"/>
    <mergeCell ref="B113:B114"/>
    <mergeCell ref="A116:A118"/>
    <mergeCell ref="B116:B117"/>
    <mergeCell ref="A101:A103"/>
    <mergeCell ref="B101:B102"/>
    <mergeCell ref="A104:A106"/>
    <mergeCell ref="B104:B105"/>
    <mergeCell ref="A107:A109"/>
    <mergeCell ref="B107:B108"/>
    <mergeCell ref="A128:A130"/>
    <mergeCell ref="B128:B129"/>
    <mergeCell ref="A131:A133"/>
    <mergeCell ref="B131:B132"/>
    <mergeCell ref="A134:A136"/>
    <mergeCell ref="B134:B135"/>
    <mergeCell ref="A119:A121"/>
    <mergeCell ref="B119:B120"/>
    <mergeCell ref="A122:A124"/>
    <mergeCell ref="B122:B123"/>
    <mergeCell ref="A125:A127"/>
    <mergeCell ref="B125:B126"/>
    <mergeCell ref="A146:A148"/>
    <mergeCell ref="B146:B147"/>
    <mergeCell ref="A149:A151"/>
    <mergeCell ref="B149:B150"/>
    <mergeCell ref="A152:A154"/>
    <mergeCell ref="B152:B153"/>
    <mergeCell ref="A137:A139"/>
    <mergeCell ref="B137:B138"/>
    <mergeCell ref="A140:A142"/>
    <mergeCell ref="B140:B141"/>
    <mergeCell ref="A143:A145"/>
    <mergeCell ref="B143:B144"/>
    <mergeCell ref="B167:B168"/>
    <mergeCell ref="A170:A172"/>
    <mergeCell ref="B170:B171"/>
    <mergeCell ref="A155:A157"/>
    <mergeCell ref="B155:B156"/>
    <mergeCell ref="A158:A160"/>
    <mergeCell ref="B158:B159"/>
    <mergeCell ref="A161:A163"/>
    <mergeCell ref="B161:B162"/>
    <mergeCell ref="B15:O15"/>
    <mergeCell ref="A200:A202"/>
    <mergeCell ref="B200:B201"/>
    <mergeCell ref="A191:A193"/>
    <mergeCell ref="B191:B192"/>
    <mergeCell ref="A194:A196"/>
    <mergeCell ref="B194:B195"/>
    <mergeCell ref="A197:A199"/>
    <mergeCell ref="B197:B198"/>
    <mergeCell ref="A182:A184"/>
    <mergeCell ref="B182:B183"/>
    <mergeCell ref="A185:A187"/>
    <mergeCell ref="B185:B186"/>
    <mergeCell ref="A188:A190"/>
    <mergeCell ref="B188:B189"/>
    <mergeCell ref="A173:A175"/>
    <mergeCell ref="B173:B174"/>
    <mergeCell ref="A176:A178"/>
    <mergeCell ref="B176:B177"/>
    <mergeCell ref="A179:A181"/>
    <mergeCell ref="B179:B180"/>
    <mergeCell ref="A164:A166"/>
    <mergeCell ref="B164:B165"/>
    <mergeCell ref="A167:A169"/>
  </mergeCells>
  <pageMargins left="0.70866141732283472" right="0.70866141732283472" top="0.74803149606299213" bottom="0.74803149606299213" header="0.31496062992125984" footer="0.31496062992125984"/>
  <pageSetup scale="50" fitToHeight="0" orientation="landscape" r:id="rId1"/>
  <rowBreaks count="3" manualBreakCount="3">
    <brk id="76" max="14" man="1"/>
    <brk id="130" max="14" man="1"/>
    <brk id="18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V46"/>
  <sheetViews>
    <sheetView showGridLines="0" view="pageBreakPreview" zoomScaleNormal="100" zoomScaleSheetLayoutView="100" workbookViewId="0"/>
  </sheetViews>
  <sheetFormatPr defaultRowHeight="12.75" x14ac:dyDescent="0.2"/>
  <cols>
    <col min="1" max="7" width="9.140625" style="5"/>
    <col min="8" max="8" width="7" style="5" customWidth="1"/>
    <col min="9" max="9" width="11.28515625" style="5" customWidth="1"/>
    <col min="10" max="13" width="9.140625" style="5"/>
    <col min="15" max="16384" width="9.140625" style="5"/>
  </cols>
  <sheetData>
    <row r="1" spans="3:11" s="2" customFormat="1" ht="21.75" x14ac:dyDescent="0.2">
      <c r="C1" s="460"/>
      <c r="D1" s="460"/>
      <c r="E1" s="460"/>
      <c r="F1" s="277"/>
      <c r="G1" s="277"/>
      <c r="H1" s="277"/>
      <c r="I1" s="1"/>
    </row>
    <row r="2" spans="3:11" s="2" customFormat="1" ht="18" x14ac:dyDescent="0.25">
      <c r="C2" s="270"/>
      <c r="D2" s="461"/>
      <c r="E2" s="461"/>
      <c r="F2" s="461"/>
      <c r="G2" s="461"/>
      <c r="H2" s="271"/>
    </row>
    <row r="3" spans="3:11" s="2" customFormat="1" ht="18" x14ac:dyDescent="0.25">
      <c r="C3" s="270"/>
      <c r="D3" s="272"/>
      <c r="E3" s="272"/>
      <c r="F3" s="272"/>
      <c r="G3" s="272"/>
      <c r="H3" s="273"/>
    </row>
    <row r="4" spans="3:11" s="2" customFormat="1" ht="18" x14ac:dyDescent="0.25">
      <c r="C4" s="274"/>
      <c r="D4" s="461"/>
      <c r="E4" s="461"/>
      <c r="F4" s="274"/>
      <c r="G4" s="274"/>
      <c r="H4" s="30"/>
      <c r="I4" s="9"/>
    </row>
    <row r="5" spans="3:11" s="2" customFormat="1" ht="18" x14ac:dyDescent="0.25">
      <c r="C5" s="274"/>
      <c r="D5" s="272"/>
      <c r="E5" s="272"/>
      <c r="F5" s="274"/>
      <c r="G5" s="274"/>
      <c r="H5" s="30"/>
      <c r="I5" s="9"/>
    </row>
    <row r="6" spans="3:11" s="2" customFormat="1" ht="18" x14ac:dyDescent="0.25">
      <c r="C6" s="274"/>
      <c r="D6" s="278"/>
      <c r="E6" s="274"/>
      <c r="F6" s="275"/>
      <c r="G6" s="276"/>
      <c r="H6" s="30"/>
    </row>
    <row r="7" spans="3:11" s="2" customFormat="1" ht="15.75" x14ac:dyDescent="0.25">
      <c r="F7" s="3"/>
      <c r="G7" s="3"/>
      <c r="J7" s="7"/>
    </row>
    <row r="8" spans="3:11" s="2" customFormat="1" x14ac:dyDescent="0.2"/>
    <row r="9" spans="3:11" s="2" customFormat="1" ht="18" x14ac:dyDescent="0.25">
      <c r="C9" s="337"/>
    </row>
    <row r="10" spans="3:11" s="2" customFormat="1" ht="18" x14ac:dyDescent="0.25">
      <c r="C10" s="337"/>
    </row>
    <row r="11" spans="3:11" s="2" customFormat="1" ht="15" x14ac:dyDescent="0.2">
      <c r="D11" s="336" t="s">
        <v>220</v>
      </c>
      <c r="E11" s="338"/>
      <c r="F11" s="339"/>
      <c r="G11" s="339"/>
      <c r="H11" s="339"/>
      <c r="I11" s="336" t="s">
        <v>224</v>
      </c>
      <c r="J11" s="340"/>
      <c r="K11" s="290"/>
    </row>
    <row r="12" spans="3:11" s="2" customFormat="1" ht="15" x14ac:dyDescent="0.2">
      <c r="D12" s="291"/>
      <c r="E12" s="339"/>
      <c r="F12" s="339"/>
      <c r="G12" s="339"/>
      <c r="H12" s="339"/>
      <c r="J12" s="340"/>
      <c r="K12" s="290"/>
    </row>
    <row r="13" spans="3:11" s="2" customFormat="1" ht="15.75" x14ac:dyDescent="0.25">
      <c r="D13" s="336" t="s">
        <v>235</v>
      </c>
      <c r="E13" s="339"/>
      <c r="F13" s="339"/>
      <c r="G13" s="339"/>
      <c r="H13" s="339"/>
      <c r="I13" s="336" t="s">
        <v>225</v>
      </c>
      <c r="J13" s="341"/>
      <c r="K13" s="290"/>
    </row>
    <row r="14" spans="3:11" s="2" customFormat="1" ht="15.75" x14ac:dyDescent="0.25">
      <c r="D14" s="291"/>
      <c r="E14" s="339"/>
      <c r="F14" s="339"/>
      <c r="G14" s="339"/>
      <c r="H14" s="339"/>
      <c r="I14" s="292"/>
      <c r="J14" s="342"/>
      <c r="K14" s="290"/>
    </row>
    <row r="15" spans="3:11" s="2" customFormat="1" ht="15.75" x14ac:dyDescent="0.25">
      <c r="D15" s="336" t="s">
        <v>221</v>
      </c>
      <c r="E15" s="339"/>
      <c r="F15" s="339"/>
      <c r="G15" s="339"/>
      <c r="H15" s="339"/>
      <c r="I15" s="336" t="s">
        <v>234</v>
      </c>
      <c r="J15" s="341"/>
      <c r="K15" s="290"/>
    </row>
    <row r="16" spans="3:11" s="2" customFormat="1" ht="15.75" x14ac:dyDescent="0.25">
      <c r="D16" s="291"/>
      <c r="E16" s="339"/>
      <c r="F16" s="339"/>
      <c r="G16" s="339"/>
      <c r="H16" s="339"/>
      <c r="I16" s="293"/>
      <c r="J16" s="342"/>
      <c r="K16" s="290"/>
    </row>
    <row r="17" spans="1:13" s="2" customFormat="1" ht="15.75" x14ac:dyDescent="0.25">
      <c r="D17" s="336" t="s">
        <v>222</v>
      </c>
      <c r="E17" s="339"/>
      <c r="F17" s="339"/>
      <c r="G17" s="339"/>
      <c r="H17" s="339"/>
      <c r="I17" s="336" t="s">
        <v>226</v>
      </c>
      <c r="J17" s="341"/>
      <c r="K17" s="290"/>
    </row>
    <row r="18" spans="1:13" s="2" customFormat="1" ht="15.75" x14ac:dyDescent="0.25">
      <c r="D18" s="291"/>
      <c r="E18" s="339"/>
      <c r="F18" s="339"/>
      <c r="G18" s="339"/>
      <c r="H18" s="339"/>
      <c r="I18" s="336"/>
      <c r="J18" s="342"/>
      <c r="K18" s="290"/>
    </row>
    <row r="19" spans="1:13" s="2" customFormat="1" ht="15.75" customHeight="1" x14ac:dyDescent="0.2">
      <c r="D19" s="336" t="s">
        <v>223</v>
      </c>
      <c r="E19" s="339"/>
      <c r="F19" s="339"/>
      <c r="G19" s="339"/>
      <c r="H19" s="339"/>
      <c r="I19" s="336" t="s">
        <v>264</v>
      </c>
      <c r="J19" s="336"/>
      <c r="K19" s="290"/>
    </row>
    <row r="20" spans="1:13" s="2" customFormat="1" ht="15.75" x14ac:dyDescent="0.25">
      <c r="D20" s="294"/>
      <c r="E20" s="339"/>
      <c r="F20" s="339"/>
      <c r="G20" s="339"/>
      <c r="H20" s="343"/>
      <c r="I20" s="291"/>
      <c r="K20" s="290"/>
    </row>
    <row r="21" spans="1:13" s="2" customFormat="1" ht="15.75" x14ac:dyDescent="0.25">
      <c r="D21" s="336"/>
      <c r="E21" s="339"/>
      <c r="F21" s="339"/>
      <c r="G21" s="339"/>
      <c r="H21" s="343"/>
      <c r="I21" s="291"/>
      <c r="J21" s="341"/>
      <c r="K21" s="290"/>
    </row>
    <row r="22" spans="1:13" s="2" customFormat="1" ht="15.75" x14ac:dyDescent="0.25">
      <c r="D22" s="294"/>
      <c r="E22" s="339"/>
      <c r="F22" s="339"/>
      <c r="G22" s="339"/>
      <c r="H22" s="344"/>
      <c r="I22" s="291"/>
      <c r="J22" s="342"/>
      <c r="K22" s="296"/>
    </row>
    <row r="23" spans="1:13" s="2" customFormat="1" ht="15.75" x14ac:dyDescent="0.25">
      <c r="C23" s="288"/>
      <c r="D23" s="345"/>
      <c r="E23" s="339"/>
      <c r="F23" s="342"/>
      <c r="G23" s="344"/>
      <c r="H23" s="344"/>
      <c r="I23" s="339"/>
      <c r="J23" s="339"/>
      <c r="K23" s="290"/>
    </row>
    <row r="24" spans="1:13" s="2" customFormat="1" ht="15.75" x14ac:dyDescent="0.25">
      <c r="A24" s="4" t="s">
        <v>42</v>
      </c>
      <c r="B24" s="5"/>
      <c r="C24" s="5"/>
      <c r="D24" s="346"/>
      <c r="E24" s="346"/>
      <c r="F24" s="342"/>
      <c r="G24" s="344"/>
      <c r="H24" s="344"/>
      <c r="I24" s="339"/>
      <c r="J24" s="339"/>
      <c r="K24" s="290"/>
    </row>
    <row r="25" spans="1:13" s="2" customFormat="1" x14ac:dyDescent="0.2">
      <c r="A25" s="184" t="s">
        <v>2</v>
      </c>
      <c r="B25" s="463" t="s">
        <v>51</v>
      </c>
      <c r="C25" s="463"/>
      <c r="D25" s="463"/>
      <c r="E25" s="463"/>
      <c r="F25" s="463"/>
      <c r="G25" s="463"/>
      <c r="H25" s="463"/>
    </row>
    <row r="26" spans="1:13" s="2" customFormat="1" x14ac:dyDescent="0.2">
      <c r="A26" s="184" t="s">
        <v>3</v>
      </c>
      <c r="B26" s="463" t="s">
        <v>231</v>
      </c>
      <c r="C26" s="463"/>
      <c r="D26" s="463"/>
      <c r="E26" s="463"/>
      <c r="F26" s="463"/>
      <c r="G26" s="463"/>
      <c r="H26" s="463"/>
    </row>
    <row r="27" spans="1:13" s="2" customFormat="1" x14ac:dyDescent="0.2">
      <c r="A27" s="184" t="s">
        <v>98</v>
      </c>
      <c r="B27" s="464" t="s">
        <v>230</v>
      </c>
      <c r="C27" s="464"/>
      <c r="D27" s="464"/>
      <c r="E27" s="464"/>
      <c r="F27" s="464"/>
      <c r="G27" s="464"/>
      <c r="H27" s="464"/>
    </row>
    <row r="28" spans="1:13" s="2" customFormat="1" x14ac:dyDescent="0.2">
      <c r="A28" s="11" t="s">
        <v>122</v>
      </c>
      <c r="B28" s="462" t="s">
        <v>141</v>
      </c>
      <c r="C28" s="462"/>
      <c r="D28" s="462"/>
      <c r="E28" s="462"/>
      <c r="F28" s="462"/>
      <c r="G28" s="462"/>
      <c r="H28" s="462"/>
      <c r="I28" s="462"/>
      <c r="J28" s="462"/>
      <c r="K28" s="462"/>
      <c r="L28" s="462"/>
    </row>
    <row r="29" spans="1:13" s="2" customFormat="1" x14ac:dyDescent="0.2">
      <c r="A29" s="11" t="s">
        <v>123</v>
      </c>
      <c r="B29" s="462" t="s">
        <v>159</v>
      </c>
      <c r="C29" s="462"/>
      <c r="D29" s="462"/>
      <c r="E29" s="462"/>
      <c r="F29" s="462"/>
      <c r="G29" s="462"/>
      <c r="H29" s="462"/>
      <c r="I29" s="462"/>
      <c r="J29" s="462"/>
      <c r="K29" s="462"/>
      <c r="L29" s="462"/>
      <c r="M29" s="289"/>
    </row>
    <row r="30" spans="1:13" ht="15.75" x14ac:dyDescent="0.25">
      <c r="A30" s="145"/>
      <c r="B30" s="289"/>
      <c r="C30" s="289"/>
      <c r="D30" s="289"/>
      <c r="E30" s="289"/>
      <c r="F30" s="289"/>
      <c r="G30" s="289"/>
      <c r="H30" s="289"/>
      <c r="I30" s="289"/>
      <c r="J30" s="289"/>
      <c r="K30" s="289"/>
      <c r="L30" s="289"/>
      <c r="M30" s="289"/>
    </row>
    <row r="32" spans="1:13" x14ac:dyDescent="0.2">
      <c r="C32" s="12"/>
    </row>
    <row r="33" spans="1:256" x14ac:dyDescent="0.2">
      <c r="H33" s="6"/>
    </row>
    <row r="34" spans="1:256" x14ac:dyDescent="0.2">
      <c r="F34" s="6"/>
      <c r="G34" s="6"/>
      <c r="H34" s="6"/>
    </row>
    <row r="35" spans="1:256" x14ac:dyDescent="0.2">
      <c r="F35" s="6"/>
      <c r="G35" s="6"/>
      <c r="H35" s="10"/>
      <c r="I35" s="10"/>
    </row>
    <row r="36" spans="1:256" x14ac:dyDescent="0.2">
      <c r="F36" s="289"/>
      <c r="G36" s="289"/>
      <c r="H36" s="10"/>
      <c r="I36" s="10"/>
    </row>
    <row r="37" spans="1:256" x14ac:dyDescent="0.2">
      <c r="F37" s="289"/>
      <c r="G37" s="289"/>
      <c r="H37" s="10"/>
      <c r="I37" s="10"/>
    </row>
    <row r="38" spans="1:256" ht="15.75" x14ac:dyDescent="0.25">
      <c r="F38" s="145"/>
      <c r="G38" s="145"/>
      <c r="H38" s="145"/>
      <c r="I38" s="145"/>
      <c r="J38" s="145"/>
      <c r="K38" s="145"/>
      <c r="L38" s="145"/>
      <c r="M38" s="145"/>
      <c r="O38" s="145"/>
      <c r="P38" s="145"/>
      <c r="Q38" s="145"/>
      <c r="R38" s="145"/>
      <c r="T38" s="145"/>
      <c r="U38" s="145"/>
      <c r="V38" s="145"/>
      <c r="W38" s="145"/>
      <c r="X38" s="145"/>
      <c r="Y38" s="145"/>
      <c r="Z38" s="145"/>
      <c r="AA38" s="145"/>
      <c r="AB38" s="145"/>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5"/>
      <c r="BF38" s="145"/>
      <c r="BG38" s="145"/>
      <c r="BH38" s="145"/>
      <c r="BI38" s="145"/>
      <c r="BJ38" s="145"/>
      <c r="BK38" s="145"/>
      <c r="BL38" s="145"/>
      <c r="BM38" s="145"/>
      <c r="BN38" s="145"/>
      <c r="BO38" s="145"/>
      <c r="BP38" s="145"/>
      <c r="BQ38" s="145"/>
      <c r="BR38" s="145"/>
      <c r="BS38" s="145"/>
      <c r="BT38" s="145"/>
      <c r="BU38" s="145"/>
      <c r="BV38" s="145"/>
      <c r="BW38" s="145"/>
      <c r="BX38" s="145"/>
      <c r="BY38" s="145"/>
      <c r="BZ38" s="145"/>
      <c r="CA38" s="145"/>
      <c r="CB38" s="145"/>
      <c r="CC38" s="145"/>
      <c r="CD38" s="145"/>
      <c r="CE38" s="145"/>
      <c r="CF38" s="145"/>
      <c r="CG38" s="145"/>
      <c r="CH38" s="145"/>
      <c r="CI38" s="145"/>
      <c r="CJ38" s="145"/>
      <c r="CK38" s="145"/>
      <c r="CL38" s="145"/>
      <c r="CM38" s="145"/>
      <c r="CN38" s="145"/>
      <c r="CO38" s="145"/>
      <c r="CP38" s="145"/>
      <c r="CQ38" s="145"/>
      <c r="CR38" s="145"/>
      <c r="CS38" s="145"/>
      <c r="CT38" s="145"/>
      <c r="CU38" s="145"/>
      <c r="CV38" s="145"/>
      <c r="CW38" s="145"/>
      <c r="CX38" s="145"/>
      <c r="CY38" s="145"/>
      <c r="CZ38" s="145"/>
      <c r="DA38" s="145"/>
      <c r="DB38" s="145"/>
      <c r="DC38" s="145"/>
      <c r="DD38" s="145"/>
      <c r="DE38" s="145"/>
      <c r="DF38" s="145"/>
      <c r="DG38" s="145"/>
      <c r="DH38" s="145"/>
      <c r="DI38" s="145"/>
      <c r="DJ38" s="145"/>
      <c r="DK38" s="145"/>
      <c r="DL38" s="145"/>
      <c r="DM38" s="145"/>
      <c r="DN38" s="145"/>
      <c r="DO38" s="145"/>
      <c r="DP38" s="145"/>
      <c r="DQ38" s="145"/>
      <c r="DR38" s="145"/>
      <c r="DS38" s="145"/>
      <c r="DT38" s="145"/>
      <c r="DU38" s="145"/>
      <c r="DV38" s="145"/>
      <c r="DW38" s="145"/>
      <c r="DX38" s="145"/>
      <c r="DY38" s="145"/>
      <c r="DZ38" s="145"/>
      <c r="EA38" s="145"/>
      <c r="EB38" s="145"/>
      <c r="EC38" s="145"/>
      <c r="ED38" s="145"/>
      <c r="EE38" s="145"/>
      <c r="EF38" s="145"/>
      <c r="EG38" s="145"/>
      <c r="EH38" s="145"/>
      <c r="EI38" s="145"/>
      <c r="EJ38" s="145"/>
      <c r="EK38" s="145"/>
      <c r="EL38" s="145"/>
      <c r="EM38" s="145"/>
      <c r="EN38" s="145"/>
      <c r="EO38" s="145"/>
      <c r="EP38" s="145"/>
      <c r="EQ38" s="145"/>
      <c r="ER38" s="145"/>
      <c r="ES38" s="145"/>
      <c r="ET38" s="145"/>
      <c r="EU38" s="145"/>
      <c r="EV38" s="145"/>
      <c r="EW38" s="145"/>
      <c r="EX38" s="145"/>
      <c r="EY38" s="145"/>
      <c r="EZ38" s="145"/>
      <c r="FA38" s="145"/>
      <c r="FB38" s="145"/>
      <c r="FC38" s="145"/>
      <c r="FD38" s="145"/>
      <c r="FE38" s="145"/>
      <c r="FF38" s="145"/>
      <c r="FG38" s="145"/>
      <c r="FH38" s="145"/>
      <c r="FI38" s="145"/>
      <c r="FJ38" s="145"/>
      <c r="FK38" s="145"/>
      <c r="FL38" s="145"/>
      <c r="FM38" s="145"/>
      <c r="FN38" s="145"/>
      <c r="FO38" s="145"/>
      <c r="FP38" s="145"/>
      <c r="FQ38" s="145"/>
      <c r="FR38" s="145"/>
      <c r="FS38" s="145"/>
      <c r="FT38" s="145"/>
      <c r="FU38" s="145"/>
      <c r="FV38" s="145"/>
      <c r="FW38" s="145"/>
      <c r="FX38" s="145"/>
      <c r="FY38" s="145"/>
      <c r="FZ38" s="145"/>
      <c r="GA38" s="145"/>
      <c r="GB38" s="145"/>
      <c r="GC38" s="145"/>
      <c r="GD38" s="145"/>
      <c r="GE38" s="145"/>
      <c r="GF38" s="145"/>
      <c r="GG38" s="145"/>
      <c r="GH38" s="145"/>
      <c r="GI38" s="145"/>
      <c r="GJ38" s="145"/>
      <c r="GK38" s="145"/>
      <c r="GL38" s="145"/>
      <c r="GM38" s="145"/>
      <c r="GN38" s="145"/>
      <c r="GO38" s="145"/>
      <c r="GP38" s="145"/>
      <c r="GQ38" s="145"/>
      <c r="GR38" s="145"/>
      <c r="GS38" s="145"/>
      <c r="GT38" s="145"/>
      <c r="GU38" s="145"/>
      <c r="GV38" s="145"/>
      <c r="GW38" s="145"/>
      <c r="GX38" s="145"/>
      <c r="GY38" s="145"/>
      <c r="GZ38" s="145"/>
      <c r="HA38" s="145"/>
      <c r="HB38" s="145"/>
      <c r="HC38" s="145"/>
      <c r="HD38" s="145"/>
      <c r="HE38" s="145"/>
      <c r="HF38" s="145"/>
      <c r="HG38" s="145"/>
      <c r="HH38" s="145"/>
      <c r="HI38" s="145"/>
      <c r="HJ38" s="145"/>
      <c r="HK38" s="145"/>
      <c r="HL38" s="145"/>
      <c r="HM38" s="145"/>
      <c r="HN38" s="145"/>
      <c r="HO38" s="145"/>
      <c r="HP38" s="145"/>
      <c r="HQ38" s="145"/>
      <c r="HR38" s="145"/>
      <c r="HS38" s="145"/>
      <c r="HT38" s="145"/>
      <c r="HU38" s="145"/>
      <c r="HV38" s="145"/>
      <c r="HW38" s="145"/>
      <c r="HX38" s="145"/>
      <c r="HY38" s="145"/>
      <c r="HZ38" s="145"/>
      <c r="IA38" s="145"/>
      <c r="IB38" s="145"/>
      <c r="IC38" s="145"/>
      <c r="ID38" s="145"/>
      <c r="IE38" s="145"/>
      <c r="IF38" s="145"/>
      <c r="IG38" s="145"/>
      <c r="IH38" s="145"/>
      <c r="II38" s="145"/>
      <c r="IJ38" s="145"/>
      <c r="IK38" s="145"/>
      <c r="IL38" s="145"/>
      <c r="IM38" s="145"/>
      <c r="IN38" s="145"/>
      <c r="IO38" s="145"/>
      <c r="IP38" s="145"/>
      <c r="IQ38" s="145"/>
      <c r="IR38" s="145"/>
      <c r="IS38" s="145"/>
      <c r="IT38" s="145"/>
      <c r="IU38" s="145"/>
      <c r="IV38" s="145"/>
    </row>
    <row r="39" spans="1:256" x14ac:dyDescent="0.2">
      <c r="F39" s="287"/>
      <c r="G39" s="287"/>
    </row>
    <row r="40" spans="1:256" x14ac:dyDescent="0.2">
      <c r="F40" s="287"/>
      <c r="G40" s="287"/>
    </row>
    <row r="41" spans="1:256" x14ac:dyDescent="0.2">
      <c r="F41" s="287"/>
      <c r="G41" s="287"/>
    </row>
    <row r="42" spans="1:256" x14ac:dyDescent="0.2">
      <c r="F42" s="287"/>
      <c r="G42" s="287"/>
    </row>
    <row r="43" spans="1:256" x14ac:dyDescent="0.2">
      <c r="F43" s="287"/>
      <c r="G43" s="287"/>
    </row>
    <row r="44" spans="1:256" x14ac:dyDescent="0.2">
      <c r="F44" s="287"/>
      <c r="G44" s="287"/>
    </row>
    <row r="45" spans="1:256" x14ac:dyDescent="0.2">
      <c r="F45" s="287"/>
      <c r="G45" s="287"/>
    </row>
    <row r="46" spans="1:256" x14ac:dyDescent="0.2">
      <c r="A46" s="287"/>
      <c r="B46" s="287"/>
      <c r="C46" s="287"/>
      <c r="D46" s="287"/>
      <c r="E46" s="287"/>
      <c r="F46" s="287"/>
      <c r="G46" s="287"/>
    </row>
  </sheetData>
  <sheetProtection password="82A3" sheet="1" objects="1" scenarios="1"/>
  <mergeCells count="8">
    <mergeCell ref="C1:E1"/>
    <mergeCell ref="D2:G2"/>
    <mergeCell ref="D4:E4"/>
    <mergeCell ref="B29:L29"/>
    <mergeCell ref="B25:H25"/>
    <mergeCell ref="B26:H26"/>
    <mergeCell ref="B27:H27"/>
    <mergeCell ref="B28:L28"/>
  </mergeCells>
  <phoneticPr fontId="2" type="noConversion"/>
  <hyperlinks>
    <hyperlink ref="D11" location="'1. Info'!A1" display="1. Info"/>
    <hyperlink ref="D13" location="'2. Table of Contents'!A1" display="2. Table of Contents"/>
    <hyperlink ref="D15" location="'3. Data_Input_Sheet'!A1" display="3. Data_Input_Sheet"/>
    <hyperlink ref="D17" location="'4. Rate_Base'!A1" display="4. Rate_Base"/>
    <hyperlink ref="I13" location="'7. Cost_of_Capital'!A1" display="7. Cost_of_Capital"/>
    <hyperlink ref="I15" location="'8. Rev_Def_Suff'!A1" display="8. Rev_Def_Suff"/>
    <hyperlink ref="I17" location="'9. Rev_Reqt'!A1" display="9. Rev_Reqt"/>
    <hyperlink ref="D19" location="'5. Utility Income'!A1" display="5. Utility Income"/>
    <hyperlink ref="I11" location="'6. Taxes_PILs'!A1" display="6. Taxes_PILs"/>
    <hyperlink ref="I19:J19" location="'10. Tracking_Sheet'!A1" display="10. Tracking Sheet"/>
  </hyperlinks>
  <pageMargins left="0.75" right="0.75" top="1" bottom="1" header="0.5" footer="0.5"/>
  <pageSetup scale="84" orientation="landscape" horizontalDpi="4294967293" r:id="rId1"/>
  <headerFooter alignWithMargins="0">
    <oddFooter>&amp;C1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C89"/>
  <sheetViews>
    <sheetView showGridLines="0" zoomScaleNormal="100" zoomScaleSheetLayoutView="100" workbookViewId="0">
      <selection activeCell="I19" sqref="I19"/>
    </sheetView>
  </sheetViews>
  <sheetFormatPr defaultRowHeight="12.75" x14ac:dyDescent="0.2"/>
  <cols>
    <col min="1" max="1" width="2.7109375" style="5" customWidth="1"/>
    <col min="2" max="2" width="10.7109375" style="5" customWidth="1"/>
    <col min="3" max="3" width="2.140625" style="5" customWidth="1"/>
    <col min="4" max="4" width="39.42578125" style="5" customWidth="1"/>
    <col min="5" max="5" width="15.28515625" style="5" customWidth="1"/>
    <col min="6" max="6" width="1" style="5" customWidth="1"/>
    <col min="7" max="7" width="4" style="5" customWidth="1"/>
    <col min="8" max="8" width="1" style="5" customWidth="1"/>
    <col min="9" max="9" width="13.140625" style="5" customWidth="1"/>
    <col min="10" max="10" width="1.140625" style="5" customWidth="1"/>
    <col min="11" max="11" width="2.5703125" style="5" customWidth="1"/>
    <col min="12" max="12" width="1.140625" style="5" customWidth="1"/>
    <col min="13" max="13" width="14.7109375" style="5" customWidth="1"/>
    <col min="14" max="14" width="1.140625" style="5" customWidth="1"/>
    <col min="15" max="15" width="3.85546875" style="5" customWidth="1"/>
    <col min="16" max="16" width="1.140625" style="5" customWidth="1"/>
    <col min="17" max="17" width="14.42578125" style="5" customWidth="1"/>
    <col min="18" max="18" width="2" style="5" customWidth="1"/>
    <col min="19" max="19" width="2.85546875" style="5" customWidth="1"/>
    <col min="20" max="20" width="1.140625" style="5" customWidth="1"/>
    <col min="21" max="21" width="15.7109375" style="5" customWidth="1"/>
    <col min="22" max="22" width="0.85546875" style="5" customWidth="1"/>
    <col min="23" max="23" width="3.7109375" style="5" customWidth="1"/>
    <col min="24" max="24" width="1.7109375" style="5" customWidth="1"/>
    <col min="25" max="16384" width="9.140625" style="5"/>
  </cols>
  <sheetData>
    <row r="1" spans="2:24" s="2" customFormat="1" ht="21.75" x14ac:dyDescent="0.2">
      <c r="C1" s="476"/>
      <c r="D1" s="476"/>
      <c r="E1" s="476"/>
      <c r="F1" s="476"/>
      <c r="G1" s="476"/>
      <c r="H1" s="476"/>
      <c r="I1" s="476"/>
      <c r="J1" s="476"/>
      <c r="K1" s="476"/>
      <c r="L1" s="476"/>
      <c r="M1" s="476"/>
      <c r="N1" s="8"/>
      <c r="O1" s="8"/>
      <c r="P1" s="8"/>
      <c r="Q1" s="8"/>
      <c r="R1" s="8"/>
      <c r="S1" s="8"/>
      <c r="T1" s="8"/>
      <c r="U1" s="146" t="str">
        <f>CONCATENATE('2. Table of Contents'!$F$6," ",'2. Table of Contents'!$G$6)</f>
        <v xml:space="preserve"> </v>
      </c>
      <c r="V1" s="1"/>
    </row>
    <row r="2" spans="2:24" s="2" customFormat="1" ht="18" x14ac:dyDescent="0.25">
      <c r="C2" s="480"/>
      <c r="D2" s="480"/>
      <c r="E2" s="480"/>
      <c r="F2" s="480"/>
      <c r="G2" s="480"/>
      <c r="H2" s="480"/>
      <c r="I2" s="480"/>
      <c r="J2" s="480"/>
      <c r="K2" s="480"/>
      <c r="L2" s="36"/>
      <c r="N2" s="36"/>
      <c r="O2" s="36"/>
      <c r="P2" s="36"/>
      <c r="Q2" s="36"/>
      <c r="R2" s="36"/>
      <c r="S2" s="36"/>
      <c r="T2" s="36"/>
      <c r="U2" s="297"/>
    </row>
    <row r="3" spans="2:24" s="2" customFormat="1" ht="18" x14ac:dyDescent="0.25">
      <c r="C3" s="480"/>
      <c r="D3" s="480"/>
      <c r="E3" s="480"/>
      <c r="F3" s="480"/>
      <c r="G3" s="480"/>
      <c r="H3" s="480"/>
      <c r="I3" s="480"/>
      <c r="J3" s="480"/>
      <c r="K3" s="480"/>
      <c r="L3" s="36"/>
      <c r="N3" s="36"/>
      <c r="O3" s="36"/>
      <c r="P3" s="36"/>
      <c r="Q3" s="36"/>
      <c r="R3" s="36"/>
      <c r="S3" s="36"/>
      <c r="T3" s="36"/>
      <c r="U3" s="297"/>
    </row>
    <row r="4" spans="2:24" s="2" customFormat="1" ht="18" x14ac:dyDescent="0.25">
      <c r="C4" s="480"/>
      <c r="D4" s="480"/>
      <c r="E4" s="480"/>
      <c r="F4" s="480"/>
      <c r="G4" s="480"/>
      <c r="H4" s="480"/>
      <c r="I4" s="480"/>
      <c r="J4" s="480"/>
      <c r="K4" s="480"/>
      <c r="L4" s="36"/>
      <c r="N4" s="36"/>
      <c r="O4" s="36"/>
      <c r="P4" s="36"/>
      <c r="Q4" s="36"/>
      <c r="R4" s="36"/>
      <c r="S4" s="36"/>
      <c r="T4" s="36"/>
      <c r="U4" s="295"/>
    </row>
    <row r="5" spans="2:24" s="2" customFormat="1" ht="15.75" x14ac:dyDescent="0.25">
      <c r="G5" s="3"/>
      <c r="H5" s="3"/>
      <c r="I5" s="3"/>
      <c r="J5" s="3"/>
      <c r="U5" s="290"/>
    </row>
    <row r="6" spans="2:24" s="2" customFormat="1" ht="36.75" customHeight="1" x14ac:dyDescent="0.2">
      <c r="U6" s="290"/>
    </row>
    <row r="7" spans="2:24" ht="4.5" customHeight="1" x14ac:dyDescent="0.2"/>
    <row r="8" spans="2:24" ht="22.5" customHeight="1" x14ac:dyDescent="0.2">
      <c r="E8" s="477"/>
      <c r="F8" s="477"/>
      <c r="G8" s="477"/>
      <c r="H8" s="477"/>
      <c r="I8" s="477"/>
      <c r="J8" s="477"/>
      <c r="K8" s="477"/>
      <c r="L8" s="477"/>
      <c r="M8" s="477"/>
      <c r="N8" s="477"/>
      <c r="O8" s="477"/>
      <c r="P8" s="477"/>
      <c r="Q8" s="477"/>
      <c r="R8" s="477"/>
      <c r="S8" s="477"/>
      <c r="T8" s="477"/>
      <c r="U8" s="477"/>
      <c r="V8" s="143"/>
      <c r="W8" s="13"/>
      <c r="X8" s="14"/>
    </row>
    <row r="9" spans="2:24" ht="22.5" customHeight="1" x14ac:dyDescent="0.25">
      <c r="B9" s="379" t="s">
        <v>261</v>
      </c>
      <c r="D9" s="25"/>
      <c r="E9" s="143"/>
      <c r="F9" s="143"/>
      <c r="G9" s="143"/>
      <c r="H9" s="143"/>
      <c r="I9" s="143"/>
      <c r="J9" s="143"/>
      <c r="K9" s="143"/>
      <c r="L9" s="143"/>
      <c r="M9" s="143"/>
      <c r="N9" s="143"/>
      <c r="O9" s="143"/>
      <c r="P9" s="143"/>
      <c r="Q9" s="143"/>
      <c r="R9" s="143"/>
      <c r="S9" s="143"/>
      <c r="T9" s="143"/>
      <c r="U9" s="143"/>
      <c r="V9" s="143"/>
      <c r="W9" s="13"/>
      <c r="X9" s="14"/>
    </row>
    <row r="10" spans="2:24" ht="22.5" customHeight="1" x14ac:dyDescent="0.2">
      <c r="D10" s="25"/>
      <c r="E10" s="143"/>
      <c r="F10" s="143"/>
      <c r="G10" s="143"/>
      <c r="H10" s="143"/>
      <c r="I10" s="143"/>
      <c r="J10" s="143"/>
      <c r="K10" s="143"/>
      <c r="L10" s="143"/>
      <c r="M10" s="143"/>
      <c r="N10" s="143"/>
      <c r="O10" s="143"/>
      <c r="P10" s="143"/>
      <c r="Q10" s="143"/>
      <c r="R10" s="143"/>
      <c r="S10" s="143"/>
      <c r="T10" s="143"/>
      <c r="U10" s="143"/>
      <c r="V10" s="143"/>
      <c r="W10" s="13"/>
      <c r="X10" s="14"/>
    </row>
    <row r="11" spans="2:24" ht="10.5" customHeight="1" x14ac:dyDescent="0.2">
      <c r="V11" s="26"/>
    </row>
    <row r="12" spans="2:24" ht="12.75" customHeight="1" x14ac:dyDescent="0.2">
      <c r="E12" s="483" t="s">
        <v>155</v>
      </c>
      <c r="F12" s="69"/>
      <c r="G12" s="481" t="s">
        <v>3</v>
      </c>
      <c r="H12" s="26"/>
      <c r="I12" s="478" t="str">
        <f>IF(ISBLANK(M12),"","Adjustments")</f>
        <v>Adjustments</v>
      </c>
      <c r="J12" s="69"/>
      <c r="K12" s="305"/>
      <c r="L12" s="305"/>
      <c r="M12" s="485" t="s">
        <v>312</v>
      </c>
      <c r="N12" s="305"/>
      <c r="O12" s="481" t="s">
        <v>147</v>
      </c>
      <c r="P12" s="305"/>
      <c r="Q12" s="478" t="str">
        <f>IF(ISBLANK(M12),"","Adjustments")</f>
        <v>Adjustments</v>
      </c>
      <c r="R12" s="305"/>
      <c r="S12" s="305"/>
      <c r="T12" s="305"/>
      <c r="U12" s="483" t="s">
        <v>154</v>
      </c>
      <c r="V12" s="144"/>
    </row>
    <row r="13" spans="2:24" ht="27" customHeight="1" x14ac:dyDescent="0.2">
      <c r="E13" s="484"/>
      <c r="F13" s="69"/>
      <c r="G13" s="482"/>
      <c r="H13" s="26"/>
      <c r="I13" s="478"/>
      <c r="J13" s="69"/>
      <c r="K13" s="305"/>
      <c r="L13" s="305"/>
      <c r="M13" s="486"/>
      <c r="N13" s="305"/>
      <c r="O13" s="482"/>
      <c r="P13" s="305"/>
      <c r="Q13" s="478"/>
      <c r="R13" s="305"/>
      <c r="S13" s="305"/>
      <c r="T13" s="305"/>
      <c r="U13" s="484"/>
      <c r="V13" s="144"/>
    </row>
    <row r="14" spans="2:24" ht="10.5" customHeight="1" x14ac:dyDescent="0.2">
      <c r="J14" s="26"/>
      <c r="V14" s="26"/>
    </row>
    <row r="15" spans="2:24" x14ac:dyDescent="0.2">
      <c r="B15" s="300">
        <v>1</v>
      </c>
      <c r="C15" s="17" t="s">
        <v>7</v>
      </c>
      <c r="D15" s="17"/>
      <c r="J15" s="26"/>
      <c r="V15" s="26"/>
    </row>
    <row r="16" spans="2:24" x14ac:dyDescent="0.2">
      <c r="B16" s="301"/>
      <c r="C16" s="5" t="s">
        <v>100</v>
      </c>
      <c r="E16" s="356">
        <v>148315727.96500003</v>
      </c>
      <c r="F16" s="232"/>
      <c r="G16" s="361"/>
      <c r="H16" s="11"/>
      <c r="I16" s="363">
        <v>-2965549</v>
      </c>
      <c r="J16" s="232"/>
      <c r="K16" s="362"/>
      <c r="L16" s="197"/>
      <c r="M16" s="233">
        <f>IF(ISBLANK(E16),0,E16+I16)</f>
        <v>145350178.96500003</v>
      </c>
      <c r="N16" s="197"/>
      <c r="O16" s="362"/>
      <c r="P16" s="197"/>
      <c r="Q16" s="356">
        <v>-1935202</v>
      </c>
      <c r="R16" s="232"/>
      <c r="S16" s="362"/>
      <c r="T16" s="197"/>
      <c r="U16" s="234">
        <f>IF(ISBLANK(E16),"",E16+I16+Q16)</f>
        <v>143414976.96500003</v>
      </c>
      <c r="V16" s="19"/>
    </row>
    <row r="17" spans="2:29" x14ac:dyDescent="0.2">
      <c r="B17" s="301"/>
      <c r="C17" s="5" t="s">
        <v>101</v>
      </c>
      <c r="E17" s="356">
        <v>-65098318.361475408</v>
      </c>
      <c r="F17" s="232"/>
      <c r="G17" s="11" t="s">
        <v>123</v>
      </c>
      <c r="H17" s="11"/>
      <c r="I17" s="356">
        <v>488356</v>
      </c>
      <c r="J17" s="232"/>
      <c r="K17" s="362"/>
      <c r="L17" s="197"/>
      <c r="M17" s="234">
        <f>IF(ISBLANK(E17),0,E17+I17)</f>
        <v>-64609962.361475408</v>
      </c>
      <c r="N17" s="197"/>
      <c r="O17" s="362"/>
      <c r="P17" s="197"/>
      <c r="Q17" s="356">
        <v>38702</v>
      </c>
      <c r="R17" s="232"/>
      <c r="S17" s="362"/>
      <c r="T17" s="197"/>
      <c r="U17" s="234">
        <f>IF(ISBLANK(E17),"",E17+I17+Q17)</f>
        <v>-64571260.361475408</v>
      </c>
      <c r="V17" s="19"/>
    </row>
    <row r="18" spans="2:29" x14ac:dyDescent="0.2">
      <c r="B18" s="301"/>
      <c r="C18" s="20" t="s">
        <v>85</v>
      </c>
      <c r="D18" s="20"/>
      <c r="E18" s="236"/>
      <c r="F18" s="236"/>
      <c r="G18" s="201"/>
      <c r="H18" s="201"/>
      <c r="I18" s="236"/>
      <c r="J18" s="236"/>
      <c r="K18" s="196"/>
      <c r="L18" s="196"/>
      <c r="M18" s="237"/>
      <c r="N18" s="196"/>
      <c r="O18" s="196"/>
      <c r="P18" s="196"/>
      <c r="Q18" s="236"/>
      <c r="R18" s="236"/>
      <c r="S18" s="196"/>
      <c r="T18" s="196"/>
      <c r="U18" s="236"/>
      <c r="V18" s="21"/>
    </row>
    <row r="19" spans="2:29" x14ac:dyDescent="0.2">
      <c r="B19" s="301"/>
      <c r="C19" s="5" t="s">
        <v>61</v>
      </c>
      <c r="E19" s="356">
        <v>9903387.8672020119</v>
      </c>
      <c r="F19" s="232"/>
      <c r="G19" s="362"/>
      <c r="H19" s="196"/>
      <c r="I19" s="442">
        <v>138342.13</v>
      </c>
      <c r="J19" s="232"/>
      <c r="K19" s="362"/>
      <c r="L19" s="197"/>
      <c r="M19" s="235">
        <f>IF(ISBLANK(E19),0,E19+I19)</f>
        <v>10041729.997202013</v>
      </c>
      <c r="N19" s="197"/>
      <c r="O19" s="362"/>
      <c r="P19" s="197"/>
      <c r="Q19" s="356">
        <v>-550000</v>
      </c>
      <c r="R19" s="232"/>
      <c r="S19" s="362"/>
      <c r="T19" s="197"/>
      <c r="U19" s="234">
        <f>IF(ISBLANK(E19),"",E19+I19+Q19)</f>
        <v>9491729.9972020127</v>
      </c>
      <c r="V19" s="19"/>
    </row>
    <row r="20" spans="2:29" x14ac:dyDescent="0.2">
      <c r="B20" s="301"/>
      <c r="C20" s="5" t="s">
        <v>62</v>
      </c>
      <c r="E20" s="356">
        <v>106466168.08033918</v>
      </c>
      <c r="F20" s="232"/>
      <c r="G20" s="362"/>
      <c r="H20" s="196"/>
      <c r="I20" s="356">
        <f>+'[3]Return on Capital'!$BX$26-E20</f>
        <v>7093346.3631376773</v>
      </c>
      <c r="J20" s="232"/>
      <c r="K20" s="362"/>
      <c r="L20" s="197"/>
      <c r="M20" s="235">
        <f>IF(ISBLANK(E20),0,E20+I20)</f>
        <v>113559514.44347686</v>
      </c>
      <c r="N20" s="197"/>
      <c r="O20" s="362"/>
      <c r="P20" s="197"/>
      <c r="Q20" s="356"/>
      <c r="R20" s="232"/>
      <c r="S20" s="362"/>
      <c r="T20" s="197"/>
      <c r="U20" s="234">
        <f>IF(ISBLANK(E20),"",E20+I20+Q20)</f>
        <v>113559514.44347686</v>
      </c>
      <c r="V20" s="19"/>
      <c r="Y20" s="478"/>
    </row>
    <row r="21" spans="2:29" x14ac:dyDescent="0.2">
      <c r="B21" s="301"/>
      <c r="C21" s="5" t="s">
        <v>63</v>
      </c>
      <c r="E21" s="357">
        <v>7.4999999999999997E-2</v>
      </c>
      <c r="F21" s="238"/>
      <c r="G21" s="11" t="s">
        <v>244</v>
      </c>
      <c r="H21" s="196"/>
      <c r="I21" s="236"/>
      <c r="J21" s="236"/>
      <c r="K21" s="196"/>
      <c r="L21" s="196"/>
      <c r="M21" s="357">
        <f>IF(ISBLANK(E21),0,E21)</f>
        <v>7.4999999999999997E-2</v>
      </c>
      <c r="N21" s="238"/>
      <c r="O21" s="11" t="s">
        <v>244</v>
      </c>
      <c r="P21" s="196"/>
      <c r="Q21" s="196"/>
      <c r="R21" s="196"/>
      <c r="S21" s="196"/>
      <c r="T21" s="196"/>
      <c r="U21" s="357">
        <f>IF(ISBLANK(M21),IF(ISBLANK(E21),0,E21),M21)</f>
        <v>7.4999999999999997E-2</v>
      </c>
      <c r="V21" s="178"/>
      <c r="W21" s="11" t="s">
        <v>244</v>
      </c>
      <c r="Y21" s="478"/>
    </row>
    <row r="22" spans="2:29" ht="10.5" customHeight="1" x14ac:dyDescent="0.2">
      <c r="B22" s="301"/>
      <c r="E22" s="229"/>
      <c r="F22" s="236"/>
      <c r="G22" s="196"/>
      <c r="H22" s="196"/>
      <c r="I22" s="229"/>
      <c r="J22" s="236"/>
      <c r="K22" s="196"/>
      <c r="L22" s="196"/>
      <c r="M22" s="238"/>
      <c r="N22" s="238"/>
      <c r="O22" s="239"/>
      <c r="P22" s="196"/>
      <c r="Q22" s="196"/>
      <c r="R22" s="196"/>
      <c r="S22" s="196"/>
      <c r="T22" s="196"/>
      <c r="U22" s="229"/>
      <c r="V22" s="21"/>
    </row>
    <row r="23" spans="2:29" x14ac:dyDescent="0.2">
      <c r="B23" s="300">
        <v>2</v>
      </c>
      <c r="C23" s="23" t="s">
        <v>47</v>
      </c>
      <c r="D23" s="23"/>
      <c r="E23" s="229"/>
      <c r="F23" s="236"/>
      <c r="G23" s="196"/>
      <c r="H23" s="196"/>
      <c r="I23" s="229"/>
      <c r="J23" s="236"/>
      <c r="K23" s="196"/>
      <c r="L23" s="196"/>
      <c r="M23" s="196"/>
      <c r="N23" s="196"/>
      <c r="O23" s="196"/>
      <c r="P23" s="196"/>
      <c r="Q23" s="196"/>
      <c r="R23" s="196"/>
      <c r="S23" s="196"/>
      <c r="T23" s="196"/>
      <c r="U23" s="229"/>
      <c r="V23" s="142"/>
      <c r="W23" s="15"/>
      <c r="X23" s="15"/>
      <c r="Y23" s="15"/>
      <c r="Z23" s="15"/>
      <c r="AA23" s="15"/>
      <c r="AB23" s="15"/>
      <c r="AC23" s="15"/>
    </row>
    <row r="24" spans="2:29" x14ac:dyDescent="0.2">
      <c r="B24" s="301"/>
      <c r="C24" s="24" t="s">
        <v>24</v>
      </c>
      <c r="D24" s="24"/>
      <c r="E24" s="229"/>
      <c r="F24" s="236"/>
      <c r="G24" s="196"/>
      <c r="H24" s="196"/>
      <c r="I24" s="229"/>
      <c r="J24" s="236"/>
      <c r="K24" s="196"/>
      <c r="L24" s="196"/>
      <c r="M24" s="196"/>
      <c r="N24" s="196"/>
      <c r="O24" s="196"/>
      <c r="P24" s="196"/>
      <c r="Q24" s="196"/>
      <c r="R24" s="196"/>
      <c r="S24" s="196"/>
      <c r="T24" s="196"/>
      <c r="U24" s="229"/>
      <c r="V24" s="142"/>
      <c r="W24" s="15"/>
      <c r="X24" s="15"/>
      <c r="Y24" s="15"/>
      <c r="Z24" s="15"/>
      <c r="AA24" s="15"/>
      <c r="AB24" s="15"/>
      <c r="AC24" s="15"/>
    </row>
    <row r="25" spans="2:29" x14ac:dyDescent="0.2">
      <c r="B25" s="301"/>
      <c r="C25" s="25" t="s">
        <v>113</v>
      </c>
      <c r="D25" s="25"/>
      <c r="E25" s="356">
        <v>16216720.125437286</v>
      </c>
      <c r="F25" s="232"/>
      <c r="G25" s="362"/>
      <c r="H25" s="196"/>
      <c r="I25" s="236">
        <f>IF(ISBLANK(M25),"",IF(ISBLANK(E25),"",M25-E25))</f>
        <v>83155.667488807812</v>
      </c>
      <c r="J25" s="236"/>
      <c r="K25" s="196"/>
      <c r="L25" s="196"/>
      <c r="M25" s="356">
        <v>16299875.792926094</v>
      </c>
      <c r="N25" s="232"/>
      <c r="O25" s="362"/>
      <c r="P25" s="196"/>
      <c r="Q25" s="236">
        <f>IF(ISBLANK(U25),"",IF(ISBLANK(M25),"",U25-M25))</f>
        <v>0</v>
      </c>
      <c r="R25" s="196"/>
      <c r="S25" s="196"/>
      <c r="T25" s="196"/>
      <c r="U25" s="356">
        <f>+'[4]2016 Test Yr On Existing Rates'!$J$17</f>
        <v>16299875.792926094</v>
      </c>
      <c r="V25" s="29"/>
      <c r="W25" s="364"/>
    </row>
    <row r="26" spans="2:29" x14ac:dyDescent="0.2">
      <c r="B26" s="301"/>
      <c r="C26" s="5" t="s">
        <v>109</v>
      </c>
      <c r="E26" s="356">
        <v>17207366.606972322</v>
      </c>
      <c r="F26" s="232"/>
      <c r="G26" s="362"/>
      <c r="H26" s="196"/>
      <c r="I26" s="236">
        <f>IF(ISBLANK(M26),"",IF(ISBLANK(E26),"",M26-E26))</f>
        <v>-285596.60697232187</v>
      </c>
      <c r="J26" s="234"/>
      <c r="K26" s="196"/>
      <c r="L26" s="196"/>
      <c r="M26" s="356">
        <v>16921770</v>
      </c>
      <c r="N26" s="232"/>
      <c r="O26" s="362"/>
      <c r="P26" s="196"/>
      <c r="Q26" s="236">
        <f>IF(ISBLANK(U26),"",IF(ISBLANK(M26),"",U26-M26))</f>
        <v>-615693.90772166662</v>
      </c>
      <c r="R26" s="196"/>
      <c r="S26" s="196"/>
      <c r="T26" s="196"/>
      <c r="U26" s="356">
        <f>+'[4]Cost Allocation Study'!$K$15</f>
        <v>16306076.092278333</v>
      </c>
      <c r="V26" s="29"/>
      <c r="W26" s="364"/>
    </row>
    <row r="27" spans="2:29" x14ac:dyDescent="0.2">
      <c r="B27" s="301"/>
      <c r="C27" s="20" t="s">
        <v>86</v>
      </c>
      <c r="D27" s="20"/>
      <c r="E27" s="229"/>
      <c r="F27" s="236"/>
      <c r="G27" s="196"/>
      <c r="H27" s="196"/>
      <c r="I27" s="229"/>
      <c r="J27" s="236"/>
      <c r="K27" s="196"/>
      <c r="L27" s="196"/>
      <c r="M27" s="229"/>
      <c r="N27" s="236"/>
      <c r="O27" s="196"/>
      <c r="P27" s="196"/>
      <c r="Q27" s="229"/>
      <c r="R27" s="196"/>
      <c r="S27" s="196"/>
      <c r="T27" s="196"/>
      <c r="U27" s="229"/>
      <c r="V27" s="21"/>
    </row>
    <row r="28" spans="2:29" x14ac:dyDescent="0.2">
      <c r="B28" s="301"/>
      <c r="C28" s="5" t="s">
        <v>68</v>
      </c>
      <c r="E28" s="356">
        <v>24276</v>
      </c>
      <c r="F28" s="232"/>
      <c r="G28" s="362"/>
      <c r="H28" s="196"/>
      <c r="I28" s="236">
        <f>IF(ISBLANK(M28),"",IF(ISBLANK(E28),"",M28-E28))</f>
        <v>-1877</v>
      </c>
      <c r="J28" s="236"/>
      <c r="K28" s="196"/>
      <c r="L28" s="196"/>
      <c r="M28" s="356">
        <v>22399</v>
      </c>
      <c r="N28" s="232"/>
      <c r="O28" s="362"/>
      <c r="P28" s="196"/>
      <c r="Q28" s="236">
        <f>IF(ISBLANK(U28),"",IF(ISBLANK(M28),"",U28-M28))</f>
        <v>0</v>
      </c>
      <c r="R28" s="196"/>
      <c r="S28" s="196"/>
      <c r="T28" s="196"/>
      <c r="U28" s="356">
        <f>+M28</f>
        <v>22399</v>
      </c>
      <c r="V28" s="29"/>
      <c r="W28" s="364"/>
    </row>
    <row r="29" spans="2:29" x14ac:dyDescent="0.2">
      <c r="B29" s="301"/>
      <c r="C29" s="5" t="s">
        <v>69</v>
      </c>
      <c r="E29" s="356">
        <v>191188.00000000003</v>
      </c>
      <c r="F29" s="232"/>
      <c r="G29" s="362"/>
      <c r="H29" s="196"/>
      <c r="I29" s="236">
        <f>IF(ISBLANK(M29),"",IF(ISBLANK(E29),"",M29-E29))</f>
        <v>-13193.000000000029</v>
      </c>
      <c r="J29" s="236"/>
      <c r="K29" s="196"/>
      <c r="L29" s="196"/>
      <c r="M29" s="356">
        <v>177995</v>
      </c>
      <c r="N29" s="232"/>
      <c r="O29" s="362"/>
      <c r="P29" s="196"/>
      <c r="Q29" s="236">
        <f>IF(ISBLANK(U29),"",IF(ISBLANK(M29),"",U29-M29))</f>
        <v>0</v>
      </c>
      <c r="R29" s="196"/>
      <c r="S29" s="196"/>
      <c r="T29" s="196"/>
      <c r="U29" s="356">
        <f>+M29</f>
        <v>177995</v>
      </c>
      <c r="V29" s="29"/>
      <c r="W29" s="364"/>
    </row>
    <row r="30" spans="2:29" x14ac:dyDescent="0.2">
      <c r="B30" s="301"/>
      <c r="C30" s="5" t="s">
        <v>70</v>
      </c>
      <c r="E30" s="356">
        <v>1598658</v>
      </c>
      <c r="F30" s="232"/>
      <c r="G30" s="362"/>
      <c r="H30" s="196"/>
      <c r="I30" s="236">
        <f>IF(ISBLANK(M30),"",IF(ISBLANK(E30),"",M30-E30))</f>
        <v>119341</v>
      </c>
      <c r="J30" s="236"/>
      <c r="K30" s="196"/>
      <c r="L30" s="196"/>
      <c r="M30" s="356">
        <v>1717999</v>
      </c>
      <c r="N30" s="232"/>
      <c r="O30" s="362"/>
      <c r="P30" s="196"/>
      <c r="Q30" s="236">
        <f>IF(ISBLANK(U30),"",IF(ISBLANK(M30),"",U30-M30))</f>
        <v>-87975</v>
      </c>
      <c r="R30" s="196"/>
      <c r="S30" s="196"/>
      <c r="T30" s="196"/>
      <c r="U30" s="356">
        <f>+M30-87975</f>
        <v>1630024</v>
      </c>
      <c r="V30" s="29"/>
      <c r="W30" s="364"/>
    </row>
    <row r="31" spans="2:29" x14ac:dyDescent="0.2">
      <c r="B31" s="301"/>
      <c r="C31" s="5" t="s">
        <v>71</v>
      </c>
      <c r="E31" s="356">
        <v>88033</v>
      </c>
      <c r="F31" s="232"/>
      <c r="G31" s="362"/>
      <c r="H31" s="196"/>
      <c r="I31" s="236">
        <f>IF(ISBLANK(M31),"",IF(ISBLANK(E31),"",M31-E31))</f>
        <v>12384</v>
      </c>
      <c r="J31" s="236"/>
      <c r="K31" s="196"/>
      <c r="L31" s="196"/>
      <c r="M31" s="356">
        <v>100417</v>
      </c>
      <c r="N31" s="232"/>
      <c r="O31" s="362"/>
      <c r="P31" s="196"/>
      <c r="Q31" s="236">
        <f>IF(ISBLANK(U31),"",IF(ISBLANK(M31),"",U31-M31))</f>
        <v>0</v>
      </c>
      <c r="R31" s="196"/>
      <c r="S31" s="196"/>
      <c r="T31" s="196"/>
      <c r="U31" s="356">
        <f>+M31</f>
        <v>100417</v>
      </c>
      <c r="V31" s="29"/>
      <c r="W31" s="364"/>
    </row>
    <row r="32" spans="2:29" x14ac:dyDescent="0.2">
      <c r="B32" s="301"/>
      <c r="D32" s="26"/>
      <c r="E32" s="347"/>
      <c r="F32" s="232"/>
      <c r="G32" s="266"/>
      <c r="H32" s="197"/>
      <c r="I32" s="236"/>
      <c r="J32" s="236"/>
      <c r="K32" s="197"/>
      <c r="L32" s="197"/>
      <c r="M32" s="347"/>
      <c r="N32" s="232"/>
      <c r="O32" s="266"/>
      <c r="P32" s="197"/>
      <c r="Q32" s="236"/>
      <c r="R32" s="197"/>
      <c r="S32" s="197"/>
      <c r="T32" s="197"/>
      <c r="U32" s="347"/>
      <c r="V32" s="29"/>
      <c r="W32" s="348"/>
    </row>
    <row r="33" spans="2:23" x14ac:dyDescent="0.2">
      <c r="B33" s="301"/>
      <c r="D33" s="5" t="s">
        <v>57</v>
      </c>
      <c r="E33" s="356">
        <f>+SUM(E28:E31)</f>
        <v>1902155</v>
      </c>
      <c r="F33" s="232"/>
      <c r="G33" s="11" t="s">
        <v>236</v>
      </c>
      <c r="H33" s="196"/>
      <c r="I33" s="236">
        <f>IF(ISBLANK(M33),"",IF(ISBLANK(E33),"",M33-E33))</f>
        <v>116655</v>
      </c>
      <c r="J33" s="236"/>
      <c r="K33" s="196"/>
      <c r="L33" s="196"/>
      <c r="M33" s="356">
        <f>+SUM(M28:M31)</f>
        <v>2018810</v>
      </c>
      <c r="N33" s="232"/>
      <c r="O33" s="362"/>
      <c r="P33" s="196"/>
      <c r="Q33" s="236">
        <f>IF(ISBLANK(U33),"",IF(ISBLANK(M33),"",U33-M33))</f>
        <v>-87975</v>
      </c>
      <c r="R33" s="196"/>
      <c r="S33" s="196"/>
      <c r="T33" s="196"/>
      <c r="U33" s="356">
        <f>+SUM(U28:U31)</f>
        <v>1930835</v>
      </c>
      <c r="V33" s="29"/>
      <c r="W33" s="364"/>
    </row>
    <row r="34" spans="2:23" ht="10.5" customHeight="1" x14ac:dyDescent="0.2">
      <c r="B34" s="301"/>
      <c r="E34" s="236"/>
      <c r="F34" s="236"/>
      <c r="G34" s="197"/>
      <c r="H34" s="197"/>
      <c r="I34" s="236"/>
      <c r="J34" s="236"/>
      <c r="K34" s="197"/>
      <c r="L34" s="197"/>
      <c r="M34" s="197"/>
      <c r="N34" s="197"/>
      <c r="O34" s="197"/>
      <c r="P34" s="197"/>
      <c r="Q34" s="197"/>
      <c r="R34" s="197"/>
      <c r="S34" s="197"/>
      <c r="T34" s="197"/>
      <c r="U34" s="236"/>
      <c r="V34" s="21"/>
    </row>
    <row r="35" spans="2:23" x14ac:dyDescent="0.2">
      <c r="B35" s="301"/>
      <c r="C35" s="20" t="s">
        <v>25</v>
      </c>
      <c r="D35" s="20"/>
      <c r="E35" s="229"/>
      <c r="F35" s="236"/>
      <c r="G35" s="196"/>
      <c r="H35" s="196"/>
      <c r="I35" s="229"/>
      <c r="J35" s="236"/>
      <c r="K35" s="196"/>
      <c r="L35" s="196"/>
      <c r="M35" s="196"/>
      <c r="N35" s="196"/>
      <c r="O35" s="196"/>
      <c r="P35" s="196"/>
      <c r="Q35" s="196"/>
      <c r="R35" s="196"/>
      <c r="S35" s="196"/>
      <c r="T35" s="196"/>
      <c r="U35" s="229"/>
      <c r="V35" s="21"/>
    </row>
    <row r="36" spans="2:23" x14ac:dyDescent="0.2">
      <c r="B36" s="301"/>
      <c r="C36" s="5" t="s">
        <v>65</v>
      </c>
      <c r="E36" s="356">
        <v>9903387.8672020137</v>
      </c>
      <c r="F36" s="232"/>
      <c r="G36" s="362"/>
      <c r="H36" s="196"/>
      <c r="I36" s="442">
        <v>219060.13</v>
      </c>
      <c r="J36" s="232"/>
      <c r="K36" s="362"/>
      <c r="L36" s="196"/>
      <c r="M36" s="235">
        <f>IF(ISBLANK(E36),"",E36+I36)</f>
        <v>10122447.997202015</v>
      </c>
      <c r="N36" s="196"/>
      <c r="O36" s="196"/>
      <c r="P36" s="196"/>
      <c r="Q36" s="356">
        <v>-550000</v>
      </c>
      <c r="R36" s="232"/>
      <c r="S36" s="362"/>
      <c r="T36" s="196"/>
      <c r="U36" s="234">
        <f>IF(ISBLANK(E36),"",E36+I36+Q36)</f>
        <v>9572447.9972020146</v>
      </c>
      <c r="V36" s="19"/>
    </row>
    <row r="37" spans="2:23" x14ac:dyDescent="0.2">
      <c r="B37" s="301"/>
      <c r="C37" s="5" t="s">
        <v>143</v>
      </c>
      <c r="E37" s="356">
        <v>3292486.0000000005</v>
      </c>
      <c r="F37" s="232"/>
      <c r="G37" s="362"/>
      <c r="H37" s="196"/>
      <c r="I37" s="442">
        <v>-113322.74</v>
      </c>
      <c r="J37" s="232"/>
      <c r="K37" s="362"/>
      <c r="L37" s="196"/>
      <c r="M37" s="235">
        <f>IF(ISBLANK(E37),"",E37+I37)</f>
        <v>3179163.2600000002</v>
      </c>
      <c r="N37" s="196"/>
      <c r="O37" s="196"/>
      <c r="P37" s="196"/>
      <c r="Q37" s="356">
        <v>-38704</v>
      </c>
      <c r="R37" s="232"/>
      <c r="S37" s="362"/>
      <c r="T37" s="196"/>
      <c r="U37" s="234">
        <f>IF(ISBLANK(E37),"",E37+I37+Q37)</f>
        <v>3140459.2600000002</v>
      </c>
      <c r="V37" s="19"/>
    </row>
    <row r="38" spans="2:23" x14ac:dyDescent="0.2">
      <c r="B38" s="301"/>
      <c r="C38" s="5" t="s">
        <v>66</v>
      </c>
      <c r="E38" s="356"/>
      <c r="F38" s="232"/>
      <c r="G38" s="362"/>
      <c r="H38" s="196"/>
      <c r="I38" s="356"/>
      <c r="J38" s="232"/>
      <c r="K38" s="362"/>
      <c r="L38" s="196"/>
      <c r="M38" s="235" t="str">
        <f>IF(ISBLANK(E38),"",E38+I38)</f>
        <v/>
      </c>
      <c r="N38" s="196"/>
      <c r="O38" s="196"/>
      <c r="P38" s="196"/>
      <c r="Q38" s="356"/>
      <c r="R38" s="232"/>
      <c r="S38" s="362"/>
      <c r="T38" s="196"/>
      <c r="U38" s="234" t="str">
        <f>IF(ISBLANK(E38),"",E38+I38+Q38)</f>
        <v/>
      </c>
      <c r="V38" s="19"/>
    </row>
    <row r="39" spans="2:23" s="173" customFormat="1" ht="0.75" customHeight="1" x14ac:dyDescent="0.2">
      <c r="B39" s="330"/>
      <c r="C39" s="173" t="s">
        <v>67</v>
      </c>
      <c r="E39" s="331" t="str">
        <f>IF(ISBLANK(E48),"",E48)</f>
        <v/>
      </c>
      <c r="F39" s="331"/>
      <c r="G39" s="332"/>
      <c r="H39" s="332"/>
      <c r="I39" s="333"/>
      <c r="J39" s="333"/>
      <c r="K39" s="334"/>
      <c r="L39" s="334"/>
      <c r="M39" s="331" t="str">
        <f>IF(ISBLANK(M48),"",M48)</f>
        <v/>
      </c>
      <c r="N39" s="334"/>
      <c r="O39" s="334"/>
      <c r="P39" s="334"/>
      <c r="Q39" s="333"/>
      <c r="R39" s="333"/>
      <c r="S39" s="334"/>
      <c r="T39" s="334"/>
      <c r="U39" s="331" t="str">
        <f>IF(ISBLANK(U48),"",U48)</f>
        <v/>
      </c>
      <c r="V39" s="335"/>
    </row>
    <row r="40" spans="2:23" x14ac:dyDescent="0.2">
      <c r="B40" s="301"/>
      <c r="C40" s="5" t="s">
        <v>93</v>
      </c>
      <c r="E40" s="356"/>
      <c r="F40" s="232"/>
      <c r="G40" s="362"/>
      <c r="H40" s="196"/>
      <c r="I40" s="356"/>
      <c r="J40" s="232"/>
      <c r="K40" s="362"/>
      <c r="L40" s="196"/>
      <c r="M40" s="197" t="str">
        <f>IF(ISBLANK(E40),"",E40+I40)</f>
        <v/>
      </c>
      <c r="N40" s="196"/>
      <c r="O40" s="196"/>
      <c r="P40" s="196"/>
      <c r="Q40" s="356"/>
      <c r="R40" s="232"/>
      <c r="S40" s="362"/>
      <c r="T40" s="196"/>
      <c r="U40" s="234" t="str">
        <f>IF(ISBLANK(E40),"",E40+I40+Q40)</f>
        <v/>
      </c>
      <c r="V40" s="19"/>
    </row>
    <row r="41" spans="2:23" ht="9.75" customHeight="1" x14ac:dyDescent="0.2">
      <c r="B41" s="301"/>
      <c r="E41" s="229"/>
      <c r="F41" s="236"/>
      <c r="G41" s="196"/>
      <c r="H41" s="196"/>
      <c r="I41" s="229"/>
      <c r="J41" s="236"/>
      <c r="K41" s="196"/>
      <c r="L41" s="196"/>
      <c r="M41" s="196"/>
      <c r="N41" s="196"/>
      <c r="O41" s="196"/>
      <c r="P41" s="196"/>
      <c r="Q41" s="196"/>
      <c r="R41" s="196"/>
      <c r="S41" s="196"/>
      <c r="T41" s="196"/>
      <c r="U41" s="229"/>
      <c r="V41" s="21"/>
    </row>
    <row r="42" spans="2:23" x14ac:dyDescent="0.2">
      <c r="B42" s="300">
        <v>3</v>
      </c>
      <c r="C42" s="27" t="s">
        <v>6</v>
      </c>
      <c r="D42" s="27"/>
      <c r="E42" s="229"/>
      <c r="F42" s="236"/>
      <c r="G42" s="196"/>
      <c r="H42" s="196"/>
      <c r="I42" s="229"/>
      <c r="J42" s="236"/>
      <c r="K42" s="196"/>
      <c r="L42" s="196"/>
      <c r="M42" s="196"/>
      <c r="N42" s="196"/>
      <c r="O42" s="196"/>
      <c r="P42" s="196"/>
      <c r="Q42" s="196"/>
      <c r="R42" s="196"/>
      <c r="S42" s="196"/>
      <c r="T42" s="196"/>
      <c r="U42" s="229"/>
      <c r="V42" s="21"/>
    </row>
    <row r="43" spans="2:23" x14ac:dyDescent="0.2">
      <c r="B43" s="301"/>
      <c r="C43" s="5" t="s">
        <v>72</v>
      </c>
      <c r="E43" s="229"/>
      <c r="F43" s="236"/>
      <c r="G43" s="196"/>
      <c r="H43" s="196"/>
      <c r="I43" s="229"/>
      <c r="J43" s="236"/>
      <c r="K43" s="196"/>
      <c r="L43" s="196"/>
      <c r="M43" s="196"/>
      <c r="N43" s="196"/>
      <c r="O43" s="196"/>
      <c r="P43" s="196"/>
      <c r="Q43" s="196"/>
      <c r="R43" s="196"/>
      <c r="S43" s="196"/>
      <c r="T43" s="196"/>
      <c r="U43" s="229"/>
      <c r="V43" s="21"/>
    </row>
    <row r="44" spans="2:23" ht="26.25" customHeight="1" x14ac:dyDescent="0.2">
      <c r="B44" s="301"/>
      <c r="C44" s="28"/>
      <c r="D44" s="28" t="s">
        <v>146</v>
      </c>
      <c r="E44" s="356">
        <v>-2709732.2212995403</v>
      </c>
      <c r="F44" s="232"/>
      <c r="G44" s="11" t="s">
        <v>98</v>
      </c>
      <c r="H44" s="11"/>
      <c r="I44" s="234"/>
      <c r="J44" s="234"/>
      <c r="K44" s="196"/>
      <c r="L44" s="196"/>
      <c r="M44" s="356">
        <v>-2605325</v>
      </c>
      <c r="N44" s="232"/>
      <c r="O44" s="361"/>
      <c r="P44" s="196"/>
      <c r="Q44" s="196"/>
      <c r="R44" s="196"/>
      <c r="S44" s="196"/>
      <c r="T44" s="196"/>
      <c r="U44" s="356">
        <f>+'[5]T1 Taxable Income Test Year'!$F$75-'[5]T1 Taxable Income Test Year'!$F$114</f>
        <v>-2531399.6210361412</v>
      </c>
      <c r="V44" s="29"/>
      <c r="W44" s="364"/>
    </row>
    <row r="45" spans="2:23" x14ac:dyDescent="0.2">
      <c r="B45" s="301"/>
      <c r="C45" s="20" t="s">
        <v>73</v>
      </c>
      <c r="D45" s="20"/>
      <c r="E45" s="229"/>
      <c r="F45" s="236"/>
      <c r="G45" s="196"/>
      <c r="H45" s="196"/>
      <c r="I45" s="229"/>
      <c r="J45" s="236"/>
      <c r="K45" s="196"/>
      <c r="L45" s="196"/>
      <c r="M45" s="229"/>
      <c r="N45" s="236"/>
      <c r="O45" s="196"/>
      <c r="P45" s="196"/>
      <c r="Q45" s="196"/>
      <c r="R45" s="196"/>
      <c r="S45" s="196"/>
      <c r="T45" s="196"/>
      <c r="U45" s="229"/>
      <c r="V45" s="21"/>
    </row>
    <row r="46" spans="2:23" x14ac:dyDescent="0.2">
      <c r="B46" s="301"/>
      <c r="C46" s="5" t="s">
        <v>125</v>
      </c>
      <c r="E46" s="356">
        <v>188316.0164169819</v>
      </c>
      <c r="F46" s="232"/>
      <c r="G46" s="362"/>
      <c r="H46" s="196"/>
      <c r="I46" s="229"/>
      <c r="J46" s="236"/>
      <c r="K46" s="196"/>
      <c r="L46" s="196"/>
      <c r="M46" s="356">
        <v>186415</v>
      </c>
      <c r="N46" s="232"/>
      <c r="O46" s="362"/>
      <c r="P46" s="196"/>
      <c r="Q46" s="196"/>
      <c r="R46" s="196"/>
      <c r="S46" s="196"/>
      <c r="T46" s="196"/>
      <c r="U46" s="356">
        <f>+'[5]T0 PILs,Tax Provision '!$I$34</f>
        <v>187129.15273246408</v>
      </c>
      <c r="V46" s="29"/>
      <c r="W46" s="364"/>
    </row>
    <row r="47" spans="2:23" x14ac:dyDescent="0.2">
      <c r="B47" s="301"/>
      <c r="C47" s="20" t="s">
        <v>126</v>
      </c>
      <c r="D47" s="20"/>
      <c r="E47" s="232">
        <f>IF(ISBLANK(E46),"",E46/(1-SUM(E49:E50)))</f>
        <v>256212.267233989</v>
      </c>
      <c r="F47" s="232"/>
      <c r="G47" s="240"/>
      <c r="H47" s="240"/>
      <c r="I47" s="241"/>
      <c r="J47" s="241"/>
      <c r="K47" s="240"/>
      <c r="L47" s="240"/>
      <c r="M47" s="232">
        <f>IF(ISBLANK(M46),"",M46/(1-SUM(M49:M50)))</f>
        <v>253625.85034013606</v>
      </c>
      <c r="N47" s="232"/>
      <c r="O47" s="240"/>
      <c r="P47" s="240"/>
      <c r="Q47" s="240"/>
      <c r="R47" s="240"/>
      <c r="S47" s="240"/>
      <c r="T47" s="240"/>
      <c r="U47" s="232">
        <f>IF(ISBLANK(U46),"",U46/(1-SUM(U49:U50)))</f>
        <v>254597.48671083548</v>
      </c>
      <c r="V47" s="29"/>
    </row>
    <row r="48" spans="2:23" ht="0.75" customHeight="1" x14ac:dyDescent="0.2">
      <c r="B48" s="301"/>
      <c r="C48" s="173" t="s">
        <v>87</v>
      </c>
      <c r="D48" s="175"/>
      <c r="E48" s="232"/>
      <c r="F48" s="232"/>
      <c r="G48" s="242"/>
      <c r="H48" s="196"/>
      <c r="I48" s="229"/>
      <c r="J48" s="236"/>
      <c r="K48" s="196"/>
      <c r="L48" s="196"/>
      <c r="M48" s="232"/>
      <c r="N48" s="232"/>
      <c r="O48" s="242"/>
      <c r="P48" s="196"/>
      <c r="Q48" s="196"/>
      <c r="R48" s="196"/>
      <c r="S48" s="196"/>
      <c r="T48" s="196"/>
      <c r="U48" s="238"/>
      <c r="V48" s="29"/>
      <c r="W48" s="180"/>
    </row>
    <row r="49" spans="2:23" x14ac:dyDescent="0.2">
      <c r="B49" s="301"/>
      <c r="C49" s="5" t="s">
        <v>83</v>
      </c>
      <c r="E49" s="357">
        <v>0.15</v>
      </c>
      <c r="F49" s="238"/>
      <c r="G49" s="362"/>
      <c r="H49" s="196"/>
      <c r="I49" s="196"/>
      <c r="J49" s="197"/>
      <c r="K49" s="196"/>
      <c r="L49" s="196"/>
      <c r="M49" s="357">
        <f>+E49</f>
        <v>0.15</v>
      </c>
      <c r="N49" s="238"/>
      <c r="O49" s="362"/>
      <c r="P49" s="196"/>
      <c r="Q49" s="196"/>
      <c r="R49" s="196"/>
      <c r="S49" s="196"/>
      <c r="T49" s="196"/>
      <c r="U49" s="357">
        <f>+M49</f>
        <v>0.15</v>
      </c>
      <c r="V49" s="178"/>
      <c r="W49" s="364"/>
    </row>
    <row r="50" spans="2:23" x14ac:dyDescent="0.2">
      <c r="B50" s="301"/>
      <c r="C50" s="5" t="s">
        <v>84</v>
      </c>
      <c r="E50" s="357">
        <v>0.115</v>
      </c>
      <c r="F50" s="238"/>
      <c r="G50" s="362"/>
      <c r="H50" s="196"/>
      <c r="I50" s="196"/>
      <c r="J50" s="197"/>
      <c r="K50" s="196"/>
      <c r="L50" s="196"/>
      <c r="M50" s="357">
        <f>+E50</f>
        <v>0.115</v>
      </c>
      <c r="N50" s="238"/>
      <c r="O50" s="362"/>
      <c r="P50" s="196"/>
      <c r="Q50" s="196"/>
      <c r="R50" s="196"/>
      <c r="S50" s="196"/>
      <c r="T50" s="196"/>
      <c r="U50" s="357">
        <f>+M50</f>
        <v>0.115</v>
      </c>
      <c r="V50" s="178"/>
      <c r="W50" s="364"/>
    </row>
    <row r="51" spans="2:23" x14ac:dyDescent="0.2">
      <c r="B51" s="301"/>
      <c r="C51" s="31" t="s">
        <v>116</v>
      </c>
      <c r="D51" s="31"/>
      <c r="E51" s="356"/>
      <c r="F51" s="232"/>
      <c r="G51" s="362"/>
      <c r="H51" s="196"/>
      <c r="I51" s="196"/>
      <c r="J51" s="197"/>
      <c r="K51" s="196"/>
      <c r="L51" s="196"/>
      <c r="M51" s="356"/>
      <c r="N51" s="232"/>
      <c r="O51" s="362"/>
      <c r="P51" s="196"/>
      <c r="Q51" s="196"/>
      <c r="R51" s="196"/>
      <c r="S51" s="196"/>
      <c r="T51" s="196"/>
      <c r="U51" s="356"/>
      <c r="V51" s="29"/>
      <c r="W51" s="364"/>
    </row>
    <row r="52" spans="2:23" ht="10.5" customHeight="1" x14ac:dyDescent="0.2">
      <c r="B52" s="301"/>
      <c r="C52" s="5" t="s">
        <v>60</v>
      </c>
      <c r="E52" s="196"/>
      <c r="F52" s="197"/>
      <c r="G52" s="196"/>
      <c r="H52" s="196"/>
      <c r="I52" s="196"/>
      <c r="J52" s="197"/>
      <c r="K52" s="196"/>
      <c r="L52" s="196"/>
      <c r="M52" s="196"/>
      <c r="N52" s="197"/>
      <c r="O52" s="196"/>
      <c r="P52" s="196"/>
      <c r="Q52" s="196"/>
      <c r="R52" s="196"/>
      <c r="S52" s="196"/>
      <c r="T52" s="196"/>
      <c r="U52" s="196"/>
      <c r="V52" s="26"/>
    </row>
    <row r="53" spans="2:23" x14ac:dyDescent="0.2">
      <c r="B53" s="300">
        <v>4</v>
      </c>
      <c r="C53" s="27" t="s">
        <v>50</v>
      </c>
      <c r="D53" s="27"/>
      <c r="E53" s="196"/>
      <c r="F53" s="197"/>
      <c r="G53" s="196"/>
      <c r="H53" s="196"/>
      <c r="I53" s="196"/>
      <c r="J53" s="197"/>
      <c r="K53" s="196"/>
      <c r="L53" s="196"/>
      <c r="M53" s="196"/>
      <c r="N53" s="197"/>
      <c r="O53" s="196"/>
      <c r="P53" s="196"/>
      <c r="Q53" s="196"/>
      <c r="R53" s="196"/>
      <c r="S53" s="196"/>
      <c r="T53" s="196"/>
      <c r="U53" s="196"/>
      <c r="V53" s="26"/>
    </row>
    <row r="54" spans="2:23" x14ac:dyDescent="0.2">
      <c r="C54" s="20" t="s">
        <v>88</v>
      </c>
      <c r="D54" s="20"/>
      <c r="E54" s="196"/>
      <c r="F54" s="197"/>
      <c r="G54" s="196"/>
      <c r="H54" s="196"/>
      <c r="I54" s="196"/>
      <c r="J54" s="197"/>
      <c r="K54" s="196"/>
      <c r="L54" s="196"/>
      <c r="M54" s="196"/>
      <c r="N54" s="197"/>
      <c r="O54" s="196"/>
      <c r="P54" s="196"/>
      <c r="Q54" s="196"/>
      <c r="R54" s="196"/>
      <c r="S54" s="196"/>
      <c r="T54" s="196"/>
      <c r="U54" s="196"/>
      <c r="V54" s="26"/>
    </row>
    <row r="55" spans="2:23" x14ac:dyDescent="0.2">
      <c r="C55" s="5" t="s">
        <v>74</v>
      </c>
      <c r="E55" s="358">
        <v>0.56000000000000005</v>
      </c>
      <c r="F55" s="243"/>
      <c r="G55" s="362"/>
      <c r="H55" s="196"/>
      <c r="I55" s="196"/>
      <c r="J55" s="197"/>
      <c r="K55" s="196"/>
      <c r="L55" s="196"/>
      <c r="M55" s="358">
        <f>+E55</f>
        <v>0.56000000000000005</v>
      </c>
      <c r="N55" s="243"/>
      <c r="O55" s="362"/>
      <c r="P55" s="196"/>
      <c r="Q55" s="196"/>
      <c r="R55" s="196"/>
      <c r="S55" s="196"/>
      <c r="T55" s="196"/>
      <c r="U55" s="358">
        <f>+M55</f>
        <v>0.56000000000000005</v>
      </c>
      <c r="V55" s="181"/>
      <c r="W55" s="364"/>
    </row>
    <row r="56" spans="2:23" x14ac:dyDescent="0.2">
      <c r="C56" s="5" t="s">
        <v>75</v>
      </c>
      <c r="E56" s="358">
        <v>0.04</v>
      </c>
      <c r="F56" s="243"/>
      <c r="G56" s="11" t="s">
        <v>242</v>
      </c>
      <c r="H56" s="11"/>
      <c r="I56" s="196"/>
      <c r="J56" s="197"/>
      <c r="K56" s="196"/>
      <c r="L56" s="196"/>
      <c r="M56" s="358">
        <f>+E56</f>
        <v>0.04</v>
      </c>
      <c r="N56" s="243"/>
      <c r="O56" s="11" t="s">
        <v>242</v>
      </c>
      <c r="P56" s="196"/>
      <c r="Q56" s="196"/>
      <c r="R56" s="196"/>
      <c r="S56" s="196"/>
      <c r="T56" s="196"/>
      <c r="U56" s="358">
        <f>+M56</f>
        <v>0.04</v>
      </c>
      <c r="V56" s="181"/>
      <c r="W56" s="18" t="s">
        <v>242</v>
      </c>
    </row>
    <row r="57" spans="2:23" x14ac:dyDescent="0.2">
      <c r="C57" s="5" t="s">
        <v>76</v>
      </c>
      <c r="E57" s="358">
        <v>0.4</v>
      </c>
      <c r="F57" s="243"/>
      <c r="G57" s="387"/>
      <c r="H57" s="196"/>
      <c r="I57" s="196"/>
      <c r="J57" s="197"/>
      <c r="K57" s="196"/>
      <c r="L57" s="196"/>
      <c r="M57" s="358">
        <f>+E57</f>
        <v>0.4</v>
      </c>
      <c r="N57" s="243"/>
      <c r="O57" s="362"/>
      <c r="P57" s="196"/>
      <c r="Q57" s="196"/>
      <c r="R57" s="196"/>
      <c r="S57" s="196"/>
      <c r="T57" s="196"/>
      <c r="U57" s="358">
        <f>+M57</f>
        <v>0.4</v>
      </c>
      <c r="V57" s="181"/>
      <c r="W57" s="364"/>
    </row>
    <row r="58" spans="2:23" ht="13.5" thickBot="1" x14ac:dyDescent="0.25">
      <c r="C58" s="5" t="s">
        <v>77</v>
      </c>
      <c r="E58" s="359"/>
      <c r="F58" s="243"/>
      <c r="G58" s="362"/>
      <c r="H58" s="196"/>
      <c r="I58" s="196"/>
      <c r="J58" s="197"/>
      <c r="K58" s="196"/>
      <c r="L58" s="196"/>
      <c r="M58" s="359"/>
      <c r="N58" s="243"/>
      <c r="O58" s="362"/>
      <c r="P58" s="196"/>
      <c r="Q58" s="196"/>
      <c r="R58" s="196"/>
      <c r="S58" s="196"/>
      <c r="T58" s="196"/>
      <c r="U58" s="359"/>
      <c r="V58" s="181"/>
      <c r="W58" s="364"/>
    </row>
    <row r="59" spans="2:23" ht="13.5" thickTop="1" x14ac:dyDescent="0.2">
      <c r="E59" s="244">
        <f>SUM(E55:E58)</f>
        <v>1</v>
      </c>
      <c r="F59" s="243"/>
      <c r="G59" s="239"/>
      <c r="H59" s="197"/>
      <c r="I59" s="197"/>
      <c r="J59" s="197"/>
      <c r="K59" s="197"/>
      <c r="L59" s="197"/>
      <c r="M59" s="244">
        <f>SUM(M55:M58)</f>
        <v>1</v>
      </c>
      <c r="N59" s="243"/>
      <c r="O59" s="239"/>
      <c r="P59" s="197"/>
      <c r="Q59" s="197"/>
      <c r="R59" s="197"/>
      <c r="S59" s="197"/>
      <c r="T59" s="197"/>
      <c r="U59" s="244">
        <f>SUM(U55:U58)</f>
        <v>1</v>
      </c>
      <c r="V59" s="181"/>
      <c r="W59" s="179"/>
    </row>
    <row r="60" spans="2:23" ht="25.5" customHeight="1" x14ac:dyDescent="0.2">
      <c r="E60" s="245" t="str">
        <f>IF(ISBLANK(E57),"",IF(SUM(E55:E58)=100%,"","Capital Structure must total 100%"))</f>
        <v/>
      </c>
      <c r="F60" s="245"/>
      <c r="G60" s="246"/>
      <c r="H60" s="246"/>
      <c r="I60" s="246"/>
      <c r="J60" s="246"/>
      <c r="K60" s="246"/>
      <c r="L60" s="246"/>
      <c r="M60" s="245" t="str">
        <f>IF(ISBLANK(M57),"",IF(SUM(M55:M58)=100%,"","Capital Structure must total 100%"))</f>
        <v/>
      </c>
      <c r="N60" s="246"/>
      <c r="O60" s="246"/>
      <c r="P60" s="246"/>
      <c r="Q60" s="246"/>
      <c r="R60" s="246"/>
      <c r="S60" s="246"/>
      <c r="T60" s="246"/>
      <c r="U60" s="245" t="str">
        <f>IF(ISBLANK(U57),"",IF(SUM(U55:U58)=100%,"","Capital Structure must total 100%"))</f>
        <v/>
      </c>
      <c r="V60" s="32"/>
    </row>
    <row r="61" spans="2:23" x14ac:dyDescent="0.2">
      <c r="C61" s="20" t="s">
        <v>89</v>
      </c>
      <c r="D61" s="20"/>
      <c r="E61" s="196"/>
      <c r="F61" s="197"/>
      <c r="G61" s="196"/>
      <c r="H61" s="196"/>
      <c r="I61" s="196"/>
      <c r="J61" s="197"/>
      <c r="K61" s="196"/>
      <c r="L61" s="196"/>
      <c r="M61" s="196"/>
      <c r="N61" s="196"/>
      <c r="O61" s="196"/>
      <c r="P61" s="196"/>
      <c r="Q61" s="196"/>
      <c r="R61" s="196"/>
      <c r="S61" s="196"/>
      <c r="T61" s="196"/>
      <c r="U61" s="196"/>
      <c r="V61" s="26"/>
    </row>
    <row r="62" spans="2:23" x14ac:dyDescent="0.2">
      <c r="C62" s="5" t="s">
        <v>78</v>
      </c>
      <c r="E62" s="358">
        <v>4.1904579807703478E-2</v>
      </c>
      <c r="F62" s="247"/>
      <c r="G62" s="362"/>
      <c r="H62" s="196"/>
      <c r="I62" s="196"/>
      <c r="J62" s="197"/>
      <c r="K62" s="196"/>
      <c r="L62" s="196"/>
      <c r="M62" s="360">
        <f>+'[3]Return on Capital'!$BX$8</f>
        <v>4.001836439171752E-2</v>
      </c>
      <c r="N62" s="247"/>
      <c r="O62" s="362"/>
      <c r="P62" s="196"/>
      <c r="Q62" s="196"/>
      <c r="R62" s="196"/>
      <c r="S62" s="196"/>
      <c r="T62" s="196"/>
      <c r="U62" s="360">
        <f>+M62</f>
        <v>4.001836439171752E-2</v>
      </c>
      <c r="V62" s="182"/>
      <c r="W62" s="364"/>
    </row>
    <row r="63" spans="2:23" x14ac:dyDescent="0.2">
      <c r="C63" s="5" t="s">
        <v>79</v>
      </c>
      <c r="E63" s="358">
        <v>2.1600000000000001E-2</v>
      </c>
      <c r="F63" s="247"/>
      <c r="G63" s="362"/>
      <c r="H63" s="196"/>
      <c r="I63" s="196"/>
      <c r="J63" s="197"/>
      <c r="K63" s="196"/>
      <c r="L63" s="196"/>
      <c r="M63" s="360">
        <f>+'[3]Return on Capital'!$BX$9</f>
        <v>1.6500000000000001E-2</v>
      </c>
      <c r="N63" s="247"/>
      <c r="O63" s="362"/>
      <c r="P63" s="196"/>
      <c r="Q63" s="196"/>
      <c r="R63" s="196"/>
      <c r="S63" s="196"/>
      <c r="T63" s="196"/>
      <c r="U63" s="360">
        <f>+M63</f>
        <v>1.6500000000000001E-2</v>
      </c>
      <c r="V63" s="182"/>
      <c r="W63" s="364"/>
    </row>
    <row r="64" spans="2:23" x14ac:dyDescent="0.2">
      <c r="C64" s="5" t="s">
        <v>80</v>
      </c>
      <c r="E64" s="358">
        <v>9.2999999999999999E-2</v>
      </c>
      <c r="F64" s="247"/>
      <c r="G64" s="362"/>
      <c r="H64" s="196"/>
      <c r="I64" s="196"/>
      <c r="J64" s="197"/>
      <c r="K64" s="196"/>
      <c r="L64" s="196"/>
      <c r="M64" s="360">
        <f>+'[3]Return on Capital'!$BX$10</f>
        <v>9.1899999999999996E-2</v>
      </c>
      <c r="N64" s="247"/>
      <c r="O64" s="362"/>
      <c r="P64" s="196"/>
      <c r="Q64" s="196"/>
      <c r="R64" s="196"/>
      <c r="S64" s="196"/>
      <c r="T64" s="196"/>
      <c r="U64" s="360">
        <f>+M64</f>
        <v>9.1899999999999996E-2</v>
      </c>
      <c r="V64" s="182"/>
      <c r="W64" s="364"/>
    </row>
    <row r="65" spans="1:24" x14ac:dyDescent="0.2">
      <c r="C65" s="5" t="s">
        <v>81</v>
      </c>
      <c r="E65" s="360"/>
      <c r="F65" s="247"/>
      <c r="G65" s="362"/>
      <c r="H65" s="196"/>
      <c r="I65" s="196"/>
      <c r="J65" s="197"/>
      <c r="K65" s="196"/>
      <c r="L65" s="196"/>
      <c r="M65" s="360"/>
      <c r="N65" s="247"/>
      <c r="O65" s="362"/>
      <c r="P65" s="196"/>
      <c r="Q65" s="196"/>
      <c r="R65" s="196"/>
      <c r="S65" s="196"/>
      <c r="T65" s="196"/>
      <c r="U65" s="360"/>
      <c r="V65" s="182"/>
      <c r="W65" s="364"/>
    </row>
    <row r="66" spans="1:24" x14ac:dyDescent="0.2">
      <c r="D66" s="26"/>
      <c r="E66" s="355"/>
      <c r="F66" s="247"/>
      <c r="G66" s="266"/>
      <c r="H66" s="197"/>
      <c r="I66" s="197"/>
      <c r="J66" s="197"/>
      <c r="K66" s="197"/>
      <c r="L66" s="197"/>
      <c r="M66" s="355"/>
      <c r="N66" s="247"/>
      <c r="O66" s="266"/>
      <c r="P66" s="197"/>
      <c r="Q66" s="197"/>
      <c r="R66" s="197"/>
      <c r="S66" s="197"/>
      <c r="T66" s="197"/>
      <c r="U66" s="355"/>
      <c r="V66" s="182"/>
      <c r="W66" s="348"/>
      <c r="X66" s="26"/>
    </row>
    <row r="67" spans="1:24" ht="10.5" customHeight="1" x14ac:dyDescent="0.2"/>
    <row r="68" spans="1:24" x14ac:dyDescent="0.2">
      <c r="A68" s="4" t="s">
        <v>42</v>
      </c>
      <c r="B68" s="4"/>
      <c r="C68" s="4"/>
      <c r="D68" s="4"/>
    </row>
    <row r="69" spans="1:24" ht="39" customHeight="1" x14ac:dyDescent="0.2">
      <c r="B69" s="351" t="s">
        <v>241</v>
      </c>
      <c r="C69" s="473" t="s">
        <v>245</v>
      </c>
      <c r="D69" s="473"/>
      <c r="E69" s="473"/>
      <c r="F69" s="473"/>
      <c r="G69" s="473"/>
      <c r="H69" s="473"/>
      <c r="I69" s="473"/>
      <c r="J69" s="473"/>
      <c r="K69" s="479"/>
      <c r="L69" s="479"/>
      <c r="M69" s="479"/>
      <c r="N69" s="479"/>
      <c r="O69" s="479"/>
      <c r="P69" s="479"/>
      <c r="Q69" s="479"/>
      <c r="R69" s="479"/>
      <c r="S69" s="479"/>
      <c r="T69" s="479"/>
      <c r="U69" s="479"/>
      <c r="V69" s="28"/>
    </row>
    <row r="70" spans="1:24" x14ac:dyDescent="0.2">
      <c r="B70" s="302" t="s">
        <v>2</v>
      </c>
      <c r="C70" s="469" t="s">
        <v>90</v>
      </c>
      <c r="D70" s="469"/>
      <c r="E70" s="469"/>
      <c r="F70" s="469"/>
      <c r="G70" s="469"/>
      <c r="H70" s="469"/>
      <c r="I70" s="469"/>
      <c r="J70" s="469"/>
      <c r="K70" s="469"/>
      <c r="L70" s="469"/>
      <c r="M70" s="469"/>
      <c r="N70" s="469"/>
      <c r="O70" s="469"/>
      <c r="P70" s="469"/>
      <c r="Q70" s="469"/>
      <c r="R70" s="469"/>
      <c r="S70" s="469"/>
      <c r="T70" s="469"/>
      <c r="U70" s="469"/>
      <c r="V70" s="43"/>
    </row>
    <row r="71" spans="1:24" ht="27" customHeight="1" x14ac:dyDescent="0.2">
      <c r="B71" s="302" t="s">
        <v>3</v>
      </c>
      <c r="C71" s="467" t="s">
        <v>243</v>
      </c>
      <c r="D71" s="467"/>
      <c r="E71" s="467"/>
      <c r="F71" s="467"/>
      <c r="G71" s="467"/>
      <c r="H71" s="467"/>
      <c r="I71" s="467"/>
      <c r="J71" s="467"/>
      <c r="K71" s="467"/>
      <c r="L71" s="467"/>
      <c r="M71" s="467"/>
      <c r="N71" s="467"/>
      <c r="O71" s="467"/>
      <c r="P71" s="467"/>
      <c r="Q71" s="467"/>
      <c r="R71" s="467"/>
      <c r="S71" s="467"/>
      <c r="T71" s="467"/>
      <c r="U71" s="467"/>
      <c r="V71" s="15"/>
    </row>
    <row r="72" spans="1:24" x14ac:dyDescent="0.2">
      <c r="B72" s="302" t="s">
        <v>98</v>
      </c>
      <c r="C72" s="468" t="s">
        <v>99</v>
      </c>
      <c r="D72" s="468"/>
      <c r="E72" s="468"/>
      <c r="F72" s="468"/>
      <c r="G72" s="468"/>
      <c r="H72" s="468"/>
      <c r="I72" s="468"/>
      <c r="J72" s="468"/>
      <c r="K72" s="468"/>
      <c r="L72" s="468"/>
      <c r="M72" s="468"/>
      <c r="N72" s="468"/>
      <c r="O72" s="468"/>
      <c r="P72" s="468"/>
      <c r="Q72" s="468"/>
      <c r="R72" s="468"/>
      <c r="S72" s="468"/>
      <c r="T72" s="468"/>
      <c r="U72" s="468"/>
      <c r="V72" s="15"/>
    </row>
    <row r="73" spans="1:24" x14ac:dyDescent="0.2">
      <c r="B73" s="302" t="s">
        <v>122</v>
      </c>
      <c r="C73" s="472" t="s">
        <v>124</v>
      </c>
      <c r="D73" s="472"/>
      <c r="E73" s="472"/>
      <c r="F73" s="472"/>
      <c r="G73" s="472"/>
      <c r="H73" s="472"/>
      <c r="I73" s="472"/>
      <c r="J73" s="472"/>
      <c r="K73" s="472"/>
      <c r="L73" s="472"/>
      <c r="M73" s="472"/>
      <c r="N73" s="472"/>
      <c r="O73" s="472"/>
      <c r="P73" s="472"/>
      <c r="Q73" s="472"/>
      <c r="R73" s="472"/>
      <c r="S73" s="472"/>
      <c r="T73" s="472"/>
      <c r="U73" s="472"/>
      <c r="V73" s="28"/>
    </row>
    <row r="74" spans="1:24" x14ac:dyDescent="0.2">
      <c r="B74" s="302" t="s">
        <v>123</v>
      </c>
      <c r="C74" s="468" t="s">
        <v>135</v>
      </c>
      <c r="D74" s="468"/>
      <c r="E74" s="468"/>
      <c r="F74" s="468"/>
      <c r="G74" s="468"/>
      <c r="H74" s="468"/>
      <c r="I74" s="468"/>
      <c r="J74" s="468"/>
      <c r="K74" s="468"/>
      <c r="L74" s="468"/>
      <c r="M74" s="468"/>
      <c r="N74" s="468"/>
      <c r="O74" s="468"/>
      <c r="P74" s="468"/>
      <c r="Q74" s="468"/>
      <c r="R74" s="468"/>
      <c r="S74" s="468"/>
      <c r="T74" s="468"/>
      <c r="U74" s="468"/>
      <c r="V74" s="15"/>
    </row>
    <row r="75" spans="1:24" ht="26.25" customHeight="1" x14ac:dyDescent="0.2">
      <c r="B75" s="303" t="s">
        <v>147</v>
      </c>
      <c r="C75" s="471" t="s">
        <v>227</v>
      </c>
      <c r="D75" s="471"/>
      <c r="E75" s="471"/>
      <c r="F75" s="471"/>
      <c r="G75" s="471"/>
      <c r="H75" s="471"/>
      <c r="I75" s="471"/>
      <c r="J75" s="471"/>
      <c r="K75" s="471"/>
      <c r="L75" s="471"/>
      <c r="M75" s="471"/>
      <c r="N75" s="471"/>
      <c r="O75" s="471"/>
      <c r="P75" s="471"/>
      <c r="Q75" s="471"/>
      <c r="R75" s="471"/>
      <c r="S75" s="471"/>
      <c r="T75" s="471"/>
      <c r="U75" s="471"/>
      <c r="V75" s="183"/>
    </row>
    <row r="76" spans="1:24" x14ac:dyDescent="0.2">
      <c r="B76" s="303" t="s">
        <v>236</v>
      </c>
      <c r="C76" s="473" t="s">
        <v>237</v>
      </c>
      <c r="D76" s="473"/>
      <c r="E76" s="473"/>
      <c r="F76" s="473"/>
      <c r="G76" s="473"/>
      <c r="H76" s="473"/>
      <c r="I76" s="473"/>
      <c r="J76" s="473"/>
      <c r="K76" s="473"/>
      <c r="L76" s="473"/>
      <c r="M76" s="473"/>
      <c r="N76" s="473"/>
      <c r="O76" s="473"/>
      <c r="P76" s="473"/>
      <c r="Q76" s="473"/>
      <c r="R76" s="473"/>
      <c r="S76" s="473"/>
      <c r="T76" s="473"/>
      <c r="U76" s="473"/>
      <c r="V76" s="183"/>
    </row>
    <row r="77" spans="1:24" x14ac:dyDescent="0.2">
      <c r="B77" s="303" t="s">
        <v>242</v>
      </c>
      <c r="C77" s="468" t="s">
        <v>92</v>
      </c>
      <c r="D77" s="468"/>
      <c r="E77" s="468"/>
      <c r="F77" s="468"/>
      <c r="G77" s="468"/>
      <c r="H77" s="468"/>
      <c r="I77" s="468"/>
      <c r="J77" s="468"/>
      <c r="K77" s="468"/>
      <c r="L77" s="468"/>
      <c r="M77" s="468"/>
      <c r="N77" s="468"/>
      <c r="O77" s="468"/>
      <c r="P77" s="468"/>
      <c r="Q77" s="468"/>
      <c r="R77" s="468"/>
      <c r="S77" s="468"/>
      <c r="T77" s="468"/>
      <c r="U77" s="468"/>
      <c r="V77" s="183"/>
    </row>
    <row r="78" spans="1:24" x14ac:dyDescent="0.2">
      <c r="B78" s="303" t="s">
        <v>244</v>
      </c>
      <c r="C78" s="474" t="s">
        <v>306</v>
      </c>
      <c r="D78" s="475"/>
      <c r="E78" s="475"/>
      <c r="F78" s="475"/>
      <c r="G78" s="475"/>
      <c r="H78" s="475"/>
      <c r="I78" s="475"/>
      <c r="J78" s="475"/>
      <c r="K78" s="475"/>
      <c r="L78" s="475"/>
      <c r="M78" s="475"/>
      <c r="N78" s="475"/>
      <c r="O78" s="475"/>
      <c r="P78" s="475"/>
      <c r="Q78" s="475"/>
      <c r="R78" s="475"/>
      <c r="S78" s="475"/>
      <c r="T78" s="475"/>
      <c r="U78" s="475"/>
      <c r="V78" s="183"/>
    </row>
    <row r="79" spans="1:24" x14ac:dyDescent="0.2">
      <c r="B79" s="352"/>
      <c r="C79" s="475"/>
      <c r="D79" s="475"/>
      <c r="E79" s="475"/>
      <c r="F79" s="475"/>
      <c r="G79" s="475"/>
      <c r="H79" s="475"/>
      <c r="I79" s="475"/>
      <c r="J79" s="475"/>
      <c r="K79" s="475"/>
      <c r="L79" s="475"/>
      <c r="M79" s="475"/>
      <c r="N79" s="475"/>
      <c r="O79" s="475"/>
      <c r="P79" s="475"/>
      <c r="Q79" s="475"/>
      <c r="R79" s="475"/>
      <c r="S79" s="475"/>
      <c r="T79" s="475"/>
      <c r="U79" s="475"/>
      <c r="V79" s="183"/>
    </row>
    <row r="80" spans="1:24" x14ac:dyDescent="0.2">
      <c r="B80" s="365"/>
      <c r="C80" s="470"/>
      <c r="D80" s="470"/>
      <c r="E80" s="470"/>
      <c r="F80" s="470"/>
      <c r="G80" s="470"/>
      <c r="H80" s="470"/>
      <c r="I80" s="470"/>
      <c r="J80" s="470"/>
      <c r="K80" s="470"/>
      <c r="L80" s="470"/>
      <c r="M80" s="470"/>
      <c r="N80" s="470"/>
      <c r="O80" s="470"/>
      <c r="P80" s="470"/>
      <c r="Q80" s="470"/>
      <c r="R80" s="470"/>
      <c r="S80" s="470"/>
      <c r="T80" s="470"/>
      <c r="U80" s="470"/>
      <c r="V80" s="183"/>
    </row>
    <row r="81" spans="2:22" x14ac:dyDescent="0.2">
      <c r="B81" s="365"/>
      <c r="C81" s="470"/>
      <c r="D81" s="470"/>
      <c r="E81" s="470"/>
      <c r="F81" s="470"/>
      <c r="G81" s="470"/>
      <c r="H81" s="470"/>
      <c r="I81" s="470"/>
      <c r="J81" s="470"/>
      <c r="K81" s="470"/>
      <c r="L81" s="470"/>
      <c r="M81" s="470"/>
      <c r="N81" s="470"/>
      <c r="O81" s="470"/>
      <c r="P81" s="470"/>
      <c r="Q81" s="470"/>
      <c r="R81" s="470"/>
      <c r="S81" s="470"/>
      <c r="T81" s="470"/>
      <c r="U81" s="470"/>
      <c r="V81" s="183"/>
    </row>
    <row r="82" spans="2:22" x14ac:dyDescent="0.2">
      <c r="B82" s="365"/>
      <c r="C82" s="470"/>
      <c r="D82" s="470"/>
      <c r="E82" s="470"/>
      <c r="F82" s="470"/>
      <c r="G82" s="470"/>
      <c r="H82" s="470"/>
      <c r="I82" s="470"/>
      <c r="J82" s="470"/>
      <c r="K82" s="470"/>
      <c r="L82" s="470"/>
      <c r="M82" s="470"/>
      <c r="N82" s="470"/>
      <c r="O82" s="470"/>
      <c r="P82" s="470"/>
      <c r="Q82" s="470"/>
      <c r="R82" s="470"/>
      <c r="S82" s="470"/>
      <c r="T82" s="470"/>
      <c r="U82" s="470"/>
      <c r="V82" s="183"/>
    </row>
    <row r="83" spans="2:22" x14ac:dyDescent="0.2">
      <c r="B83" s="365"/>
      <c r="C83" s="470"/>
      <c r="D83" s="470"/>
      <c r="E83" s="470"/>
      <c r="F83" s="470"/>
      <c r="G83" s="470"/>
      <c r="H83" s="470"/>
      <c r="I83" s="470"/>
      <c r="J83" s="470"/>
      <c r="K83" s="470"/>
      <c r="L83" s="470"/>
      <c r="M83" s="470"/>
      <c r="N83" s="470"/>
      <c r="O83" s="470"/>
      <c r="P83" s="470"/>
      <c r="Q83" s="470"/>
      <c r="R83" s="470"/>
      <c r="S83" s="470"/>
      <c r="T83" s="470"/>
      <c r="U83" s="470"/>
      <c r="V83" s="183"/>
    </row>
    <row r="84" spans="2:22" x14ac:dyDescent="0.2">
      <c r="B84" s="365"/>
      <c r="C84" s="470"/>
      <c r="D84" s="470"/>
      <c r="E84" s="470"/>
      <c r="F84" s="470"/>
      <c r="G84" s="470"/>
      <c r="H84" s="470"/>
      <c r="I84" s="470"/>
      <c r="J84" s="470"/>
      <c r="K84" s="470"/>
      <c r="L84" s="470"/>
      <c r="M84" s="470"/>
      <c r="N84" s="470"/>
      <c r="O84" s="470"/>
      <c r="P84" s="470"/>
      <c r="Q84" s="470"/>
      <c r="R84" s="470"/>
      <c r="S84" s="470"/>
      <c r="T84" s="470"/>
      <c r="U84" s="470"/>
      <c r="V84" s="183"/>
    </row>
    <row r="85" spans="2:22" x14ac:dyDescent="0.2">
      <c r="B85" s="365"/>
      <c r="C85" s="470"/>
      <c r="D85" s="470"/>
      <c r="E85" s="470"/>
      <c r="F85" s="470"/>
      <c r="G85" s="470"/>
      <c r="H85" s="470"/>
      <c r="I85" s="470"/>
      <c r="J85" s="470"/>
      <c r="K85" s="470"/>
      <c r="L85" s="470"/>
      <c r="M85" s="470"/>
      <c r="N85" s="470"/>
      <c r="O85" s="470"/>
      <c r="P85" s="470"/>
      <c r="Q85" s="470"/>
      <c r="R85" s="470"/>
      <c r="S85" s="470"/>
      <c r="T85" s="470"/>
      <c r="U85" s="470"/>
      <c r="V85" s="183"/>
    </row>
    <row r="86" spans="2:22" x14ac:dyDescent="0.2">
      <c r="B86" s="365"/>
      <c r="C86" s="470"/>
      <c r="D86" s="470"/>
      <c r="E86" s="470"/>
      <c r="F86" s="470"/>
      <c r="G86" s="470"/>
      <c r="H86" s="470"/>
      <c r="I86" s="470"/>
      <c r="J86" s="470"/>
      <c r="K86" s="470"/>
      <c r="L86" s="470"/>
      <c r="M86" s="470"/>
      <c r="N86" s="470"/>
      <c r="O86" s="470"/>
      <c r="P86" s="470"/>
      <c r="Q86" s="470"/>
      <c r="R86" s="470"/>
      <c r="S86" s="470"/>
      <c r="T86" s="470"/>
      <c r="U86" s="470"/>
      <c r="V86" s="183"/>
    </row>
    <row r="87" spans="2:22" x14ac:dyDescent="0.2">
      <c r="B87" s="365"/>
      <c r="C87" s="470"/>
      <c r="D87" s="470"/>
      <c r="E87" s="470"/>
      <c r="F87" s="470"/>
      <c r="G87" s="470"/>
      <c r="H87" s="470"/>
      <c r="I87" s="470"/>
      <c r="J87" s="470"/>
      <c r="K87" s="470"/>
      <c r="L87" s="470"/>
      <c r="M87" s="470"/>
      <c r="N87" s="470"/>
      <c r="O87" s="470"/>
      <c r="P87" s="470"/>
      <c r="Q87" s="470"/>
      <c r="R87" s="470"/>
      <c r="S87" s="470"/>
      <c r="T87" s="470"/>
      <c r="U87" s="470"/>
      <c r="V87" s="183"/>
    </row>
    <row r="88" spans="2:22" x14ac:dyDescent="0.2">
      <c r="C88" s="465"/>
      <c r="D88" s="465"/>
      <c r="E88" s="466"/>
      <c r="F88" s="466"/>
      <c r="G88" s="466"/>
      <c r="H88" s="466"/>
      <c r="I88" s="466"/>
      <c r="J88" s="466"/>
      <c r="K88" s="466"/>
      <c r="L88" s="466"/>
      <c r="M88" s="466"/>
      <c r="N88" s="466"/>
      <c r="O88" s="466"/>
      <c r="P88" s="466"/>
      <c r="Q88" s="466"/>
      <c r="R88" s="466"/>
      <c r="S88" s="466"/>
      <c r="T88" s="466"/>
      <c r="U88" s="466"/>
      <c r="V88" s="28"/>
    </row>
    <row r="89" spans="2:22" x14ac:dyDescent="0.2">
      <c r="C89" s="466"/>
      <c r="D89" s="466"/>
      <c r="E89" s="466"/>
      <c r="F89" s="466"/>
      <c r="G89" s="466"/>
      <c r="H89" s="466"/>
      <c r="I89" s="466"/>
      <c r="J89" s="466"/>
      <c r="K89" s="466"/>
      <c r="L89" s="466"/>
      <c r="M89" s="466"/>
      <c r="N89" s="466"/>
      <c r="O89" s="466"/>
      <c r="P89" s="466"/>
      <c r="Q89" s="466"/>
      <c r="R89" s="466"/>
      <c r="S89" s="466"/>
      <c r="T89" s="466"/>
      <c r="U89" s="466"/>
      <c r="V89" s="28"/>
    </row>
  </sheetData>
  <sheetProtection password="82A3" sheet="1" objects="1" scenarios="1"/>
  <mergeCells count="32">
    <mergeCell ref="C80:U80"/>
    <mergeCell ref="C78:U79"/>
    <mergeCell ref="C1:M1"/>
    <mergeCell ref="E8:U8"/>
    <mergeCell ref="Y20:Y21"/>
    <mergeCell ref="C69:U69"/>
    <mergeCell ref="C4:K4"/>
    <mergeCell ref="C2:K2"/>
    <mergeCell ref="C3:K3"/>
    <mergeCell ref="O12:O13"/>
    <mergeCell ref="G12:G13"/>
    <mergeCell ref="Q12:Q13"/>
    <mergeCell ref="E12:E13"/>
    <mergeCell ref="I12:I13"/>
    <mergeCell ref="U12:U13"/>
    <mergeCell ref="M12:M13"/>
    <mergeCell ref="C88:U89"/>
    <mergeCell ref="C71:U71"/>
    <mergeCell ref="C72:U72"/>
    <mergeCell ref="C70:U70"/>
    <mergeCell ref="C87:U87"/>
    <mergeCell ref="C75:U75"/>
    <mergeCell ref="C81:U81"/>
    <mergeCell ref="C73:U73"/>
    <mergeCell ref="C76:U76"/>
    <mergeCell ref="C77:U77"/>
    <mergeCell ref="C82:U82"/>
    <mergeCell ref="C83:U83"/>
    <mergeCell ref="C84:U84"/>
    <mergeCell ref="C85:U85"/>
    <mergeCell ref="C86:U86"/>
    <mergeCell ref="C74:U74"/>
  </mergeCells>
  <phoneticPr fontId="2" type="noConversion"/>
  <conditionalFormatting sqref="U59 M59 E59">
    <cfRule type="cellIs" dxfId="23" priority="12" stopIfTrue="1" operator="equal">
      <formula>0</formula>
    </cfRule>
  </conditionalFormatting>
  <conditionalFormatting sqref="M21 U21">
    <cfRule type="cellIs" dxfId="22" priority="13" stopIfTrue="1" operator="equal">
      <formula>0</formula>
    </cfRule>
  </conditionalFormatting>
  <conditionalFormatting sqref="M19:M20 M16">
    <cfRule type="cellIs" dxfId="21" priority="14" stopIfTrue="1" operator="equal">
      <formula>0</formula>
    </cfRule>
  </conditionalFormatting>
  <conditionalFormatting sqref="I12:I13 M12:M13 Q12:Q13">
    <cfRule type="cellIs" dxfId="20" priority="15" stopIfTrue="1" operator="notEqual">
      <formula>""</formula>
    </cfRule>
  </conditionalFormatting>
  <conditionalFormatting sqref="M21">
    <cfRule type="cellIs" dxfId="19" priority="9" operator="notEqual">
      <formula>0.075</formula>
    </cfRule>
    <cfRule type="cellIs" dxfId="18" priority="6" operator="equal">
      <formula>0</formula>
    </cfRule>
  </conditionalFormatting>
  <conditionalFormatting sqref="U21">
    <cfRule type="cellIs" priority="8" operator="notEqual">
      <formula>0.075</formula>
    </cfRule>
    <cfRule type="cellIs" dxfId="17" priority="7" operator="notEqual">
      <formula>0.075</formula>
    </cfRule>
    <cfRule type="cellIs" dxfId="16" priority="5" operator="equal">
      <formula>0</formula>
    </cfRule>
  </conditionalFormatting>
  <conditionalFormatting sqref="E21">
    <cfRule type="cellIs" dxfId="15" priority="1" operator="equal">
      <formula>0</formula>
    </cfRule>
    <cfRule type="cellIs" dxfId="14" priority="2" operator="notEqual">
      <formula>0.075</formula>
    </cfRule>
    <cfRule type="expression" dxfId="13" priority="3">
      <formula>"&gt;7.5%"</formula>
    </cfRule>
  </conditionalFormatting>
  <dataValidations count="1">
    <dataValidation type="list" allowBlank="1" showInputMessage="1" showErrorMessage="1" prompt="Select either Interrogatory Responses, Supplementary Interrogatory Responses, Technical Conference, Settlement Agreement, Argument-in-Chief, or Reply Submission" sqref="M12:M13">
      <formula1>"Application Update, Interrogatory Responses, Supplementary Interrogatory Responses, Technical Conference, Settlement Agreement, Argument-in-Chief, Close of Discovery, Reply Submission"</formula1>
    </dataValidation>
  </dataValidations>
  <pageMargins left="0.75" right="0.75" top="0.46" bottom="0.79" header="0.26" footer="0.5"/>
  <pageSetup scale="57" orientation="portrait" r:id="rId1"/>
  <headerFooter alignWithMargins="0">
    <oddFooter>&amp;C2</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AB42"/>
  <sheetViews>
    <sheetView showGridLines="0" topLeftCell="A4" zoomScaleNormal="100" zoomScaleSheetLayoutView="100" workbookViewId="0">
      <selection activeCell="W18" sqref="W18:W19"/>
    </sheetView>
  </sheetViews>
  <sheetFormatPr defaultRowHeight="12.75" x14ac:dyDescent="0.2"/>
  <cols>
    <col min="1" max="1" width="2.7109375" style="5" customWidth="1"/>
    <col min="2" max="2" width="5.28515625" style="5" customWidth="1"/>
    <col min="3" max="3" width="5.7109375" style="5" customWidth="1"/>
    <col min="4" max="4" width="31.140625" style="5" customWidth="1"/>
    <col min="5" max="5" width="3.7109375" style="5" customWidth="1"/>
    <col min="6" max="6" width="1.28515625" style="5" customWidth="1"/>
    <col min="7" max="7" width="14.42578125" style="5" customWidth="1"/>
    <col min="8" max="8" width="1.140625" style="5" customWidth="1"/>
    <col min="9" max="9" width="3.42578125" style="5" customWidth="1"/>
    <col min="10" max="10" width="1.140625" style="5" customWidth="1"/>
    <col min="11" max="11" width="12.140625" style="5" customWidth="1"/>
    <col min="12" max="12" width="1.140625" style="5" customWidth="1"/>
    <col min="13" max="13" width="3.42578125" style="5" customWidth="1"/>
    <col min="14" max="14" width="1.140625" style="5" customWidth="1"/>
    <col min="15" max="15" width="14.5703125" style="5" customWidth="1"/>
    <col min="16" max="16" width="1.42578125" style="5" customWidth="1"/>
    <col min="17" max="17" width="3.42578125" style="5" customWidth="1"/>
    <col min="18" max="18" width="1.140625" style="5" customWidth="1"/>
    <col min="19" max="19" width="12" style="5" customWidth="1"/>
    <col min="20" max="20" width="1.140625" style="5" customWidth="1"/>
    <col min="21" max="21" width="3.42578125" style="5" customWidth="1"/>
    <col min="22" max="22" width="1.140625" style="5" customWidth="1"/>
    <col min="23" max="23" width="14.7109375" style="5" customWidth="1"/>
    <col min="24" max="24" width="2.85546875" style="5" customWidth="1"/>
    <col min="25" max="16384" width="9.140625" style="5"/>
  </cols>
  <sheetData>
    <row r="1" spans="2:28" s="2" customFormat="1" ht="36.75" customHeight="1" x14ac:dyDescent="0.2">
      <c r="C1" s="487"/>
      <c r="D1" s="487"/>
      <c r="E1" s="487"/>
      <c r="F1" s="487"/>
      <c r="G1" s="487"/>
      <c r="H1" s="487"/>
      <c r="I1" s="487"/>
      <c r="J1" s="487"/>
      <c r="K1" s="487"/>
      <c r="L1" s="140"/>
      <c r="W1" s="146"/>
    </row>
    <row r="2" spans="2:28" s="2" customFormat="1" ht="36.75" customHeight="1" x14ac:dyDescent="0.25">
      <c r="C2" s="480"/>
      <c r="D2" s="480"/>
      <c r="E2" s="480"/>
      <c r="F2" s="480"/>
      <c r="G2" s="480"/>
      <c r="H2" s="480"/>
      <c r="I2" s="480"/>
      <c r="J2" s="480"/>
      <c r="K2" s="480"/>
      <c r="L2" s="480"/>
      <c r="M2" s="480"/>
      <c r="N2" s="480"/>
      <c r="O2" s="480"/>
      <c r="P2" s="480"/>
      <c r="Q2" s="480"/>
      <c r="R2" s="480"/>
      <c r="S2" s="480"/>
      <c r="T2" s="480"/>
      <c r="U2" s="480"/>
      <c r="V2" s="480"/>
      <c r="W2" s="480"/>
    </row>
    <row r="3" spans="2:28" s="2" customFormat="1" ht="36.75" customHeight="1" x14ac:dyDescent="0.25">
      <c r="C3" s="480"/>
      <c r="D3" s="480"/>
      <c r="E3" s="480"/>
      <c r="F3" s="480"/>
      <c r="G3" s="480"/>
      <c r="H3" s="36"/>
      <c r="I3" s="33"/>
      <c r="J3" s="33"/>
      <c r="K3" s="33"/>
      <c r="L3" s="33"/>
    </row>
    <row r="4" spans="2:28" s="2" customFormat="1" ht="36.75" customHeight="1" x14ac:dyDescent="0.25">
      <c r="C4" s="480"/>
      <c r="D4" s="480"/>
      <c r="E4" s="480"/>
      <c r="F4" s="480"/>
      <c r="G4" s="480"/>
      <c r="H4" s="36"/>
      <c r="I4" s="33"/>
      <c r="J4" s="33"/>
      <c r="K4" s="33"/>
      <c r="L4" s="33"/>
    </row>
    <row r="5" spans="2:28" s="2" customFormat="1" ht="15.75" x14ac:dyDescent="0.25">
      <c r="E5" s="3"/>
      <c r="F5" s="3"/>
    </row>
    <row r="6" spans="2:28" s="2" customFormat="1" ht="18" x14ac:dyDescent="0.25">
      <c r="B6" s="382" t="s">
        <v>249</v>
      </c>
    </row>
    <row r="9" spans="2:28" ht="15.75" x14ac:dyDescent="0.25">
      <c r="G9" s="58"/>
      <c r="H9" s="58"/>
      <c r="I9" s="58"/>
      <c r="J9" s="58"/>
      <c r="K9" s="58"/>
      <c r="L9" s="58"/>
      <c r="M9" s="58"/>
      <c r="N9" s="58"/>
      <c r="O9" s="58"/>
      <c r="P9" s="58"/>
      <c r="Q9" s="58"/>
      <c r="R9" s="58"/>
      <c r="S9" s="58"/>
      <c r="T9" s="58"/>
      <c r="U9" s="58"/>
      <c r="V9" s="58"/>
      <c r="W9" s="58"/>
    </row>
    <row r="10" spans="2:28" ht="18" x14ac:dyDescent="0.25">
      <c r="D10" s="379" t="s">
        <v>7</v>
      </c>
      <c r="F10" s="127"/>
      <c r="G10" s="127"/>
      <c r="H10" s="127"/>
      <c r="I10" s="127"/>
      <c r="J10" s="127"/>
      <c r="K10" s="127"/>
      <c r="L10" s="127"/>
      <c r="M10" s="127"/>
      <c r="N10" s="127"/>
      <c r="O10" s="127"/>
      <c r="P10" s="127"/>
      <c r="Q10" s="127"/>
      <c r="R10" s="127"/>
      <c r="S10" s="127"/>
      <c r="T10" s="127"/>
      <c r="U10" s="127"/>
      <c r="V10" s="127"/>
      <c r="W10" s="127"/>
    </row>
    <row r="11" spans="2:28" ht="25.5" x14ac:dyDescent="0.2">
      <c r="B11" s="41" t="s">
        <v>37</v>
      </c>
      <c r="C11" s="28"/>
      <c r="D11" s="42" t="s">
        <v>36</v>
      </c>
      <c r="E11" s="66"/>
      <c r="F11" s="34"/>
      <c r="G11" s="299" t="s">
        <v>155</v>
      </c>
      <c r="H11" s="69"/>
      <c r="I11" s="304"/>
      <c r="J11" s="304"/>
      <c r="K11" s="69" t="str">
        <f>IF(ISBLANK('3. Data_Input_Sheet'!M12),"",'3. Data_Input_Sheet'!I12)</f>
        <v>Adjustments</v>
      </c>
      <c r="L11" s="69"/>
      <c r="M11" s="304"/>
      <c r="N11" s="304"/>
      <c r="O11" s="168" t="str">
        <f>IF(ISBLANK('3. Data_Input_Sheet'!M12)," ",'3. Data_Input_Sheet'!M12)</f>
        <v>Interrogatory Responses</v>
      </c>
      <c r="P11" s="304"/>
      <c r="Q11" s="304"/>
      <c r="R11" s="304"/>
      <c r="S11" s="69" t="str">
        <f>IF(ISBLANK('3. Data_Input_Sheet'!Q12),"",'3. Data_Input_Sheet'!Q12)</f>
        <v>Adjustments</v>
      </c>
      <c r="T11" s="304"/>
      <c r="U11" s="304"/>
      <c r="V11" s="304"/>
      <c r="W11" s="299" t="str">
        <f>'3. Data_Input_Sheet'!U12</f>
        <v>Per Board Decision</v>
      </c>
    </row>
    <row r="12" spans="2:28" x14ac:dyDescent="0.2">
      <c r="F12" s="34"/>
      <c r="G12" s="34"/>
      <c r="H12" s="34"/>
      <c r="I12" s="34"/>
      <c r="J12" s="34"/>
      <c r="K12" s="34"/>
      <c r="L12" s="34"/>
      <c r="M12" s="34"/>
      <c r="N12" s="34"/>
      <c r="O12" s="34"/>
      <c r="P12" s="34"/>
      <c r="Q12" s="34"/>
      <c r="R12" s="34"/>
      <c r="S12" s="34"/>
      <c r="T12" s="34"/>
      <c r="U12" s="34"/>
      <c r="V12" s="34"/>
      <c r="W12" s="34"/>
    </row>
    <row r="13" spans="2:28" x14ac:dyDescent="0.2">
      <c r="B13" s="4">
        <v>1</v>
      </c>
      <c r="D13" s="5" t="s">
        <v>102</v>
      </c>
      <c r="E13" s="18" t="s">
        <v>98</v>
      </c>
      <c r="F13" s="34"/>
      <c r="G13" s="100">
        <f>'3. Data_Input_Sheet'!E16</f>
        <v>148315727.96500003</v>
      </c>
      <c r="H13" s="100"/>
      <c r="I13" s="364"/>
      <c r="J13" s="179"/>
      <c r="K13" s="100">
        <f>'3. Data_Input_Sheet'!I16</f>
        <v>-2965549</v>
      </c>
      <c r="L13" s="100"/>
      <c r="M13" s="364"/>
      <c r="N13" s="179"/>
      <c r="O13" s="100">
        <f>G13+K13</f>
        <v>145350178.96500003</v>
      </c>
      <c r="P13" s="179"/>
      <c r="Q13" s="364"/>
      <c r="R13" s="179"/>
      <c r="S13" s="100">
        <f>'3. Data_Input_Sheet'!Q16</f>
        <v>-1935202</v>
      </c>
      <c r="T13" s="179"/>
      <c r="U13" s="364"/>
      <c r="V13" s="179"/>
      <c r="W13" s="100">
        <f>G13+K13+S13</f>
        <v>143414976.96500003</v>
      </c>
      <c r="Z13" s="53"/>
      <c r="AA13" s="53"/>
      <c r="AB13" s="53"/>
    </row>
    <row r="14" spans="2:28" x14ac:dyDescent="0.2">
      <c r="B14" s="4">
        <v>2</v>
      </c>
      <c r="D14" s="5" t="s">
        <v>103</v>
      </c>
      <c r="E14" s="18" t="s">
        <v>98</v>
      </c>
      <c r="F14" s="34"/>
      <c r="G14" s="102">
        <f>'3. Data_Input_Sheet'!E17</f>
        <v>-65098318.361475408</v>
      </c>
      <c r="H14" s="100"/>
      <c r="I14" s="364"/>
      <c r="J14" s="179"/>
      <c r="K14" s="102">
        <f>'3. Data_Input_Sheet'!I17</f>
        <v>488356</v>
      </c>
      <c r="L14" s="100"/>
      <c r="M14" s="364"/>
      <c r="N14" s="179"/>
      <c r="O14" s="102">
        <f>G14+K14</f>
        <v>-64609962.361475408</v>
      </c>
      <c r="P14" s="179"/>
      <c r="Q14" s="364"/>
      <c r="R14" s="179"/>
      <c r="S14" s="102">
        <f>'3. Data_Input_Sheet'!Q17</f>
        <v>38702</v>
      </c>
      <c r="T14" s="179"/>
      <c r="U14" s="364"/>
      <c r="V14" s="179"/>
      <c r="W14" s="102">
        <f>G14+K14+S14</f>
        <v>-64571260.361475408</v>
      </c>
    </row>
    <row r="15" spans="2:28" x14ac:dyDescent="0.2">
      <c r="B15" s="4">
        <v>3</v>
      </c>
      <c r="D15" s="60" t="s">
        <v>104</v>
      </c>
      <c r="E15" s="18" t="s">
        <v>98</v>
      </c>
      <c r="F15" s="34"/>
      <c r="G15" s="47">
        <f>SUM(G13:G14)</f>
        <v>83217409.603524625</v>
      </c>
      <c r="H15" s="47"/>
      <c r="I15" s="128"/>
      <c r="J15" s="128"/>
      <c r="K15" s="47">
        <f>SUM(K13:K14)</f>
        <v>-2477193</v>
      </c>
      <c r="L15" s="47"/>
      <c r="M15" s="128"/>
      <c r="N15" s="128"/>
      <c r="O15" s="47">
        <f>SUM(O13:O14)</f>
        <v>80740216.603524625</v>
      </c>
      <c r="P15" s="128"/>
      <c r="Q15" s="128"/>
      <c r="R15" s="128"/>
      <c r="S15" s="47">
        <f>SUM(S13:S14)</f>
        <v>-1896500</v>
      </c>
      <c r="T15" s="128"/>
      <c r="U15" s="128"/>
      <c r="V15" s="128"/>
      <c r="W15" s="47">
        <f>SUM(W13:W14)</f>
        <v>78843716.603524625</v>
      </c>
    </row>
    <row r="16" spans="2:28" x14ac:dyDescent="0.2">
      <c r="B16" s="4"/>
      <c r="E16" s="4"/>
      <c r="F16" s="34"/>
      <c r="G16" s="47"/>
      <c r="H16" s="47"/>
      <c r="I16" s="128"/>
      <c r="J16" s="128"/>
      <c r="K16" s="47"/>
      <c r="L16" s="47"/>
      <c r="M16" s="128"/>
      <c r="N16" s="128"/>
      <c r="O16" s="47"/>
      <c r="P16" s="128"/>
      <c r="Q16" s="128"/>
      <c r="R16" s="128"/>
      <c r="S16" s="47"/>
      <c r="T16" s="128"/>
      <c r="U16" s="128"/>
      <c r="V16" s="128"/>
      <c r="W16" s="47"/>
    </row>
    <row r="17" spans="2:26" x14ac:dyDescent="0.2">
      <c r="B17" s="4">
        <v>4</v>
      </c>
      <c r="D17" s="126" t="s">
        <v>58</v>
      </c>
      <c r="E17" s="167" t="s">
        <v>2</v>
      </c>
      <c r="F17" s="34"/>
      <c r="G17" s="54">
        <f>G30</f>
        <v>8727716.6960655898</v>
      </c>
      <c r="H17" s="47"/>
      <c r="I17" s="128"/>
      <c r="J17" s="128"/>
      <c r="K17" s="54">
        <f>K30</f>
        <v>542376.63698532432</v>
      </c>
      <c r="L17" s="47"/>
      <c r="M17" s="128"/>
      <c r="N17" s="128"/>
      <c r="O17" s="54">
        <f>O30</f>
        <v>9270093.3330509141</v>
      </c>
      <c r="P17" s="128"/>
      <c r="Q17" s="128"/>
      <c r="R17" s="128"/>
      <c r="S17" s="54">
        <f>S30</f>
        <v>-41250</v>
      </c>
      <c r="T17" s="128"/>
      <c r="U17" s="128"/>
      <c r="V17" s="128"/>
      <c r="W17" s="54">
        <f>W30</f>
        <v>9228843.3330509141</v>
      </c>
    </row>
    <row r="18" spans="2:26" x14ac:dyDescent="0.2">
      <c r="B18" s="4"/>
      <c r="D18" s="491" t="s">
        <v>1</v>
      </c>
      <c r="E18" s="37"/>
      <c r="F18" s="70"/>
      <c r="G18" s="489">
        <f>G17+G15</f>
        <v>91945126.299590215</v>
      </c>
      <c r="H18" s="49"/>
      <c r="I18" s="128"/>
      <c r="J18" s="128"/>
      <c r="K18" s="489">
        <f>K17+K15</f>
        <v>-1934816.3630146757</v>
      </c>
      <c r="L18" s="49"/>
      <c r="M18" s="128"/>
      <c r="N18" s="128"/>
      <c r="O18" s="489">
        <f>O17+O15</f>
        <v>90010309.936575532</v>
      </c>
      <c r="P18" s="128"/>
      <c r="Q18" s="128"/>
      <c r="R18" s="128"/>
      <c r="S18" s="489">
        <f>S17+S15</f>
        <v>-1937750</v>
      </c>
      <c r="T18" s="128"/>
      <c r="U18" s="128"/>
      <c r="V18" s="128"/>
      <c r="W18" s="489">
        <f>W15+W17</f>
        <v>88072559.936575532</v>
      </c>
    </row>
    <row r="19" spans="2:26" ht="13.5" thickBot="1" x14ac:dyDescent="0.25">
      <c r="B19" s="4">
        <v>5</v>
      </c>
      <c r="D19" s="492"/>
      <c r="E19" s="37"/>
      <c r="F19" s="70"/>
      <c r="G19" s="490"/>
      <c r="H19" s="49"/>
      <c r="I19" s="101"/>
      <c r="J19" s="101"/>
      <c r="K19" s="490"/>
      <c r="L19" s="49"/>
      <c r="M19" s="101"/>
      <c r="N19" s="101"/>
      <c r="O19" s="490"/>
      <c r="P19" s="101"/>
      <c r="Q19" s="101"/>
      <c r="R19" s="101"/>
      <c r="S19" s="490"/>
      <c r="T19" s="101"/>
      <c r="U19" s="101"/>
      <c r="V19" s="101"/>
      <c r="W19" s="490"/>
    </row>
    <row r="20" spans="2:26" ht="56.25" customHeight="1" thickTop="1" x14ac:dyDescent="0.25">
      <c r="B20" s="4"/>
      <c r="C20" s="298" t="s">
        <v>2</v>
      </c>
      <c r="D20" s="381" t="s">
        <v>260</v>
      </c>
    </row>
    <row r="21" spans="2:26" x14ac:dyDescent="0.2">
      <c r="B21" s="66"/>
      <c r="C21" s="34"/>
      <c r="D21" s="34"/>
      <c r="E21" s="34"/>
      <c r="F21" s="34"/>
      <c r="G21" s="34"/>
      <c r="H21" s="34"/>
      <c r="I21" s="34"/>
      <c r="J21" s="34"/>
      <c r="K21" s="34"/>
      <c r="L21" s="34"/>
      <c r="M21" s="34"/>
      <c r="N21" s="34"/>
      <c r="O21" s="34"/>
      <c r="P21" s="34"/>
      <c r="Q21" s="34"/>
      <c r="R21" s="34"/>
      <c r="S21" s="34"/>
      <c r="T21" s="34"/>
      <c r="U21" s="34"/>
      <c r="V21" s="34"/>
      <c r="W21" s="34"/>
      <c r="X21" s="34"/>
    </row>
    <row r="22" spans="2:26" x14ac:dyDescent="0.2">
      <c r="B22" s="70"/>
      <c r="C22" s="298"/>
      <c r="D22" s="493"/>
      <c r="E22" s="494"/>
      <c r="F22" s="494"/>
      <c r="G22" s="494"/>
      <c r="H22" s="494"/>
      <c r="I22" s="494"/>
      <c r="J22" s="494"/>
      <c r="K22" s="494"/>
      <c r="L22" s="494"/>
      <c r="M22" s="494"/>
      <c r="N22" s="494"/>
      <c r="O22" s="494"/>
      <c r="P22" s="494"/>
      <c r="Q22" s="494"/>
      <c r="R22" s="494"/>
      <c r="S22" s="494"/>
      <c r="T22" s="494"/>
      <c r="U22" s="494"/>
      <c r="V22" s="494"/>
      <c r="W22" s="494"/>
      <c r="X22" s="129"/>
      <c r="Y22" s="15"/>
      <c r="Z22" s="15"/>
    </row>
    <row r="23" spans="2:26" x14ac:dyDescent="0.2">
      <c r="B23" s="70"/>
      <c r="C23" s="89"/>
      <c r="D23" s="130"/>
      <c r="E23" s="89"/>
      <c r="F23" s="89"/>
      <c r="G23" s="89"/>
      <c r="H23" s="89"/>
      <c r="I23" s="89"/>
      <c r="J23" s="89"/>
      <c r="K23" s="89"/>
      <c r="L23" s="89"/>
      <c r="M23" s="89"/>
      <c r="N23" s="89"/>
      <c r="O23" s="89"/>
      <c r="P23" s="89"/>
      <c r="Q23" s="89"/>
      <c r="R23" s="89"/>
      <c r="S23" s="89"/>
      <c r="T23" s="89"/>
      <c r="U23" s="89"/>
      <c r="V23" s="89"/>
      <c r="W23" s="131"/>
      <c r="X23" s="89"/>
      <c r="Y23" s="15"/>
      <c r="Z23" s="15"/>
    </row>
    <row r="24" spans="2:26" x14ac:dyDescent="0.2">
      <c r="B24" s="66">
        <v>6</v>
      </c>
      <c r="C24" s="34"/>
      <c r="D24" s="65" t="s">
        <v>9</v>
      </c>
      <c r="E24" s="34"/>
      <c r="F24" s="34"/>
      <c r="G24" s="100">
        <f>'3. Data_Input_Sheet'!E19</f>
        <v>9903387.8672020119</v>
      </c>
      <c r="H24" s="100"/>
      <c r="I24" s="364"/>
      <c r="J24" s="179"/>
      <c r="K24" s="100">
        <f>'3. Data_Input_Sheet'!I19</f>
        <v>138342.13</v>
      </c>
      <c r="L24" s="100"/>
      <c r="M24" s="364"/>
      <c r="N24" s="179"/>
      <c r="O24" s="100">
        <f>G24+K24</f>
        <v>10041729.997202013</v>
      </c>
      <c r="P24" s="179"/>
      <c r="Q24" s="364"/>
      <c r="R24" s="179"/>
      <c r="S24" s="100">
        <f>'3. Data_Input_Sheet'!Q19</f>
        <v>-550000</v>
      </c>
      <c r="T24" s="179"/>
      <c r="U24" s="364"/>
      <c r="V24" s="179"/>
      <c r="W24" s="124">
        <f>G24+K24+S24</f>
        <v>9491729.9972020127</v>
      </c>
      <c r="X24" s="34"/>
    </row>
    <row r="25" spans="2:26" x14ac:dyDescent="0.2">
      <c r="B25" s="66">
        <v>7</v>
      </c>
      <c r="C25" s="34"/>
      <c r="D25" s="125" t="s">
        <v>5</v>
      </c>
      <c r="E25" s="34"/>
      <c r="F25" s="34"/>
      <c r="G25" s="102">
        <f>'3. Data_Input_Sheet'!E20</f>
        <v>106466168.08033918</v>
      </c>
      <c r="H25" s="100"/>
      <c r="I25" s="364"/>
      <c r="J25" s="179"/>
      <c r="K25" s="102">
        <f>'3. Data_Input_Sheet'!I20</f>
        <v>7093346.3631376773</v>
      </c>
      <c r="L25" s="100"/>
      <c r="M25" s="364"/>
      <c r="N25" s="179"/>
      <c r="O25" s="102">
        <f>G25+K25</f>
        <v>113559514.44347686</v>
      </c>
      <c r="P25" s="179"/>
      <c r="Q25" s="364"/>
      <c r="R25" s="179"/>
      <c r="S25" s="102">
        <f>'3. Data_Input_Sheet'!Q20</f>
        <v>0</v>
      </c>
      <c r="T25" s="179"/>
      <c r="U25" s="364"/>
      <c r="V25" s="179"/>
      <c r="W25" s="132">
        <f>G25+K25+S25</f>
        <v>113559514.44347686</v>
      </c>
      <c r="X25" s="34"/>
    </row>
    <row r="26" spans="2:26" x14ac:dyDescent="0.2">
      <c r="B26" s="66">
        <v>8</v>
      </c>
      <c r="C26" s="34"/>
      <c r="D26" s="65" t="s">
        <v>10</v>
      </c>
      <c r="E26" s="34"/>
      <c r="F26" s="34"/>
      <c r="G26" s="47">
        <f>SUM(G24:G25)</f>
        <v>116369555.94754119</v>
      </c>
      <c r="H26" s="47"/>
      <c r="I26" s="128"/>
      <c r="J26" s="155"/>
      <c r="K26" s="47">
        <f>K24+K25</f>
        <v>7231688.4931376772</v>
      </c>
      <c r="L26" s="47"/>
      <c r="M26" s="128"/>
      <c r="N26" s="128"/>
      <c r="O26" s="47">
        <f>SUM(O24:O25)</f>
        <v>123601244.44067886</v>
      </c>
      <c r="P26" s="128"/>
      <c r="Q26" s="128"/>
      <c r="R26" s="128"/>
      <c r="S26" s="47">
        <f>S24+S25</f>
        <v>-550000</v>
      </c>
      <c r="T26" s="128"/>
      <c r="U26" s="128"/>
      <c r="V26" s="128"/>
      <c r="W26" s="68">
        <f>SUM(W24:W25)</f>
        <v>123051244.44067886</v>
      </c>
      <c r="X26" s="34"/>
    </row>
    <row r="27" spans="2:26" x14ac:dyDescent="0.2">
      <c r="B27" s="66"/>
      <c r="C27" s="34"/>
      <c r="D27" s="65"/>
      <c r="E27" s="34"/>
      <c r="F27" s="34"/>
      <c r="G27" s="34"/>
      <c r="H27" s="34"/>
      <c r="I27" s="34"/>
      <c r="J27" s="30"/>
      <c r="K27" s="34"/>
      <c r="L27" s="34"/>
      <c r="M27" s="34"/>
      <c r="N27" s="34"/>
      <c r="O27" s="34"/>
      <c r="P27" s="34"/>
      <c r="Q27" s="34"/>
      <c r="R27" s="34"/>
      <c r="S27" s="34"/>
      <c r="T27" s="34"/>
      <c r="U27" s="34"/>
      <c r="V27" s="34"/>
      <c r="W27" s="35"/>
      <c r="X27" s="34"/>
    </row>
    <row r="28" spans="2:26" x14ac:dyDescent="0.2">
      <c r="B28" s="73">
        <v>9</v>
      </c>
      <c r="C28" s="30"/>
      <c r="D28" s="65" t="s">
        <v>82</v>
      </c>
      <c r="E28" s="133" t="s">
        <v>3</v>
      </c>
      <c r="F28" s="34"/>
      <c r="G28" s="80">
        <f>'3. Data_Input_Sheet'!E21</f>
        <v>7.4999999999999997E-2</v>
      </c>
      <c r="H28" s="80"/>
      <c r="I28" s="364"/>
      <c r="J28" s="179"/>
      <c r="K28" s="88">
        <f>O28-G28</f>
        <v>0</v>
      </c>
      <c r="L28" s="88"/>
      <c r="M28" s="364"/>
      <c r="N28" s="88"/>
      <c r="O28" s="80">
        <f>'3. Data_Input_Sheet'!M21</f>
        <v>7.4999999999999997E-2</v>
      </c>
      <c r="P28" s="88"/>
      <c r="Q28" s="364"/>
      <c r="R28" s="88"/>
      <c r="S28" s="88">
        <f>W28-O28</f>
        <v>0</v>
      </c>
      <c r="T28" s="88"/>
      <c r="U28" s="364"/>
      <c r="V28" s="88"/>
      <c r="W28" s="134">
        <f>'3. Data_Input_Sheet'!U21</f>
        <v>7.4999999999999997E-2</v>
      </c>
      <c r="X28" s="34"/>
    </row>
    <row r="29" spans="2:26" ht="13.5" thickBot="1" x14ac:dyDescent="0.25">
      <c r="B29" s="66"/>
      <c r="C29" s="34"/>
      <c r="D29" s="65"/>
      <c r="E29" s="34"/>
      <c r="F29" s="34"/>
      <c r="G29" s="135"/>
      <c r="H29" s="34"/>
      <c r="I29" s="34"/>
      <c r="J29" s="34"/>
      <c r="K29" s="135"/>
      <c r="L29" s="34"/>
      <c r="M29" s="34"/>
      <c r="N29" s="34"/>
      <c r="O29" s="135"/>
      <c r="P29" s="34"/>
      <c r="Q29" s="34"/>
      <c r="R29" s="34"/>
      <c r="S29" s="135"/>
      <c r="T29" s="34"/>
      <c r="U29" s="34"/>
      <c r="V29" s="34"/>
      <c r="W29" s="136"/>
      <c r="X29" s="34"/>
    </row>
    <row r="30" spans="2:26" ht="13.5" thickTop="1" x14ac:dyDescent="0.2">
      <c r="B30" s="73">
        <v>10</v>
      </c>
      <c r="C30" s="30"/>
      <c r="D30" s="125" t="s">
        <v>0</v>
      </c>
      <c r="E30" s="126"/>
      <c r="F30" s="126"/>
      <c r="G30" s="102">
        <f>G26*G28</f>
        <v>8727716.6960655898</v>
      </c>
      <c r="H30" s="102"/>
      <c r="I30" s="102"/>
      <c r="J30" s="102"/>
      <c r="K30" s="102">
        <f>O30-G30</f>
        <v>542376.63698532432</v>
      </c>
      <c r="L30" s="102"/>
      <c r="M30" s="102"/>
      <c r="N30" s="102"/>
      <c r="O30" s="102">
        <f>O26*O28</f>
        <v>9270093.3330509141</v>
      </c>
      <c r="P30" s="102"/>
      <c r="Q30" s="102"/>
      <c r="R30" s="102"/>
      <c r="S30" s="102">
        <f>W30-O30</f>
        <v>-41250</v>
      </c>
      <c r="T30" s="102"/>
      <c r="U30" s="102"/>
      <c r="V30" s="102"/>
      <c r="W30" s="132">
        <f>W26*W28</f>
        <v>9228843.3330509141</v>
      </c>
      <c r="X30" s="34"/>
    </row>
    <row r="31" spans="2:26" ht="5.25" customHeight="1" x14ac:dyDescent="0.2">
      <c r="B31" s="34"/>
      <c r="C31" s="34"/>
      <c r="D31" s="34"/>
      <c r="E31" s="34"/>
      <c r="F31" s="34"/>
      <c r="G31" s="34"/>
      <c r="H31" s="34"/>
      <c r="I31" s="34"/>
      <c r="J31" s="34"/>
      <c r="K31" s="34"/>
      <c r="L31" s="34"/>
      <c r="M31" s="34"/>
      <c r="N31" s="34"/>
      <c r="O31" s="34"/>
      <c r="P31" s="34"/>
      <c r="Q31" s="34"/>
      <c r="R31" s="34"/>
      <c r="S31" s="34"/>
      <c r="T31" s="34"/>
      <c r="U31" s="34"/>
      <c r="V31" s="34"/>
      <c r="W31" s="34"/>
      <c r="X31" s="34"/>
    </row>
    <row r="32" spans="2:26" ht="6.75" customHeight="1" x14ac:dyDescent="0.2"/>
    <row r="33" spans="2:23" x14ac:dyDescent="0.2">
      <c r="B33" s="488" t="s">
        <v>38</v>
      </c>
      <c r="C33" s="488"/>
      <c r="D33" s="488"/>
      <c r="E33" s="488"/>
      <c r="F33" s="488"/>
      <c r="G33" s="488"/>
      <c r="H33" s="488"/>
      <c r="I33" s="488"/>
      <c r="J33" s="488"/>
      <c r="K33" s="488"/>
      <c r="L33" s="488"/>
      <c r="M33" s="488"/>
      <c r="N33" s="488"/>
      <c r="O33" s="488"/>
      <c r="P33" s="488"/>
      <c r="Q33" s="488"/>
      <c r="R33" s="488"/>
      <c r="S33" s="488"/>
      <c r="T33" s="488"/>
      <c r="U33" s="488"/>
      <c r="V33" s="488"/>
      <c r="W33" s="488"/>
    </row>
    <row r="34" spans="2:23" ht="26.25" customHeight="1" x14ac:dyDescent="0.2">
      <c r="B34" s="439" t="s">
        <v>3</v>
      </c>
      <c r="D34" s="495" t="s">
        <v>305</v>
      </c>
      <c r="E34" s="472"/>
      <c r="F34" s="472"/>
      <c r="G34" s="472"/>
      <c r="H34" s="472"/>
      <c r="I34" s="472"/>
      <c r="J34" s="472"/>
      <c r="K34" s="472"/>
      <c r="L34" s="472"/>
      <c r="M34" s="472"/>
      <c r="N34" s="472"/>
      <c r="O34" s="472"/>
      <c r="P34" s="472"/>
      <c r="Q34" s="472"/>
      <c r="R34" s="472"/>
      <c r="S34" s="472"/>
      <c r="T34" s="472"/>
      <c r="U34" s="472"/>
      <c r="V34" s="472"/>
      <c r="W34" s="472"/>
    </row>
    <row r="35" spans="2:23" x14ac:dyDescent="0.2">
      <c r="B35" s="137" t="s">
        <v>98</v>
      </c>
      <c r="C35" s="26"/>
      <c r="D35" s="479" t="s">
        <v>133</v>
      </c>
      <c r="E35" s="479"/>
      <c r="F35" s="479"/>
      <c r="G35" s="479"/>
      <c r="H35" s="479"/>
      <c r="I35" s="479"/>
      <c r="J35" s="479"/>
      <c r="K35" s="479"/>
      <c r="L35" s="479"/>
      <c r="M35" s="479"/>
      <c r="N35" s="479"/>
      <c r="O35" s="479"/>
      <c r="P35" s="479"/>
      <c r="Q35" s="479"/>
      <c r="R35" s="479"/>
      <c r="S35" s="479"/>
      <c r="T35" s="479"/>
      <c r="U35" s="479"/>
      <c r="V35" s="479"/>
      <c r="W35" s="479"/>
    </row>
    <row r="36" spans="2:23" x14ac:dyDescent="0.2">
      <c r="B36" s="364"/>
      <c r="D36" s="496"/>
      <c r="E36" s="496"/>
      <c r="F36" s="496"/>
      <c r="G36" s="496"/>
      <c r="H36" s="496"/>
      <c r="I36" s="496"/>
      <c r="J36" s="496"/>
      <c r="K36" s="496"/>
      <c r="L36" s="496"/>
      <c r="M36" s="496"/>
      <c r="N36" s="496"/>
      <c r="O36" s="496"/>
      <c r="P36" s="496"/>
      <c r="Q36" s="496"/>
      <c r="R36" s="496"/>
      <c r="S36" s="496"/>
      <c r="T36" s="496"/>
      <c r="U36" s="496"/>
      <c r="V36" s="496"/>
      <c r="W36" s="496"/>
    </row>
    <row r="37" spans="2:23" x14ac:dyDescent="0.2">
      <c r="B37" s="364"/>
      <c r="D37" s="496"/>
      <c r="E37" s="496"/>
      <c r="F37" s="496"/>
      <c r="G37" s="496"/>
      <c r="H37" s="496"/>
      <c r="I37" s="496"/>
      <c r="J37" s="496"/>
      <c r="K37" s="496"/>
      <c r="L37" s="496"/>
      <c r="M37" s="496"/>
      <c r="N37" s="496"/>
      <c r="O37" s="496"/>
      <c r="P37" s="496"/>
      <c r="Q37" s="496"/>
      <c r="R37" s="496"/>
      <c r="S37" s="496"/>
      <c r="T37" s="496"/>
      <c r="U37" s="496"/>
      <c r="V37" s="496"/>
      <c r="W37" s="496"/>
    </row>
    <row r="38" spans="2:23" x14ac:dyDescent="0.2">
      <c r="B38" s="364"/>
      <c r="D38" s="496"/>
      <c r="E38" s="496"/>
      <c r="F38" s="496"/>
      <c r="G38" s="496"/>
      <c r="H38" s="496"/>
      <c r="I38" s="496"/>
      <c r="J38" s="496"/>
      <c r="K38" s="496"/>
      <c r="L38" s="496"/>
      <c r="M38" s="496"/>
      <c r="N38" s="496"/>
      <c r="O38" s="496"/>
      <c r="P38" s="496"/>
      <c r="Q38" s="496"/>
      <c r="R38" s="496"/>
      <c r="S38" s="496"/>
      <c r="T38" s="496"/>
      <c r="U38" s="496"/>
      <c r="V38" s="496"/>
      <c r="W38" s="496"/>
    </row>
    <row r="39" spans="2:23" x14ac:dyDescent="0.2">
      <c r="B39" s="364"/>
      <c r="D39" s="496"/>
      <c r="E39" s="496"/>
      <c r="F39" s="496"/>
      <c r="G39" s="496"/>
      <c r="H39" s="496"/>
      <c r="I39" s="496"/>
      <c r="J39" s="496"/>
      <c r="K39" s="496"/>
      <c r="L39" s="496"/>
      <c r="M39" s="496"/>
      <c r="N39" s="496"/>
      <c r="O39" s="496"/>
      <c r="P39" s="496"/>
      <c r="Q39" s="496"/>
      <c r="R39" s="496"/>
      <c r="S39" s="496"/>
      <c r="T39" s="496"/>
      <c r="U39" s="496"/>
      <c r="V39" s="496"/>
      <c r="W39" s="496"/>
    </row>
    <row r="40" spans="2:23" x14ac:dyDescent="0.2">
      <c r="B40" s="364"/>
      <c r="D40" s="496"/>
      <c r="E40" s="496"/>
      <c r="F40" s="496"/>
      <c r="G40" s="496"/>
      <c r="H40" s="496"/>
      <c r="I40" s="496"/>
      <c r="J40" s="496"/>
      <c r="K40" s="496"/>
      <c r="L40" s="496"/>
      <c r="M40" s="496"/>
      <c r="N40" s="496"/>
      <c r="O40" s="496"/>
      <c r="P40" s="496"/>
      <c r="Q40" s="496"/>
      <c r="R40" s="496"/>
      <c r="S40" s="496"/>
      <c r="T40" s="496"/>
      <c r="U40" s="496"/>
      <c r="V40" s="496"/>
      <c r="W40" s="496"/>
    </row>
    <row r="41" spans="2:23" x14ac:dyDescent="0.2">
      <c r="B41" s="364"/>
      <c r="D41" s="496"/>
      <c r="E41" s="496"/>
      <c r="F41" s="496"/>
      <c r="G41" s="496"/>
      <c r="H41" s="496"/>
      <c r="I41" s="496"/>
      <c r="J41" s="496"/>
      <c r="K41" s="496"/>
      <c r="L41" s="496"/>
      <c r="M41" s="496"/>
      <c r="N41" s="496"/>
      <c r="O41" s="496"/>
      <c r="P41" s="496"/>
      <c r="Q41" s="496"/>
      <c r="R41" s="496"/>
      <c r="S41" s="496"/>
      <c r="T41" s="496"/>
      <c r="U41" s="496"/>
      <c r="V41" s="496"/>
      <c r="W41" s="496"/>
    </row>
    <row r="42" spans="2:23" x14ac:dyDescent="0.2">
      <c r="B42" s="364"/>
      <c r="D42" s="496"/>
      <c r="E42" s="496"/>
      <c r="F42" s="496"/>
      <c r="G42" s="496"/>
      <c r="H42" s="496"/>
      <c r="I42" s="496"/>
      <c r="J42" s="496"/>
      <c r="K42" s="496"/>
      <c r="L42" s="496"/>
      <c r="M42" s="496"/>
      <c r="N42" s="496"/>
      <c r="O42" s="496"/>
      <c r="P42" s="496"/>
      <c r="Q42" s="496"/>
      <c r="R42" s="496"/>
      <c r="S42" s="496"/>
      <c r="T42" s="496"/>
      <c r="U42" s="496"/>
      <c r="V42" s="496"/>
      <c r="W42" s="496"/>
    </row>
  </sheetData>
  <sheetProtection password="82A3" sheet="1" objects="1" scenarios="1"/>
  <mergeCells count="21">
    <mergeCell ref="D34:W34"/>
    <mergeCell ref="D35:W35"/>
    <mergeCell ref="D36:W36"/>
    <mergeCell ref="D41:W41"/>
    <mergeCell ref="D42:W42"/>
    <mergeCell ref="D37:W37"/>
    <mergeCell ref="D38:W38"/>
    <mergeCell ref="D39:W39"/>
    <mergeCell ref="D40:W40"/>
    <mergeCell ref="C3:G3"/>
    <mergeCell ref="C4:G4"/>
    <mergeCell ref="C1:K1"/>
    <mergeCell ref="C2:W2"/>
    <mergeCell ref="B33:W33"/>
    <mergeCell ref="G18:G19"/>
    <mergeCell ref="K18:K19"/>
    <mergeCell ref="W18:W19"/>
    <mergeCell ref="D18:D19"/>
    <mergeCell ref="D22:W22"/>
    <mergeCell ref="O18:O19"/>
    <mergeCell ref="S18:S19"/>
  </mergeCells>
  <phoneticPr fontId="2" type="noConversion"/>
  <conditionalFormatting sqref="K11 O11 S11">
    <cfRule type="cellIs" dxfId="12" priority="8" stopIfTrue="1" operator="notEqual">
      <formula>""</formula>
    </cfRule>
  </conditionalFormatting>
  <conditionalFormatting sqref="G28">
    <cfRule type="cellIs" dxfId="11" priority="7" operator="notEqual">
      <formula>0.075</formula>
    </cfRule>
    <cfRule type="cellIs" dxfId="10" priority="3" operator="equal">
      <formula>0</formula>
    </cfRule>
  </conditionalFormatting>
  <conditionalFormatting sqref="O28">
    <cfRule type="cellIs" priority="6" operator="notEqual">
      <formula>0.075</formula>
    </cfRule>
    <cfRule type="cellIs" dxfId="9" priority="5" operator="notEqual">
      <formula>0.075</formula>
    </cfRule>
    <cfRule type="cellIs" dxfId="8" priority="2" operator="equal">
      <formula>0</formula>
    </cfRule>
  </conditionalFormatting>
  <conditionalFormatting sqref="W28">
    <cfRule type="cellIs" dxfId="7" priority="4" operator="notEqual">
      <formula>0.075</formula>
    </cfRule>
    <cfRule type="cellIs" dxfId="6" priority="1" operator="equal">
      <formula>0</formula>
    </cfRule>
  </conditionalFormatting>
  <pageMargins left="0.75" right="0.75" top="0.56999999999999995" bottom="1" header="0.34" footer="0.5"/>
  <pageSetup scale="72" orientation="landscape" r:id="rId1"/>
  <headerFooter alignWithMargins="0">
    <oddFooter>&amp;C3</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Z57"/>
  <sheetViews>
    <sheetView showGridLines="0" topLeftCell="A8" zoomScaleNormal="100" zoomScaleSheetLayoutView="100" workbookViewId="0">
      <selection activeCell="V23" sqref="V23"/>
    </sheetView>
  </sheetViews>
  <sheetFormatPr defaultRowHeight="12.75" x14ac:dyDescent="0.2"/>
  <cols>
    <col min="1" max="1" width="1.42578125" style="5" customWidth="1"/>
    <col min="2" max="2" width="5.28515625" style="5" customWidth="1"/>
    <col min="3" max="3" width="6.7109375" style="5" customWidth="1"/>
    <col min="4" max="4" width="26.140625" style="5" customWidth="1"/>
    <col min="5" max="5" width="2.7109375" style="5" customWidth="1"/>
    <col min="6" max="6" width="15.42578125" style="5" customWidth="1"/>
    <col min="7" max="7" width="1.7109375" style="5" customWidth="1"/>
    <col min="8" max="8" width="2.85546875" style="5" customWidth="1"/>
    <col min="9" max="9" width="1.7109375" style="5" customWidth="1"/>
    <col min="10" max="10" width="15.140625" style="5" customWidth="1"/>
    <col min="11" max="11" width="1.7109375" style="5" customWidth="1"/>
    <col min="12" max="12" width="2.85546875" style="5" customWidth="1"/>
    <col min="13" max="13" width="1.7109375" style="5" customWidth="1"/>
    <col min="14" max="14" width="15.7109375" style="5" customWidth="1"/>
    <col min="15" max="15" width="1.85546875" style="5" customWidth="1"/>
    <col min="16" max="16" width="2.85546875" style="5" customWidth="1"/>
    <col min="17" max="17" width="1.7109375" style="5" customWidth="1"/>
    <col min="18" max="18" width="14.85546875" style="5" customWidth="1"/>
    <col min="19" max="19" width="1.7109375" style="5" customWidth="1"/>
    <col min="20" max="20" width="2.85546875" style="5" customWidth="1"/>
    <col min="21" max="21" width="1.7109375" style="5" customWidth="1"/>
    <col min="22" max="22" width="15.5703125" style="5" customWidth="1"/>
    <col min="23" max="23" width="1.42578125" style="5" customWidth="1"/>
    <col min="24" max="24" width="11.7109375" style="5" bestFit="1" customWidth="1"/>
    <col min="25" max="16384" width="9.140625" style="5"/>
  </cols>
  <sheetData>
    <row r="1" spans="2:23" s="2" customFormat="1" ht="21.75" x14ac:dyDescent="0.2">
      <c r="C1" s="487"/>
      <c r="D1" s="487"/>
      <c r="E1" s="487"/>
      <c r="F1" s="487"/>
      <c r="G1" s="487"/>
      <c r="H1" s="487"/>
      <c r="I1" s="487"/>
      <c r="J1" s="487"/>
      <c r="K1" s="487"/>
      <c r="L1" s="487"/>
      <c r="M1" s="140"/>
      <c r="N1" s="140"/>
      <c r="O1" s="140"/>
      <c r="P1" s="140"/>
      <c r="Q1" s="140"/>
      <c r="R1" s="140"/>
      <c r="S1" s="140"/>
      <c r="T1" s="140"/>
      <c r="U1" s="140"/>
      <c r="V1" s="146"/>
    </row>
    <row r="2" spans="2:23" s="2" customFormat="1" ht="18" x14ac:dyDescent="0.25">
      <c r="C2" s="480"/>
      <c r="D2" s="480"/>
      <c r="E2" s="480"/>
      <c r="F2" s="480"/>
      <c r="G2" s="480"/>
      <c r="H2" s="480"/>
      <c r="I2" s="480"/>
      <c r="J2" s="480"/>
      <c r="K2" s="480"/>
      <c r="L2" s="480"/>
      <c r="M2" s="480"/>
      <c r="N2" s="480"/>
      <c r="O2" s="480"/>
      <c r="P2" s="480"/>
      <c r="Q2" s="480"/>
      <c r="R2" s="480"/>
      <c r="S2" s="480"/>
      <c r="T2" s="480"/>
      <c r="U2" s="480"/>
      <c r="V2" s="480"/>
    </row>
    <row r="3" spans="2:23" s="2" customFormat="1" ht="18" x14ac:dyDescent="0.25">
      <c r="C3" s="480"/>
      <c r="D3" s="480"/>
      <c r="E3" s="480"/>
      <c r="F3" s="480"/>
      <c r="G3" s="480"/>
      <c r="H3" s="480"/>
      <c r="I3" s="36"/>
      <c r="J3" s="33"/>
      <c r="K3" s="33"/>
      <c r="L3" s="33"/>
      <c r="M3" s="33"/>
      <c r="N3" s="33"/>
      <c r="O3" s="33"/>
      <c r="P3" s="33"/>
      <c r="Q3" s="33"/>
      <c r="R3" s="33"/>
      <c r="S3" s="33"/>
      <c r="T3" s="33"/>
      <c r="U3" s="33"/>
    </row>
    <row r="4" spans="2:23" s="2" customFormat="1" ht="18" x14ac:dyDescent="0.25">
      <c r="C4" s="480"/>
      <c r="D4" s="480"/>
      <c r="E4" s="480"/>
      <c r="F4" s="480"/>
      <c r="G4" s="480"/>
      <c r="H4" s="480"/>
      <c r="I4" s="36"/>
      <c r="J4" s="33"/>
      <c r="K4" s="33"/>
      <c r="L4" s="33"/>
      <c r="M4" s="33"/>
      <c r="N4" s="33"/>
      <c r="O4" s="33"/>
      <c r="P4" s="33"/>
      <c r="Q4" s="33"/>
      <c r="R4" s="33"/>
      <c r="S4" s="33"/>
      <c r="T4" s="33"/>
      <c r="U4" s="33"/>
    </row>
    <row r="5" spans="2:23" s="2" customFormat="1" ht="15.75" x14ac:dyDescent="0.25">
      <c r="E5" s="3"/>
      <c r="F5" s="3"/>
      <c r="G5" s="3"/>
    </row>
    <row r="6" spans="2:23" s="2" customFormat="1" x14ac:dyDescent="0.2"/>
    <row r="8" spans="2:23" ht="15.75" x14ac:dyDescent="0.25">
      <c r="E8" s="58"/>
      <c r="F8" s="509"/>
      <c r="G8" s="509"/>
      <c r="H8" s="509"/>
      <c r="I8" s="509"/>
      <c r="J8" s="509"/>
      <c r="K8" s="509"/>
      <c r="L8" s="509"/>
      <c r="M8" s="509"/>
      <c r="N8" s="509"/>
      <c r="O8" s="509"/>
      <c r="P8" s="509"/>
      <c r="Q8" s="509"/>
      <c r="R8" s="509"/>
      <c r="S8" s="509"/>
      <c r="T8" s="509"/>
      <c r="U8" s="509"/>
      <c r="V8" s="509"/>
      <c r="W8" s="58"/>
    </row>
    <row r="11" spans="2:23" ht="33.75" customHeight="1" x14ac:dyDescent="0.2">
      <c r="B11" s="380" t="s">
        <v>47</v>
      </c>
    </row>
    <row r="13" spans="2:23" ht="25.5" x14ac:dyDescent="0.2">
      <c r="B13" s="41" t="s">
        <v>37</v>
      </c>
      <c r="D13" s="42" t="s">
        <v>41</v>
      </c>
      <c r="E13" s="119"/>
      <c r="F13" s="299" t="s">
        <v>156</v>
      </c>
      <c r="G13" s="144"/>
      <c r="H13" s="26"/>
      <c r="I13" s="26"/>
      <c r="J13" s="299" t="str">
        <f>IF(N13="","","Adjustments")</f>
        <v>Adjustments</v>
      </c>
      <c r="K13" s="144"/>
      <c r="L13" s="26"/>
      <c r="M13" s="26"/>
      <c r="N13" s="299" t="str">
        <f>IF(ISBLANK('3. Data_Input_Sheet'!M12),"",'3. Data_Input_Sheet'!M12)</f>
        <v>Interrogatory Responses</v>
      </c>
      <c r="O13" s="26"/>
      <c r="P13" s="26"/>
      <c r="Q13" s="26"/>
      <c r="R13" s="299" t="str">
        <f>IF(N13="","","Adjustments")</f>
        <v>Adjustments</v>
      </c>
      <c r="S13" s="26"/>
      <c r="T13" s="26"/>
      <c r="U13" s="26"/>
      <c r="V13" s="299" t="str">
        <f>'3. Data_Input_Sheet'!U12</f>
        <v>Per Board Decision</v>
      </c>
    </row>
    <row r="15" spans="2:23" x14ac:dyDescent="0.2">
      <c r="D15" s="27" t="s">
        <v>24</v>
      </c>
    </row>
    <row r="16" spans="2:23" ht="25.5" x14ac:dyDescent="0.2">
      <c r="B16" s="170">
        <v>1</v>
      </c>
      <c r="D16" s="28" t="s">
        <v>129</v>
      </c>
      <c r="E16" s="120"/>
      <c r="F16" s="232">
        <f>'3. Data_Input_Sheet'!E26</f>
        <v>17207366.606972322</v>
      </c>
      <c r="G16" s="232"/>
      <c r="H16" s="362"/>
      <c r="I16" s="239"/>
      <c r="J16" s="232">
        <f>N16-F16</f>
        <v>-285596.60697232187</v>
      </c>
      <c r="K16" s="232"/>
      <c r="L16" s="362"/>
      <c r="M16" s="239"/>
      <c r="N16" s="232">
        <f>'3. Data_Input_Sheet'!M26</f>
        <v>16921770</v>
      </c>
      <c r="O16" s="239"/>
      <c r="P16" s="362"/>
      <c r="Q16" s="239"/>
      <c r="R16" s="232">
        <f>V16-N16</f>
        <v>-615693.90772166662</v>
      </c>
      <c r="S16" s="239"/>
      <c r="T16" s="362"/>
      <c r="U16" s="239"/>
      <c r="V16" s="232">
        <f>IF(ISBLANK('3. Data_Input_Sheet'!U26),'5. Utility Income'!N16,'3. Data_Input_Sheet'!U26)</f>
        <v>16306076.092278333</v>
      </c>
    </row>
    <row r="17" spans="2:26" x14ac:dyDescent="0.2">
      <c r="B17" s="170">
        <v>2</v>
      </c>
      <c r="D17" s="5" t="s">
        <v>64</v>
      </c>
      <c r="E17" s="18" t="s">
        <v>2</v>
      </c>
      <c r="F17" s="248">
        <f>F48</f>
        <v>1902155</v>
      </c>
      <c r="G17" s="249"/>
      <c r="H17" s="362"/>
      <c r="I17" s="239"/>
      <c r="J17" s="248">
        <f>N17-F17</f>
        <v>116655</v>
      </c>
      <c r="K17" s="249"/>
      <c r="L17" s="362"/>
      <c r="M17" s="239"/>
      <c r="N17" s="248">
        <f>N48</f>
        <v>2018810</v>
      </c>
      <c r="O17" s="239"/>
      <c r="P17" s="362"/>
      <c r="Q17" s="239"/>
      <c r="R17" s="248">
        <f>V17-N17</f>
        <v>-87975</v>
      </c>
      <c r="S17" s="239"/>
      <c r="T17" s="362"/>
      <c r="U17" s="239"/>
      <c r="V17" s="248">
        <f>V48</f>
        <v>1930835</v>
      </c>
    </row>
    <row r="18" spans="2:26" x14ac:dyDescent="0.2">
      <c r="B18" s="170"/>
      <c r="F18" s="507">
        <f>SUM(F16:F17)</f>
        <v>19109521.606972322</v>
      </c>
      <c r="G18" s="48"/>
      <c r="H18" s="267"/>
      <c r="I18" s="267"/>
      <c r="J18" s="507">
        <f>SUM(J16:J17)</f>
        <v>-168941.60697232187</v>
      </c>
      <c r="K18" s="48"/>
      <c r="L18" s="267"/>
      <c r="M18" s="268"/>
      <c r="N18" s="507">
        <f>SUM(N16:N17)</f>
        <v>18940580</v>
      </c>
      <c r="O18" s="268"/>
      <c r="P18" s="267"/>
      <c r="Q18" s="268"/>
      <c r="R18" s="507">
        <f>SUM(R16:R17)</f>
        <v>-703668.90772166662</v>
      </c>
      <c r="S18" s="268"/>
      <c r="T18" s="267"/>
      <c r="U18" s="268"/>
      <c r="V18" s="507">
        <f>SUM(V16:V17)</f>
        <v>18236911.092278332</v>
      </c>
    </row>
    <row r="19" spans="2:26" x14ac:dyDescent="0.2">
      <c r="B19" s="170">
        <v>3</v>
      </c>
      <c r="D19" s="5" t="s">
        <v>114</v>
      </c>
      <c r="F19" s="508"/>
      <c r="G19" s="48"/>
      <c r="H19" s="267"/>
      <c r="I19" s="267"/>
      <c r="J19" s="508"/>
      <c r="K19" s="48"/>
      <c r="L19" s="267"/>
      <c r="M19" s="268"/>
      <c r="N19" s="508"/>
      <c r="O19" s="268"/>
      <c r="P19" s="267"/>
      <c r="Q19" s="268"/>
      <c r="R19" s="508"/>
      <c r="S19" s="268"/>
      <c r="T19" s="267"/>
      <c r="U19" s="268"/>
      <c r="V19" s="508"/>
    </row>
    <row r="20" spans="2:26" x14ac:dyDescent="0.2">
      <c r="B20" s="170"/>
      <c r="F20" s="252"/>
      <c r="G20" s="252"/>
      <c r="H20" s="251"/>
      <c r="I20" s="251"/>
      <c r="J20" s="252"/>
      <c r="K20" s="252"/>
      <c r="L20" s="251"/>
      <c r="M20" s="234"/>
      <c r="N20" s="252"/>
      <c r="O20" s="234"/>
      <c r="P20" s="251"/>
      <c r="Q20" s="234"/>
      <c r="R20" s="252"/>
      <c r="S20" s="234"/>
      <c r="T20" s="251"/>
      <c r="U20" s="234"/>
      <c r="V20" s="252"/>
    </row>
    <row r="21" spans="2:26" x14ac:dyDescent="0.2">
      <c r="B21" s="170"/>
      <c r="D21" s="27" t="s">
        <v>25</v>
      </c>
      <c r="F21" s="252"/>
      <c r="G21" s="252"/>
      <c r="H21" s="251"/>
      <c r="I21" s="251"/>
      <c r="J21" s="252"/>
      <c r="K21" s="252"/>
      <c r="L21" s="251"/>
      <c r="M21" s="234"/>
      <c r="N21" s="252"/>
      <c r="O21" s="234"/>
      <c r="P21" s="251"/>
      <c r="Q21" s="234"/>
      <c r="R21" s="252"/>
      <c r="S21" s="234"/>
      <c r="T21" s="251"/>
      <c r="U21" s="234"/>
      <c r="V21" s="252"/>
    </row>
    <row r="22" spans="2:26" x14ac:dyDescent="0.2">
      <c r="B22" s="170">
        <v>4</v>
      </c>
      <c r="D22" s="5" t="s">
        <v>39</v>
      </c>
      <c r="F22" s="232">
        <f>'3. Data_Input_Sheet'!E36</f>
        <v>9903387.8672020137</v>
      </c>
      <c r="G22" s="232"/>
      <c r="H22" s="362"/>
      <c r="I22" s="239"/>
      <c r="J22" s="232">
        <f>'3. Data_Input_Sheet'!I36</f>
        <v>219060.13</v>
      </c>
      <c r="K22" s="232"/>
      <c r="L22" s="362"/>
      <c r="M22" s="239"/>
      <c r="N22" s="232">
        <f>'3. Data_Input_Sheet'!M36</f>
        <v>10122447.997202015</v>
      </c>
      <c r="O22" s="239"/>
      <c r="P22" s="362"/>
      <c r="Q22" s="239"/>
      <c r="R22" s="232">
        <f>'3. Data_Input_Sheet'!Q36</f>
        <v>-550000</v>
      </c>
      <c r="S22" s="239"/>
      <c r="T22" s="362"/>
      <c r="U22" s="239"/>
      <c r="V22" s="232">
        <f>'3. Data_Input_Sheet'!U36</f>
        <v>9572447.9972020146</v>
      </c>
    </row>
    <row r="23" spans="2:26" x14ac:dyDescent="0.2">
      <c r="B23" s="170">
        <v>5</v>
      </c>
      <c r="D23" s="5" t="s">
        <v>26</v>
      </c>
      <c r="F23" s="232">
        <f>'3. Data_Input_Sheet'!E37</f>
        <v>3292486.0000000005</v>
      </c>
      <c r="G23" s="232"/>
      <c r="H23" s="362"/>
      <c r="I23" s="239"/>
      <c r="J23" s="232">
        <f>'3. Data_Input_Sheet'!I37</f>
        <v>-113322.74</v>
      </c>
      <c r="K23" s="232"/>
      <c r="L23" s="362"/>
      <c r="M23" s="239"/>
      <c r="N23" s="232">
        <f>'3. Data_Input_Sheet'!M37</f>
        <v>3179163.2600000002</v>
      </c>
      <c r="O23" s="239"/>
      <c r="P23" s="362"/>
      <c r="Q23" s="239"/>
      <c r="R23" s="232">
        <f>'3. Data_Input_Sheet'!Q37</f>
        <v>-38704</v>
      </c>
      <c r="S23" s="239"/>
      <c r="T23" s="362"/>
      <c r="U23" s="239"/>
      <c r="V23" s="232">
        <f>'3. Data_Input_Sheet'!U37</f>
        <v>3140459.2600000002</v>
      </c>
    </row>
    <row r="24" spans="2:26" x14ac:dyDescent="0.2">
      <c r="B24" s="170">
        <v>6</v>
      </c>
      <c r="C24" s="15"/>
      <c r="D24" s="15" t="s">
        <v>44</v>
      </c>
      <c r="E24" s="15"/>
      <c r="F24" s="232">
        <f>'3. Data_Input_Sheet'!E38</f>
        <v>0</v>
      </c>
      <c r="G24" s="232"/>
      <c r="H24" s="362"/>
      <c r="I24" s="239"/>
      <c r="J24" s="232">
        <f>'3. Data_Input_Sheet'!I38</f>
        <v>0</v>
      </c>
      <c r="K24" s="232"/>
      <c r="L24" s="362"/>
      <c r="M24" s="239"/>
      <c r="N24" s="232" t="str">
        <f>'3. Data_Input_Sheet'!M38</f>
        <v/>
      </c>
      <c r="O24" s="239"/>
      <c r="P24" s="362"/>
      <c r="Q24" s="239"/>
      <c r="R24" s="232">
        <f>'3. Data_Input_Sheet'!Q38</f>
        <v>0</v>
      </c>
      <c r="S24" s="239"/>
      <c r="T24" s="362"/>
      <c r="U24" s="239"/>
      <c r="V24" s="232" t="str">
        <f>'3. Data_Input_Sheet'!U38</f>
        <v/>
      </c>
      <c r="W24" s="15"/>
      <c r="X24" s="15"/>
      <c r="Y24" s="15"/>
      <c r="Z24" s="15"/>
    </row>
    <row r="25" spans="2:26" x14ac:dyDescent="0.2">
      <c r="B25" s="170">
        <v>7</v>
      </c>
      <c r="C25" s="15"/>
      <c r="D25" s="15" t="s">
        <v>43</v>
      </c>
      <c r="E25" s="15"/>
      <c r="F25" s="250">
        <f>'6. Taxes_PILs'!G25</f>
        <v>0</v>
      </c>
      <c r="G25" s="250"/>
      <c r="H25" s="362"/>
      <c r="I25" s="239"/>
      <c r="J25" s="250">
        <f>N25-F25</f>
        <v>0</v>
      </c>
      <c r="K25" s="250"/>
      <c r="L25" s="362"/>
      <c r="M25" s="239"/>
      <c r="N25" s="250">
        <f>'6. Taxes_PILs'!K25</f>
        <v>0</v>
      </c>
      <c r="O25" s="239"/>
      <c r="P25" s="387"/>
      <c r="Q25" s="239"/>
      <c r="R25" s="250">
        <f>V25-N25</f>
        <v>0</v>
      </c>
      <c r="S25" s="239"/>
      <c r="T25" s="362"/>
      <c r="U25" s="239"/>
      <c r="V25" s="250">
        <f>'6. Taxes_PILs'!O25</f>
        <v>0</v>
      </c>
      <c r="W25" s="15"/>
      <c r="X25" s="15"/>
      <c r="Y25" s="15"/>
      <c r="Z25" s="15"/>
    </row>
    <row r="26" spans="2:26" x14ac:dyDescent="0.2">
      <c r="B26" s="170">
        <v>8</v>
      </c>
      <c r="D26" s="5" t="s">
        <v>94</v>
      </c>
      <c r="F26" s="248">
        <f>'3. Data_Input_Sheet'!E40</f>
        <v>0</v>
      </c>
      <c r="G26" s="249"/>
      <c r="H26" s="362"/>
      <c r="I26" s="239"/>
      <c r="J26" s="248">
        <f>'3. Data_Input_Sheet'!I40</f>
        <v>0</v>
      </c>
      <c r="K26" s="249"/>
      <c r="L26" s="362"/>
      <c r="M26" s="239"/>
      <c r="N26" s="248" t="str">
        <f>'3. Data_Input_Sheet'!M40</f>
        <v/>
      </c>
      <c r="O26" s="239"/>
      <c r="P26" s="362"/>
      <c r="Q26" s="239"/>
      <c r="R26" s="248">
        <f>'3. Data_Input_Sheet'!Q40</f>
        <v>0</v>
      </c>
      <c r="S26" s="239"/>
      <c r="T26" s="362"/>
      <c r="U26" s="239"/>
      <c r="V26" s="248" t="str">
        <f>'3. Data_Input_Sheet'!U40</f>
        <v/>
      </c>
    </row>
    <row r="27" spans="2:26" x14ac:dyDescent="0.2">
      <c r="B27" s="170"/>
      <c r="D27" s="25"/>
      <c r="F27" s="489">
        <f>SUM(F22:F26)</f>
        <v>13195873.867202014</v>
      </c>
      <c r="G27" s="49"/>
      <c r="H27" s="267"/>
      <c r="I27" s="267"/>
      <c r="J27" s="489">
        <f>SUM(J22:J26)</f>
        <v>105737.39</v>
      </c>
      <c r="K27" s="49"/>
      <c r="L27" s="267"/>
      <c r="M27" s="267"/>
      <c r="N27" s="489">
        <f>SUM(N22:N26)</f>
        <v>13301611.257202014</v>
      </c>
      <c r="O27" s="267"/>
      <c r="P27" s="267"/>
      <c r="Q27" s="267"/>
      <c r="R27" s="489">
        <f>SUM(R22:R26)</f>
        <v>-588704</v>
      </c>
      <c r="S27" s="267"/>
      <c r="T27" s="267"/>
      <c r="U27" s="267"/>
      <c r="V27" s="489">
        <f>SUM(V22:V26)</f>
        <v>12712907.257202014</v>
      </c>
    </row>
    <row r="28" spans="2:26" x14ac:dyDescent="0.2">
      <c r="B28" s="170">
        <v>9</v>
      </c>
      <c r="D28" s="121" t="s">
        <v>157</v>
      </c>
      <c r="F28" s="498"/>
      <c r="G28" s="49"/>
      <c r="H28" s="267"/>
      <c r="I28" s="267"/>
      <c r="J28" s="498"/>
      <c r="K28" s="49"/>
      <c r="L28" s="267"/>
      <c r="M28" s="267"/>
      <c r="N28" s="498"/>
      <c r="O28" s="267"/>
      <c r="P28" s="267"/>
      <c r="Q28" s="267"/>
      <c r="R28" s="498"/>
      <c r="S28" s="267"/>
      <c r="T28" s="267"/>
      <c r="U28" s="267"/>
      <c r="V28" s="498"/>
    </row>
    <row r="29" spans="2:26" x14ac:dyDescent="0.2">
      <c r="B29" s="170"/>
      <c r="F29" s="253"/>
      <c r="G29" s="253"/>
      <c r="H29" s="251"/>
      <c r="I29" s="251"/>
      <c r="J29" s="253"/>
      <c r="K29" s="253"/>
      <c r="L29" s="251"/>
      <c r="M29" s="251"/>
      <c r="N29" s="253"/>
      <c r="O29" s="251"/>
      <c r="P29" s="251"/>
      <c r="Q29" s="251"/>
      <c r="R29" s="253"/>
      <c r="S29" s="251"/>
      <c r="T29" s="251"/>
      <c r="U29" s="251"/>
      <c r="V29" s="253"/>
    </row>
    <row r="30" spans="2:26" x14ac:dyDescent="0.2">
      <c r="B30" s="170">
        <v>10</v>
      </c>
      <c r="D30" s="25" t="s">
        <v>95</v>
      </c>
      <c r="F30" s="254">
        <f>'7. Cost_of_Capital'!P19</f>
        <v>2237076.8435751563</v>
      </c>
      <c r="G30" s="253"/>
      <c r="H30" s="251"/>
      <c r="I30" s="251"/>
      <c r="J30" s="254">
        <f>N30-F30</f>
        <v>-160513.42506716168</v>
      </c>
      <c r="K30" s="253"/>
      <c r="L30" s="251"/>
      <c r="M30" s="251"/>
      <c r="N30" s="254">
        <f>'7. Cost_of_Capital'!P35</f>
        <v>2076563.4185079946</v>
      </c>
      <c r="O30" s="251"/>
      <c r="P30" s="251"/>
      <c r="Q30" s="251"/>
      <c r="R30" s="254">
        <f>V30-N30</f>
        <v>-44704.442936028121</v>
      </c>
      <c r="S30" s="251"/>
      <c r="T30" s="251"/>
      <c r="U30" s="251"/>
      <c r="V30" s="254">
        <f>'7. Cost_of_Capital'!P51</f>
        <v>2031858.9755719665</v>
      </c>
    </row>
    <row r="31" spans="2:26" x14ac:dyDescent="0.2">
      <c r="B31" s="170"/>
      <c r="F31" s="253"/>
      <c r="G31" s="253"/>
      <c r="H31" s="251"/>
      <c r="I31" s="251"/>
      <c r="J31" s="253"/>
      <c r="K31" s="253"/>
      <c r="L31" s="251"/>
      <c r="M31" s="251"/>
      <c r="N31" s="253"/>
      <c r="O31" s="251"/>
      <c r="P31" s="251"/>
      <c r="Q31" s="251"/>
      <c r="R31" s="253"/>
      <c r="S31" s="251"/>
      <c r="T31" s="251"/>
      <c r="U31" s="251"/>
      <c r="V31" s="253"/>
    </row>
    <row r="32" spans="2:26" x14ac:dyDescent="0.2">
      <c r="B32" s="170">
        <v>11</v>
      </c>
      <c r="D32" s="121" t="s">
        <v>158</v>
      </c>
      <c r="F32" s="253">
        <f>F27+F30</f>
        <v>15432950.710777171</v>
      </c>
      <c r="G32" s="253"/>
      <c r="H32" s="251"/>
      <c r="I32" s="251"/>
      <c r="J32" s="253">
        <f>J30+J27</f>
        <v>-54776.035067161676</v>
      </c>
      <c r="K32" s="253"/>
      <c r="L32" s="251"/>
      <c r="M32" s="251"/>
      <c r="N32" s="253">
        <f>N30+N27</f>
        <v>15378174.675710009</v>
      </c>
      <c r="O32" s="251"/>
      <c r="P32" s="251"/>
      <c r="Q32" s="251"/>
      <c r="R32" s="253">
        <f>R30+R27</f>
        <v>-633408.44293602812</v>
      </c>
      <c r="S32" s="251"/>
      <c r="T32" s="251"/>
      <c r="U32" s="251"/>
      <c r="V32" s="253">
        <f>V27+V30</f>
        <v>14744766.23277398</v>
      </c>
    </row>
    <row r="33" spans="2:24" x14ac:dyDescent="0.2">
      <c r="B33" s="170"/>
      <c r="F33" s="384"/>
      <c r="G33" s="48"/>
      <c r="H33" s="267"/>
      <c r="I33" s="267"/>
      <c r="J33" s="384"/>
      <c r="K33" s="48"/>
      <c r="L33" s="267"/>
      <c r="M33" s="267"/>
      <c r="N33" s="384"/>
      <c r="O33" s="267"/>
      <c r="P33" s="267"/>
      <c r="Q33" s="267"/>
      <c r="R33" s="384"/>
      <c r="S33" s="267"/>
      <c r="T33" s="267"/>
      <c r="U33" s="267"/>
      <c r="V33" s="384"/>
    </row>
    <row r="34" spans="2:24" ht="26.25" thickBot="1" x14ac:dyDescent="0.25">
      <c r="B34" s="170">
        <v>12</v>
      </c>
      <c r="D34" s="56" t="s">
        <v>97</v>
      </c>
      <c r="E34" s="120"/>
      <c r="F34" s="385">
        <f>F18-(F32)</f>
        <v>3676570.8961951509</v>
      </c>
      <c r="G34" s="48"/>
      <c r="H34" s="122"/>
      <c r="I34" s="122"/>
      <c r="J34" s="385">
        <f>J18-(J32)</f>
        <v>-114165.57190516019</v>
      </c>
      <c r="K34" s="48"/>
      <c r="L34" s="123"/>
      <c r="M34" s="123"/>
      <c r="N34" s="385">
        <f>N18-(N32)</f>
        <v>3562405.3242899906</v>
      </c>
      <c r="O34" s="123"/>
      <c r="P34" s="123"/>
      <c r="Q34" s="123"/>
      <c r="R34" s="385">
        <f>R18-(R32)</f>
        <v>-70260.464785638498</v>
      </c>
      <c r="S34" s="123"/>
      <c r="T34" s="123"/>
      <c r="U34" s="123"/>
      <c r="V34" s="385">
        <f>V18-(V32)</f>
        <v>3492144.8595043514</v>
      </c>
      <c r="X34" s="22"/>
    </row>
    <row r="35" spans="2:24" ht="13.5" thickTop="1" x14ac:dyDescent="0.2">
      <c r="B35" s="170"/>
      <c r="F35" s="505">
        <f>'6. Taxes_PILs'!G31</f>
        <v>256212.267233989</v>
      </c>
      <c r="G35" s="49"/>
      <c r="H35" s="267"/>
      <c r="I35" s="267"/>
      <c r="J35" s="505">
        <f>N35-F35</f>
        <v>-2586.4168938529328</v>
      </c>
      <c r="K35" s="49"/>
      <c r="L35" s="267"/>
      <c r="M35" s="267"/>
      <c r="N35" s="505">
        <f>'6. Taxes_PILs'!K31</f>
        <v>253625.85034013606</v>
      </c>
      <c r="O35" s="267"/>
      <c r="P35" s="267"/>
      <c r="Q35" s="267"/>
      <c r="R35" s="505">
        <f>V35-N35</f>
        <v>971.63637069941615</v>
      </c>
      <c r="S35" s="267"/>
      <c r="T35" s="267"/>
      <c r="U35" s="267"/>
      <c r="V35" s="505">
        <f>IF('6. Taxes_PILs'!O31=0,N35,'6. Taxes_PILs'!O31)</f>
        <v>254597.48671083548</v>
      </c>
    </row>
    <row r="36" spans="2:24" x14ac:dyDescent="0.2">
      <c r="B36" s="170">
        <v>13</v>
      </c>
      <c r="D36" s="25" t="s">
        <v>108</v>
      </c>
      <c r="F36" s="506"/>
      <c r="G36" s="49"/>
      <c r="H36" s="267"/>
      <c r="I36" s="267"/>
      <c r="J36" s="506"/>
      <c r="K36" s="49"/>
      <c r="L36" s="267"/>
      <c r="M36" s="267"/>
      <c r="N36" s="506"/>
      <c r="O36" s="267"/>
      <c r="P36" s="267"/>
      <c r="Q36" s="267"/>
      <c r="R36" s="506"/>
      <c r="S36" s="267"/>
      <c r="T36" s="267"/>
      <c r="U36" s="267"/>
      <c r="V36" s="506"/>
    </row>
    <row r="37" spans="2:24" x14ac:dyDescent="0.2">
      <c r="B37" s="170"/>
      <c r="F37" s="503">
        <f>F34-F35</f>
        <v>3420358.6289611617</v>
      </c>
      <c r="G37" s="148"/>
      <c r="H37" s="267"/>
      <c r="I37" s="267"/>
      <c r="J37" s="503">
        <f>J34-J35</f>
        <v>-111579.15501130726</v>
      </c>
      <c r="K37" s="148"/>
      <c r="L37" s="267"/>
      <c r="M37" s="267"/>
      <c r="N37" s="503">
        <f>N34-N35</f>
        <v>3308779.4739498547</v>
      </c>
      <c r="O37" s="267"/>
      <c r="P37" s="267"/>
      <c r="Q37" s="267"/>
      <c r="R37" s="503">
        <f>R34-R35</f>
        <v>-71232.101156337914</v>
      </c>
      <c r="S37" s="267"/>
      <c r="T37" s="267"/>
      <c r="U37" s="267"/>
      <c r="V37" s="503">
        <f>V34-V35</f>
        <v>3237547.3727935161</v>
      </c>
    </row>
    <row r="38" spans="2:24" ht="13.5" thickBot="1" x14ac:dyDescent="0.25">
      <c r="B38" s="170">
        <v>14</v>
      </c>
      <c r="D38" s="16" t="s">
        <v>105</v>
      </c>
      <c r="F38" s="504"/>
      <c r="G38" s="148"/>
      <c r="H38" s="122"/>
      <c r="I38" s="122"/>
      <c r="J38" s="504"/>
      <c r="K38" s="148"/>
      <c r="L38" s="122"/>
      <c r="M38" s="122"/>
      <c r="N38" s="504"/>
      <c r="O38" s="122"/>
      <c r="P38" s="122"/>
      <c r="Q38" s="122"/>
      <c r="R38" s="504"/>
      <c r="S38" s="122"/>
      <c r="T38" s="122"/>
      <c r="U38" s="122"/>
      <c r="V38" s="504"/>
    </row>
    <row r="39" spans="2:24" ht="13.5" thickTop="1" x14ac:dyDescent="0.2"/>
    <row r="40" spans="2:24" ht="7.5" customHeight="1" x14ac:dyDescent="0.2"/>
    <row r="42" spans="2:24" x14ac:dyDescent="0.2">
      <c r="B42" s="502" t="s">
        <v>38</v>
      </c>
      <c r="C42" s="502"/>
      <c r="D42" s="502"/>
      <c r="E42" s="502"/>
      <c r="F42" s="502"/>
      <c r="G42" s="502"/>
      <c r="H42" s="502"/>
      <c r="I42" s="502"/>
      <c r="J42" s="502"/>
      <c r="K42" s="502"/>
      <c r="L42" s="502"/>
      <c r="M42" s="502"/>
      <c r="N42" s="502"/>
      <c r="O42" s="502"/>
      <c r="P42" s="502"/>
      <c r="Q42" s="502"/>
      <c r="R42" s="502"/>
      <c r="S42" s="502"/>
      <c r="T42" s="502"/>
      <c r="U42" s="502"/>
      <c r="V42" s="502"/>
    </row>
    <row r="43" spans="2:24" x14ac:dyDescent="0.2">
      <c r="D43" s="82"/>
      <c r="E43" s="34"/>
      <c r="F43" s="34"/>
      <c r="G43" s="34"/>
      <c r="H43" s="34"/>
      <c r="I43" s="34"/>
      <c r="J43" s="34"/>
      <c r="K43" s="34"/>
      <c r="L43" s="34"/>
      <c r="M43" s="34"/>
      <c r="N43" s="34"/>
      <c r="O43" s="34"/>
      <c r="P43" s="34"/>
      <c r="Q43" s="34"/>
      <c r="R43" s="34"/>
      <c r="S43" s="34"/>
      <c r="T43" s="34"/>
      <c r="U43" s="34"/>
      <c r="V43" s="34"/>
    </row>
    <row r="44" spans="2:24" x14ac:dyDescent="0.2">
      <c r="B44" s="18" t="s">
        <v>2</v>
      </c>
      <c r="D44" s="78" t="s">
        <v>53</v>
      </c>
      <c r="E44" s="34"/>
      <c r="F44" s="100">
        <f>'3. Data_Input_Sheet'!E28</f>
        <v>24276</v>
      </c>
      <c r="G44" s="100"/>
      <c r="H44" s="366"/>
      <c r="I44" s="185"/>
      <c r="J44" s="100">
        <f>'3. Data_Input_Sheet'!I28</f>
        <v>-1877</v>
      </c>
      <c r="K44" s="100"/>
      <c r="L44" s="366"/>
      <c r="M44" s="34"/>
      <c r="N44" s="100">
        <f>'3. Data_Input_Sheet'!M28</f>
        <v>22399</v>
      </c>
      <c r="O44" s="100"/>
      <c r="P44" s="366"/>
      <c r="Q44" s="34"/>
      <c r="R44" s="100">
        <f>'3. Data_Input_Sheet'!Q28</f>
        <v>0</v>
      </c>
      <c r="S44" s="100"/>
      <c r="T44" s="366"/>
      <c r="U44" s="34"/>
      <c r="V44" s="100">
        <f>IF(ISBLANK('3. Data_Input_Sheet'!U28),N44,'3. Data_Input_Sheet'!U28)</f>
        <v>22399</v>
      </c>
    </row>
    <row r="45" spans="2:24" x14ac:dyDescent="0.2">
      <c r="D45" s="78" t="s">
        <v>54</v>
      </c>
      <c r="E45" s="34"/>
      <c r="F45" s="100">
        <f>'3. Data_Input_Sheet'!E29</f>
        <v>191188.00000000003</v>
      </c>
      <c r="G45" s="100"/>
      <c r="H45" s="366"/>
      <c r="I45" s="185"/>
      <c r="J45" s="100">
        <f>'3. Data_Input_Sheet'!I29</f>
        <v>-13193.000000000029</v>
      </c>
      <c r="K45" s="100"/>
      <c r="L45" s="366"/>
      <c r="M45" s="34"/>
      <c r="N45" s="100">
        <f>'3. Data_Input_Sheet'!M29</f>
        <v>177995</v>
      </c>
      <c r="O45" s="100"/>
      <c r="P45" s="366"/>
      <c r="Q45" s="34"/>
      <c r="R45" s="100">
        <f>'3. Data_Input_Sheet'!Q29</f>
        <v>0</v>
      </c>
      <c r="S45" s="100"/>
      <c r="T45" s="366"/>
      <c r="U45" s="34"/>
      <c r="V45" s="100">
        <f>IF(ISBLANK('3. Data_Input_Sheet'!U29),N45,'3. Data_Input_Sheet'!U29)</f>
        <v>177995</v>
      </c>
    </row>
    <row r="46" spans="2:24" x14ac:dyDescent="0.2">
      <c r="D46" s="78" t="s">
        <v>55</v>
      </c>
      <c r="E46" s="34"/>
      <c r="F46" s="100">
        <f>'3. Data_Input_Sheet'!E30</f>
        <v>1598658</v>
      </c>
      <c r="G46" s="100"/>
      <c r="H46" s="366"/>
      <c r="I46" s="185"/>
      <c r="J46" s="100">
        <f>'3. Data_Input_Sheet'!I30</f>
        <v>119341</v>
      </c>
      <c r="K46" s="100"/>
      <c r="L46" s="366"/>
      <c r="M46" s="34"/>
      <c r="N46" s="100">
        <f>'3. Data_Input_Sheet'!M30</f>
        <v>1717999</v>
      </c>
      <c r="O46" s="100"/>
      <c r="P46" s="366"/>
      <c r="Q46" s="34"/>
      <c r="R46" s="100">
        <f>'3. Data_Input_Sheet'!Q30</f>
        <v>-87975</v>
      </c>
      <c r="S46" s="100"/>
      <c r="T46" s="366"/>
      <c r="U46" s="34"/>
      <c r="V46" s="100">
        <f>IF(ISBLANK('3. Data_Input_Sheet'!U30),N46,'3. Data_Input_Sheet'!U30)</f>
        <v>1630024</v>
      </c>
    </row>
    <row r="47" spans="2:24" x14ac:dyDescent="0.2">
      <c r="D47" s="78" t="s">
        <v>56</v>
      </c>
      <c r="E47" s="34"/>
      <c r="F47" s="100">
        <f>'3. Data_Input_Sheet'!E31</f>
        <v>88033</v>
      </c>
      <c r="G47" s="100"/>
      <c r="H47" s="366"/>
      <c r="I47" s="185"/>
      <c r="J47" s="100">
        <f>'3. Data_Input_Sheet'!I31</f>
        <v>12384</v>
      </c>
      <c r="K47" s="100"/>
      <c r="L47" s="366"/>
      <c r="M47" s="34"/>
      <c r="N47" s="100">
        <f>'3. Data_Input_Sheet'!M31</f>
        <v>100417</v>
      </c>
      <c r="O47" s="100"/>
      <c r="P47" s="366"/>
      <c r="Q47" s="34"/>
      <c r="R47" s="100">
        <f>'3. Data_Input_Sheet'!Q31</f>
        <v>0</v>
      </c>
      <c r="S47" s="100"/>
      <c r="T47" s="366"/>
      <c r="U47" s="34"/>
      <c r="V47" s="100">
        <f>IF(ISBLANK('3. Data_Input_Sheet'!U31),N47,'3. Data_Input_Sheet'!U31)</f>
        <v>100417</v>
      </c>
    </row>
    <row r="48" spans="2:24" x14ac:dyDescent="0.2">
      <c r="D48" s="78"/>
      <c r="E48" s="34"/>
      <c r="F48" s="500">
        <f>SUM(F44:F47)</f>
        <v>1902155</v>
      </c>
      <c r="G48" s="158"/>
      <c r="H48" s="34"/>
      <c r="I48" s="34"/>
      <c r="J48" s="500">
        <f>SUM(J44:J47)</f>
        <v>116654.99999999997</v>
      </c>
      <c r="K48" s="34"/>
      <c r="L48" s="34"/>
      <c r="M48" s="34"/>
      <c r="N48" s="500">
        <f>SUM(N44:N47)</f>
        <v>2018810</v>
      </c>
      <c r="O48" s="34"/>
      <c r="P48" s="34"/>
      <c r="Q48" s="34"/>
      <c r="R48" s="500">
        <f>SUM(R44:R47)</f>
        <v>-87975</v>
      </c>
      <c r="S48" s="34"/>
      <c r="T48" s="34"/>
      <c r="U48" s="34"/>
      <c r="V48" s="500">
        <f>SUM(V44:V47)</f>
        <v>1930835</v>
      </c>
    </row>
    <row r="49" spans="2:22" ht="13.5" thickBot="1" x14ac:dyDescent="0.25">
      <c r="D49" s="313" t="s">
        <v>57</v>
      </c>
      <c r="E49" s="34"/>
      <c r="F49" s="501"/>
      <c r="G49" s="158"/>
      <c r="H49" s="34"/>
      <c r="I49" s="34"/>
      <c r="J49" s="501"/>
      <c r="K49" s="34"/>
      <c r="L49" s="34"/>
      <c r="M49" s="34"/>
      <c r="N49" s="501"/>
      <c r="O49" s="34"/>
      <c r="P49" s="34"/>
      <c r="Q49" s="34"/>
      <c r="R49" s="501"/>
      <c r="S49" s="34"/>
      <c r="T49" s="34"/>
      <c r="U49" s="34"/>
      <c r="V49" s="501"/>
    </row>
    <row r="50" spans="2:22" ht="13.5" thickTop="1" x14ac:dyDescent="0.2">
      <c r="D50" s="34"/>
      <c r="E50" s="34"/>
      <c r="F50" s="34"/>
      <c r="G50" s="34"/>
      <c r="H50" s="34"/>
      <c r="I50" s="34"/>
      <c r="J50" s="34"/>
      <c r="K50" s="34"/>
      <c r="L50" s="34"/>
      <c r="M50" s="34"/>
      <c r="N50" s="34"/>
      <c r="O50" s="34"/>
      <c r="P50" s="34"/>
      <c r="Q50" s="34"/>
      <c r="R50" s="34"/>
      <c r="S50" s="34"/>
      <c r="T50" s="34"/>
      <c r="U50" s="34"/>
      <c r="V50" s="34"/>
    </row>
    <row r="51" spans="2:22" x14ac:dyDescent="0.2">
      <c r="D51" s="34"/>
      <c r="E51" s="34"/>
      <c r="F51" s="34"/>
      <c r="G51" s="34"/>
      <c r="H51" s="34"/>
      <c r="I51" s="34"/>
      <c r="J51" s="34"/>
      <c r="K51" s="34"/>
      <c r="L51" s="34"/>
      <c r="M51" s="34"/>
      <c r="N51" s="34"/>
      <c r="O51" s="34"/>
      <c r="P51" s="34"/>
      <c r="Q51" s="34"/>
      <c r="R51" s="34"/>
      <c r="S51" s="34"/>
      <c r="T51" s="34"/>
      <c r="U51" s="34"/>
      <c r="V51" s="34"/>
    </row>
    <row r="52" spans="2:22" x14ac:dyDescent="0.2">
      <c r="B52" s="367"/>
      <c r="D52" s="497"/>
      <c r="E52" s="497"/>
      <c r="F52" s="497"/>
      <c r="G52" s="497"/>
      <c r="H52" s="497"/>
      <c r="I52" s="497"/>
      <c r="J52" s="497"/>
      <c r="K52" s="497"/>
      <c r="L52" s="497"/>
      <c r="M52" s="497"/>
      <c r="N52" s="497"/>
      <c r="O52" s="497"/>
      <c r="P52" s="497"/>
      <c r="Q52" s="497"/>
      <c r="R52" s="497"/>
      <c r="S52" s="497"/>
      <c r="T52" s="497"/>
      <c r="U52" s="497"/>
      <c r="V52" s="497"/>
    </row>
    <row r="53" spans="2:22" x14ac:dyDescent="0.2">
      <c r="B53" s="367"/>
      <c r="D53" s="497"/>
      <c r="E53" s="497"/>
      <c r="F53" s="497"/>
      <c r="G53" s="497"/>
      <c r="H53" s="497"/>
      <c r="I53" s="497"/>
      <c r="J53" s="497"/>
      <c r="K53" s="497"/>
      <c r="L53" s="497"/>
      <c r="M53" s="497"/>
      <c r="N53" s="497"/>
      <c r="O53" s="497"/>
      <c r="P53" s="497"/>
      <c r="Q53" s="497"/>
      <c r="R53" s="497"/>
      <c r="S53" s="497"/>
      <c r="T53" s="497"/>
      <c r="U53" s="497"/>
      <c r="V53" s="497"/>
    </row>
    <row r="54" spans="2:22" x14ac:dyDescent="0.2">
      <c r="B54" s="367"/>
      <c r="D54" s="499"/>
      <c r="E54" s="497"/>
      <c r="F54" s="497"/>
      <c r="G54" s="497"/>
      <c r="H54" s="497"/>
      <c r="I54" s="497"/>
      <c r="J54" s="497"/>
      <c r="K54" s="497"/>
      <c r="L54" s="497"/>
      <c r="M54" s="497"/>
      <c r="N54" s="497"/>
      <c r="O54" s="497"/>
      <c r="P54" s="497"/>
      <c r="Q54" s="497"/>
      <c r="R54" s="497"/>
      <c r="S54" s="497"/>
      <c r="T54" s="497"/>
      <c r="U54" s="497"/>
      <c r="V54" s="497"/>
    </row>
    <row r="55" spans="2:22" x14ac:dyDescent="0.2">
      <c r="B55" s="367"/>
      <c r="D55" s="497"/>
      <c r="E55" s="497"/>
      <c r="F55" s="497"/>
      <c r="G55" s="497"/>
      <c r="H55" s="497"/>
      <c r="I55" s="497"/>
      <c r="J55" s="497"/>
      <c r="K55" s="497"/>
      <c r="L55" s="497"/>
      <c r="M55" s="497"/>
      <c r="N55" s="497"/>
      <c r="O55" s="497"/>
      <c r="P55" s="497"/>
      <c r="Q55" s="497"/>
      <c r="R55" s="497"/>
      <c r="S55" s="497"/>
      <c r="T55" s="497"/>
      <c r="U55" s="497"/>
      <c r="V55" s="497"/>
    </row>
    <row r="56" spans="2:22" x14ac:dyDescent="0.2">
      <c r="B56" s="367"/>
      <c r="D56" s="497"/>
      <c r="E56" s="497"/>
      <c r="F56" s="497"/>
      <c r="G56" s="497"/>
      <c r="H56" s="497"/>
      <c r="I56" s="497"/>
      <c r="J56" s="497"/>
      <c r="K56" s="497"/>
      <c r="L56" s="497"/>
      <c r="M56" s="497"/>
      <c r="N56" s="497"/>
      <c r="O56" s="497"/>
      <c r="P56" s="497"/>
      <c r="Q56" s="497"/>
      <c r="R56" s="497"/>
      <c r="S56" s="497"/>
      <c r="T56" s="497"/>
      <c r="U56" s="497"/>
      <c r="V56" s="497"/>
    </row>
    <row r="57" spans="2:22" x14ac:dyDescent="0.2">
      <c r="B57" s="367"/>
      <c r="D57" s="497"/>
      <c r="E57" s="497"/>
      <c r="F57" s="497"/>
      <c r="G57" s="497"/>
      <c r="H57" s="497"/>
      <c r="I57" s="497"/>
      <c r="J57" s="497"/>
      <c r="K57" s="497"/>
      <c r="L57" s="497"/>
      <c r="M57" s="497"/>
      <c r="N57" s="497"/>
      <c r="O57" s="497"/>
      <c r="P57" s="497"/>
      <c r="Q57" s="497"/>
      <c r="R57" s="497"/>
      <c r="S57" s="497"/>
      <c r="T57" s="497"/>
      <c r="U57" s="497"/>
      <c r="V57" s="497"/>
    </row>
  </sheetData>
  <sheetProtection password="82A3" sheet="1" objects="1" scenarios="1"/>
  <mergeCells count="37">
    <mergeCell ref="J48:J49"/>
    <mergeCell ref="N48:N49"/>
    <mergeCell ref="R48:R49"/>
    <mergeCell ref="J35:J36"/>
    <mergeCell ref="J37:J38"/>
    <mergeCell ref="J27:J28"/>
    <mergeCell ref="V35:V36"/>
    <mergeCell ref="F35:F36"/>
    <mergeCell ref="V37:V38"/>
    <mergeCell ref="F37:F38"/>
    <mergeCell ref="R37:R38"/>
    <mergeCell ref="C1:L1"/>
    <mergeCell ref="C3:H3"/>
    <mergeCell ref="C4:H4"/>
    <mergeCell ref="C2:V2"/>
    <mergeCell ref="V18:V19"/>
    <mergeCell ref="N18:N19"/>
    <mergeCell ref="R18:R19"/>
    <mergeCell ref="F8:V8"/>
    <mergeCell ref="F18:F19"/>
    <mergeCell ref="J18:J19"/>
    <mergeCell ref="D57:V57"/>
    <mergeCell ref="D55:V55"/>
    <mergeCell ref="D56:V56"/>
    <mergeCell ref="D52:V52"/>
    <mergeCell ref="F27:F28"/>
    <mergeCell ref="D54:V54"/>
    <mergeCell ref="D53:V53"/>
    <mergeCell ref="F48:F49"/>
    <mergeCell ref="V48:V49"/>
    <mergeCell ref="B42:V42"/>
    <mergeCell ref="N37:N38"/>
    <mergeCell ref="V27:V28"/>
    <mergeCell ref="N27:N28"/>
    <mergeCell ref="N35:N36"/>
    <mergeCell ref="R27:R28"/>
    <mergeCell ref="R35:R36"/>
  </mergeCells>
  <phoneticPr fontId="2" type="noConversion"/>
  <conditionalFormatting sqref="J13">
    <cfRule type="cellIs" dxfId="5" priority="1" stopIfTrue="1" operator="equal">
      <formula>""</formula>
    </cfRule>
  </conditionalFormatting>
  <conditionalFormatting sqref="N13 R13">
    <cfRule type="cellIs" dxfId="4" priority="2" stopIfTrue="1" operator="equal">
      <formula>""</formula>
    </cfRule>
  </conditionalFormatting>
  <printOptions horizontalCentered="1"/>
  <pageMargins left="0.74803149606299213" right="0.74803149606299213" top="0.47244094488188981" bottom="0.98425196850393704" header="0.31496062992125984" footer="0.51181102362204722"/>
  <pageSetup scale="63" orientation="landscape" r:id="rId1"/>
  <headerFooter alignWithMargins="0">
    <oddFooter>&amp;C4</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U53"/>
  <sheetViews>
    <sheetView showGridLines="0" topLeftCell="A8" zoomScaleNormal="100" zoomScaleSheetLayoutView="100" workbookViewId="0">
      <selection activeCell="M37" sqref="M37"/>
    </sheetView>
  </sheetViews>
  <sheetFormatPr defaultRowHeight="12.75" x14ac:dyDescent="0.2"/>
  <cols>
    <col min="1" max="1" width="1.7109375" style="5" customWidth="1"/>
    <col min="2" max="2" width="5.85546875" style="5" customWidth="1"/>
    <col min="3" max="3" width="5.7109375" style="5" customWidth="1"/>
    <col min="4" max="4" width="22.28515625" style="5" customWidth="1"/>
    <col min="5" max="5" width="15.28515625" style="5" customWidth="1"/>
    <col min="6" max="6" width="1.7109375" style="5" customWidth="1"/>
    <col min="7" max="7" width="15.7109375" style="5" customWidth="1"/>
    <col min="8" max="8" width="1.7109375" style="5" customWidth="1"/>
    <col min="9" max="9" width="3.42578125" style="5" customWidth="1"/>
    <col min="10" max="10" width="1.7109375" style="5" customWidth="1"/>
    <col min="11" max="11" width="15.7109375" style="5" customWidth="1"/>
    <col min="12" max="12" width="1.7109375" style="5" customWidth="1"/>
    <col min="13" max="13" width="3.42578125" style="5" customWidth="1"/>
    <col min="14" max="14" width="1.7109375" style="5" customWidth="1"/>
    <col min="15" max="15" width="15.7109375" style="5" customWidth="1"/>
    <col min="16" max="16" width="1.28515625" style="5" customWidth="1"/>
    <col min="17" max="17" width="5.7109375" style="5" customWidth="1"/>
    <col min="18" max="18" width="8.28515625" style="5" customWidth="1"/>
    <col min="19" max="16384" width="9.140625" style="5"/>
  </cols>
  <sheetData>
    <row r="1" spans="2:16" s="2" customFormat="1" ht="21.75" x14ac:dyDescent="0.2">
      <c r="D1" s="476"/>
      <c r="E1" s="476"/>
      <c r="F1" s="476"/>
      <c r="G1" s="476"/>
      <c r="H1" s="476"/>
      <c r="I1" s="476"/>
      <c r="J1" s="476"/>
      <c r="K1" s="476"/>
      <c r="L1" s="476"/>
      <c r="M1" s="476"/>
      <c r="N1" s="1"/>
      <c r="O1" s="146"/>
      <c r="P1" s="146"/>
    </row>
    <row r="2" spans="2:16" s="2" customFormat="1" ht="18" x14ac:dyDescent="0.25">
      <c r="C2" s="480"/>
      <c r="D2" s="480"/>
      <c r="E2" s="480"/>
      <c r="F2" s="480"/>
      <c r="G2" s="480"/>
      <c r="H2" s="480"/>
      <c r="I2" s="480"/>
      <c r="J2" s="480"/>
      <c r="K2" s="480"/>
      <c r="L2" s="480"/>
      <c r="M2" s="480"/>
      <c r="N2" s="480"/>
      <c r="O2" s="480"/>
      <c r="P2" s="36"/>
    </row>
    <row r="3" spans="2:16" s="2" customFormat="1" ht="18" x14ac:dyDescent="0.25">
      <c r="C3" s="480"/>
      <c r="D3" s="480"/>
      <c r="E3" s="480"/>
      <c r="F3" s="480"/>
      <c r="G3" s="480"/>
      <c r="H3" s="36"/>
      <c r="I3" s="36"/>
      <c r="J3" s="36"/>
      <c r="K3" s="36"/>
      <c r="L3" s="33"/>
      <c r="M3" s="33"/>
      <c r="N3" s="33"/>
      <c r="O3" s="33"/>
      <c r="P3" s="33"/>
    </row>
    <row r="4" spans="2:16" s="2" customFormat="1" ht="18" x14ac:dyDescent="0.25">
      <c r="C4" s="480"/>
      <c r="D4" s="480"/>
      <c r="E4" s="480"/>
      <c r="F4" s="480"/>
      <c r="G4" s="480"/>
      <c r="H4" s="36"/>
      <c r="I4" s="36"/>
      <c r="J4" s="36"/>
      <c r="K4" s="36"/>
      <c r="L4" s="33"/>
      <c r="M4" s="33"/>
      <c r="N4" s="33"/>
      <c r="O4" s="33"/>
      <c r="P4" s="33"/>
    </row>
    <row r="5" spans="2:16" s="2" customFormat="1" ht="15.75" x14ac:dyDescent="0.25">
      <c r="C5" s="33"/>
      <c r="D5" s="33"/>
      <c r="E5" s="97"/>
      <c r="F5" s="97"/>
      <c r="G5" s="33"/>
      <c r="H5" s="33"/>
      <c r="I5" s="33"/>
      <c r="J5" s="33"/>
      <c r="K5" s="33"/>
      <c r="L5" s="33"/>
      <c r="M5" s="33"/>
      <c r="N5" s="33"/>
      <c r="O5" s="33"/>
      <c r="P5" s="33"/>
    </row>
    <row r="6" spans="2:16" s="2" customFormat="1" ht="36.75" customHeight="1" x14ac:dyDescent="0.2"/>
    <row r="8" spans="2:16" ht="15.75" x14ac:dyDescent="0.25">
      <c r="P8" s="59"/>
    </row>
    <row r="9" spans="2:16" ht="15.75" x14ac:dyDescent="0.25">
      <c r="B9" s="511" t="s">
        <v>6</v>
      </c>
      <c r="C9" s="511"/>
      <c r="D9" s="511"/>
      <c r="E9" s="511"/>
      <c r="F9" s="511"/>
      <c r="G9" s="511"/>
      <c r="H9" s="511"/>
      <c r="I9" s="511"/>
      <c r="J9" s="511"/>
      <c r="K9" s="511"/>
      <c r="L9" s="511"/>
      <c r="M9" s="511"/>
      <c r="P9" s="59"/>
    </row>
    <row r="10" spans="2:16" ht="15.75" x14ac:dyDescent="0.25">
      <c r="P10" s="59"/>
    </row>
    <row r="11" spans="2:16" ht="15.75" x14ac:dyDescent="0.25">
      <c r="P11" s="59"/>
    </row>
    <row r="12" spans="2:16" ht="25.5" x14ac:dyDescent="0.2">
      <c r="B12" s="386" t="s">
        <v>37</v>
      </c>
      <c r="D12" s="42" t="s">
        <v>59</v>
      </c>
      <c r="E12" s="44"/>
      <c r="F12" s="44"/>
      <c r="G12" s="306" t="s">
        <v>4</v>
      </c>
      <c r="H12" s="307"/>
      <c r="I12" s="307"/>
      <c r="J12" s="307"/>
      <c r="K12" s="308" t="str">
        <f>IF(ISBLANK('3. Data_Input_Sheet'!M12),"",'3. Data_Input_Sheet'!M12)</f>
        <v>Interrogatory Responses</v>
      </c>
      <c r="L12" s="307"/>
      <c r="M12" s="307"/>
      <c r="N12" s="307"/>
      <c r="O12" s="308" t="str">
        <f>'3. Data_Input_Sheet'!U12</f>
        <v>Per Board Decision</v>
      </c>
      <c r="P12" s="144"/>
    </row>
    <row r="13" spans="2:16" x14ac:dyDescent="0.2">
      <c r="B13" s="301"/>
      <c r="F13" s="34"/>
      <c r="L13" s="34"/>
      <c r="M13" s="34"/>
      <c r="N13" s="34"/>
    </row>
    <row r="14" spans="2:16" x14ac:dyDescent="0.2">
      <c r="B14" s="301"/>
      <c r="D14" s="23" t="s">
        <v>28</v>
      </c>
      <c r="E14" s="98"/>
      <c r="F14" s="99"/>
      <c r="G14" s="98"/>
      <c r="H14" s="98"/>
      <c r="I14" s="98"/>
      <c r="J14" s="98"/>
      <c r="K14" s="98"/>
      <c r="L14" s="99"/>
      <c r="M14" s="99"/>
      <c r="N14" s="99"/>
      <c r="O14" s="98"/>
      <c r="P14" s="98"/>
    </row>
    <row r="15" spans="2:16" x14ac:dyDescent="0.2">
      <c r="B15" s="301"/>
      <c r="F15" s="34"/>
      <c r="L15" s="34"/>
      <c r="M15" s="34"/>
      <c r="N15" s="34"/>
    </row>
    <row r="16" spans="2:16" x14ac:dyDescent="0.2">
      <c r="B16" s="351">
        <v>1</v>
      </c>
      <c r="D16" s="469" t="s">
        <v>145</v>
      </c>
      <c r="E16" s="469"/>
      <c r="F16" s="34"/>
      <c r="G16" s="249">
        <f>'7. Cost_of_Capital'!P22</f>
        <v>3420358.6983447564</v>
      </c>
      <c r="H16" s="249"/>
      <c r="I16" s="249"/>
      <c r="J16" s="249"/>
      <c r="K16" s="249">
        <f>'7. Cost_of_Capital'!P38</f>
        <v>3308778.9932685164</v>
      </c>
      <c r="L16" s="255"/>
      <c r="M16" s="255"/>
      <c r="N16" s="255"/>
      <c r="O16" s="249">
        <f>'7. Cost_of_Capital'!P54</f>
        <v>3237547.3032685164</v>
      </c>
      <c r="P16" s="100"/>
    </row>
    <row r="17" spans="2:21" x14ac:dyDescent="0.2">
      <c r="B17" s="351"/>
      <c r="F17" s="34"/>
      <c r="G17" s="256"/>
      <c r="H17" s="256"/>
      <c r="I17" s="256"/>
      <c r="J17" s="256"/>
      <c r="K17" s="256"/>
      <c r="L17" s="255"/>
      <c r="M17" s="255"/>
      <c r="N17" s="255"/>
      <c r="O17" s="256"/>
      <c r="P17" s="53"/>
    </row>
    <row r="18" spans="2:21" ht="24.75" customHeight="1" x14ac:dyDescent="0.2">
      <c r="B18" s="351">
        <v>2</v>
      </c>
      <c r="D18" s="512" t="s">
        <v>29</v>
      </c>
      <c r="E18" s="512"/>
      <c r="F18" s="34"/>
      <c r="G18" s="248">
        <f>'3. Data_Input_Sheet'!E44</f>
        <v>-2709732.2212995403</v>
      </c>
      <c r="H18" s="249"/>
      <c r="I18" s="362"/>
      <c r="J18" s="249"/>
      <c r="K18" s="248">
        <f>'3. Data_Input_Sheet'!M44</f>
        <v>-2605325</v>
      </c>
      <c r="L18" s="239"/>
      <c r="M18" s="362"/>
      <c r="N18" s="239"/>
      <c r="O18" s="248">
        <f>IF(ISBLANK('3. Data_Input_Sheet'!U44),G18,'3. Data_Input_Sheet'!U44)</f>
        <v>-2531399.6210361412</v>
      </c>
      <c r="P18" s="100"/>
      <c r="Q18" s="362"/>
    </row>
    <row r="19" spans="2:21" x14ac:dyDescent="0.2">
      <c r="B19" s="351"/>
      <c r="F19" s="34"/>
      <c r="G19" s="256"/>
      <c r="H19" s="256"/>
      <c r="I19" s="256"/>
      <c r="J19" s="256"/>
      <c r="K19" s="256"/>
      <c r="L19" s="255"/>
      <c r="M19" s="255"/>
      <c r="N19" s="255"/>
      <c r="O19" s="256"/>
      <c r="P19" s="53"/>
    </row>
    <row r="20" spans="2:21" ht="13.5" thickBot="1" x14ac:dyDescent="0.25">
      <c r="B20" s="351">
        <v>3</v>
      </c>
      <c r="D20" s="469" t="s">
        <v>30</v>
      </c>
      <c r="E20" s="469"/>
      <c r="F20" s="34"/>
      <c r="G20" s="257">
        <f>G16+G18</f>
        <v>710626.47704521613</v>
      </c>
      <c r="H20" s="258"/>
      <c r="I20" s="258"/>
      <c r="J20" s="258"/>
      <c r="K20" s="257">
        <f>K16+K18</f>
        <v>703453.99326851638</v>
      </c>
      <c r="L20" s="255"/>
      <c r="M20" s="255"/>
      <c r="N20" s="255"/>
      <c r="O20" s="257">
        <f>O16+O18</f>
        <v>706147.68223237526</v>
      </c>
      <c r="P20" s="160"/>
    </row>
    <row r="21" spans="2:21" ht="13.5" thickTop="1" x14ac:dyDescent="0.2">
      <c r="B21" s="351"/>
      <c r="F21" s="34"/>
      <c r="G21" s="256"/>
      <c r="H21" s="256"/>
      <c r="I21" s="256"/>
      <c r="J21" s="256"/>
      <c r="K21" s="256"/>
      <c r="L21" s="255"/>
      <c r="M21" s="255"/>
      <c r="N21" s="255"/>
      <c r="O21" s="256"/>
      <c r="P21" s="53"/>
    </row>
    <row r="22" spans="2:21" x14ac:dyDescent="0.2">
      <c r="B22" s="351"/>
      <c r="D22" s="27" t="s">
        <v>31</v>
      </c>
      <c r="E22" s="103"/>
      <c r="F22" s="104"/>
      <c r="G22" s="259"/>
      <c r="H22" s="259"/>
      <c r="I22" s="259"/>
      <c r="J22" s="259"/>
      <c r="K22" s="259"/>
      <c r="L22" s="260"/>
      <c r="M22" s="260"/>
      <c r="N22" s="260"/>
      <c r="O22" s="259"/>
      <c r="P22" s="105"/>
    </row>
    <row r="23" spans="2:21" x14ac:dyDescent="0.2">
      <c r="B23" s="351"/>
      <c r="C23" s="15"/>
      <c r="D23" s="15"/>
      <c r="E23" s="15"/>
      <c r="F23" s="89"/>
      <c r="G23" s="261"/>
      <c r="H23" s="261"/>
      <c r="I23" s="261"/>
      <c r="J23" s="261"/>
      <c r="K23" s="261"/>
      <c r="L23" s="255"/>
      <c r="M23" s="255"/>
      <c r="N23" s="255"/>
      <c r="O23" s="261"/>
      <c r="P23" s="106"/>
      <c r="Q23" s="15"/>
      <c r="R23" s="15"/>
      <c r="S23" s="15"/>
      <c r="T23" s="15"/>
      <c r="U23" s="15"/>
    </row>
    <row r="24" spans="2:21" x14ac:dyDescent="0.2">
      <c r="B24" s="351">
        <v>4</v>
      </c>
      <c r="C24" s="15"/>
      <c r="D24" s="15" t="s">
        <v>27</v>
      </c>
      <c r="E24" s="15"/>
      <c r="F24" s="89"/>
      <c r="G24" s="249">
        <f>'3. Data_Input_Sheet'!E46</f>
        <v>188316.0164169819</v>
      </c>
      <c r="H24" s="249"/>
      <c r="I24" s="362"/>
      <c r="J24" s="249"/>
      <c r="K24" s="249">
        <f>IF(ISBLANK('3. Data_Input_Sheet'!M46),'6. Taxes_PILs'!G24,'3. Data_Input_Sheet'!M46)</f>
        <v>186415</v>
      </c>
      <c r="L24" s="239"/>
      <c r="M24" s="362"/>
      <c r="N24" s="239"/>
      <c r="O24" s="249">
        <f>IF(ISBLANK('3. Data_Input_Sheet'!U46),'6. Taxes_PILs'!K24,'3. Data_Input_Sheet'!U46)</f>
        <v>187129.15273246408</v>
      </c>
      <c r="P24" s="107"/>
      <c r="Q24" s="362"/>
      <c r="R24" s="15"/>
      <c r="S24" s="15"/>
      <c r="T24" s="15"/>
      <c r="U24" s="15"/>
    </row>
    <row r="25" spans="2:21" ht="3" customHeight="1" x14ac:dyDescent="0.2">
      <c r="B25" s="388">
        <v>5</v>
      </c>
      <c r="C25" s="314"/>
      <c r="D25" s="314" t="s">
        <v>43</v>
      </c>
      <c r="E25" s="314"/>
      <c r="F25" s="315"/>
      <c r="G25" s="316">
        <f>'3. Data_Input_Sheet'!E48</f>
        <v>0</v>
      </c>
      <c r="H25" s="317"/>
      <c r="I25" s="318"/>
      <c r="J25" s="317"/>
      <c r="K25" s="316">
        <f>IF(ISBLANK('3. Data_Input_Sheet'!M48),'6. Taxes_PILs'!G25,'3. Data_Input_Sheet'!M48)</f>
        <v>0</v>
      </c>
      <c r="L25" s="319"/>
      <c r="M25" s="320"/>
      <c r="N25" s="319"/>
      <c r="O25" s="316">
        <f>IF(ISBLANK('3. Data_Input_Sheet'!U48),'6. Taxes_PILs'!K25,'3. Data_Input_Sheet'!U48)</f>
        <v>0</v>
      </c>
      <c r="P25" s="321"/>
      <c r="Q25" s="322"/>
    </row>
    <row r="26" spans="2:21" x14ac:dyDescent="0.2">
      <c r="B26" s="351"/>
      <c r="F26" s="34"/>
      <c r="G26" s="489">
        <f>SUM(G24:G25)</f>
        <v>188316.0164169819</v>
      </c>
      <c r="H26" s="49"/>
      <c r="I26" s="49"/>
      <c r="J26" s="49"/>
      <c r="K26" s="489">
        <f>SUM(K24:K25)</f>
        <v>186415</v>
      </c>
      <c r="L26" s="108"/>
      <c r="M26" s="108"/>
      <c r="N26" s="162"/>
      <c r="O26" s="489">
        <f>SUM(O24:O25)</f>
        <v>187129.15273246408</v>
      </c>
      <c r="P26" s="49"/>
    </row>
    <row r="27" spans="2:21" ht="13.5" thickBot="1" x14ac:dyDescent="0.25">
      <c r="B27" s="351">
        <v>6</v>
      </c>
      <c r="D27" s="5" t="s">
        <v>32</v>
      </c>
      <c r="F27" s="34"/>
      <c r="G27" s="490"/>
      <c r="H27" s="49"/>
      <c r="I27" s="49"/>
      <c r="J27" s="49"/>
      <c r="K27" s="490"/>
      <c r="L27" s="108"/>
      <c r="M27" s="108"/>
      <c r="N27" s="162"/>
      <c r="O27" s="490"/>
      <c r="P27" s="49"/>
    </row>
    <row r="28" spans="2:21" ht="13.5" thickTop="1" x14ac:dyDescent="0.2">
      <c r="B28" s="351"/>
      <c r="F28" s="34"/>
      <c r="G28" s="264"/>
      <c r="H28" s="264"/>
      <c r="I28" s="264"/>
      <c r="J28" s="264"/>
      <c r="K28" s="264"/>
      <c r="L28" s="255"/>
      <c r="M28" s="255"/>
      <c r="N28" s="241"/>
      <c r="O28" s="264"/>
      <c r="P28" s="109"/>
    </row>
    <row r="29" spans="2:21" x14ac:dyDescent="0.2">
      <c r="B29" s="351">
        <v>7</v>
      </c>
      <c r="D29" s="5" t="s">
        <v>96</v>
      </c>
      <c r="F29" s="34"/>
      <c r="G29" s="254">
        <f>(G24/(1-G41))-G24</f>
        <v>67896.250817007094</v>
      </c>
      <c r="H29" s="253"/>
      <c r="I29" s="253"/>
      <c r="J29" s="253"/>
      <c r="K29" s="254">
        <f>(K24/(1-K41))-K24</f>
        <v>67210.850340136065</v>
      </c>
      <c r="L29" s="262"/>
      <c r="M29" s="262"/>
      <c r="N29" s="263"/>
      <c r="O29" s="254">
        <f>(O24/(1-O41))-O24</f>
        <v>67468.333978371404</v>
      </c>
      <c r="P29" s="49"/>
    </row>
    <row r="30" spans="2:21" x14ac:dyDescent="0.2">
      <c r="B30" s="351"/>
      <c r="F30" s="34"/>
      <c r="G30" s="253"/>
      <c r="H30" s="253"/>
      <c r="I30" s="253"/>
      <c r="J30" s="253"/>
      <c r="K30" s="253"/>
      <c r="L30" s="262"/>
      <c r="M30" s="262"/>
      <c r="N30" s="263"/>
      <c r="O30" s="253"/>
      <c r="P30" s="49"/>
    </row>
    <row r="31" spans="2:21" ht="13.5" thickBot="1" x14ac:dyDescent="0.25">
      <c r="B31" s="351">
        <v>8</v>
      </c>
      <c r="D31" s="5" t="s">
        <v>106</v>
      </c>
      <c r="F31" s="34"/>
      <c r="G31" s="265">
        <f>G24+G29</f>
        <v>256212.267233989</v>
      </c>
      <c r="H31" s="253"/>
      <c r="I31" s="253"/>
      <c r="J31" s="253"/>
      <c r="K31" s="265">
        <f>K24+K29</f>
        <v>253625.85034013606</v>
      </c>
      <c r="L31" s="262"/>
      <c r="M31" s="262"/>
      <c r="N31" s="263"/>
      <c r="O31" s="265">
        <f>O24+O29</f>
        <v>254597.48671083548</v>
      </c>
      <c r="P31" s="49"/>
    </row>
    <row r="32" spans="2:21" ht="13.5" thickTop="1" x14ac:dyDescent="0.2">
      <c r="B32" s="351"/>
      <c r="F32" s="34"/>
      <c r="G32" s="253"/>
      <c r="H32" s="253"/>
      <c r="I32" s="253"/>
      <c r="J32" s="253"/>
      <c r="K32" s="253"/>
      <c r="L32" s="262"/>
      <c r="M32" s="262"/>
      <c r="N32" s="263"/>
      <c r="O32" s="253"/>
      <c r="P32" s="49"/>
    </row>
    <row r="33" spans="2:17" ht="25.5" customHeight="1" thickBot="1" x14ac:dyDescent="0.25">
      <c r="B33" s="351">
        <v>9</v>
      </c>
      <c r="D33" s="472" t="s">
        <v>107</v>
      </c>
      <c r="E33" s="472"/>
      <c r="F33" s="34"/>
      <c r="G33" s="141">
        <f>G26+G29</f>
        <v>256212.267233989</v>
      </c>
      <c r="H33" s="49"/>
      <c r="I33" s="49"/>
      <c r="J33" s="49"/>
      <c r="K33" s="141">
        <f>K29+K26</f>
        <v>253625.85034013606</v>
      </c>
      <c r="L33" s="108"/>
      <c r="M33" s="108"/>
      <c r="N33" s="162"/>
      <c r="O33" s="141">
        <f>O29+O26</f>
        <v>254597.48671083548</v>
      </c>
      <c r="P33" s="49"/>
    </row>
    <row r="34" spans="2:17" ht="12.75" customHeight="1" thickTop="1" x14ac:dyDescent="0.2">
      <c r="B34" s="351"/>
      <c r="D34" s="28"/>
      <c r="E34" s="28"/>
      <c r="F34" s="34"/>
      <c r="G34" s="253"/>
      <c r="H34" s="253"/>
      <c r="I34" s="253"/>
      <c r="J34" s="253"/>
      <c r="K34" s="253"/>
      <c r="L34" s="262"/>
      <c r="M34" s="262"/>
      <c r="N34" s="263"/>
      <c r="O34" s="253"/>
      <c r="P34" s="49"/>
    </row>
    <row r="35" spans="2:17" ht="14.25" customHeight="1" x14ac:dyDescent="0.2">
      <c r="B35" s="351">
        <v>10</v>
      </c>
      <c r="D35" s="28" t="s">
        <v>131</v>
      </c>
      <c r="E35" s="28"/>
      <c r="F35" s="34"/>
      <c r="G35" s="253">
        <f>'3. Data_Input_Sheet'!E51</f>
        <v>0</v>
      </c>
      <c r="H35" s="253"/>
      <c r="I35" s="362"/>
      <c r="J35" s="253"/>
      <c r="K35" s="253">
        <f>IF(ISBLANK('3. Data_Input_Sheet'!M51),G35,'3. Data_Input_Sheet'!M51)</f>
        <v>0</v>
      </c>
      <c r="L35" s="239"/>
      <c r="M35" s="362"/>
      <c r="N35" s="266"/>
      <c r="O35" s="253">
        <f>IF(ISBLANK('3. Data_Input_Sheet'!U51),K35,'3. Data_Input_Sheet'!U51)</f>
        <v>0</v>
      </c>
      <c r="P35" s="49"/>
      <c r="Q35" s="362"/>
    </row>
    <row r="36" spans="2:17" x14ac:dyDescent="0.2">
      <c r="B36" s="351"/>
      <c r="F36" s="34"/>
      <c r="L36" s="30"/>
      <c r="M36" s="34"/>
      <c r="N36" s="30"/>
    </row>
    <row r="37" spans="2:17" x14ac:dyDescent="0.2">
      <c r="B37" s="351"/>
      <c r="D37" s="27" t="s">
        <v>33</v>
      </c>
      <c r="E37" s="110"/>
      <c r="F37" s="111"/>
      <c r="G37" s="110"/>
      <c r="H37" s="110"/>
      <c r="I37" s="110"/>
      <c r="J37" s="110"/>
      <c r="L37" s="163"/>
      <c r="M37" s="111"/>
      <c r="N37" s="163"/>
    </row>
    <row r="38" spans="2:17" x14ac:dyDescent="0.2">
      <c r="B38" s="351"/>
      <c r="F38" s="34"/>
      <c r="G38" s="112"/>
      <c r="H38" s="112"/>
      <c r="I38" s="112"/>
      <c r="J38" s="112"/>
      <c r="K38" s="114"/>
      <c r="L38" s="164"/>
      <c r="M38" s="113"/>
      <c r="N38" s="164"/>
      <c r="O38" s="114"/>
      <c r="P38" s="114"/>
    </row>
    <row r="39" spans="2:17" x14ac:dyDescent="0.2">
      <c r="B39" s="351">
        <v>11</v>
      </c>
      <c r="D39" s="5" t="s">
        <v>136</v>
      </c>
      <c r="F39" s="34"/>
      <c r="G39" s="80">
        <f>'3. Data_Input_Sheet'!E49</f>
        <v>0.15</v>
      </c>
      <c r="H39" s="80"/>
      <c r="I39" s="362"/>
      <c r="J39" s="80"/>
      <c r="K39" s="115">
        <f>IF(ISBLANK('3. Data_Input_Sheet'!M49),G39,'3. Data_Input_Sheet'!M49)</f>
        <v>0.15</v>
      </c>
      <c r="L39" s="179"/>
      <c r="M39" s="362"/>
      <c r="N39" s="179"/>
      <c r="O39" s="115">
        <f>IF(ISBLANK('3. Data_Input_Sheet'!U49),K39,'3. Data_Input_Sheet'!U49)</f>
        <v>0.15</v>
      </c>
      <c r="P39" s="115"/>
      <c r="Q39" s="362"/>
    </row>
    <row r="40" spans="2:17" x14ac:dyDescent="0.2">
      <c r="B40" s="351">
        <v>12</v>
      </c>
      <c r="D40" s="5" t="s">
        <v>137</v>
      </c>
      <c r="F40" s="34"/>
      <c r="G40" s="81">
        <f>'3. Data_Input_Sheet'!E50</f>
        <v>0.115</v>
      </c>
      <c r="H40" s="80"/>
      <c r="I40" s="362"/>
      <c r="J40" s="80"/>
      <c r="K40" s="93">
        <f>IF(ISBLANK('3. Data_Input_Sheet'!M50),G40,'3. Data_Input_Sheet'!M50)</f>
        <v>0.115</v>
      </c>
      <c r="L40" s="179"/>
      <c r="M40" s="362"/>
      <c r="N40" s="179"/>
      <c r="O40" s="93">
        <f>IF(ISBLANK('3. Data_Input_Sheet'!U50),K40,'3. Data_Input_Sheet'!U50)</f>
        <v>0.115</v>
      </c>
      <c r="P40" s="92"/>
      <c r="Q40" s="362"/>
    </row>
    <row r="41" spans="2:17" ht="13.5" thickBot="1" x14ac:dyDescent="0.25">
      <c r="B41" s="351">
        <v>13</v>
      </c>
      <c r="D41" s="5" t="s">
        <v>138</v>
      </c>
      <c r="F41" s="34"/>
      <c r="G41" s="116">
        <f>G39+G40</f>
        <v>0.26500000000000001</v>
      </c>
      <c r="H41" s="161"/>
      <c r="I41" s="161"/>
      <c r="J41" s="161"/>
      <c r="K41" s="118">
        <f>K39+K40</f>
        <v>0.26500000000000001</v>
      </c>
      <c r="L41" s="117"/>
      <c r="M41" s="117"/>
      <c r="N41" s="117"/>
      <c r="O41" s="118">
        <f>O39+O40</f>
        <v>0.26500000000000001</v>
      </c>
      <c r="P41" s="91"/>
    </row>
    <row r="42" spans="2:17" ht="13.5" thickTop="1" x14ac:dyDescent="0.2">
      <c r="F42" s="34"/>
      <c r="L42" s="34"/>
      <c r="M42" s="34"/>
      <c r="N42" s="34"/>
    </row>
    <row r="43" spans="2:17" x14ac:dyDescent="0.2">
      <c r="L43" s="34"/>
      <c r="M43" s="34"/>
      <c r="N43" s="34"/>
    </row>
    <row r="44" spans="2:17" x14ac:dyDescent="0.2">
      <c r="B44" s="510" t="s">
        <v>38</v>
      </c>
      <c r="C44" s="510"/>
      <c r="D44" s="510"/>
      <c r="E44" s="510"/>
      <c r="F44" s="510"/>
      <c r="G44" s="510"/>
      <c r="H44" s="510"/>
      <c r="I44" s="510"/>
      <c r="J44" s="510"/>
      <c r="K44" s="510"/>
      <c r="L44" s="510"/>
      <c r="M44" s="510"/>
      <c r="N44" s="510"/>
      <c r="O44" s="510"/>
      <c r="P44" s="156"/>
    </row>
    <row r="45" spans="2:17" ht="12.75" customHeight="1" x14ac:dyDescent="0.2">
      <c r="B45" s="323"/>
      <c r="C45" s="324"/>
      <c r="D45" s="513" t="s">
        <v>148</v>
      </c>
      <c r="E45" s="513"/>
      <c r="F45" s="513"/>
      <c r="G45" s="513"/>
      <c r="H45" s="513"/>
      <c r="I45" s="513"/>
      <c r="J45" s="513"/>
      <c r="K45" s="513"/>
      <c r="L45" s="513"/>
      <c r="M45" s="513"/>
      <c r="N45" s="513"/>
      <c r="O45" s="513"/>
      <c r="P45" s="176"/>
    </row>
    <row r="46" spans="2:17" x14ac:dyDescent="0.2">
      <c r="B46" s="369"/>
      <c r="D46" s="496"/>
      <c r="E46" s="496"/>
      <c r="F46" s="496"/>
      <c r="G46" s="496"/>
      <c r="H46" s="496"/>
      <c r="I46" s="496"/>
      <c r="J46" s="496"/>
      <c r="K46" s="496"/>
      <c r="L46" s="496"/>
      <c r="M46" s="496"/>
      <c r="N46" s="496"/>
      <c r="O46" s="496"/>
      <c r="P46" s="176"/>
    </row>
    <row r="47" spans="2:17" x14ac:dyDescent="0.2">
      <c r="B47" s="369"/>
      <c r="D47" s="368"/>
      <c r="E47" s="368"/>
      <c r="F47" s="368"/>
      <c r="G47" s="368"/>
      <c r="H47" s="368"/>
      <c r="I47" s="368"/>
      <c r="J47" s="368"/>
      <c r="K47" s="368"/>
      <c r="L47" s="368"/>
      <c r="M47" s="368"/>
      <c r="N47" s="368"/>
      <c r="O47" s="368"/>
      <c r="P47" s="176"/>
    </row>
    <row r="48" spans="2:17" x14ac:dyDescent="0.2">
      <c r="B48" s="369"/>
      <c r="D48" s="368"/>
      <c r="E48" s="368"/>
      <c r="F48" s="368"/>
      <c r="G48" s="368"/>
      <c r="H48" s="368"/>
      <c r="I48" s="368"/>
      <c r="J48" s="368"/>
      <c r="K48" s="368"/>
      <c r="L48" s="368"/>
      <c r="M48" s="368"/>
      <c r="N48" s="368"/>
      <c r="O48" s="368"/>
      <c r="P48" s="176"/>
    </row>
    <row r="49" spans="2:16" x14ac:dyDescent="0.2">
      <c r="B49" s="369"/>
      <c r="D49" s="368"/>
      <c r="E49" s="368"/>
      <c r="F49" s="368"/>
      <c r="G49" s="368"/>
      <c r="H49" s="368"/>
      <c r="I49" s="368"/>
      <c r="J49" s="368"/>
      <c r="K49" s="368"/>
      <c r="L49" s="368"/>
      <c r="M49" s="368"/>
      <c r="N49" s="368"/>
      <c r="O49" s="368"/>
      <c r="P49" s="176"/>
    </row>
    <row r="50" spans="2:16" x14ac:dyDescent="0.2">
      <c r="B50" s="369"/>
      <c r="D50" s="496"/>
      <c r="E50" s="496"/>
      <c r="F50" s="496"/>
      <c r="G50" s="496"/>
      <c r="H50" s="496"/>
      <c r="I50" s="496"/>
      <c r="J50" s="496"/>
      <c r="K50" s="496"/>
      <c r="L50" s="496"/>
      <c r="M50" s="496"/>
      <c r="N50" s="496"/>
      <c r="O50" s="496"/>
      <c r="P50" s="176"/>
    </row>
    <row r="51" spans="2:16" x14ac:dyDescent="0.2">
      <c r="B51" s="369"/>
      <c r="D51" s="496"/>
      <c r="E51" s="496"/>
      <c r="F51" s="496"/>
      <c r="G51" s="496"/>
      <c r="H51" s="496"/>
      <c r="I51" s="496"/>
      <c r="J51" s="496"/>
      <c r="K51" s="496"/>
      <c r="L51" s="496"/>
      <c r="M51" s="496"/>
      <c r="N51" s="496"/>
      <c r="O51" s="496"/>
      <c r="P51" s="176"/>
    </row>
    <row r="52" spans="2:16" x14ac:dyDescent="0.2">
      <c r="B52" s="369"/>
      <c r="D52" s="496"/>
      <c r="E52" s="496"/>
      <c r="F52" s="496"/>
      <c r="G52" s="496"/>
      <c r="H52" s="496"/>
      <c r="I52" s="496"/>
      <c r="J52" s="496"/>
      <c r="K52" s="496"/>
      <c r="L52" s="496"/>
      <c r="M52" s="496"/>
      <c r="N52" s="496"/>
      <c r="O52" s="496"/>
      <c r="P52" s="176"/>
    </row>
    <row r="53" spans="2:16" x14ac:dyDescent="0.2">
      <c r="B53" s="369"/>
      <c r="D53" s="496"/>
      <c r="E53" s="496"/>
      <c r="F53" s="496"/>
      <c r="G53" s="496"/>
      <c r="H53" s="496"/>
      <c r="I53" s="496"/>
      <c r="J53" s="496"/>
      <c r="K53" s="496"/>
      <c r="L53" s="496"/>
      <c r="M53" s="496"/>
      <c r="N53" s="496"/>
      <c r="O53" s="496"/>
      <c r="P53" s="176"/>
    </row>
  </sheetData>
  <sheetProtection password="82A3" sheet="1" objects="1" scenarios="1"/>
  <mergeCells count="19">
    <mergeCell ref="D45:O45"/>
    <mergeCell ref="D52:O52"/>
    <mergeCell ref="D53:O53"/>
    <mergeCell ref="D46:O46"/>
    <mergeCell ref="D50:O50"/>
    <mergeCell ref="D51:O51"/>
    <mergeCell ref="D1:M1"/>
    <mergeCell ref="C3:G3"/>
    <mergeCell ref="C4:G4"/>
    <mergeCell ref="C2:O2"/>
    <mergeCell ref="B44:O44"/>
    <mergeCell ref="B9:M9"/>
    <mergeCell ref="G26:G27"/>
    <mergeCell ref="O26:O27"/>
    <mergeCell ref="D16:E16"/>
    <mergeCell ref="D18:E18"/>
    <mergeCell ref="D20:E20"/>
    <mergeCell ref="D33:E33"/>
    <mergeCell ref="K26:K27"/>
  </mergeCells>
  <phoneticPr fontId="2" type="noConversion"/>
  <conditionalFormatting sqref="K12">
    <cfRule type="cellIs" dxfId="3" priority="1" stopIfTrue="1" operator="equal">
      <formula>""</formula>
    </cfRule>
  </conditionalFormatting>
  <pageMargins left="0.75" right="0.75" top="0.47" bottom="1" header="0.31" footer="0.5"/>
  <pageSetup scale="70" orientation="portrait" r:id="rId1"/>
  <headerFooter alignWithMargins="0">
    <oddFooter>&amp;C5</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R68"/>
  <sheetViews>
    <sheetView showGridLines="0" topLeftCell="A21" zoomScaleNormal="100" zoomScaleSheetLayoutView="100" workbookViewId="0">
      <selection activeCell="P35" sqref="P35"/>
    </sheetView>
  </sheetViews>
  <sheetFormatPr defaultRowHeight="12.75" x14ac:dyDescent="0.2"/>
  <cols>
    <col min="1" max="1" width="2.7109375" style="5" customWidth="1"/>
    <col min="2" max="2" width="5" style="5" customWidth="1"/>
    <col min="3" max="3" width="6.7109375" style="5" customWidth="1"/>
    <col min="4" max="4" width="17.28515625" style="5" customWidth="1"/>
    <col min="5" max="5" width="3.7109375" style="5" customWidth="1"/>
    <col min="6" max="6" width="9.28515625" style="5" customWidth="1"/>
    <col min="7" max="7" width="2.7109375" style="5" customWidth="1"/>
    <col min="8" max="8" width="3.7109375" style="5" customWidth="1"/>
    <col min="9" max="9" width="2.7109375" style="5" customWidth="1"/>
    <col min="10" max="10" width="18.7109375" style="5" customWidth="1"/>
    <col min="11" max="11" width="2.7109375" style="5" customWidth="1"/>
    <col min="12" max="12" width="9" style="5" customWidth="1"/>
    <col min="13" max="13" width="2.7109375" style="5" customWidth="1"/>
    <col min="14" max="14" width="3.85546875" style="5" customWidth="1"/>
    <col min="15" max="15" width="2.7109375" style="5" customWidth="1"/>
    <col min="16" max="16" width="16.7109375" style="5" customWidth="1"/>
    <col min="17" max="17" width="2.7109375" style="5" customWidth="1"/>
    <col min="18" max="18" width="2.85546875" style="5" customWidth="1"/>
    <col min="19" max="19" width="3" style="5" customWidth="1"/>
    <col min="20" max="20" width="4.140625" style="5" customWidth="1"/>
    <col min="21" max="16384" width="9.140625" style="5"/>
  </cols>
  <sheetData>
    <row r="1" spans="1:18" s="2" customFormat="1" ht="36.75" customHeight="1" x14ac:dyDescent="0.2">
      <c r="C1" s="514"/>
      <c r="D1" s="514"/>
      <c r="E1" s="514"/>
      <c r="F1" s="514"/>
      <c r="G1" s="514"/>
      <c r="H1" s="514"/>
      <c r="I1" s="514"/>
      <c r="J1" s="514"/>
      <c r="K1" s="514"/>
      <c r="L1" s="514"/>
      <c r="M1" s="514"/>
      <c r="N1" s="514"/>
      <c r="O1" s="153"/>
      <c r="P1" s="146"/>
    </row>
    <row r="2" spans="1:18" s="2" customFormat="1" ht="36.75" customHeight="1" x14ac:dyDescent="0.25">
      <c r="C2" s="515"/>
      <c r="D2" s="515"/>
      <c r="E2" s="515"/>
      <c r="F2" s="515"/>
      <c r="G2" s="515"/>
      <c r="H2" s="515"/>
      <c r="I2" s="515"/>
      <c r="J2" s="515"/>
      <c r="K2" s="515"/>
      <c r="L2" s="515"/>
      <c r="M2" s="515"/>
      <c r="N2" s="515"/>
      <c r="O2" s="515"/>
      <c r="P2" s="515"/>
      <c r="Q2" s="515"/>
      <c r="R2" s="515"/>
    </row>
    <row r="3" spans="1:18" s="2" customFormat="1" ht="36.75" customHeight="1" x14ac:dyDescent="0.25">
      <c r="C3" s="515"/>
      <c r="D3" s="515"/>
      <c r="E3" s="515"/>
      <c r="F3" s="515"/>
      <c r="G3" s="515"/>
      <c r="H3" s="515"/>
      <c r="I3" s="515"/>
      <c r="J3" s="515"/>
      <c r="K3" s="515"/>
      <c r="L3" s="515"/>
      <c r="M3" s="515"/>
      <c r="N3" s="515"/>
      <c r="O3" s="154"/>
    </row>
    <row r="4" spans="1:18" s="2" customFormat="1" ht="36.75" customHeight="1" x14ac:dyDescent="0.25">
      <c r="C4" s="515"/>
      <c r="D4" s="515"/>
      <c r="E4" s="515"/>
      <c r="F4" s="515"/>
      <c r="G4" s="515"/>
      <c r="H4" s="515"/>
      <c r="I4" s="515"/>
      <c r="J4" s="515"/>
      <c r="K4" s="38"/>
      <c r="L4" s="38"/>
      <c r="M4" s="38"/>
      <c r="N4" s="38"/>
      <c r="O4" s="38"/>
    </row>
    <row r="5" spans="1:18" s="2" customFormat="1" ht="36.75" customHeight="1" x14ac:dyDescent="0.2">
      <c r="B5" s="517" t="s">
        <v>50</v>
      </c>
      <c r="C5" s="517"/>
      <c r="D5" s="517"/>
      <c r="E5" s="517"/>
      <c r="F5" s="517"/>
      <c r="G5" s="517"/>
      <c r="H5" s="517"/>
      <c r="I5" s="517"/>
      <c r="J5" s="517"/>
      <c r="K5" s="517"/>
      <c r="L5" s="517"/>
      <c r="M5" s="517"/>
      <c r="N5" s="517"/>
    </row>
    <row r="6" spans="1:18" s="2" customFormat="1" ht="2.25" customHeight="1" x14ac:dyDescent="0.2"/>
    <row r="7" spans="1:18" ht="2.25" customHeight="1" x14ac:dyDescent="0.2"/>
    <row r="8" spans="1:18" ht="2.25" customHeight="1" x14ac:dyDescent="0.25">
      <c r="Q8" s="58"/>
    </row>
    <row r="9" spans="1:18" ht="2.25" customHeight="1" x14ac:dyDescent="0.2"/>
    <row r="10" spans="1:18" x14ac:dyDescent="0.2">
      <c r="C10" s="34"/>
      <c r="D10" s="34"/>
      <c r="E10" s="34"/>
      <c r="F10" s="34"/>
      <c r="G10" s="34"/>
      <c r="H10" s="34"/>
      <c r="I10" s="34"/>
      <c r="J10" s="34"/>
      <c r="K10" s="34"/>
      <c r="L10" s="34"/>
      <c r="M10" s="34"/>
      <c r="N10" s="34"/>
      <c r="O10" s="34"/>
      <c r="P10" s="34"/>
      <c r="Q10" s="34"/>
    </row>
    <row r="11" spans="1:18" ht="25.5" x14ac:dyDescent="0.2">
      <c r="A11" s="4"/>
      <c r="B11" s="41" t="s">
        <v>37</v>
      </c>
      <c r="C11" s="34"/>
      <c r="D11" s="42" t="s">
        <v>36</v>
      </c>
      <c r="E11" s="34"/>
      <c r="F11" s="518" t="s">
        <v>46</v>
      </c>
      <c r="G11" s="518"/>
      <c r="H11" s="518"/>
      <c r="I11" s="518"/>
      <c r="J11" s="518"/>
      <c r="K11" s="75"/>
      <c r="L11" s="42" t="s">
        <v>21</v>
      </c>
      <c r="M11" s="44"/>
      <c r="N11" s="34"/>
      <c r="O11" s="34"/>
      <c r="P11" s="42" t="s">
        <v>22</v>
      </c>
      <c r="Q11" s="34"/>
    </row>
    <row r="12" spans="1:18" x14ac:dyDescent="0.2">
      <c r="A12" s="4"/>
      <c r="B12" s="4"/>
      <c r="C12" s="34"/>
      <c r="D12" s="34"/>
      <c r="E12" s="34"/>
      <c r="F12" s="34"/>
      <c r="G12" s="34"/>
      <c r="H12" s="34"/>
      <c r="I12" s="34"/>
      <c r="J12" s="76"/>
      <c r="K12" s="76"/>
      <c r="L12" s="34"/>
      <c r="M12" s="34"/>
      <c r="N12" s="34"/>
      <c r="O12" s="34"/>
      <c r="P12" s="34"/>
      <c r="Q12" s="34"/>
    </row>
    <row r="13" spans="1:18" x14ac:dyDescent="0.2">
      <c r="A13" s="4"/>
      <c r="B13" s="66"/>
      <c r="C13" s="34"/>
      <c r="D13" s="34"/>
      <c r="E13" s="34"/>
      <c r="F13" s="516" t="s">
        <v>155</v>
      </c>
      <c r="G13" s="516"/>
      <c r="H13" s="516"/>
      <c r="I13" s="516"/>
      <c r="J13" s="516"/>
      <c r="K13" s="76"/>
      <c r="L13" s="34"/>
      <c r="M13" s="34"/>
      <c r="N13" s="34"/>
      <c r="O13" s="34"/>
      <c r="P13" s="34"/>
      <c r="Q13" s="34"/>
    </row>
    <row r="14" spans="1:18" x14ac:dyDescent="0.2">
      <c r="A14" s="4"/>
      <c r="B14" s="66"/>
      <c r="C14" s="77"/>
      <c r="D14" s="520"/>
      <c r="E14" s="520"/>
      <c r="F14" s="520"/>
      <c r="G14" s="520"/>
      <c r="H14" s="520"/>
      <c r="I14" s="520"/>
      <c r="J14" s="520"/>
      <c r="K14" s="520"/>
      <c r="L14" s="520"/>
      <c r="M14" s="520"/>
      <c r="N14" s="520"/>
      <c r="O14" s="520"/>
      <c r="P14" s="520"/>
      <c r="Q14" s="34"/>
    </row>
    <row r="15" spans="1:18" x14ac:dyDescent="0.2">
      <c r="A15" s="4"/>
      <c r="B15" s="66"/>
      <c r="C15" s="34"/>
      <c r="D15" s="34"/>
      <c r="E15" s="34"/>
      <c r="F15" s="169" t="s">
        <v>20</v>
      </c>
      <c r="G15" s="169"/>
      <c r="H15" s="169"/>
      <c r="I15" s="169"/>
      <c r="J15" s="169" t="s">
        <v>8</v>
      </c>
      <c r="K15" s="76"/>
      <c r="L15" s="169" t="s">
        <v>20</v>
      </c>
      <c r="M15" s="169"/>
      <c r="N15" s="76"/>
      <c r="O15" s="76"/>
      <c r="P15" s="76" t="s">
        <v>8</v>
      </c>
      <c r="Q15" s="34"/>
    </row>
    <row r="16" spans="1:18" x14ac:dyDescent="0.2">
      <c r="A16" s="4"/>
      <c r="B16" s="66"/>
      <c r="C16" s="34"/>
      <c r="D16" s="79" t="s">
        <v>11</v>
      </c>
      <c r="E16" s="34"/>
      <c r="F16" s="34"/>
      <c r="G16" s="34"/>
      <c r="H16" s="34"/>
      <c r="I16" s="34"/>
      <c r="J16" s="34"/>
      <c r="K16" s="34"/>
      <c r="L16" s="34"/>
      <c r="M16" s="34"/>
      <c r="N16" s="34"/>
      <c r="O16" s="34"/>
      <c r="P16" s="34"/>
      <c r="Q16" s="34"/>
    </row>
    <row r="17" spans="1:18" x14ac:dyDescent="0.2">
      <c r="A17" s="4"/>
      <c r="B17" s="66">
        <v>1</v>
      </c>
      <c r="C17" s="34"/>
      <c r="D17" s="78" t="s">
        <v>12</v>
      </c>
      <c r="E17" s="34"/>
      <c r="F17" s="80">
        <f>'3. Data_Input_Sheet'!E55</f>
        <v>0.56000000000000005</v>
      </c>
      <c r="G17" s="80"/>
      <c r="H17" s="366"/>
      <c r="I17" s="185"/>
      <c r="J17" s="47">
        <f>$J$26*F17</f>
        <v>51489270.727770522</v>
      </c>
      <c r="K17" s="34"/>
      <c r="L17" s="80">
        <f>'3. Data_Input_Sheet'!E62</f>
        <v>4.1904579807703478E-2</v>
      </c>
      <c r="M17" s="80"/>
      <c r="N17" s="366"/>
      <c r="O17" s="185"/>
      <c r="P17" s="47">
        <f>L17*J17</f>
        <v>2157636.2544523105</v>
      </c>
      <c r="Q17" s="34"/>
    </row>
    <row r="18" spans="1:18" x14ac:dyDescent="0.2">
      <c r="A18" s="4"/>
      <c r="B18" s="66">
        <v>2</v>
      </c>
      <c r="C18" s="34"/>
      <c r="D18" s="78" t="s">
        <v>13</v>
      </c>
      <c r="E18" s="34"/>
      <c r="F18" s="81">
        <f>'3. Data_Input_Sheet'!E56</f>
        <v>0.04</v>
      </c>
      <c r="G18" s="80"/>
      <c r="H18" s="366"/>
      <c r="I18" s="185"/>
      <c r="J18" s="54">
        <f>$J$26*F18</f>
        <v>3677805.0519836089</v>
      </c>
      <c r="K18" s="34"/>
      <c r="L18" s="81">
        <f>'3. Data_Input_Sheet'!E63</f>
        <v>2.1600000000000001E-2</v>
      </c>
      <c r="M18" s="80"/>
      <c r="N18" s="366"/>
      <c r="O18" s="185"/>
      <c r="P18" s="54">
        <f>L18*J18</f>
        <v>79440.589122845951</v>
      </c>
      <c r="Q18" s="34"/>
    </row>
    <row r="19" spans="1:18" ht="13.5" thickBot="1" x14ac:dyDescent="0.25">
      <c r="A19" s="4"/>
      <c r="B19" s="66">
        <v>3</v>
      </c>
      <c r="C19" s="34"/>
      <c r="D19" s="82" t="s">
        <v>14</v>
      </c>
      <c r="E19" s="34"/>
      <c r="F19" s="83">
        <f>SUM(F17:F18)</f>
        <v>0.60000000000000009</v>
      </c>
      <c r="G19" s="83"/>
      <c r="H19" s="84"/>
      <c r="I19" s="172"/>
      <c r="J19" s="85">
        <f>SUM(J17:J18)</f>
        <v>55167075.779754132</v>
      </c>
      <c r="K19" s="34"/>
      <c r="L19" s="83">
        <f>IF(F19=0,0,SUMPRODUCT(F17:F18,L17:L18)/F19)</f>
        <v>4.055094115385658E-2</v>
      </c>
      <c r="M19" s="88"/>
      <c r="N19" s="34"/>
      <c r="O19" s="30"/>
      <c r="P19" s="85">
        <f>SUM(P17:P18)</f>
        <v>2237076.8435751563</v>
      </c>
      <c r="Q19" s="34"/>
    </row>
    <row r="20" spans="1:18" ht="13.5" thickTop="1" x14ac:dyDescent="0.2">
      <c r="A20" s="4"/>
      <c r="B20" s="66"/>
      <c r="C20" s="34"/>
      <c r="D20" s="34"/>
      <c r="E20" s="34"/>
      <c r="F20" s="86"/>
      <c r="G20" s="86"/>
      <c r="H20" s="86"/>
      <c r="I20" s="171"/>
      <c r="J20" s="87"/>
      <c r="K20" s="34"/>
      <c r="L20" s="88"/>
      <c r="M20" s="88"/>
      <c r="N20" s="34"/>
      <c r="O20" s="30"/>
      <c r="P20" s="87"/>
      <c r="Q20" s="34"/>
    </row>
    <row r="21" spans="1:18" x14ac:dyDescent="0.2">
      <c r="A21" s="4"/>
      <c r="B21" s="66"/>
      <c r="C21" s="34"/>
      <c r="D21" s="79" t="s">
        <v>15</v>
      </c>
      <c r="E21" s="34"/>
      <c r="F21" s="86"/>
      <c r="G21" s="86"/>
      <c r="H21" s="86"/>
      <c r="I21" s="171"/>
      <c r="J21" s="87"/>
      <c r="K21" s="34"/>
      <c r="L21" s="88"/>
      <c r="M21" s="88"/>
      <c r="N21" s="34"/>
      <c r="O21" s="30"/>
      <c r="P21" s="87"/>
      <c r="Q21" s="34"/>
    </row>
    <row r="22" spans="1:18" x14ac:dyDescent="0.2">
      <c r="A22" s="4"/>
      <c r="B22" s="70">
        <v>4</v>
      </c>
      <c r="C22" s="89"/>
      <c r="D22" s="90" t="s">
        <v>16</v>
      </c>
      <c r="E22" s="89"/>
      <c r="F22" s="91">
        <f>'3. Data_Input_Sheet'!E57</f>
        <v>0.4</v>
      </c>
      <c r="G22" s="91"/>
      <c r="H22" s="366"/>
      <c r="I22" s="185"/>
      <c r="J22" s="48">
        <f>$J$26*F22</f>
        <v>36778050.519836091</v>
      </c>
      <c r="K22" s="89"/>
      <c r="L22" s="92">
        <f>'3. Data_Input_Sheet'!E64</f>
        <v>9.2999999999999999E-2</v>
      </c>
      <c r="M22" s="92"/>
      <c r="N22" s="366"/>
      <c r="O22" s="185"/>
      <c r="P22" s="48">
        <f>L22*J22</f>
        <v>3420358.6983447564</v>
      </c>
      <c r="Q22" s="89"/>
      <c r="R22" s="15"/>
    </row>
    <row r="23" spans="1:18" x14ac:dyDescent="0.2">
      <c r="A23" s="4"/>
      <c r="B23" s="70">
        <v>5</v>
      </c>
      <c r="C23" s="89"/>
      <c r="D23" s="90" t="s">
        <v>17</v>
      </c>
      <c r="E23" s="89"/>
      <c r="F23" s="93">
        <f>'3. Data_Input_Sheet'!E58</f>
        <v>0</v>
      </c>
      <c r="G23" s="92"/>
      <c r="H23" s="366"/>
      <c r="I23" s="185"/>
      <c r="J23" s="55">
        <f>$J$26*F23</f>
        <v>0</v>
      </c>
      <c r="K23" s="89"/>
      <c r="L23" s="93">
        <f>'3. Data_Input_Sheet'!E65</f>
        <v>0</v>
      </c>
      <c r="M23" s="92"/>
      <c r="N23" s="366"/>
      <c r="O23" s="185"/>
      <c r="P23" s="55">
        <f>L23*J23</f>
        <v>0</v>
      </c>
      <c r="Q23" s="89"/>
      <c r="R23" s="15"/>
    </row>
    <row r="24" spans="1:18" ht="13.5" thickBot="1" x14ac:dyDescent="0.25">
      <c r="A24" s="4"/>
      <c r="B24" s="66">
        <v>6</v>
      </c>
      <c r="C24" s="34"/>
      <c r="D24" s="82" t="s">
        <v>18</v>
      </c>
      <c r="E24" s="34"/>
      <c r="F24" s="83">
        <f>SUM(F22:F23)</f>
        <v>0.4</v>
      </c>
      <c r="G24" s="83"/>
      <c r="H24" s="84"/>
      <c r="I24" s="84"/>
      <c r="J24" s="85">
        <f>SUM(J22:J23)</f>
        <v>36778050.519836091</v>
      </c>
      <c r="K24" s="34"/>
      <c r="L24" s="83">
        <f>IF(F24=0,0,SUMPRODUCT(F22:F23,L22:L23)/F24)</f>
        <v>9.2999999999999999E-2</v>
      </c>
      <c r="M24" s="88"/>
      <c r="N24" s="34"/>
      <c r="O24" s="34"/>
      <c r="P24" s="85">
        <f>SUM(P22:P23)</f>
        <v>3420358.6983447564</v>
      </c>
      <c r="Q24" s="34"/>
    </row>
    <row r="25" spans="1:18" ht="13.5" thickTop="1" x14ac:dyDescent="0.2">
      <c r="A25" s="4"/>
      <c r="B25" s="66"/>
      <c r="C25" s="34"/>
      <c r="D25" s="34"/>
      <c r="E25" s="34"/>
      <c r="F25" s="34"/>
      <c r="G25" s="34"/>
      <c r="H25" s="34"/>
      <c r="I25" s="34"/>
      <c r="J25" s="87"/>
      <c r="K25" s="34"/>
      <c r="L25" s="88"/>
      <c r="M25" s="88"/>
      <c r="N25" s="34"/>
      <c r="O25" s="34"/>
      <c r="P25" s="87"/>
      <c r="Q25" s="34"/>
    </row>
    <row r="26" spans="1:18" ht="13.5" thickBot="1" x14ac:dyDescent="0.25">
      <c r="A26" s="4"/>
      <c r="B26" s="66">
        <v>7</v>
      </c>
      <c r="C26" s="34"/>
      <c r="D26" s="79" t="s">
        <v>19</v>
      </c>
      <c r="E26" s="34"/>
      <c r="F26" s="177">
        <f>SUM(F19,F24)</f>
        <v>1</v>
      </c>
      <c r="G26" s="94"/>
      <c r="H26" s="94"/>
      <c r="I26" s="94"/>
      <c r="J26" s="95">
        <f>'4. Rate_Base'!G18</f>
        <v>91945126.299590215</v>
      </c>
      <c r="K26" s="34"/>
      <c r="L26" s="96">
        <f>(L19*F19)+(L24*F24)</f>
        <v>6.1530564692313952E-2</v>
      </c>
      <c r="M26" s="88"/>
      <c r="N26" s="34"/>
      <c r="O26" s="34"/>
      <c r="P26" s="95">
        <f>P19+P24</f>
        <v>5657435.5419199131</v>
      </c>
      <c r="Q26" s="34"/>
    </row>
    <row r="27" spans="1:18" ht="13.5" thickTop="1" x14ac:dyDescent="0.2">
      <c r="A27" s="4"/>
      <c r="B27" s="66"/>
      <c r="C27" s="34"/>
      <c r="D27" s="34"/>
      <c r="E27" s="34"/>
      <c r="F27" s="34"/>
      <c r="G27" s="34"/>
      <c r="H27" s="34"/>
      <c r="I27" s="34"/>
      <c r="J27" s="34"/>
      <c r="K27" s="34"/>
      <c r="L27" s="34"/>
      <c r="M27" s="34"/>
      <c r="N27" s="34"/>
      <c r="O27" s="34"/>
      <c r="P27" s="34"/>
      <c r="Q27" s="34"/>
    </row>
    <row r="28" spans="1:18" x14ac:dyDescent="0.2">
      <c r="A28" s="4"/>
      <c r="B28" s="4"/>
      <c r="C28" s="34"/>
      <c r="D28" s="34"/>
      <c r="E28" s="34"/>
      <c r="F28" s="34"/>
      <c r="G28" s="34"/>
      <c r="K28" s="34"/>
      <c r="L28" s="34"/>
      <c r="M28" s="34"/>
      <c r="N28" s="34"/>
      <c r="O28" s="34"/>
      <c r="P28" s="34"/>
      <c r="Q28" s="34"/>
    </row>
    <row r="29" spans="1:18" x14ac:dyDescent="0.2">
      <c r="A29" s="4"/>
      <c r="B29" s="66"/>
      <c r="C29" s="34"/>
      <c r="D29" s="34"/>
      <c r="E29" s="34"/>
      <c r="F29" s="516" t="str">
        <f>'1. Info'!AC1</f>
        <v>Interrogatory Responses</v>
      </c>
      <c r="G29" s="516"/>
      <c r="H29" s="516"/>
      <c r="I29" s="516"/>
      <c r="J29" s="516"/>
      <c r="K29" s="34"/>
      <c r="L29" s="34"/>
      <c r="M29" s="34"/>
      <c r="N29" s="34"/>
      <c r="O29" s="34"/>
      <c r="P29" s="34"/>
      <c r="Q29" s="34"/>
    </row>
    <row r="30" spans="1:18" x14ac:dyDescent="0.2">
      <c r="A30" s="4"/>
      <c r="B30" s="66"/>
      <c r="C30" s="77"/>
      <c r="D30" s="521"/>
      <c r="E30" s="521"/>
      <c r="F30" s="521"/>
      <c r="G30" s="521"/>
      <c r="H30" s="521"/>
      <c r="I30" s="521"/>
      <c r="J30" s="521"/>
      <c r="K30" s="521"/>
      <c r="L30" s="521"/>
      <c r="M30" s="521"/>
      <c r="N30" s="521"/>
      <c r="O30" s="521"/>
      <c r="P30" s="521"/>
      <c r="Q30" s="34"/>
    </row>
    <row r="31" spans="1:18" x14ac:dyDescent="0.2">
      <c r="A31" s="4"/>
      <c r="B31" s="66"/>
      <c r="C31" s="34"/>
      <c r="D31" s="34"/>
      <c r="E31" s="34"/>
      <c r="F31" s="169" t="s">
        <v>20</v>
      </c>
      <c r="G31" s="169"/>
      <c r="H31" s="169"/>
      <c r="I31" s="169"/>
      <c r="J31" s="169" t="s">
        <v>8</v>
      </c>
      <c r="K31" s="76"/>
      <c r="L31" s="169" t="s">
        <v>20</v>
      </c>
      <c r="M31" s="169"/>
      <c r="N31" s="76"/>
      <c r="O31" s="76"/>
      <c r="P31" s="76" t="s">
        <v>8</v>
      </c>
      <c r="Q31" s="34"/>
    </row>
    <row r="32" spans="1:18" x14ac:dyDescent="0.2">
      <c r="A32" s="4"/>
      <c r="B32" s="66"/>
      <c r="C32" s="34"/>
      <c r="D32" s="79" t="s">
        <v>11</v>
      </c>
      <c r="E32" s="34"/>
      <c r="F32" s="34"/>
      <c r="G32" s="34"/>
      <c r="H32" s="34"/>
      <c r="I32" s="34"/>
      <c r="J32" s="34"/>
      <c r="K32" s="34"/>
      <c r="L32" s="34"/>
      <c r="M32" s="34"/>
      <c r="N32" s="34"/>
      <c r="O32" s="34"/>
      <c r="P32" s="34"/>
      <c r="Q32" s="34"/>
    </row>
    <row r="33" spans="1:17" x14ac:dyDescent="0.2">
      <c r="A33" s="4"/>
      <c r="B33" s="66">
        <v>1</v>
      </c>
      <c r="C33" s="34"/>
      <c r="D33" s="78" t="s">
        <v>12</v>
      </c>
      <c r="E33" s="34"/>
      <c r="F33" s="80">
        <f>'3. Data_Input_Sheet'!M55</f>
        <v>0.56000000000000005</v>
      </c>
      <c r="G33" s="80"/>
      <c r="H33" s="366"/>
      <c r="I33" s="185"/>
      <c r="J33" s="47">
        <f>$J$42*F33</f>
        <v>50405773.564482301</v>
      </c>
      <c r="K33" s="34"/>
      <c r="L33" s="80">
        <f>'3. Data_Input_Sheet'!M62</f>
        <v>4.001836439171752E-2</v>
      </c>
      <c r="M33" s="80"/>
      <c r="N33" s="366"/>
      <c r="O33" s="185"/>
      <c r="P33" s="47">
        <f>L33*J33</f>
        <v>2017156.6139498549</v>
      </c>
      <c r="Q33" s="34"/>
    </row>
    <row r="34" spans="1:17" x14ac:dyDescent="0.2">
      <c r="A34" s="4"/>
      <c r="B34" s="66">
        <v>2</v>
      </c>
      <c r="C34" s="34"/>
      <c r="D34" s="78" t="s">
        <v>13</v>
      </c>
      <c r="E34" s="34"/>
      <c r="F34" s="81">
        <f>'3. Data_Input_Sheet'!M56</f>
        <v>0.04</v>
      </c>
      <c r="G34" s="80"/>
      <c r="H34" s="366"/>
      <c r="I34" s="185"/>
      <c r="J34" s="54">
        <f>$J$42*F34</f>
        <v>3600412.3974630213</v>
      </c>
      <c r="K34" s="34"/>
      <c r="L34" s="81">
        <f>'3. Data_Input_Sheet'!M63</f>
        <v>1.6500000000000001E-2</v>
      </c>
      <c r="M34" s="80"/>
      <c r="N34" s="366"/>
      <c r="O34" s="185"/>
      <c r="P34" s="54">
        <f>L34*J34</f>
        <v>59406.804558139855</v>
      </c>
      <c r="Q34" s="34"/>
    </row>
    <row r="35" spans="1:17" ht="13.5" thickBot="1" x14ac:dyDescent="0.25">
      <c r="A35" s="4"/>
      <c r="B35" s="66">
        <v>3</v>
      </c>
      <c r="C35" s="34"/>
      <c r="D35" s="82" t="s">
        <v>14</v>
      </c>
      <c r="E35" s="34"/>
      <c r="F35" s="83">
        <f>SUM(F33:F34)</f>
        <v>0.60000000000000009</v>
      </c>
      <c r="G35" s="88"/>
      <c r="H35" s="86"/>
      <c r="I35" s="171"/>
      <c r="J35" s="85">
        <f>SUM(J33:J34)</f>
        <v>54006185.961945325</v>
      </c>
      <c r="K35" s="34"/>
      <c r="L35" s="83">
        <f>IF(F35=0,0,SUMPRODUCT(F33:F34,L33:L34)/F35)</f>
        <v>3.8450473432269684E-2</v>
      </c>
      <c r="M35" s="88"/>
      <c r="N35" s="34"/>
      <c r="O35" s="30"/>
      <c r="P35" s="85">
        <f>SUM(P33:P34)</f>
        <v>2076563.4185079946</v>
      </c>
      <c r="Q35" s="34"/>
    </row>
    <row r="36" spans="1:17" ht="13.5" thickTop="1" x14ac:dyDescent="0.2">
      <c r="A36" s="4"/>
      <c r="B36" s="66"/>
      <c r="C36" s="34"/>
      <c r="D36" s="34"/>
      <c r="E36" s="34"/>
      <c r="F36" s="86"/>
      <c r="G36" s="86"/>
      <c r="H36" s="86"/>
      <c r="I36" s="171"/>
      <c r="J36" s="87"/>
      <c r="K36" s="34"/>
      <c r="L36" s="88"/>
      <c r="M36" s="88"/>
      <c r="N36" s="34"/>
      <c r="O36" s="30"/>
      <c r="P36" s="87"/>
      <c r="Q36" s="34"/>
    </row>
    <row r="37" spans="1:17" x14ac:dyDescent="0.2">
      <c r="A37" s="4"/>
      <c r="B37" s="66"/>
      <c r="C37" s="34"/>
      <c r="D37" s="79" t="s">
        <v>15</v>
      </c>
      <c r="E37" s="34"/>
      <c r="F37" s="86"/>
      <c r="G37" s="86"/>
      <c r="H37" s="86"/>
      <c r="I37" s="171"/>
      <c r="J37" s="87"/>
      <c r="K37" s="34"/>
      <c r="L37" s="88"/>
      <c r="M37" s="88"/>
      <c r="N37" s="34"/>
      <c r="O37" s="30"/>
      <c r="P37" s="87"/>
      <c r="Q37" s="34"/>
    </row>
    <row r="38" spans="1:17" x14ac:dyDescent="0.2">
      <c r="A38" s="4"/>
      <c r="B38" s="70">
        <v>4</v>
      </c>
      <c r="C38" s="89"/>
      <c r="D38" s="90" t="s">
        <v>16</v>
      </c>
      <c r="E38" s="89"/>
      <c r="F38" s="91">
        <f>'3. Data_Input_Sheet'!M57</f>
        <v>0.4</v>
      </c>
      <c r="G38" s="91"/>
      <c r="H38" s="366"/>
      <c r="I38" s="185"/>
      <c r="J38" s="48">
        <f>$J$42*F38</f>
        <v>36004123.974630214</v>
      </c>
      <c r="K38" s="89"/>
      <c r="L38" s="92">
        <f>'3. Data_Input_Sheet'!M64</f>
        <v>9.1899999999999996E-2</v>
      </c>
      <c r="M38" s="92"/>
      <c r="N38" s="366"/>
      <c r="O38" s="185"/>
      <c r="P38" s="48">
        <f>L38*J38</f>
        <v>3308778.9932685164</v>
      </c>
      <c r="Q38" s="34"/>
    </row>
    <row r="39" spans="1:17" x14ac:dyDescent="0.2">
      <c r="A39" s="4"/>
      <c r="B39" s="70">
        <v>5</v>
      </c>
      <c r="C39" s="89"/>
      <c r="D39" s="90" t="s">
        <v>17</v>
      </c>
      <c r="E39" s="89"/>
      <c r="F39" s="93">
        <f>'3. Data_Input_Sheet'!M58</f>
        <v>0</v>
      </c>
      <c r="G39" s="92"/>
      <c r="H39" s="366"/>
      <c r="I39" s="185"/>
      <c r="J39" s="55">
        <f>$J$42*F39</f>
        <v>0</v>
      </c>
      <c r="K39" s="89"/>
      <c r="L39" s="93">
        <f>'3. Data_Input_Sheet'!M65</f>
        <v>0</v>
      </c>
      <c r="M39" s="92"/>
      <c r="N39" s="366"/>
      <c r="O39" s="185"/>
      <c r="P39" s="55">
        <f>L39*J39</f>
        <v>0</v>
      </c>
      <c r="Q39" s="34"/>
    </row>
    <row r="40" spans="1:17" ht="13.5" thickBot="1" x14ac:dyDescent="0.25">
      <c r="A40" s="4"/>
      <c r="B40" s="66">
        <v>6</v>
      </c>
      <c r="C40" s="34"/>
      <c r="D40" s="82" t="s">
        <v>18</v>
      </c>
      <c r="E40" s="34"/>
      <c r="F40" s="83">
        <f>SUM(F38:F39)</f>
        <v>0.4</v>
      </c>
      <c r="G40" s="88"/>
      <c r="H40" s="86"/>
      <c r="I40" s="86"/>
      <c r="J40" s="85">
        <f>SUM(J38:J39)</f>
        <v>36004123.974630214</v>
      </c>
      <c r="K40" s="34"/>
      <c r="L40" s="83">
        <f>IF(F40=0,0,SUMPRODUCT(F38:F39,L38:L39)/F40)</f>
        <v>9.1899999999999996E-2</v>
      </c>
      <c r="M40" s="88"/>
      <c r="N40" s="34"/>
      <c r="O40" s="34"/>
      <c r="P40" s="85">
        <f>SUM(P38:P39)</f>
        <v>3308778.9932685164</v>
      </c>
      <c r="Q40" s="34"/>
    </row>
    <row r="41" spans="1:17" ht="13.5" thickTop="1" x14ac:dyDescent="0.2">
      <c r="A41" s="4"/>
      <c r="B41" s="66"/>
      <c r="C41" s="34"/>
      <c r="D41" s="34"/>
      <c r="E41" s="34"/>
      <c r="F41" s="34"/>
      <c r="G41" s="34"/>
      <c r="H41" s="34"/>
      <c r="I41" s="34"/>
      <c r="J41" s="87"/>
      <c r="K41" s="34"/>
      <c r="L41" s="88"/>
      <c r="M41" s="88"/>
      <c r="N41" s="34"/>
      <c r="O41" s="34"/>
      <c r="P41" s="87"/>
      <c r="Q41" s="34"/>
    </row>
    <row r="42" spans="1:17" ht="13.5" thickBot="1" x14ac:dyDescent="0.25">
      <c r="A42" s="4"/>
      <c r="B42" s="66">
        <v>7</v>
      </c>
      <c r="C42" s="34"/>
      <c r="D42" s="79" t="s">
        <v>19</v>
      </c>
      <c r="E42" s="34"/>
      <c r="F42" s="177">
        <f>F35+F40</f>
        <v>1</v>
      </c>
      <c r="G42" s="117"/>
      <c r="H42" s="117"/>
      <c r="I42" s="117"/>
      <c r="J42" s="95">
        <f>'4. Rate_Base'!O18</f>
        <v>90010309.936575532</v>
      </c>
      <c r="K42" s="34"/>
      <c r="L42" s="96">
        <f>(L35*F35)+(L40*F40)</f>
        <v>5.9830284059361818E-2</v>
      </c>
      <c r="M42" s="88"/>
      <c r="N42" s="34"/>
      <c r="O42" s="34"/>
      <c r="P42" s="95">
        <f>P35+P40</f>
        <v>5385342.411776511</v>
      </c>
      <c r="Q42" s="34"/>
    </row>
    <row r="43" spans="1:17" ht="13.5" thickTop="1" x14ac:dyDescent="0.2">
      <c r="A43" s="4"/>
      <c r="B43" s="66"/>
      <c r="C43" s="34"/>
      <c r="D43" s="34"/>
      <c r="E43" s="34"/>
      <c r="F43" s="34"/>
      <c r="G43" s="34"/>
      <c r="H43" s="34"/>
      <c r="I43" s="34"/>
      <c r="J43" s="34"/>
      <c r="K43" s="34"/>
      <c r="L43" s="34"/>
      <c r="M43" s="34"/>
      <c r="N43" s="34"/>
      <c r="O43" s="34"/>
      <c r="P43" s="34"/>
      <c r="Q43" s="34"/>
    </row>
    <row r="44" spans="1:17" x14ac:dyDescent="0.2">
      <c r="A44" s="4"/>
      <c r="B44" s="4"/>
      <c r="C44" s="34"/>
      <c r="D44" s="34"/>
      <c r="E44" s="34"/>
      <c r="F44" s="34"/>
      <c r="G44" s="34"/>
      <c r="H44" s="34"/>
      <c r="I44" s="34"/>
      <c r="J44" s="34"/>
      <c r="K44" s="34"/>
      <c r="L44" s="34"/>
      <c r="M44" s="34"/>
      <c r="N44" s="34"/>
      <c r="O44" s="34"/>
      <c r="P44" s="34"/>
      <c r="Q44" s="34"/>
    </row>
    <row r="45" spans="1:17" x14ac:dyDescent="0.2">
      <c r="A45" s="4"/>
      <c r="B45" s="66"/>
      <c r="C45" s="34"/>
      <c r="D45" s="34"/>
      <c r="E45" s="34"/>
      <c r="F45" s="516" t="s">
        <v>154</v>
      </c>
      <c r="G45" s="516"/>
      <c r="H45" s="516"/>
      <c r="I45" s="516"/>
      <c r="J45" s="516"/>
      <c r="K45" s="34"/>
      <c r="L45" s="34"/>
      <c r="M45" s="34"/>
      <c r="N45" s="34"/>
      <c r="O45" s="34"/>
      <c r="P45" s="34"/>
      <c r="Q45" s="34"/>
    </row>
    <row r="46" spans="1:17" x14ac:dyDescent="0.2">
      <c r="A46" s="4"/>
      <c r="B46" s="66"/>
      <c r="C46" s="34"/>
      <c r="D46" s="521"/>
      <c r="E46" s="521"/>
      <c r="F46" s="521"/>
      <c r="G46" s="521"/>
      <c r="H46" s="521"/>
      <c r="I46" s="521"/>
      <c r="J46" s="521"/>
      <c r="K46" s="521"/>
      <c r="L46" s="521"/>
      <c r="M46" s="521"/>
      <c r="N46" s="521"/>
      <c r="O46" s="521"/>
      <c r="P46" s="521"/>
      <c r="Q46" s="34"/>
    </row>
    <row r="47" spans="1:17" x14ac:dyDescent="0.2">
      <c r="A47" s="4"/>
      <c r="B47" s="66"/>
      <c r="C47" s="34"/>
      <c r="D47" s="34"/>
      <c r="E47" s="34"/>
      <c r="F47" s="169" t="s">
        <v>20</v>
      </c>
      <c r="G47" s="169"/>
      <c r="H47" s="169"/>
      <c r="I47" s="169"/>
      <c r="J47" s="169" t="s">
        <v>8</v>
      </c>
      <c r="K47" s="76"/>
      <c r="L47" s="169" t="s">
        <v>20</v>
      </c>
      <c r="M47" s="169"/>
      <c r="N47" s="76"/>
      <c r="O47" s="76"/>
      <c r="P47" s="169" t="s">
        <v>8</v>
      </c>
      <c r="Q47" s="34"/>
    </row>
    <row r="48" spans="1:17" x14ac:dyDescent="0.2">
      <c r="A48" s="4"/>
      <c r="B48" s="66"/>
      <c r="C48" s="34"/>
      <c r="D48" s="79" t="s">
        <v>11</v>
      </c>
      <c r="E48" s="34"/>
      <c r="F48" s="34"/>
      <c r="G48" s="34"/>
      <c r="H48" s="34"/>
      <c r="I48" s="34"/>
      <c r="J48" s="34"/>
      <c r="K48" s="34"/>
      <c r="L48" s="34"/>
      <c r="M48" s="34"/>
      <c r="N48" s="34"/>
      <c r="O48" s="34"/>
      <c r="P48" s="34"/>
      <c r="Q48" s="34"/>
    </row>
    <row r="49" spans="1:17" x14ac:dyDescent="0.2">
      <c r="A49" s="4"/>
      <c r="B49" s="66">
        <v>8</v>
      </c>
      <c r="C49" s="34"/>
      <c r="D49" s="78" t="s">
        <v>12</v>
      </c>
      <c r="E49" s="34"/>
      <c r="F49" s="80">
        <f>IF(ISBLANK('3. Data_Input_Sheet'!U55),F33,'3. Data_Input_Sheet'!U55)</f>
        <v>0.56000000000000005</v>
      </c>
      <c r="G49" s="80"/>
      <c r="H49" s="366"/>
      <c r="I49" s="185"/>
      <c r="J49" s="47">
        <f>$J$58*F49</f>
        <v>49320633.564482301</v>
      </c>
      <c r="K49" s="34"/>
      <c r="L49" s="80">
        <f>IF(ISBLANK('3. Data_Input_Sheet'!U62),L17,'3. Data_Input_Sheet'!U62)</f>
        <v>4.001836439171752E-2</v>
      </c>
      <c r="M49" s="80"/>
      <c r="N49" s="366"/>
      <c r="O49" s="185"/>
      <c r="P49" s="47">
        <f>L49*J49</f>
        <v>1973731.0860138265</v>
      </c>
      <c r="Q49" s="34"/>
    </row>
    <row r="50" spans="1:17" x14ac:dyDescent="0.2">
      <c r="A50" s="4"/>
      <c r="B50" s="66">
        <v>9</v>
      </c>
      <c r="C50" s="34"/>
      <c r="D50" s="78" t="s">
        <v>13</v>
      </c>
      <c r="E50" s="34"/>
      <c r="F50" s="81">
        <f>IF(ISBLANK('3. Data_Input_Sheet'!U56),F34,'3. Data_Input_Sheet'!U56)</f>
        <v>0.04</v>
      </c>
      <c r="G50" s="80"/>
      <c r="H50" s="366"/>
      <c r="I50" s="185"/>
      <c r="J50" s="54">
        <f>$J$58*F50</f>
        <v>3522902.3974630213</v>
      </c>
      <c r="K50" s="34"/>
      <c r="L50" s="81">
        <f>IF(ISBLANK('3. Data_Input_Sheet'!U63),L18,'3. Data_Input_Sheet'!U63)</f>
        <v>1.6500000000000001E-2</v>
      </c>
      <c r="M50" s="80"/>
      <c r="N50" s="366"/>
      <c r="O50" s="185"/>
      <c r="P50" s="54">
        <f>L50*J50</f>
        <v>58127.889558139854</v>
      </c>
      <c r="Q50" s="34"/>
    </row>
    <row r="51" spans="1:17" ht="13.5" thickBot="1" x14ac:dyDescent="0.25">
      <c r="A51" s="4"/>
      <c r="B51" s="66">
        <v>10</v>
      </c>
      <c r="C51" s="34"/>
      <c r="D51" s="82" t="s">
        <v>14</v>
      </c>
      <c r="E51" s="34"/>
      <c r="F51" s="83">
        <f>SUM(F49:F50)</f>
        <v>0.60000000000000009</v>
      </c>
      <c r="G51" s="88"/>
      <c r="H51" s="86"/>
      <c r="I51" s="171"/>
      <c r="J51" s="85">
        <f>SUM(J49:J50)</f>
        <v>52843535.961945325</v>
      </c>
      <c r="K51" s="34"/>
      <c r="L51" s="83">
        <f>IF(F51=0,0,SUMPRODUCT(F49:F50,L49:L50)/F51)</f>
        <v>3.8450473432269684E-2</v>
      </c>
      <c r="M51" s="88"/>
      <c r="N51" s="34"/>
      <c r="O51" s="30"/>
      <c r="P51" s="85">
        <f>SUM(P49:P50)</f>
        <v>2031858.9755719665</v>
      </c>
      <c r="Q51" s="34"/>
    </row>
    <row r="52" spans="1:17" ht="13.5" thickTop="1" x14ac:dyDescent="0.2">
      <c r="A52" s="4"/>
      <c r="B52" s="66"/>
      <c r="C52" s="34"/>
      <c r="D52" s="34"/>
      <c r="E52" s="34"/>
      <c r="F52" s="86"/>
      <c r="G52" s="86"/>
      <c r="H52" s="86"/>
      <c r="I52" s="171"/>
      <c r="J52" s="87"/>
      <c r="K52" s="34"/>
      <c r="L52" s="88"/>
      <c r="M52" s="88"/>
      <c r="N52" s="34"/>
      <c r="O52" s="30"/>
      <c r="P52" s="87"/>
      <c r="Q52" s="34"/>
    </row>
    <row r="53" spans="1:17" x14ac:dyDescent="0.2">
      <c r="A53" s="4"/>
      <c r="B53" s="66"/>
      <c r="C53" s="34"/>
      <c r="D53" s="79" t="s">
        <v>15</v>
      </c>
      <c r="E53" s="34"/>
      <c r="F53" s="86"/>
      <c r="G53" s="86"/>
      <c r="H53" s="86"/>
      <c r="I53" s="171"/>
      <c r="J53" s="87"/>
      <c r="K53" s="34"/>
      <c r="L53" s="88"/>
      <c r="M53" s="88"/>
      <c r="N53" s="34"/>
      <c r="O53" s="30"/>
      <c r="P53" s="87"/>
      <c r="Q53" s="34"/>
    </row>
    <row r="54" spans="1:17" x14ac:dyDescent="0.2">
      <c r="A54" s="4"/>
      <c r="B54" s="66">
        <v>11</v>
      </c>
      <c r="C54" s="34"/>
      <c r="D54" s="78" t="s">
        <v>16</v>
      </c>
      <c r="E54" s="34"/>
      <c r="F54" s="88">
        <f>IF(ISBLANK('3. Data_Input_Sheet'!U57),F38,'3. Data_Input_Sheet'!U57)</f>
        <v>0.4</v>
      </c>
      <c r="G54" s="86"/>
      <c r="H54" s="366"/>
      <c r="I54" s="185"/>
      <c r="J54" s="47">
        <f>$J$58*F54</f>
        <v>35229023.974630214</v>
      </c>
      <c r="K54" s="34"/>
      <c r="L54" s="80">
        <f>IF(ISBLANK('3. Data_Input_Sheet'!U64),L22,'3. Data_Input_Sheet'!U64)</f>
        <v>9.1899999999999996E-2</v>
      </c>
      <c r="M54" s="80"/>
      <c r="N54" s="366"/>
      <c r="O54" s="185"/>
      <c r="P54" s="47">
        <f>L54*J54</f>
        <v>3237547.3032685164</v>
      </c>
      <c r="Q54" s="34"/>
    </row>
    <row r="55" spans="1:17" x14ac:dyDescent="0.2">
      <c r="A55" s="4"/>
      <c r="B55" s="66">
        <v>12</v>
      </c>
      <c r="C55" s="34"/>
      <c r="D55" s="78" t="s">
        <v>17</v>
      </c>
      <c r="E55" s="34"/>
      <c r="F55" s="81">
        <f>IF(ISBLANK('3. Data_Input_Sheet'!U58),F39,'3. Data_Input_Sheet'!U58)</f>
        <v>0</v>
      </c>
      <c r="G55" s="171"/>
      <c r="H55" s="366"/>
      <c r="I55" s="185"/>
      <c r="J55" s="54">
        <f>$J$58*F55</f>
        <v>0</v>
      </c>
      <c r="K55" s="34"/>
      <c r="L55" s="81">
        <f>IF(ISBLANK('3. Data_Input_Sheet'!U65),L23,'3. Data_Input_Sheet'!U65)</f>
        <v>0</v>
      </c>
      <c r="M55" s="80"/>
      <c r="N55" s="366"/>
      <c r="O55" s="185"/>
      <c r="P55" s="54">
        <f>L55*J55</f>
        <v>0</v>
      </c>
      <c r="Q55" s="34"/>
    </row>
    <row r="56" spans="1:17" ht="13.5" thickBot="1" x14ac:dyDescent="0.25">
      <c r="A56" s="4"/>
      <c r="B56" s="66">
        <v>13</v>
      </c>
      <c r="C56" s="34"/>
      <c r="D56" s="82" t="s">
        <v>18</v>
      </c>
      <c r="E56" s="34"/>
      <c r="F56" s="83">
        <f>SUM(F54:F55)</f>
        <v>0.4</v>
      </c>
      <c r="G56" s="86"/>
      <c r="H56" s="86"/>
      <c r="I56" s="86"/>
      <c r="J56" s="85">
        <f>SUM(J54:J55)</f>
        <v>35229023.974630214</v>
      </c>
      <c r="K56" s="34"/>
      <c r="L56" s="83">
        <f>IF(F56=0,0,SUMPRODUCT(F54:F55,L54:L55)/F56)</f>
        <v>9.1899999999999996E-2</v>
      </c>
      <c r="M56" s="88"/>
      <c r="N56" s="34"/>
      <c r="O56" s="34"/>
      <c r="P56" s="85">
        <f>SUM(P54:P55)</f>
        <v>3237547.3032685164</v>
      </c>
      <c r="Q56" s="34"/>
    </row>
    <row r="57" spans="1:17" ht="13.5" thickTop="1" x14ac:dyDescent="0.2">
      <c r="A57" s="4"/>
      <c r="B57" s="66"/>
      <c r="C57" s="34"/>
      <c r="D57" s="34"/>
      <c r="E57" s="34"/>
      <c r="F57" s="34"/>
      <c r="G57" s="34"/>
      <c r="H57" s="34"/>
      <c r="I57" s="34"/>
      <c r="J57" s="87"/>
      <c r="K57" s="34"/>
      <c r="L57" s="88"/>
      <c r="M57" s="88"/>
      <c r="N57" s="34"/>
      <c r="O57" s="34"/>
      <c r="P57" s="87"/>
      <c r="Q57" s="34"/>
    </row>
    <row r="58" spans="1:17" ht="13.5" thickBot="1" x14ac:dyDescent="0.25">
      <c r="A58" s="4"/>
      <c r="B58" s="66">
        <v>14</v>
      </c>
      <c r="C58" s="34"/>
      <c r="D58" s="82" t="s">
        <v>19</v>
      </c>
      <c r="E58" s="34"/>
      <c r="F58" s="177">
        <f>F51+F56</f>
        <v>1</v>
      </c>
      <c r="G58" s="117"/>
      <c r="H58" s="117"/>
      <c r="I58" s="117"/>
      <c r="J58" s="95">
        <f>'4. Rate_Base'!W18</f>
        <v>88072559.936575532</v>
      </c>
      <c r="K58" s="34"/>
      <c r="L58" s="96">
        <f>(L51*F51)+(L56*F56)</f>
        <v>5.9830284059361818E-2</v>
      </c>
      <c r="M58" s="88"/>
      <c r="N58" s="34"/>
      <c r="O58" s="34"/>
      <c r="P58" s="95">
        <f>P51+P56</f>
        <v>5269406.2788404832</v>
      </c>
      <c r="Q58" s="34"/>
    </row>
    <row r="59" spans="1:17" ht="13.5" thickTop="1" x14ac:dyDescent="0.2">
      <c r="B59" s="34"/>
      <c r="C59" s="34"/>
      <c r="D59" s="34"/>
      <c r="E59" s="34"/>
      <c r="F59" s="34"/>
      <c r="G59" s="34"/>
      <c r="H59" s="34"/>
      <c r="I59" s="34"/>
      <c r="J59" s="34"/>
      <c r="K59" s="34"/>
      <c r="L59" s="34"/>
      <c r="M59" s="34"/>
      <c r="N59" s="34"/>
      <c r="O59" s="34"/>
      <c r="P59" s="34"/>
      <c r="Q59" s="34"/>
    </row>
    <row r="61" spans="1:17" x14ac:dyDescent="0.2">
      <c r="B61" s="502" t="s">
        <v>38</v>
      </c>
      <c r="C61" s="502"/>
      <c r="D61" s="502"/>
      <c r="E61" s="502"/>
      <c r="F61" s="502"/>
      <c r="G61" s="502"/>
      <c r="H61" s="502"/>
      <c r="I61" s="502"/>
      <c r="J61" s="502"/>
      <c r="K61" s="502"/>
      <c r="L61" s="502"/>
      <c r="M61" s="502"/>
      <c r="N61" s="502"/>
      <c r="O61" s="502"/>
      <c r="P61" s="502"/>
    </row>
    <row r="62" spans="1:17" ht="37.5" customHeight="1" x14ac:dyDescent="0.2">
      <c r="B62" s="11" t="s">
        <v>2</v>
      </c>
      <c r="D62" s="519" t="str">
        <f>'3. Data_Input_Sheet'!C71</f>
        <v>Data in column E is for Application as originally filed.  For updated revenue requirement as a result of interrogatory responses, technical or settlement conferences, etc., use colimn M and Adjustments in column I</v>
      </c>
      <c r="E62" s="519"/>
      <c r="F62" s="519"/>
      <c r="G62" s="519"/>
      <c r="H62" s="519"/>
      <c r="I62" s="519"/>
      <c r="J62" s="519"/>
      <c r="K62" s="519"/>
      <c r="L62" s="519"/>
      <c r="M62" s="519"/>
      <c r="N62" s="519"/>
      <c r="O62" s="519"/>
      <c r="P62" s="519"/>
    </row>
    <row r="63" spans="1:17" x14ac:dyDescent="0.2">
      <c r="B63" s="364"/>
      <c r="D63" s="496"/>
      <c r="E63" s="496"/>
      <c r="F63" s="496"/>
      <c r="G63" s="496"/>
      <c r="H63" s="496"/>
      <c r="I63" s="496"/>
      <c r="J63" s="496"/>
      <c r="K63" s="496"/>
      <c r="L63" s="496"/>
      <c r="M63" s="496"/>
      <c r="N63" s="496"/>
      <c r="O63" s="496"/>
      <c r="P63" s="496"/>
    </row>
    <row r="64" spans="1:17" x14ac:dyDescent="0.2">
      <c r="B64" s="364"/>
      <c r="D64" s="496"/>
      <c r="E64" s="496"/>
      <c r="F64" s="496"/>
      <c r="G64" s="496"/>
      <c r="H64" s="496"/>
      <c r="I64" s="496"/>
      <c r="J64" s="496"/>
      <c r="K64" s="496"/>
      <c r="L64" s="496"/>
      <c r="M64" s="496"/>
      <c r="N64" s="496"/>
      <c r="O64" s="496"/>
      <c r="P64" s="496"/>
    </row>
    <row r="65" spans="2:16" x14ac:dyDescent="0.2">
      <c r="B65" s="364"/>
      <c r="D65" s="496"/>
      <c r="E65" s="496"/>
      <c r="F65" s="496"/>
      <c r="G65" s="496"/>
      <c r="H65" s="496"/>
      <c r="I65" s="496"/>
      <c r="J65" s="496"/>
      <c r="K65" s="496"/>
      <c r="L65" s="496"/>
      <c r="M65" s="496"/>
      <c r="N65" s="496"/>
      <c r="O65" s="496"/>
      <c r="P65" s="496"/>
    </row>
    <row r="66" spans="2:16" x14ac:dyDescent="0.2">
      <c r="B66" s="364"/>
      <c r="D66" s="496"/>
      <c r="E66" s="496"/>
      <c r="F66" s="496"/>
      <c r="G66" s="496"/>
      <c r="H66" s="496"/>
      <c r="I66" s="496"/>
      <c r="J66" s="496"/>
      <c r="K66" s="496"/>
      <c r="L66" s="496"/>
      <c r="M66" s="496"/>
      <c r="N66" s="496"/>
      <c r="O66" s="496"/>
      <c r="P66" s="496"/>
    </row>
    <row r="67" spans="2:16" x14ac:dyDescent="0.2">
      <c r="B67" s="364"/>
      <c r="D67" s="496"/>
      <c r="E67" s="496"/>
      <c r="F67" s="496"/>
      <c r="G67" s="496"/>
      <c r="H67" s="496"/>
      <c r="I67" s="496"/>
      <c r="J67" s="496"/>
      <c r="K67" s="496"/>
      <c r="L67" s="496"/>
      <c r="M67" s="496"/>
      <c r="N67" s="496"/>
      <c r="O67" s="496"/>
      <c r="P67" s="496"/>
    </row>
    <row r="68" spans="2:16" x14ac:dyDescent="0.2">
      <c r="B68" s="364"/>
      <c r="D68" s="496"/>
      <c r="E68" s="496"/>
      <c r="F68" s="496"/>
      <c r="G68" s="496"/>
      <c r="H68" s="496"/>
      <c r="I68" s="496"/>
      <c r="J68" s="496"/>
      <c r="K68" s="496"/>
      <c r="L68" s="496"/>
      <c r="M68" s="496"/>
      <c r="N68" s="496"/>
      <c r="O68" s="496"/>
      <c r="P68" s="496"/>
    </row>
  </sheetData>
  <sheetProtection password="82A3" sheet="1" objects="1" scenarios="1"/>
  <mergeCells count="20">
    <mergeCell ref="D14:P14"/>
    <mergeCell ref="D30:P30"/>
    <mergeCell ref="F45:J45"/>
    <mergeCell ref="F29:J29"/>
    <mergeCell ref="D67:P67"/>
    <mergeCell ref="B61:P61"/>
    <mergeCell ref="D46:P46"/>
    <mergeCell ref="D68:P68"/>
    <mergeCell ref="D66:P66"/>
    <mergeCell ref="D62:P62"/>
    <mergeCell ref="D63:P63"/>
    <mergeCell ref="D64:P64"/>
    <mergeCell ref="D65:P65"/>
    <mergeCell ref="C1:N1"/>
    <mergeCell ref="C3:N3"/>
    <mergeCell ref="C4:J4"/>
    <mergeCell ref="C2:R2"/>
    <mergeCell ref="F13:J13"/>
    <mergeCell ref="B5:N5"/>
    <mergeCell ref="F11:J11"/>
  </mergeCells>
  <phoneticPr fontId="2" type="noConversion"/>
  <conditionalFormatting sqref="D30:P30">
    <cfRule type="cellIs" dxfId="2" priority="1" stopIfTrue="1" operator="equal">
      <formula>""</formula>
    </cfRule>
  </conditionalFormatting>
  <printOptions horizontalCentered="1"/>
  <pageMargins left="0.74803149606299213" right="0.74803149606299213" top="0.55118110236220474" bottom="0.98425196850393704" header="0.31496062992125984" footer="0.51181102362204722"/>
  <pageSetup scale="69" orientation="portrait" r:id="rId1"/>
  <headerFooter alignWithMargins="0">
    <oddFooter>&amp;C6</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R60"/>
  <sheetViews>
    <sheetView showGridLines="0" tabSelected="1" zoomScaleNormal="100" zoomScaleSheetLayoutView="100" workbookViewId="0">
      <selection activeCell="P19" sqref="P19"/>
    </sheetView>
  </sheetViews>
  <sheetFormatPr defaultRowHeight="12.75" x14ac:dyDescent="0.2"/>
  <cols>
    <col min="1" max="1" width="1.28515625" style="5" customWidth="1"/>
    <col min="2" max="2" width="5.7109375" style="5" customWidth="1"/>
    <col min="3" max="3" width="2.7109375" style="5" customWidth="1"/>
    <col min="4" max="4" width="27.42578125" style="5" customWidth="1"/>
    <col min="5" max="5" width="1.42578125" style="5" customWidth="1"/>
    <col min="6" max="6" width="15.7109375" style="5" customWidth="1"/>
    <col min="7" max="7" width="2.7109375" style="5" customWidth="1"/>
    <col min="8" max="8" width="15.5703125" style="5" customWidth="1"/>
    <col min="9" max="9" width="1.7109375" style="5" customWidth="1"/>
    <col min="10" max="10" width="15.7109375" style="5" customWidth="1"/>
    <col min="11" max="11" width="2.7109375" style="5" customWidth="1"/>
    <col min="12" max="12" width="15.7109375" style="5" customWidth="1"/>
    <col min="13" max="13" width="1.7109375" style="5" customWidth="1"/>
    <col min="14" max="14" width="15.7109375" style="5" customWidth="1"/>
    <col min="15" max="15" width="2.85546875" style="5" customWidth="1"/>
    <col min="16" max="16" width="15.7109375" style="5" customWidth="1"/>
    <col min="17" max="17" width="1.7109375" style="5" customWidth="1"/>
    <col min="18" max="16384" width="9.140625" style="5"/>
  </cols>
  <sheetData>
    <row r="1" spans="2:16" s="2" customFormat="1" ht="21.75" x14ac:dyDescent="0.2">
      <c r="C1" s="522"/>
      <c r="D1" s="522"/>
      <c r="E1" s="522"/>
      <c r="F1" s="522"/>
      <c r="G1" s="522"/>
      <c r="H1" s="522"/>
      <c r="I1" s="522"/>
      <c r="J1" s="522"/>
      <c r="K1" s="522"/>
      <c r="L1" s="522"/>
      <c r="M1" s="522"/>
      <c r="N1" s="522"/>
      <c r="O1" s="522"/>
      <c r="P1" s="146" t="str">
        <f>CONCATENATE('2. Table of Contents'!$F$6," ",'2. Table of Contents'!$G$6)</f>
        <v xml:space="preserve"> </v>
      </c>
    </row>
    <row r="2" spans="2:16" s="2" customFormat="1" ht="18" x14ac:dyDescent="0.25">
      <c r="C2" s="523"/>
      <c r="D2" s="523"/>
      <c r="E2" s="523"/>
      <c r="F2" s="523"/>
      <c r="G2" s="523"/>
      <c r="H2" s="523"/>
      <c r="I2" s="523"/>
      <c r="J2" s="523"/>
      <c r="K2" s="523"/>
      <c r="L2" s="523"/>
      <c r="M2" s="523"/>
      <c r="N2" s="523"/>
      <c r="O2" s="523"/>
    </row>
    <row r="3" spans="2:16" s="2" customFormat="1" ht="18" x14ac:dyDescent="0.25">
      <c r="C3" s="523"/>
      <c r="D3" s="523"/>
      <c r="E3" s="523"/>
      <c r="F3" s="523"/>
      <c r="G3" s="523"/>
      <c r="H3" s="523"/>
      <c r="I3" s="523"/>
      <c r="J3" s="523"/>
      <c r="K3" s="523"/>
      <c r="L3" s="523"/>
      <c r="M3" s="523"/>
      <c r="N3" s="523"/>
      <c r="O3" s="523"/>
    </row>
    <row r="4" spans="2:16" s="2" customFormat="1" ht="18" x14ac:dyDescent="0.25">
      <c r="C4" s="523"/>
      <c r="D4" s="523"/>
      <c r="E4" s="523"/>
      <c r="F4" s="523"/>
      <c r="G4" s="523"/>
      <c r="H4" s="523"/>
    </row>
    <row r="5" spans="2:16" s="2" customFormat="1" ht="15.75" x14ac:dyDescent="0.25">
      <c r="E5" s="3"/>
      <c r="F5" s="3"/>
    </row>
    <row r="6" spans="2:16" s="2" customFormat="1" ht="36.75" customHeight="1" x14ac:dyDescent="0.2"/>
    <row r="7" spans="2:16" ht="4.5" customHeight="1" x14ac:dyDescent="0.2"/>
    <row r="8" spans="2:16" ht="15.75" x14ac:dyDescent="0.25">
      <c r="E8" s="58"/>
      <c r="F8" s="509"/>
      <c r="G8" s="509"/>
      <c r="H8" s="509"/>
      <c r="I8" s="509"/>
      <c r="J8" s="509"/>
      <c r="K8" s="509"/>
      <c r="L8" s="509"/>
      <c r="M8" s="509"/>
      <c r="N8" s="509"/>
      <c r="O8" s="509"/>
      <c r="P8" s="509"/>
    </row>
    <row r="9" spans="2:16" ht="15.75" x14ac:dyDescent="0.25">
      <c r="E9" s="58"/>
      <c r="F9" s="59"/>
      <c r="G9" s="59"/>
      <c r="H9" s="59"/>
      <c r="I9" s="59"/>
      <c r="J9" s="59"/>
      <c r="K9" s="59"/>
      <c r="L9" s="59"/>
      <c r="M9" s="59"/>
      <c r="N9" s="59"/>
      <c r="O9" s="59"/>
      <c r="P9" s="59"/>
    </row>
    <row r="10" spans="2:16" ht="18" x14ac:dyDescent="0.25">
      <c r="B10" s="379" t="s">
        <v>248</v>
      </c>
      <c r="E10" s="58"/>
      <c r="F10" s="59"/>
      <c r="G10" s="59"/>
      <c r="H10" s="59"/>
      <c r="I10" s="59"/>
      <c r="J10" s="59"/>
      <c r="K10" s="59"/>
      <c r="L10" s="59"/>
      <c r="M10" s="59"/>
      <c r="N10" s="59"/>
      <c r="O10" s="59"/>
      <c r="P10" s="59"/>
    </row>
    <row r="11" spans="2:16" ht="15.75" x14ac:dyDescent="0.25">
      <c r="E11" s="58"/>
      <c r="F11" s="59"/>
      <c r="G11" s="59"/>
      <c r="H11" s="59"/>
      <c r="I11" s="59"/>
      <c r="J11" s="59"/>
      <c r="K11" s="59"/>
      <c r="L11" s="59"/>
      <c r="M11" s="59"/>
      <c r="N11" s="59"/>
      <c r="O11" s="59"/>
      <c r="P11" s="59"/>
    </row>
    <row r="12" spans="2:16" ht="15.75" x14ac:dyDescent="0.25">
      <c r="E12" s="58"/>
      <c r="F12" s="59"/>
      <c r="G12" s="59"/>
      <c r="H12" s="59"/>
      <c r="I12" s="59"/>
      <c r="J12" s="59"/>
      <c r="K12" s="59"/>
      <c r="L12" s="59"/>
      <c r="M12" s="59"/>
      <c r="N12" s="59"/>
      <c r="O12" s="59"/>
      <c r="P12" s="59"/>
    </row>
    <row r="13" spans="2:16" ht="15.75" x14ac:dyDescent="0.25">
      <c r="E13" s="58"/>
      <c r="F13" s="528" t="s">
        <v>155</v>
      </c>
      <c r="G13" s="528"/>
      <c r="H13" s="528"/>
      <c r="I13" s="309"/>
      <c r="J13" s="528" t="str">
        <f>IF(ISBLANK('3. Data_Input_Sheet'!M12),"",'3. Data_Input_Sheet'!M12)</f>
        <v>Interrogatory Responses</v>
      </c>
      <c r="K13" s="528"/>
      <c r="L13" s="528"/>
      <c r="M13" s="309"/>
      <c r="N13" s="528" t="str">
        <f>'3. Data_Input_Sheet'!U12</f>
        <v>Per Board Decision</v>
      </c>
      <c r="O13" s="528"/>
      <c r="P13" s="528"/>
    </row>
    <row r="14" spans="2:16" ht="6" customHeight="1" x14ac:dyDescent="0.25">
      <c r="D14" s="59"/>
      <c r="E14" s="59"/>
      <c r="F14" s="309"/>
      <c r="G14" s="309"/>
      <c r="H14" s="309"/>
      <c r="I14" s="309"/>
      <c r="J14" s="309"/>
      <c r="K14" s="309"/>
      <c r="L14" s="309"/>
      <c r="M14" s="309"/>
      <c r="N14" s="309"/>
      <c r="O14" s="309"/>
      <c r="P14" s="310"/>
    </row>
    <row r="15" spans="2:16" x14ac:dyDescent="0.2">
      <c r="B15" s="526" t="s">
        <v>37</v>
      </c>
      <c r="D15" s="525" t="s">
        <v>36</v>
      </c>
      <c r="F15" s="533" t="s">
        <v>127</v>
      </c>
      <c r="G15" s="311"/>
      <c r="H15" s="531" t="s">
        <v>128</v>
      </c>
      <c r="I15" s="312"/>
      <c r="J15" s="533" t="s">
        <v>127</v>
      </c>
      <c r="K15" s="311"/>
      <c r="L15" s="531" t="s">
        <v>128</v>
      </c>
      <c r="M15" s="312"/>
      <c r="N15" s="533" t="s">
        <v>127</v>
      </c>
      <c r="O15" s="311"/>
      <c r="P15" s="531" t="s">
        <v>128</v>
      </c>
    </row>
    <row r="16" spans="2:16" ht="24.75" customHeight="1" x14ac:dyDescent="0.2">
      <c r="B16" s="527"/>
      <c r="C16" s="61"/>
      <c r="D16" s="518"/>
      <c r="E16" s="44"/>
      <c r="F16" s="534"/>
      <c r="G16" s="307"/>
      <c r="H16" s="532"/>
      <c r="I16" s="312"/>
      <c r="J16" s="534"/>
      <c r="K16" s="2"/>
      <c r="L16" s="532"/>
      <c r="M16" s="312"/>
      <c r="N16" s="534"/>
      <c r="O16" s="2"/>
      <c r="P16" s="532"/>
    </row>
    <row r="17" spans="2:18" x14ac:dyDescent="0.2">
      <c r="B17" s="62"/>
      <c r="C17" s="61"/>
      <c r="D17" s="44"/>
      <c r="E17" s="44"/>
      <c r="F17" s="63"/>
      <c r="G17" s="44"/>
      <c r="H17" s="64"/>
      <c r="J17" s="65"/>
      <c r="K17" s="66"/>
      <c r="L17" s="67"/>
      <c r="N17" s="65"/>
      <c r="O17" s="66"/>
      <c r="P17" s="67"/>
      <c r="Q17" s="138"/>
    </row>
    <row r="18" spans="2:18" x14ac:dyDescent="0.2">
      <c r="B18" s="4"/>
      <c r="D18" s="4"/>
      <c r="F18" s="65"/>
      <c r="G18" s="66"/>
      <c r="H18" s="35"/>
      <c r="J18" s="65"/>
      <c r="K18" s="66"/>
      <c r="L18" s="35"/>
      <c r="N18" s="65"/>
      <c r="O18" s="66"/>
      <c r="P18" s="35"/>
      <c r="Q18" s="138"/>
    </row>
    <row r="19" spans="2:18" x14ac:dyDescent="0.2">
      <c r="B19" s="170">
        <v>1</v>
      </c>
      <c r="D19" s="5" t="s">
        <v>149</v>
      </c>
      <c r="F19" s="203"/>
      <c r="G19" s="204"/>
      <c r="H19" s="205">
        <f>F52</f>
        <v>990646.55091863091</v>
      </c>
      <c r="I19" s="196"/>
      <c r="J19" s="203"/>
      <c r="K19" s="204"/>
      <c r="L19" s="205">
        <f>J52</f>
        <v>621894.14573427616</v>
      </c>
      <c r="M19" s="196"/>
      <c r="N19" s="203"/>
      <c r="O19" s="204"/>
      <c r="P19" s="205">
        <f>N52</f>
        <v>6200.206778413889</v>
      </c>
      <c r="Q19" s="138"/>
    </row>
    <row r="20" spans="2:18" x14ac:dyDescent="0.2">
      <c r="B20" s="170">
        <v>2</v>
      </c>
      <c r="D20" s="5" t="s">
        <v>150</v>
      </c>
      <c r="F20" s="206">
        <f>'3. Data_Input_Sheet'!E25</f>
        <v>16216720.125437286</v>
      </c>
      <c r="G20" s="204"/>
      <c r="H20" s="205">
        <f>'3. Data_Input_Sheet'!E26-H19</f>
        <v>16216720.056053691</v>
      </c>
      <c r="I20" s="196"/>
      <c r="J20" s="206">
        <f>IF(ISBLANK('3. Data_Input_Sheet'!M25),'3. Data_Input_Sheet'!E25,'3. Data_Input_Sheet'!M25)</f>
        <v>16299875.792926094</v>
      </c>
      <c r="K20" s="204"/>
      <c r="L20" s="205">
        <f>IF(ISBLANK('3. Data_Input_Sheet'!M26),'3. Data_Input_Sheet'!E26-L19,'3. Data_Input_Sheet'!M26-L19)</f>
        <v>16299875.854265723</v>
      </c>
      <c r="M20" s="196"/>
      <c r="N20" s="206">
        <f>IF(ISBLANK('3. Data_Input_Sheet'!U25),'3. Data_Input_Sheet'!M25,'3. Data_Input_Sheet'!U25)</f>
        <v>16299875.792926094</v>
      </c>
      <c r="O20" s="204"/>
      <c r="P20" s="205">
        <f>IF(ISBLANK('3. Data_Input_Sheet'!U26),'3. Data_Input_Sheet'!M26-P19,'3. Data_Input_Sheet'!U26-P19)</f>
        <v>16299875.885499919</v>
      </c>
      <c r="Q20" s="138"/>
    </row>
    <row r="21" spans="2:18" ht="25.5" x14ac:dyDescent="0.2">
      <c r="B21" s="170">
        <v>3</v>
      </c>
      <c r="D21" s="28" t="s">
        <v>151</v>
      </c>
      <c r="F21" s="207">
        <f>'5. Utility Income'!F48</f>
        <v>1902155</v>
      </c>
      <c r="G21" s="204"/>
      <c r="H21" s="208">
        <f>'5. Utility Income'!F48</f>
        <v>1902155</v>
      </c>
      <c r="I21" s="196"/>
      <c r="J21" s="207">
        <f>'5. Utility Income'!N48</f>
        <v>2018810</v>
      </c>
      <c r="K21" s="204"/>
      <c r="L21" s="205">
        <f>J21</f>
        <v>2018810</v>
      </c>
      <c r="M21" s="196"/>
      <c r="N21" s="207">
        <f>'5. Utility Income'!V48</f>
        <v>1930835</v>
      </c>
      <c r="O21" s="204"/>
      <c r="P21" s="205">
        <f>'5. Utility Income'!V48</f>
        <v>1930835</v>
      </c>
      <c r="Q21" s="138"/>
    </row>
    <row r="22" spans="2:18" ht="13.5" thickBot="1" x14ac:dyDescent="0.25">
      <c r="B22" s="170">
        <v>4</v>
      </c>
      <c r="D22" s="16" t="s">
        <v>110</v>
      </c>
      <c r="F22" s="209">
        <f>SUM(F20:F21)</f>
        <v>18118875.125437286</v>
      </c>
      <c r="G22" s="204"/>
      <c r="H22" s="210">
        <f>SUM(H19:H21)</f>
        <v>19109521.606972322</v>
      </c>
      <c r="I22" s="196"/>
      <c r="J22" s="211">
        <f>SUM(J20:J21)</f>
        <v>18318685.792926095</v>
      </c>
      <c r="K22" s="204"/>
      <c r="L22" s="210">
        <f>SUM(L19:L21)</f>
        <v>18940580</v>
      </c>
      <c r="M22" s="196"/>
      <c r="N22" s="211">
        <f>SUM(N20:N21)</f>
        <v>18230710.792926095</v>
      </c>
      <c r="O22" s="204"/>
      <c r="P22" s="210">
        <f>SUM(P19:P21)</f>
        <v>18236911.092278332</v>
      </c>
      <c r="Q22" s="138"/>
    </row>
    <row r="23" spans="2:18" ht="13.5" thickTop="1" x14ac:dyDescent="0.2">
      <c r="B23" s="170"/>
      <c r="F23" s="212"/>
      <c r="G23" s="204"/>
      <c r="H23" s="213"/>
      <c r="I23" s="196"/>
      <c r="J23" s="212"/>
      <c r="K23" s="204"/>
      <c r="L23" s="205"/>
      <c r="M23" s="196"/>
      <c r="N23" s="212"/>
      <c r="O23" s="204"/>
      <c r="P23" s="205"/>
      <c r="Q23" s="138"/>
    </row>
    <row r="24" spans="2:18" x14ac:dyDescent="0.2">
      <c r="B24" s="170">
        <v>5</v>
      </c>
      <c r="C24" s="15"/>
      <c r="D24" s="24" t="s">
        <v>117</v>
      </c>
      <c r="E24" s="15"/>
      <c r="F24" s="206">
        <f>'5. Utility Income'!F27</f>
        <v>13195873.867202014</v>
      </c>
      <c r="G24" s="204"/>
      <c r="H24" s="205">
        <f>'5. Utility Income'!F27</f>
        <v>13195873.867202014</v>
      </c>
      <c r="I24" s="196"/>
      <c r="J24" s="206">
        <f>'5. Utility Income'!N27</f>
        <v>13301611.257202014</v>
      </c>
      <c r="K24" s="204"/>
      <c r="L24" s="205">
        <f>'5. Utility Income'!N27</f>
        <v>13301611.257202014</v>
      </c>
      <c r="M24" s="196"/>
      <c r="N24" s="206">
        <f>'5. Utility Income'!V27</f>
        <v>12712907.257202014</v>
      </c>
      <c r="O24" s="204"/>
      <c r="P24" s="205">
        <f>'5. Utility Income'!V27</f>
        <v>12712907.257202014</v>
      </c>
      <c r="Q24" s="139"/>
      <c r="R24" s="15"/>
    </row>
    <row r="25" spans="2:18" x14ac:dyDescent="0.2">
      <c r="B25" s="170">
        <v>6</v>
      </c>
      <c r="C25" s="15"/>
      <c r="D25" s="24" t="s">
        <v>95</v>
      </c>
      <c r="E25" s="15"/>
      <c r="F25" s="206">
        <f>'5. Utility Income'!F30</f>
        <v>2237076.8435751563</v>
      </c>
      <c r="G25" s="204"/>
      <c r="H25" s="205">
        <f>'5. Utility Income'!F30</f>
        <v>2237076.8435751563</v>
      </c>
      <c r="I25" s="196"/>
      <c r="J25" s="206">
        <f>'5. Utility Income'!N30</f>
        <v>2076563.4185079946</v>
      </c>
      <c r="K25" s="204"/>
      <c r="L25" s="205">
        <f>'5. Utility Income'!N30</f>
        <v>2076563.4185079946</v>
      </c>
      <c r="M25" s="196"/>
      <c r="N25" s="206">
        <f>'5. Utility Income'!V30</f>
        <v>2031858.9755719665</v>
      </c>
      <c r="O25" s="204"/>
      <c r="P25" s="205">
        <f>'5. Utility Income'!V30</f>
        <v>2031858.9755719665</v>
      </c>
      <c r="Q25" s="139"/>
      <c r="R25" s="15"/>
    </row>
    <row r="26" spans="2:18" ht="13.5" thickBot="1" x14ac:dyDescent="0.25">
      <c r="B26" s="170">
        <v>8</v>
      </c>
      <c r="D26" s="16" t="s">
        <v>118</v>
      </c>
      <c r="F26" s="209">
        <f>SUM(F24:F25)</f>
        <v>15432950.710777171</v>
      </c>
      <c r="G26" s="204"/>
      <c r="H26" s="210">
        <f>SUM(H24:H25)</f>
        <v>15432950.710777171</v>
      </c>
      <c r="I26" s="196"/>
      <c r="J26" s="211">
        <f>SUM(J24:J25)</f>
        <v>15378174.675710009</v>
      </c>
      <c r="K26" s="204"/>
      <c r="L26" s="210">
        <f>SUM(L24:L25)</f>
        <v>15378174.675710009</v>
      </c>
      <c r="M26" s="196"/>
      <c r="N26" s="211">
        <f>SUM(N24:N25)</f>
        <v>14744766.23277398</v>
      </c>
      <c r="O26" s="204"/>
      <c r="P26" s="210">
        <f>SUM(P24:P25)</f>
        <v>14744766.23277398</v>
      </c>
      <c r="Q26" s="138"/>
    </row>
    <row r="27" spans="2:18" ht="13.5" thickTop="1" x14ac:dyDescent="0.2">
      <c r="B27" s="170"/>
      <c r="D27" s="4"/>
      <c r="F27" s="206"/>
      <c r="G27" s="204"/>
      <c r="H27" s="205"/>
      <c r="I27" s="196"/>
      <c r="J27" s="212"/>
      <c r="K27" s="204"/>
      <c r="L27" s="205"/>
      <c r="M27" s="196"/>
      <c r="N27" s="212"/>
      <c r="O27" s="204"/>
      <c r="P27" s="205"/>
      <c r="Q27" s="138"/>
    </row>
    <row r="28" spans="2:18" ht="25.5" x14ac:dyDescent="0.2">
      <c r="B28" s="170">
        <v>9</v>
      </c>
      <c r="D28" s="56" t="s">
        <v>111</v>
      </c>
      <c r="F28" s="206">
        <f>F22-F26</f>
        <v>2685924.4146601148</v>
      </c>
      <c r="G28" s="204"/>
      <c r="H28" s="205">
        <f>H22-H26</f>
        <v>3676570.8961951509</v>
      </c>
      <c r="I28" s="196"/>
      <c r="J28" s="212">
        <f>J22-J26</f>
        <v>2940511.117216086</v>
      </c>
      <c r="K28" s="204"/>
      <c r="L28" s="205">
        <f>L22-L26</f>
        <v>3562405.3242899906</v>
      </c>
      <c r="M28" s="196"/>
      <c r="N28" s="212">
        <f>N22-N26</f>
        <v>3485944.5601521153</v>
      </c>
      <c r="O28" s="204"/>
      <c r="P28" s="205">
        <f>P22-P26</f>
        <v>3492144.8595043514</v>
      </c>
      <c r="Q28" s="138"/>
    </row>
    <row r="29" spans="2:18" x14ac:dyDescent="0.2">
      <c r="B29" s="170"/>
      <c r="D29" s="5" t="s">
        <v>60</v>
      </c>
      <c r="F29" s="212"/>
      <c r="G29" s="204"/>
      <c r="H29" s="213"/>
      <c r="I29" s="196"/>
      <c r="J29" s="212"/>
      <c r="K29" s="204"/>
      <c r="L29" s="205"/>
      <c r="M29" s="196"/>
      <c r="N29" s="212"/>
      <c r="O29" s="204"/>
      <c r="P29" s="205"/>
      <c r="Q29" s="138"/>
    </row>
    <row r="30" spans="2:18" ht="25.5" customHeight="1" x14ac:dyDescent="0.2">
      <c r="B30" s="170">
        <v>10</v>
      </c>
      <c r="D30" s="71" t="s">
        <v>263</v>
      </c>
      <c r="F30" s="207">
        <f>'3. Data_Input_Sheet'!E44</f>
        <v>-2709732.2212995403</v>
      </c>
      <c r="G30" s="204"/>
      <c r="H30" s="208">
        <f>'3. Data_Input_Sheet'!E44</f>
        <v>-2709732.2212995403</v>
      </c>
      <c r="I30" s="196"/>
      <c r="J30" s="207">
        <f>IF(ISBLANK('3. Data_Input_Sheet'!M44),'3. Data_Input_Sheet'!E44,'3. Data_Input_Sheet'!M44)</f>
        <v>-2605325</v>
      </c>
      <c r="K30" s="204"/>
      <c r="L30" s="208">
        <f>IF(ISBLANK('3. Data_Input_Sheet'!M44),'3. Data_Input_Sheet'!E44,'3. Data_Input_Sheet'!M44)</f>
        <v>-2605325</v>
      </c>
      <c r="M30" s="196"/>
      <c r="N30" s="207">
        <f>IF(ISBLANK('3. Data_Input_Sheet'!U44),'3. Data_Input_Sheet'!M44,'3. Data_Input_Sheet'!U44)</f>
        <v>-2531399.6210361412</v>
      </c>
      <c r="O30" s="204"/>
      <c r="P30" s="208">
        <f>IF(ISBLANK('3. Data_Input_Sheet'!U44),'3. Data_Input_Sheet'!M44,'3. Data_Input_Sheet'!U44)</f>
        <v>-2531399.6210361412</v>
      </c>
      <c r="Q30" s="138"/>
    </row>
    <row r="31" spans="2:18" x14ac:dyDescent="0.2">
      <c r="B31" s="170">
        <v>11</v>
      </c>
      <c r="D31" s="16" t="s">
        <v>115</v>
      </c>
      <c r="F31" s="212">
        <f>SUM(F28:F30)</f>
        <v>-23807.806639425457</v>
      </c>
      <c r="G31" s="204"/>
      <c r="H31" s="213">
        <f>SUM(H28:H30)</f>
        <v>966838.67489561066</v>
      </c>
      <c r="I31" s="196"/>
      <c r="J31" s="212">
        <f>SUM(J28+J30)</f>
        <v>335186.11721608602</v>
      </c>
      <c r="K31" s="204"/>
      <c r="L31" s="205">
        <f>L28+L30</f>
        <v>957080.32428999059</v>
      </c>
      <c r="M31" s="196"/>
      <c r="N31" s="212">
        <f>SUM(N28+N30)</f>
        <v>954544.93911597412</v>
      </c>
      <c r="O31" s="204"/>
      <c r="P31" s="205">
        <f>P28+P30</f>
        <v>960745.23846821021</v>
      </c>
      <c r="Q31" s="138"/>
    </row>
    <row r="32" spans="2:18" x14ac:dyDescent="0.2">
      <c r="B32" s="170"/>
      <c r="D32" s="4"/>
      <c r="F32" s="212"/>
      <c r="G32" s="204"/>
      <c r="H32" s="213"/>
      <c r="I32" s="196"/>
      <c r="J32" s="212"/>
      <c r="K32" s="204"/>
      <c r="L32" s="213"/>
      <c r="M32" s="196"/>
      <c r="N32" s="212"/>
      <c r="O32" s="204"/>
      <c r="P32" s="213"/>
      <c r="Q32" s="138"/>
    </row>
    <row r="33" spans="2:17" x14ac:dyDescent="0.2">
      <c r="B33" s="170">
        <v>12</v>
      </c>
      <c r="D33" s="25" t="s">
        <v>152</v>
      </c>
      <c r="F33" s="214">
        <f>'6. Taxes_PILs'!G41</f>
        <v>0.26500000000000001</v>
      </c>
      <c r="G33" s="215"/>
      <c r="H33" s="202">
        <f>'6. Taxes_PILs'!G41</f>
        <v>0.26500000000000001</v>
      </c>
      <c r="I33" s="216"/>
      <c r="J33" s="214">
        <f>'6. Taxes_PILs'!K41</f>
        <v>0.26500000000000001</v>
      </c>
      <c r="K33" s="215"/>
      <c r="L33" s="202">
        <f>'6. Taxes_PILs'!K41</f>
        <v>0.26500000000000001</v>
      </c>
      <c r="M33" s="216"/>
      <c r="N33" s="214">
        <f>'6. Taxes_PILs'!O41</f>
        <v>0.26500000000000001</v>
      </c>
      <c r="O33" s="215"/>
      <c r="P33" s="202">
        <f>'6. Taxes_PILs'!O41</f>
        <v>0.26500000000000001</v>
      </c>
      <c r="Q33" s="138"/>
    </row>
    <row r="34" spans="2:17" ht="25.5" x14ac:dyDescent="0.2">
      <c r="B34" s="170">
        <v>13</v>
      </c>
      <c r="D34" s="165" t="s">
        <v>153</v>
      </c>
      <c r="F34" s="206">
        <f>F31*F33</f>
        <v>-6309.0687594477467</v>
      </c>
      <c r="G34" s="204"/>
      <c r="H34" s="205">
        <f>H31*H33</f>
        <v>256212.24884733683</v>
      </c>
      <c r="I34" s="196"/>
      <c r="J34" s="212">
        <f>J31*J33</f>
        <v>88824.321062262796</v>
      </c>
      <c r="K34" s="204"/>
      <c r="L34" s="205">
        <f>L31*L33</f>
        <v>253626.28593684753</v>
      </c>
      <c r="M34" s="196"/>
      <c r="N34" s="212">
        <f>N31*N33</f>
        <v>252954.40886573316</v>
      </c>
      <c r="O34" s="204"/>
      <c r="P34" s="205">
        <f>P31*P33</f>
        <v>254597.48819407573</v>
      </c>
      <c r="Q34" s="138"/>
    </row>
    <row r="35" spans="2:17" x14ac:dyDescent="0.2">
      <c r="B35" s="170">
        <v>14</v>
      </c>
      <c r="D35" s="4" t="s">
        <v>116</v>
      </c>
      <c r="F35" s="206">
        <f>'3. Data_Input_Sheet'!E51</f>
        <v>0</v>
      </c>
      <c r="G35" s="204"/>
      <c r="H35" s="205">
        <f>'3. Data_Input_Sheet'!E51</f>
        <v>0</v>
      </c>
      <c r="I35" s="196"/>
      <c r="J35" s="206">
        <f>IF(ISBLANK('3. Data_Input_Sheet'!M51),'3. Data_Input_Sheet'!E51,'3. Data_Input_Sheet'!M51)</f>
        <v>0</v>
      </c>
      <c r="K35" s="204"/>
      <c r="L35" s="205">
        <f>IF(ISBLANK('3. Data_Input_Sheet'!M51),'3. Data_Input_Sheet'!E51,'3. Data_Input_Sheet'!M51)</f>
        <v>0</v>
      </c>
      <c r="M35" s="196"/>
      <c r="N35" s="206">
        <f>IF(ISBLANK('3. Data_Input_Sheet'!U51),'3. Data_Input_Sheet'!M51,'3. Data_Input_Sheet'!U51)</f>
        <v>0</v>
      </c>
      <c r="O35" s="204"/>
      <c r="P35" s="205">
        <f>IF(ISBLANK('3. Data_Input_Sheet'!U51),'3. Data_Input_Sheet'!M51,'3. Data_Input_Sheet'!U51)</f>
        <v>0</v>
      </c>
      <c r="Q35" s="138"/>
    </row>
    <row r="36" spans="2:17" ht="13.5" thickBot="1" x14ac:dyDescent="0.25">
      <c r="B36" s="170">
        <v>15</v>
      </c>
      <c r="D36" s="16" t="s">
        <v>112</v>
      </c>
      <c r="F36" s="209">
        <f>F28-SUM(F34:F35)</f>
        <v>2692233.4834195627</v>
      </c>
      <c r="G36" s="204"/>
      <c r="H36" s="210">
        <f>'5. Utility Income'!F37</f>
        <v>3420358.6289611617</v>
      </c>
      <c r="I36" s="196"/>
      <c r="J36" s="211">
        <f>J28-SUM(J34:J35)</f>
        <v>2851686.7961538234</v>
      </c>
      <c r="K36" s="204"/>
      <c r="L36" s="210">
        <f>'5. Utility Income'!N37</f>
        <v>3308779.4739498547</v>
      </c>
      <c r="M36" s="196"/>
      <c r="N36" s="211">
        <f>N28-SUM(N34:N35)</f>
        <v>3232990.1512863822</v>
      </c>
      <c r="O36" s="204"/>
      <c r="P36" s="210">
        <f>'5. Utility Income'!V37</f>
        <v>3237547.3727935161</v>
      </c>
      <c r="Q36" s="138"/>
    </row>
    <row r="37" spans="2:17" ht="13.5" thickTop="1" x14ac:dyDescent="0.2">
      <c r="B37" s="170"/>
      <c r="F37" s="212"/>
      <c r="G37" s="204"/>
      <c r="H37" s="213"/>
      <c r="I37" s="196"/>
      <c r="J37" s="212"/>
      <c r="K37" s="204"/>
      <c r="L37" s="213"/>
      <c r="M37" s="196"/>
      <c r="N37" s="212"/>
      <c r="O37" s="204"/>
      <c r="P37" s="213"/>
      <c r="Q37" s="138"/>
    </row>
    <row r="38" spans="2:17" x14ac:dyDescent="0.2">
      <c r="B38" s="170">
        <v>16</v>
      </c>
      <c r="D38" s="16" t="s">
        <v>48</v>
      </c>
      <c r="F38" s="206">
        <f>'4. Rate_Base'!G18</f>
        <v>91945126.299590215</v>
      </c>
      <c r="G38" s="204"/>
      <c r="H38" s="205">
        <f>'4. Rate_Base'!G18</f>
        <v>91945126.299590215</v>
      </c>
      <c r="I38" s="196"/>
      <c r="J38" s="206">
        <f>'4. Rate_Base'!O18</f>
        <v>90010309.936575532</v>
      </c>
      <c r="K38" s="204"/>
      <c r="L38" s="205">
        <f>'4. Rate_Base'!O18</f>
        <v>90010309.936575532</v>
      </c>
      <c r="M38" s="196"/>
      <c r="N38" s="206">
        <f>'4. Rate_Base'!W18</f>
        <v>88072559.936575532</v>
      </c>
      <c r="O38" s="204"/>
      <c r="P38" s="205">
        <f>'4. Rate_Base'!W18</f>
        <v>88072559.936575532</v>
      </c>
      <c r="Q38" s="138"/>
    </row>
    <row r="39" spans="2:17" x14ac:dyDescent="0.2">
      <c r="B39" s="170"/>
      <c r="D39" s="4"/>
      <c r="F39" s="206"/>
      <c r="G39" s="204"/>
      <c r="H39" s="205"/>
      <c r="I39" s="196"/>
      <c r="J39" s="212"/>
      <c r="K39" s="204"/>
      <c r="L39" s="205"/>
      <c r="M39" s="196"/>
      <c r="N39" s="212"/>
      <c r="O39" s="204"/>
      <c r="P39" s="205"/>
      <c r="Q39" s="138"/>
    </row>
    <row r="40" spans="2:17" ht="25.5" x14ac:dyDescent="0.2">
      <c r="B40" s="170">
        <v>17</v>
      </c>
      <c r="D40" s="166" t="s">
        <v>132</v>
      </c>
      <c r="E40" s="72"/>
      <c r="F40" s="217">
        <f>'7. Cost_of_Capital'!J24</f>
        <v>36778050.519836091</v>
      </c>
      <c r="G40" s="218"/>
      <c r="H40" s="219">
        <f>F40</f>
        <v>36778050.519836091</v>
      </c>
      <c r="I40" s="196"/>
      <c r="J40" s="206">
        <f>'7. Cost_of_Capital'!J40</f>
        <v>36004123.974630214</v>
      </c>
      <c r="K40" s="204"/>
      <c r="L40" s="213">
        <f>J40</f>
        <v>36004123.974630214</v>
      </c>
      <c r="M40" s="196"/>
      <c r="N40" s="206">
        <f>'7. Cost_of_Capital'!J56</f>
        <v>35229023.974630214</v>
      </c>
      <c r="O40" s="204"/>
      <c r="P40" s="213">
        <f>N40</f>
        <v>35229023.974630214</v>
      </c>
      <c r="Q40" s="138"/>
    </row>
    <row r="41" spans="2:17" x14ac:dyDescent="0.2">
      <c r="B41" s="170"/>
      <c r="D41" s="72"/>
      <c r="E41" s="72"/>
      <c r="F41" s="220"/>
      <c r="G41" s="218"/>
      <c r="H41" s="221"/>
      <c r="I41" s="196"/>
      <c r="J41" s="203"/>
      <c r="K41" s="204"/>
      <c r="L41" s="198"/>
      <c r="M41" s="196"/>
      <c r="N41" s="203"/>
      <c r="O41" s="204"/>
      <c r="P41" s="198"/>
      <c r="Q41" s="138"/>
    </row>
    <row r="42" spans="2:17" ht="25.5" x14ac:dyDescent="0.2">
      <c r="B42" s="170">
        <v>18</v>
      </c>
      <c r="D42" s="28" t="s">
        <v>233</v>
      </c>
      <c r="F42" s="214">
        <f>IF(F40=0,0,F36/F40)</f>
        <v>7.3202180250623056E-2</v>
      </c>
      <c r="G42" s="204"/>
      <c r="H42" s="202">
        <f>IF(H40=0,0,H36/H40)</f>
        <v>9.2999998113450999E-2</v>
      </c>
      <c r="I42" s="196"/>
      <c r="J42" s="214">
        <f>IF(J40=0,0,J36/J40)</f>
        <v>7.9204448861558835E-2</v>
      </c>
      <c r="K42" s="204"/>
      <c r="L42" s="202">
        <f>IF(L40=0,0,L36/L40)</f>
        <v>9.1900013350730003E-2</v>
      </c>
      <c r="M42" s="196"/>
      <c r="N42" s="214">
        <f>IF(N40=0,0,N36/N40)</f>
        <v>9.1770642116414683E-2</v>
      </c>
      <c r="O42" s="204"/>
      <c r="P42" s="202">
        <f>IF(P40=0,0,P36/P40)</f>
        <v>9.1900001973514778E-2</v>
      </c>
      <c r="Q42" s="138"/>
    </row>
    <row r="43" spans="2:17" ht="25.5" x14ac:dyDescent="0.2">
      <c r="B43" s="170">
        <v>19</v>
      </c>
      <c r="D43" s="28" t="s">
        <v>119</v>
      </c>
      <c r="F43" s="222">
        <f>'7. Cost_of_Capital'!L24</f>
        <v>9.2999999999999999E-2</v>
      </c>
      <c r="G43" s="204"/>
      <c r="H43" s="223">
        <f>'7. Cost_of_Capital'!L24</f>
        <v>9.2999999999999999E-2</v>
      </c>
      <c r="I43" s="196"/>
      <c r="J43" s="224">
        <f>'7. Cost_of_Capital'!L40</f>
        <v>9.1899999999999996E-2</v>
      </c>
      <c r="K43" s="204"/>
      <c r="L43" s="223">
        <f>'7. Cost_of_Capital'!L40</f>
        <v>9.1899999999999996E-2</v>
      </c>
      <c r="M43" s="196"/>
      <c r="N43" s="224">
        <f>'7. Cost_of_Capital'!L56</f>
        <v>9.1899999999999996E-2</v>
      </c>
      <c r="O43" s="204"/>
      <c r="P43" s="223">
        <f>'7. Cost_of_Capital'!L56</f>
        <v>9.1899999999999996E-2</v>
      </c>
      <c r="Q43" s="138"/>
    </row>
    <row r="44" spans="2:17" ht="25.5" x14ac:dyDescent="0.2">
      <c r="B44" s="170">
        <v>20</v>
      </c>
      <c r="D44" s="28" t="s">
        <v>228</v>
      </c>
      <c r="F44" s="214">
        <f>F42-F43</f>
        <v>-1.9797819749376944E-2</v>
      </c>
      <c r="G44" s="204"/>
      <c r="H44" s="202">
        <f>H42-H43</f>
        <v>-1.8865490003516783E-9</v>
      </c>
      <c r="I44" s="196"/>
      <c r="J44" s="225">
        <f>J42-J43</f>
        <v>-1.2695551138441161E-2</v>
      </c>
      <c r="K44" s="204"/>
      <c r="L44" s="202">
        <f>L42-L43</f>
        <v>1.3350730007632983E-8</v>
      </c>
      <c r="M44" s="196"/>
      <c r="N44" s="225">
        <f>N42-N43</f>
        <v>-1.2935788358531264E-4</v>
      </c>
      <c r="O44" s="204"/>
      <c r="P44" s="202">
        <f>P42-P43</f>
        <v>1.9735147821497989E-9</v>
      </c>
      <c r="Q44" s="138"/>
    </row>
    <row r="45" spans="2:17" x14ac:dyDescent="0.2">
      <c r="B45" s="170"/>
      <c r="F45" s="214"/>
      <c r="G45" s="204"/>
      <c r="H45" s="202"/>
      <c r="I45" s="196"/>
      <c r="J45" s="203"/>
      <c r="K45" s="204"/>
      <c r="L45" s="198"/>
      <c r="M45" s="196"/>
      <c r="N45" s="203"/>
      <c r="O45" s="204"/>
      <c r="P45" s="198"/>
      <c r="Q45" s="138"/>
    </row>
    <row r="46" spans="2:17" x14ac:dyDescent="0.2">
      <c r="B46" s="170">
        <v>21</v>
      </c>
      <c r="D46" s="5" t="s">
        <v>49</v>
      </c>
      <c r="F46" s="214">
        <f>IF(F38=0,0,(F36+F25)/F38)</f>
        <v>5.3611436792563173E-2</v>
      </c>
      <c r="G46" s="204"/>
      <c r="H46" s="202">
        <f>IF(H38=0,0,(H36+H25)/H38)</f>
        <v>6.1530563937694349E-2</v>
      </c>
      <c r="I46" s="196"/>
      <c r="J46" s="214">
        <f>IF(J38=0,0,(J36+J25)/J38)</f>
        <v>5.4752063603985351E-2</v>
      </c>
      <c r="K46" s="204"/>
      <c r="L46" s="202">
        <f>IF(L40=0,0,(L36+L25)/L38)</f>
        <v>5.9830289399653812E-2</v>
      </c>
      <c r="M46" s="196"/>
      <c r="N46" s="214">
        <f>IF(N38=0,0,(N36+N25)/N38)</f>
        <v>5.9778540905927692E-2</v>
      </c>
      <c r="O46" s="204"/>
      <c r="P46" s="202">
        <f>IF(P40=0,0,(P36+P25)/P38)</f>
        <v>5.9830284848767727E-2</v>
      </c>
      <c r="Q46" s="138"/>
    </row>
    <row r="47" spans="2:17" ht="25.5" x14ac:dyDescent="0.2">
      <c r="B47" s="170">
        <v>22</v>
      </c>
      <c r="D47" s="28" t="s">
        <v>120</v>
      </c>
      <c r="F47" s="224">
        <f>'7. Cost_of_Capital'!L26</f>
        <v>6.1530564692313952E-2</v>
      </c>
      <c r="G47" s="204"/>
      <c r="H47" s="226">
        <f>'7. Cost_of_Capital'!L26</f>
        <v>6.1530564692313952E-2</v>
      </c>
      <c r="I47" s="196"/>
      <c r="J47" s="224">
        <f>'7. Cost_of_Capital'!L42</f>
        <v>5.9830284059361818E-2</v>
      </c>
      <c r="K47" s="204"/>
      <c r="L47" s="223">
        <f>'7. Cost_of_Capital'!L42</f>
        <v>5.9830284059361818E-2</v>
      </c>
      <c r="M47" s="196"/>
      <c r="N47" s="224">
        <f>'7. Cost_of_Capital'!L58</f>
        <v>5.9830284059361818E-2</v>
      </c>
      <c r="O47" s="204"/>
      <c r="P47" s="223">
        <f>'7. Cost_of_Capital'!L58</f>
        <v>5.9830284059361818E-2</v>
      </c>
      <c r="Q47" s="138"/>
    </row>
    <row r="48" spans="2:17" ht="25.5" x14ac:dyDescent="0.2">
      <c r="B48" s="170">
        <v>23</v>
      </c>
      <c r="D48" s="28" t="s">
        <v>229</v>
      </c>
      <c r="F48" s="225">
        <f>F46-F47</f>
        <v>-7.9191278997507789E-3</v>
      </c>
      <c r="G48" s="204"/>
      <c r="H48" s="227">
        <f>H46-H47</f>
        <v>-7.5461960291622887E-10</v>
      </c>
      <c r="I48" s="196"/>
      <c r="J48" s="225">
        <f>J46-J47</f>
        <v>-5.078220455376467E-3</v>
      </c>
      <c r="K48" s="204"/>
      <c r="L48" s="227">
        <f>L46-L47</f>
        <v>5.3402919933387416E-9</v>
      </c>
      <c r="M48" s="196"/>
      <c r="N48" s="225">
        <f>N46-N47</f>
        <v>-5.1743153434126443E-5</v>
      </c>
      <c r="O48" s="204"/>
      <c r="P48" s="227">
        <f>P46-P47</f>
        <v>7.8940590869658323E-10</v>
      </c>
      <c r="Q48" s="138"/>
    </row>
    <row r="49" spans="2:17" x14ac:dyDescent="0.2">
      <c r="B49" s="170"/>
      <c r="F49" s="203"/>
      <c r="G49" s="204"/>
      <c r="H49" s="198"/>
      <c r="I49" s="196"/>
      <c r="J49" s="203"/>
      <c r="K49" s="204"/>
      <c r="L49" s="198"/>
      <c r="M49" s="196"/>
      <c r="N49" s="203"/>
      <c r="O49" s="204"/>
      <c r="P49" s="198"/>
      <c r="Q49" s="138"/>
    </row>
    <row r="50" spans="2:17" x14ac:dyDescent="0.2">
      <c r="B50" s="170">
        <v>24</v>
      </c>
      <c r="D50" s="5" t="s">
        <v>130</v>
      </c>
      <c r="F50" s="206">
        <f>H50</f>
        <v>3420358.6983447564</v>
      </c>
      <c r="G50" s="228"/>
      <c r="H50" s="205">
        <f>'7. Cost_of_Capital'!P24</f>
        <v>3420358.6983447564</v>
      </c>
      <c r="I50" s="229"/>
      <c r="J50" s="206">
        <f>L50</f>
        <v>3308778.9932685164</v>
      </c>
      <c r="K50" s="228"/>
      <c r="L50" s="205">
        <f>'7. Cost_of_Capital'!P40</f>
        <v>3308778.9932685164</v>
      </c>
      <c r="M50" s="229"/>
      <c r="N50" s="206">
        <f>P50</f>
        <v>3237547.3032685164</v>
      </c>
      <c r="O50" s="228"/>
      <c r="P50" s="205">
        <f>'7. Cost_of_Capital'!P56</f>
        <v>3237547.3032685164</v>
      </c>
      <c r="Q50" s="138"/>
    </row>
    <row r="51" spans="2:17" x14ac:dyDescent="0.2">
      <c r="B51" s="170">
        <v>25</v>
      </c>
      <c r="D51" s="5" t="s">
        <v>161</v>
      </c>
      <c r="F51" s="206">
        <f>F50-F36</f>
        <v>728125.21492519369</v>
      </c>
      <c r="G51" s="228" t="s">
        <v>121</v>
      </c>
      <c r="H51" s="213">
        <f>H38*H48</f>
        <v>-6.9383594698279275E-2</v>
      </c>
      <c r="I51" s="229"/>
      <c r="J51" s="206">
        <f>J50-J36</f>
        <v>457092.197114693</v>
      </c>
      <c r="K51" s="228"/>
      <c r="L51" s="213">
        <f>L38*L48</f>
        <v>0.48068133747223291</v>
      </c>
      <c r="M51" s="229"/>
      <c r="N51" s="206">
        <f>N50-N36</f>
        <v>4557.1519821342081</v>
      </c>
      <c r="O51" s="228"/>
      <c r="P51" s="213">
        <f>P38*P48</f>
        <v>6.9524999207966703E-2</v>
      </c>
      <c r="Q51" s="138"/>
    </row>
    <row r="52" spans="2:17" ht="25.5" x14ac:dyDescent="0.2">
      <c r="B52" s="170">
        <v>26</v>
      </c>
      <c r="D52" s="56" t="s">
        <v>160</v>
      </c>
      <c r="F52" s="207">
        <f>F51/(1-F33)</f>
        <v>990646.55091863091</v>
      </c>
      <c r="G52" s="230" t="s">
        <v>2</v>
      </c>
      <c r="H52" s="231"/>
      <c r="I52" s="229"/>
      <c r="J52" s="207">
        <f>J51/(1-J33)</f>
        <v>621894.14573427616</v>
      </c>
      <c r="K52" s="230" t="s">
        <v>2</v>
      </c>
      <c r="L52" s="231"/>
      <c r="M52" s="229"/>
      <c r="N52" s="207">
        <f>N51/(1-N33)</f>
        <v>6200.206778413889</v>
      </c>
      <c r="O52" s="230" t="s">
        <v>2</v>
      </c>
      <c r="P52" s="231"/>
    </row>
    <row r="55" spans="2:17" x14ac:dyDescent="0.2">
      <c r="B55" s="524" t="s">
        <v>42</v>
      </c>
      <c r="C55" s="524"/>
      <c r="D55" s="524"/>
      <c r="E55" s="524"/>
      <c r="F55" s="524"/>
      <c r="G55" s="524"/>
      <c r="H55" s="524"/>
      <c r="I55" s="524"/>
      <c r="J55" s="74"/>
      <c r="K55" s="74"/>
      <c r="L55" s="74"/>
      <c r="M55" s="74"/>
      <c r="N55" s="74"/>
      <c r="O55" s="74"/>
    </row>
    <row r="56" spans="2:17" x14ac:dyDescent="0.2">
      <c r="B56" s="18" t="s">
        <v>2</v>
      </c>
      <c r="D56" s="479" t="s">
        <v>232</v>
      </c>
      <c r="E56" s="479"/>
      <c r="F56" s="479"/>
      <c r="G56" s="479"/>
      <c r="H56" s="479"/>
      <c r="I56" s="479"/>
      <c r="J56" s="479"/>
      <c r="K56" s="479"/>
      <c r="L56" s="479"/>
      <c r="M56" s="479"/>
      <c r="N56" s="479"/>
      <c r="O56" s="479"/>
      <c r="P56" s="479"/>
    </row>
    <row r="57" spans="2:17" x14ac:dyDescent="0.2">
      <c r="B57" s="364">
        <v>2</v>
      </c>
      <c r="D57" s="530"/>
      <c r="E57" s="529"/>
      <c r="F57" s="529"/>
      <c r="G57" s="529"/>
      <c r="H57" s="529"/>
      <c r="I57" s="529"/>
      <c r="J57" s="529"/>
      <c r="K57" s="529"/>
      <c r="L57" s="529"/>
      <c r="M57" s="529"/>
      <c r="N57" s="529"/>
      <c r="O57" s="529"/>
      <c r="P57" s="529"/>
    </row>
    <row r="58" spans="2:17" x14ac:dyDescent="0.2">
      <c r="B58" s="364"/>
      <c r="D58" s="530"/>
      <c r="E58" s="529"/>
      <c r="F58" s="529"/>
      <c r="G58" s="529"/>
      <c r="H58" s="529"/>
      <c r="I58" s="529"/>
      <c r="J58" s="529"/>
      <c r="K58" s="529"/>
      <c r="L58" s="529"/>
      <c r="M58" s="529"/>
      <c r="N58" s="529"/>
      <c r="O58" s="529"/>
      <c r="P58" s="529"/>
    </row>
    <row r="59" spans="2:17" x14ac:dyDescent="0.2">
      <c r="B59" s="364"/>
      <c r="D59" s="529"/>
      <c r="E59" s="529"/>
      <c r="F59" s="529"/>
      <c r="G59" s="529"/>
      <c r="H59" s="529"/>
      <c r="I59" s="529"/>
      <c r="J59" s="529"/>
      <c r="K59" s="529"/>
      <c r="L59" s="529"/>
      <c r="M59" s="529"/>
      <c r="N59" s="529"/>
      <c r="O59" s="529"/>
      <c r="P59" s="529"/>
    </row>
    <row r="60" spans="2:17" x14ac:dyDescent="0.2">
      <c r="B60" s="364"/>
      <c r="D60" s="529"/>
      <c r="E60" s="529"/>
      <c r="F60" s="529"/>
      <c r="G60" s="529"/>
      <c r="H60" s="529"/>
      <c r="I60" s="529"/>
      <c r="J60" s="529"/>
      <c r="K60" s="529"/>
      <c r="L60" s="529"/>
      <c r="M60" s="529"/>
      <c r="N60" s="529"/>
      <c r="O60" s="529"/>
      <c r="P60" s="529"/>
    </row>
  </sheetData>
  <sheetProtection password="82A3" sheet="1" objects="1" scenarios="1"/>
  <mergeCells count="22">
    <mergeCell ref="D60:P60"/>
    <mergeCell ref="D56:P56"/>
    <mergeCell ref="D58:P58"/>
    <mergeCell ref="D59:P59"/>
    <mergeCell ref="F8:P8"/>
    <mergeCell ref="H15:H16"/>
    <mergeCell ref="P15:P16"/>
    <mergeCell ref="F15:F16"/>
    <mergeCell ref="N13:P13"/>
    <mergeCell ref="N15:N16"/>
    <mergeCell ref="J13:L13"/>
    <mergeCell ref="J15:J16"/>
    <mergeCell ref="L15:L16"/>
    <mergeCell ref="D57:P57"/>
    <mergeCell ref="C1:O1"/>
    <mergeCell ref="C2:O2"/>
    <mergeCell ref="C3:O3"/>
    <mergeCell ref="C4:H4"/>
    <mergeCell ref="B55:I55"/>
    <mergeCell ref="D15:D16"/>
    <mergeCell ref="B15:B16"/>
    <mergeCell ref="F13:H13"/>
  </mergeCells>
  <phoneticPr fontId="2" type="noConversion"/>
  <conditionalFormatting sqref="J13:L13">
    <cfRule type="cellIs" dxfId="1" priority="1" stopIfTrue="1" operator="equal">
      <formula>""</formula>
    </cfRule>
  </conditionalFormatting>
  <pageMargins left="0.75" right="0.75" top="0.65" bottom="1" header="0.4" footer="0.5"/>
  <pageSetup scale="62" orientation="portrait" r:id="rId1"/>
  <headerFooter alignWithMargins="0">
    <oddFooter>&amp;C7</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U45"/>
  <sheetViews>
    <sheetView showGridLines="0" zoomScaleNormal="100" zoomScaleSheetLayoutView="100" workbookViewId="0">
      <selection activeCell="N25" sqref="N25:O25"/>
    </sheetView>
  </sheetViews>
  <sheetFormatPr defaultRowHeight="12.75" x14ac:dyDescent="0.2"/>
  <cols>
    <col min="1" max="1" width="1.85546875" style="5" customWidth="1"/>
    <col min="2" max="2" width="5.7109375" style="5" customWidth="1"/>
    <col min="3" max="3" width="2.85546875" style="5" customWidth="1"/>
    <col min="4" max="4" width="31.28515625" style="5" customWidth="1"/>
    <col min="5" max="5" width="2.7109375" style="5" customWidth="1"/>
    <col min="6" max="6" width="18.7109375" style="5" customWidth="1"/>
    <col min="7" max="7" width="1.7109375" style="5" customWidth="1"/>
    <col min="8" max="8" width="3.7109375" style="5" customWidth="1"/>
    <col min="9" max="9" width="1.7109375" style="5" customWidth="1"/>
    <col min="10" max="10" width="18.7109375" style="5" customWidth="1"/>
    <col min="11" max="11" width="1.140625" style="5" customWidth="1"/>
    <col min="12" max="12" width="3.7109375" style="5" customWidth="1"/>
    <col min="13" max="13" width="1.140625" style="5" customWidth="1"/>
    <col min="14" max="14" width="6.7109375" style="5" customWidth="1"/>
    <col min="15" max="15" width="12.7109375" style="5" customWidth="1"/>
    <col min="16" max="16" width="1.140625" style="5" customWidth="1"/>
    <col min="17" max="17" width="3.7109375" style="5" customWidth="1"/>
    <col min="18" max="18" width="2.140625" style="5" customWidth="1"/>
    <col min="19" max="16384" width="9.140625" style="5"/>
  </cols>
  <sheetData>
    <row r="1" spans="2:18" s="2" customFormat="1" ht="21.75" x14ac:dyDescent="0.2">
      <c r="C1" s="476"/>
      <c r="D1" s="476"/>
      <c r="E1" s="476"/>
      <c r="F1" s="476"/>
      <c r="G1" s="476"/>
      <c r="H1" s="476"/>
      <c r="I1" s="476"/>
      <c r="J1" s="476"/>
      <c r="K1" s="476"/>
      <c r="L1" s="476"/>
      <c r="M1" s="476"/>
      <c r="N1" s="476"/>
      <c r="O1" s="546"/>
      <c r="P1" s="546"/>
      <c r="Q1" s="546"/>
      <c r="R1" s="1"/>
    </row>
    <row r="2" spans="2:18" s="2" customFormat="1" ht="18" x14ac:dyDescent="0.25">
      <c r="C2" s="515"/>
      <c r="D2" s="515"/>
      <c r="E2" s="515"/>
      <c r="F2" s="515"/>
      <c r="G2" s="515"/>
      <c r="H2" s="515"/>
      <c r="I2" s="515"/>
      <c r="J2" s="515"/>
      <c r="K2" s="515"/>
      <c r="L2" s="515"/>
      <c r="M2" s="515"/>
      <c r="N2" s="515"/>
      <c r="O2" s="515"/>
      <c r="P2" s="515"/>
      <c r="Q2" s="515"/>
      <c r="R2" s="515"/>
    </row>
    <row r="3" spans="2:18" s="2" customFormat="1" ht="18" x14ac:dyDescent="0.25">
      <c r="C3" s="515"/>
      <c r="D3" s="515"/>
      <c r="E3" s="515"/>
      <c r="F3" s="515"/>
      <c r="G3" s="515"/>
      <c r="H3" s="515"/>
      <c r="I3" s="515"/>
      <c r="J3" s="515"/>
      <c r="K3" s="515"/>
      <c r="L3" s="515"/>
      <c r="M3" s="515"/>
      <c r="N3" s="515"/>
      <c r="O3" s="515"/>
      <c r="P3" s="515"/>
      <c r="Q3" s="515"/>
      <c r="R3" s="515"/>
    </row>
    <row r="4" spans="2:18" s="2" customFormat="1" ht="18" x14ac:dyDescent="0.25">
      <c r="C4" s="515"/>
      <c r="D4" s="515"/>
      <c r="E4" s="515"/>
      <c r="F4" s="515"/>
      <c r="G4" s="515"/>
      <c r="H4" s="515"/>
      <c r="I4" s="515"/>
      <c r="J4" s="515"/>
      <c r="K4" s="515"/>
      <c r="L4" s="515"/>
      <c r="M4" s="515"/>
      <c r="N4" s="515"/>
      <c r="O4" s="38"/>
      <c r="P4" s="38"/>
      <c r="Q4" s="38"/>
      <c r="R4" s="38"/>
    </row>
    <row r="5" spans="2:18" s="2" customFormat="1" ht="15.75" x14ac:dyDescent="0.25">
      <c r="E5" s="3"/>
      <c r="F5" s="3"/>
      <c r="G5" s="3"/>
    </row>
    <row r="6" spans="2:18" s="2" customFormat="1" x14ac:dyDescent="0.2"/>
    <row r="8" spans="2:18" ht="15.75" x14ac:dyDescent="0.2">
      <c r="D8" s="25"/>
      <c r="F8" s="542"/>
      <c r="G8" s="542"/>
      <c r="H8" s="542"/>
      <c r="I8" s="542"/>
      <c r="J8" s="542"/>
      <c r="K8" s="542"/>
      <c r="L8" s="542"/>
      <c r="M8" s="542"/>
      <c r="N8" s="542"/>
      <c r="O8" s="542"/>
      <c r="P8" s="40"/>
      <c r="Q8" s="39"/>
    </row>
    <row r="9" spans="2:18" ht="13.5" customHeight="1" x14ac:dyDescent="0.2">
      <c r="F9" s="40"/>
      <c r="G9" s="40"/>
      <c r="H9" s="40"/>
      <c r="I9" s="40"/>
      <c r="J9" s="40"/>
      <c r="K9" s="40"/>
      <c r="L9" s="40"/>
      <c r="M9" s="40"/>
      <c r="N9" s="40"/>
      <c r="O9" s="40"/>
      <c r="P9" s="40"/>
      <c r="Q9" s="39"/>
    </row>
    <row r="10" spans="2:18" ht="18" customHeight="1" x14ac:dyDescent="0.2">
      <c r="F10" s="40"/>
      <c r="G10" s="40"/>
      <c r="H10" s="40"/>
      <c r="I10" s="40"/>
      <c r="J10" s="40"/>
      <c r="K10" s="40"/>
      <c r="L10" s="40"/>
      <c r="M10" s="40"/>
      <c r="N10" s="40"/>
      <c r="O10" s="40"/>
      <c r="P10" s="40"/>
      <c r="Q10" s="39"/>
    </row>
    <row r="11" spans="2:18" ht="13.5" customHeight="1" x14ac:dyDescent="0.2">
      <c r="B11" s="380" t="s">
        <v>247</v>
      </c>
      <c r="F11" s="40"/>
      <c r="G11" s="40"/>
      <c r="H11" s="40"/>
      <c r="I11" s="40"/>
      <c r="J11" s="40"/>
      <c r="K11" s="40"/>
      <c r="L11" s="40"/>
      <c r="M11" s="40"/>
      <c r="N11" s="40"/>
      <c r="O11" s="40"/>
      <c r="P11" s="40"/>
      <c r="Q11" s="39"/>
    </row>
    <row r="12" spans="2:18" ht="13.5" customHeight="1" x14ac:dyDescent="0.2">
      <c r="F12" s="40"/>
      <c r="G12" s="40"/>
      <c r="H12" s="40"/>
      <c r="I12" s="40"/>
      <c r="J12" s="40"/>
      <c r="K12" s="40"/>
      <c r="L12" s="40"/>
      <c r="M12" s="40"/>
      <c r="N12" s="40"/>
      <c r="O12" s="40"/>
      <c r="P12" s="40"/>
      <c r="Q12" s="39"/>
    </row>
    <row r="13" spans="2:18" ht="39" customHeight="1" x14ac:dyDescent="0.2">
      <c r="B13" s="386" t="s">
        <v>37</v>
      </c>
      <c r="D13" s="42" t="s">
        <v>36</v>
      </c>
      <c r="F13" s="306" t="s">
        <v>23</v>
      </c>
      <c r="G13" s="307"/>
      <c r="H13" s="307"/>
      <c r="I13" s="307"/>
      <c r="J13" s="308" t="str">
        <f>IF(ISBLANK('3. Data_Input_Sheet'!M12),"",'3. Data_Input_Sheet'!M12)</f>
        <v>Interrogatory Responses</v>
      </c>
      <c r="K13" s="307"/>
      <c r="L13" s="307"/>
      <c r="M13" s="307"/>
      <c r="N13" s="541" t="str">
        <f>'3. Data_Input_Sheet'!U12</f>
        <v>Per Board Decision</v>
      </c>
      <c r="O13" s="541"/>
      <c r="P13" s="144"/>
    </row>
    <row r="14" spans="2:18" ht="14.25" customHeight="1" x14ac:dyDescent="0.2">
      <c r="B14" s="389"/>
      <c r="D14" s="44"/>
      <c r="F14" s="44"/>
      <c r="G14" s="44"/>
      <c r="H14" s="44"/>
      <c r="I14" s="44"/>
      <c r="J14" s="44"/>
      <c r="K14" s="44"/>
      <c r="L14" s="44"/>
      <c r="M14" s="44"/>
      <c r="N14" s="525"/>
      <c r="O14" s="525"/>
      <c r="P14" s="44"/>
    </row>
    <row r="15" spans="2:18" x14ac:dyDescent="0.2">
      <c r="B15" s="351">
        <v>1</v>
      </c>
      <c r="D15" s="5" t="s">
        <v>140</v>
      </c>
      <c r="F15" s="45">
        <f>'5. Utility Income'!F22</f>
        <v>9903387.8672020137</v>
      </c>
      <c r="G15" s="45"/>
      <c r="H15" s="366"/>
      <c r="I15" s="186"/>
      <c r="J15" s="45">
        <f>'5. Utility Income'!N22</f>
        <v>10122447.997202015</v>
      </c>
      <c r="K15" s="186"/>
      <c r="L15" s="366"/>
      <c r="M15" s="186"/>
      <c r="N15" s="552">
        <f>'5. Utility Income'!V22</f>
        <v>9572447.9972020146</v>
      </c>
      <c r="O15" s="553"/>
      <c r="P15" s="152"/>
      <c r="Q15" s="366"/>
    </row>
    <row r="16" spans="2:18" x14ac:dyDescent="0.2">
      <c r="B16" s="351">
        <v>2</v>
      </c>
      <c r="D16" s="5" t="s">
        <v>34</v>
      </c>
      <c r="F16" s="46">
        <f>'5. Utility Income'!F23</f>
        <v>3292486.0000000005</v>
      </c>
      <c r="G16" s="46"/>
      <c r="H16" s="366"/>
      <c r="I16" s="187"/>
      <c r="J16" s="174">
        <f>'5. Utility Income'!N23</f>
        <v>3179163.2600000002</v>
      </c>
      <c r="K16" s="187"/>
      <c r="L16" s="366"/>
      <c r="M16" s="187"/>
      <c r="N16" s="535">
        <f>'5. Utility Income'!V23</f>
        <v>3140459.2600000002</v>
      </c>
      <c r="O16" s="536"/>
      <c r="P16" s="149"/>
      <c r="Q16" s="366"/>
    </row>
    <row r="17" spans="2:21" ht="12.75" customHeight="1" x14ac:dyDescent="0.2">
      <c r="B17" s="351">
        <v>3</v>
      </c>
      <c r="D17" s="5" t="s">
        <v>45</v>
      </c>
      <c r="F17" s="46">
        <f>'5. Utility Income'!F24</f>
        <v>0</v>
      </c>
      <c r="G17" s="46"/>
      <c r="H17" s="366"/>
      <c r="I17" s="187"/>
      <c r="J17" s="174" t="str">
        <f>'5. Utility Income'!N24</f>
        <v/>
      </c>
      <c r="K17" s="187"/>
      <c r="L17" s="366"/>
      <c r="M17" s="187"/>
      <c r="N17" s="535" t="str">
        <f>'5. Utility Income'!V24</f>
        <v/>
      </c>
      <c r="O17" s="536"/>
      <c r="P17" s="149"/>
      <c r="Q17" s="366"/>
    </row>
    <row r="18" spans="2:21" s="173" customFormat="1" ht="0.75" customHeight="1" x14ac:dyDescent="0.2">
      <c r="B18" s="390">
        <v>4</v>
      </c>
      <c r="D18" s="173" t="s">
        <v>139</v>
      </c>
      <c r="F18" s="325">
        <f>'6. Taxes_PILs'!G25</f>
        <v>0</v>
      </c>
      <c r="G18" s="325"/>
      <c r="H18" s="326"/>
      <c r="I18" s="327"/>
      <c r="J18" s="328">
        <f>'6. Taxes_PILs'!K25</f>
        <v>0</v>
      </c>
      <c r="K18" s="327"/>
      <c r="L18" s="326"/>
      <c r="M18" s="327"/>
      <c r="N18" s="548">
        <f>'6. Taxes_PILs'!O25</f>
        <v>0</v>
      </c>
      <c r="O18" s="549"/>
      <c r="P18" s="329"/>
      <c r="Q18" s="326"/>
    </row>
    <row r="19" spans="2:21" x14ac:dyDescent="0.2">
      <c r="B19" s="351">
        <v>5</v>
      </c>
      <c r="D19" s="5" t="s">
        <v>91</v>
      </c>
      <c r="F19" s="46">
        <f>'6. Taxes_PILs'!G33-F18</f>
        <v>256212.267233989</v>
      </c>
      <c r="G19" s="46"/>
      <c r="H19" s="366"/>
      <c r="I19" s="187"/>
      <c r="J19" s="174">
        <f>'6. Taxes_PILs'!K33-J18</f>
        <v>253625.85034013606</v>
      </c>
      <c r="K19" s="187"/>
      <c r="L19" s="366"/>
      <c r="M19" s="187"/>
      <c r="N19" s="535">
        <f>'6. Taxes_PILs'!O33-N18</f>
        <v>254597.48671083548</v>
      </c>
      <c r="O19" s="536"/>
      <c r="P19" s="149"/>
      <c r="Q19" s="366"/>
    </row>
    <row r="20" spans="2:21" x14ac:dyDescent="0.2">
      <c r="B20" s="351">
        <v>6</v>
      </c>
      <c r="D20" s="5" t="s">
        <v>134</v>
      </c>
      <c r="F20" s="46">
        <f>'5. Utility Income'!F26</f>
        <v>0</v>
      </c>
      <c r="G20" s="46"/>
      <c r="H20" s="366"/>
      <c r="I20" s="187"/>
      <c r="J20" s="151" t="str">
        <f>'5. Utility Income'!N26</f>
        <v/>
      </c>
      <c r="K20" s="187"/>
      <c r="L20" s="366"/>
      <c r="M20" s="187"/>
      <c r="N20" s="547" t="str">
        <f>'5. Utility Income'!V26</f>
        <v/>
      </c>
      <c r="O20" s="547"/>
      <c r="P20" s="151"/>
      <c r="Q20" s="366"/>
    </row>
    <row r="21" spans="2:21" x14ac:dyDescent="0.2">
      <c r="B21" s="351">
        <v>7</v>
      </c>
      <c r="D21" s="5" t="s">
        <v>22</v>
      </c>
      <c r="F21" s="47"/>
      <c r="G21" s="47"/>
      <c r="H21" s="188"/>
      <c r="I21" s="188"/>
      <c r="J21" s="47"/>
      <c r="K21" s="188"/>
      <c r="L21" s="189"/>
      <c r="M21" s="188"/>
      <c r="N21" s="537"/>
      <c r="O21" s="538"/>
      <c r="P21" s="150"/>
      <c r="Q21" s="189"/>
    </row>
    <row r="22" spans="2:21" x14ac:dyDescent="0.2">
      <c r="B22" s="351"/>
      <c r="D22" s="383" t="s">
        <v>95</v>
      </c>
      <c r="F22" s="49">
        <f>'8. Rev_Def_Suff'!F25</f>
        <v>2237076.8435751563</v>
      </c>
      <c r="G22" s="49"/>
      <c r="H22" s="366"/>
      <c r="I22" s="190"/>
      <c r="J22" s="49">
        <f>'8. Rev_Def_Suff'!L25</f>
        <v>2076563.4185079946</v>
      </c>
      <c r="K22" s="190"/>
      <c r="L22" s="366"/>
      <c r="M22" s="190"/>
      <c r="N22" s="540">
        <f>'8. Rev_Def_Suff'!P25</f>
        <v>2031858.9755719665</v>
      </c>
      <c r="O22" s="540"/>
      <c r="P22" s="148"/>
      <c r="Q22" s="366"/>
    </row>
    <row r="23" spans="2:21" x14ac:dyDescent="0.2">
      <c r="B23" s="351"/>
      <c r="D23" s="383" t="s">
        <v>262</v>
      </c>
      <c r="F23" s="49">
        <f>'8. Rev_Def_Suff'!F50</f>
        <v>3420358.6983447564</v>
      </c>
      <c r="G23" s="49"/>
      <c r="H23" s="366"/>
      <c r="I23" s="190"/>
      <c r="J23" s="49">
        <f>'8. Rev_Def_Suff'!L50</f>
        <v>3308778.9932685164</v>
      </c>
      <c r="K23" s="190"/>
      <c r="L23" s="366"/>
      <c r="M23" s="190"/>
      <c r="N23" s="540">
        <f>'8. Rev_Def_Suff'!P50</f>
        <v>3237547.3032685164</v>
      </c>
      <c r="O23" s="540"/>
      <c r="P23" s="148"/>
      <c r="Q23" s="366"/>
    </row>
    <row r="24" spans="2:21" x14ac:dyDescent="0.2">
      <c r="B24" s="351"/>
      <c r="C24" s="15"/>
      <c r="D24" s="15"/>
      <c r="E24" s="15"/>
      <c r="F24" s="50"/>
      <c r="G24" s="48"/>
      <c r="H24" s="191"/>
      <c r="I24" s="191"/>
      <c r="J24" s="50"/>
      <c r="K24" s="191"/>
      <c r="L24" s="191"/>
      <c r="M24" s="191"/>
      <c r="N24" s="50"/>
      <c r="O24" s="51"/>
      <c r="P24" s="150"/>
      <c r="Q24" s="191"/>
      <c r="R24" s="15"/>
      <c r="S24" s="15"/>
      <c r="T24" s="15"/>
      <c r="U24" s="15"/>
    </row>
    <row r="25" spans="2:21" ht="26.25" thickBot="1" x14ac:dyDescent="0.25">
      <c r="B25" s="351">
        <v>8</v>
      </c>
      <c r="C25" s="15"/>
      <c r="D25" s="56" t="s">
        <v>238</v>
      </c>
      <c r="E25" s="15"/>
      <c r="F25" s="52">
        <f>SUM(F15:F23)</f>
        <v>19109521.676355913</v>
      </c>
      <c r="G25" s="48"/>
      <c r="H25" s="366"/>
      <c r="I25" s="191"/>
      <c r="J25" s="52">
        <f>SUM(J15:J23)</f>
        <v>18940579.519318663</v>
      </c>
      <c r="K25" s="191"/>
      <c r="L25" s="366"/>
      <c r="M25" s="191"/>
      <c r="N25" s="490">
        <f>SUM(N15:O23)</f>
        <v>18236911.022753332</v>
      </c>
      <c r="O25" s="490"/>
      <c r="P25" s="49"/>
      <c r="Q25" s="366"/>
      <c r="R25" s="15"/>
      <c r="S25" s="15"/>
      <c r="T25" s="15"/>
      <c r="U25" s="15"/>
    </row>
    <row r="26" spans="2:21" ht="13.5" thickTop="1" x14ac:dyDescent="0.2">
      <c r="B26" s="351"/>
      <c r="C26" s="15"/>
      <c r="D26" s="28"/>
      <c r="E26" s="15"/>
      <c r="F26" s="48"/>
      <c r="G26" s="48"/>
      <c r="H26" s="185"/>
      <c r="I26" s="350"/>
      <c r="J26" s="107"/>
      <c r="K26" s="350"/>
      <c r="L26" s="185"/>
      <c r="M26" s="350"/>
      <c r="N26" s="148"/>
      <c r="O26" s="148"/>
      <c r="P26" s="148"/>
      <c r="Q26" s="185"/>
      <c r="R26" s="15"/>
      <c r="S26" s="15"/>
      <c r="T26" s="15"/>
      <c r="U26" s="15"/>
    </row>
    <row r="27" spans="2:21" x14ac:dyDescent="0.2">
      <c r="B27" s="351">
        <v>9</v>
      </c>
      <c r="C27" s="15"/>
      <c r="D27" s="28" t="s">
        <v>239</v>
      </c>
      <c r="E27" s="15"/>
      <c r="F27" s="55">
        <f>'3. Data_Input_Sheet'!E33</f>
        <v>1902155</v>
      </c>
      <c r="G27" s="48"/>
      <c r="H27" s="366"/>
      <c r="I27" s="191"/>
      <c r="J27" s="55">
        <f>'3. Data_Input_Sheet'!M33</f>
        <v>2018810</v>
      </c>
      <c r="K27" s="191"/>
      <c r="L27" s="366"/>
      <c r="M27" s="191"/>
      <c r="N27" s="506">
        <f>'3. Data_Input_Sheet'!U33</f>
        <v>1930835</v>
      </c>
      <c r="O27" s="506"/>
      <c r="P27" s="49"/>
      <c r="Q27" s="366"/>
      <c r="R27" s="15"/>
      <c r="S27" s="15"/>
      <c r="T27" s="15"/>
      <c r="U27" s="15"/>
    </row>
    <row r="28" spans="2:21" ht="13.5" thickBot="1" x14ac:dyDescent="0.25">
      <c r="B28" s="351">
        <v>10</v>
      </c>
      <c r="C28" s="15"/>
      <c r="D28" s="56" t="s">
        <v>240</v>
      </c>
      <c r="E28" s="15"/>
      <c r="F28" s="349">
        <f>F25-F27</f>
        <v>17207366.676355913</v>
      </c>
      <c r="G28" s="48"/>
      <c r="H28" s="366"/>
      <c r="I28" s="191"/>
      <c r="J28" s="349">
        <f>J25-J27</f>
        <v>16921769.519318663</v>
      </c>
      <c r="K28" s="191"/>
      <c r="L28" s="366"/>
      <c r="M28" s="191"/>
      <c r="N28" s="551">
        <f>N25-N27</f>
        <v>16306076.022753332</v>
      </c>
      <c r="O28" s="551"/>
      <c r="P28" s="49"/>
      <c r="Q28" s="366"/>
      <c r="R28" s="15"/>
      <c r="S28" s="15"/>
      <c r="T28" s="15"/>
      <c r="U28" s="15"/>
    </row>
    <row r="29" spans="2:21" ht="25.5" customHeight="1" thickTop="1" x14ac:dyDescent="0.2">
      <c r="B29" s="351"/>
      <c r="C29" s="15"/>
      <c r="D29" s="354" t="s">
        <v>246</v>
      </c>
      <c r="E29" s="15"/>
      <c r="F29" s="48"/>
      <c r="G29" s="48"/>
      <c r="H29" s="353"/>
      <c r="I29" s="191"/>
      <c r="J29" s="48"/>
      <c r="K29" s="191"/>
      <c r="L29" s="353"/>
      <c r="M29" s="191"/>
      <c r="N29" s="49"/>
      <c r="O29" s="49"/>
      <c r="P29" s="49"/>
      <c r="Q29" s="353"/>
      <c r="R29" s="15"/>
      <c r="S29" s="15"/>
      <c r="T29" s="15"/>
      <c r="U29" s="15"/>
    </row>
    <row r="30" spans="2:21" x14ac:dyDescent="0.2">
      <c r="B30" s="351"/>
      <c r="F30" s="53"/>
      <c r="G30" s="53"/>
      <c r="H30" s="187"/>
      <c r="I30" s="187"/>
      <c r="J30" s="53"/>
      <c r="K30" s="187"/>
      <c r="L30" s="187"/>
      <c r="M30" s="187"/>
      <c r="N30" s="550"/>
      <c r="O30" s="550"/>
      <c r="P30" s="157"/>
      <c r="Q30" s="187"/>
    </row>
    <row r="31" spans="2:21" x14ac:dyDescent="0.2">
      <c r="B31" s="351">
        <v>11</v>
      </c>
      <c r="D31" s="5" t="s">
        <v>52</v>
      </c>
      <c r="F31" s="46">
        <f>'5. Utility Income'!F16</f>
        <v>17207366.606972322</v>
      </c>
      <c r="G31" s="46"/>
      <c r="H31" s="366"/>
      <c r="I31" s="187"/>
      <c r="J31" s="46">
        <f>'5. Utility Income'!N16</f>
        <v>16921770</v>
      </c>
      <c r="K31" s="187"/>
      <c r="L31" s="366"/>
      <c r="M31" s="187"/>
      <c r="N31" s="535">
        <f>'5. Utility Income'!V16</f>
        <v>16306076.092278333</v>
      </c>
      <c r="O31" s="536"/>
      <c r="P31" s="149"/>
      <c r="Q31" s="366"/>
    </row>
    <row r="32" spans="2:21" x14ac:dyDescent="0.2">
      <c r="B32" s="351">
        <v>12</v>
      </c>
      <c r="D32" s="5" t="s">
        <v>35</v>
      </c>
      <c r="F32" s="54">
        <f>'5. Utility Income'!F17</f>
        <v>1902155</v>
      </c>
      <c r="G32" s="47"/>
      <c r="H32" s="366"/>
      <c r="I32" s="192"/>
      <c r="J32" s="54">
        <f>'5. Utility Income'!N17</f>
        <v>2018810</v>
      </c>
      <c r="K32" s="192"/>
      <c r="L32" s="366"/>
      <c r="M32" s="192"/>
      <c r="N32" s="508">
        <f>'5. Utility Income'!V17</f>
        <v>1930835</v>
      </c>
      <c r="O32" s="539"/>
      <c r="P32" s="150"/>
      <c r="Q32" s="366"/>
    </row>
    <row r="33" spans="2:17" x14ac:dyDescent="0.2">
      <c r="B33" s="351"/>
      <c r="F33" s="489">
        <f>SUM(F31:F32)</f>
        <v>19109521.606972322</v>
      </c>
      <c r="G33" s="49"/>
      <c r="H33" s="190"/>
      <c r="I33" s="190"/>
      <c r="J33" s="489">
        <f>SUM(J31:J32)</f>
        <v>18940580</v>
      </c>
      <c r="K33" s="190"/>
      <c r="L33" s="190"/>
      <c r="M33" s="190"/>
      <c r="N33" s="489">
        <f>SUM(N31:N32)</f>
        <v>18236911.092278332</v>
      </c>
      <c r="O33" s="500"/>
      <c r="P33" s="158"/>
      <c r="Q33" s="190"/>
    </row>
    <row r="34" spans="2:17" x14ac:dyDescent="0.2">
      <c r="B34" s="351">
        <v>13</v>
      </c>
      <c r="D34" s="16" t="s">
        <v>40</v>
      </c>
      <c r="F34" s="506"/>
      <c r="G34" s="49"/>
      <c r="H34" s="366"/>
      <c r="I34" s="190"/>
      <c r="J34" s="506"/>
      <c r="K34" s="190"/>
      <c r="L34" s="366"/>
      <c r="M34" s="190"/>
      <c r="N34" s="506"/>
      <c r="O34" s="543"/>
      <c r="P34" s="158"/>
      <c r="Q34" s="366"/>
    </row>
    <row r="35" spans="2:17" x14ac:dyDescent="0.2">
      <c r="B35" s="351"/>
      <c r="F35" s="540">
        <f>F33-F25</f>
        <v>-6.9383591413497925E-2</v>
      </c>
      <c r="G35" s="148"/>
      <c r="H35" s="193"/>
      <c r="I35" s="193"/>
      <c r="J35" s="540">
        <f>J33-J25</f>
        <v>0.48068133741617203</v>
      </c>
      <c r="K35" s="193"/>
      <c r="L35" s="193"/>
      <c r="M35" s="193"/>
      <c r="N35" s="503">
        <f>N33-N25</f>
        <v>6.9524999707937241E-2</v>
      </c>
      <c r="O35" s="544"/>
      <c r="P35" s="159"/>
      <c r="Q35" s="4"/>
    </row>
    <row r="36" spans="2:17" ht="39" thickBot="1" x14ac:dyDescent="0.25">
      <c r="B36" s="351">
        <v>14</v>
      </c>
      <c r="D36" s="56" t="s">
        <v>144</v>
      </c>
      <c r="F36" s="504"/>
      <c r="G36" s="148"/>
      <c r="H36" s="194" t="s">
        <v>2</v>
      </c>
      <c r="I36" s="194"/>
      <c r="J36" s="504"/>
      <c r="K36" s="194"/>
      <c r="L36" s="194" t="s">
        <v>2</v>
      </c>
      <c r="M36" s="194"/>
      <c r="N36" s="504"/>
      <c r="O36" s="545"/>
      <c r="P36" s="159"/>
      <c r="Q36" s="195" t="s">
        <v>2</v>
      </c>
    </row>
    <row r="37" spans="2:17" ht="13.5" thickTop="1" x14ac:dyDescent="0.2">
      <c r="F37" s="57"/>
      <c r="G37" s="57"/>
      <c r="H37" s="57"/>
      <c r="I37" s="57"/>
      <c r="J37" s="57"/>
      <c r="K37" s="57"/>
      <c r="L37" s="57"/>
      <c r="M37" s="57"/>
      <c r="N37" s="57"/>
      <c r="O37" s="57"/>
      <c r="P37" s="57"/>
    </row>
    <row r="38" spans="2:17" x14ac:dyDescent="0.2">
      <c r="B38" s="502" t="s">
        <v>38</v>
      </c>
      <c r="C38" s="502"/>
      <c r="D38" s="502"/>
      <c r="E38" s="502"/>
      <c r="F38" s="502"/>
      <c r="G38" s="502"/>
      <c r="H38" s="502"/>
      <c r="I38" s="502"/>
      <c r="J38" s="502"/>
      <c r="K38" s="502"/>
      <c r="L38" s="502"/>
      <c r="M38" s="502"/>
      <c r="N38" s="502"/>
      <c r="O38" s="502"/>
      <c r="P38" s="147"/>
    </row>
    <row r="39" spans="2:17" x14ac:dyDescent="0.2">
      <c r="B39" s="18" t="s">
        <v>2</v>
      </c>
      <c r="D39" s="5" t="s">
        <v>142</v>
      </c>
    </row>
    <row r="40" spans="2:17" x14ac:dyDescent="0.2">
      <c r="B40" s="364"/>
      <c r="D40" s="529"/>
      <c r="E40" s="529"/>
      <c r="F40" s="529"/>
      <c r="G40" s="529"/>
      <c r="H40" s="529"/>
      <c r="I40" s="529"/>
      <c r="J40" s="529"/>
      <c r="K40" s="529"/>
      <c r="L40" s="529"/>
      <c r="M40" s="529"/>
      <c r="N40" s="529"/>
      <c r="O40" s="529"/>
      <c r="P40" s="529"/>
      <c r="Q40" s="529"/>
    </row>
    <row r="41" spans="2:17" x14ac:dyDescent="0.2">
      <c r="B41" s="364"/>
      <c r="D41" s="529"/>
      <c r="E41" s="529"/>
      <c r="F41" s="529"/>
      <c r="G41" s="529"/>
      <c r="H41" s="529"/>
      <c r="I41" s="529"/>
      <c r="J41" s="529"/>
      <c r="K41" s="529"/>
      <c r="L41" s="529"/>
      <c r="M41" s="529"/>
      <c r="N41" s="529"/>
      <c r="O41" s="529"/>
      <c r="P41" s="529"/>
      <c r="Q41" s="529"/>
    </row>
    <row r="42" spans="2:17" x14ac:dyDescent="0.2">
      <c r="B42" s="364"/>
      <c r="D42" s="529"/>
      <c r="E42" s="529"/>
      <c r="F42" s="529"/>
      <c r="G42" s="529"/>
      <c r="H42" s="529"/>
      <c r="I42" s="529"/>
      <c r="J42" s="529"/>
      <c r="K42" s="529"/>
      <c r="L42" s="529"/>
      <c r="M42" s="529"/>
      <c r="N42" s="529"/>
      <c r="O42" s="529"/>
      <c r="P42" s="529"/>
      <c r="Q42" s="529"/>
    </row>
    <row r="43" spans="2:17" x14ac:dyDescent="0.2">
      <c r="B43" s="364"/>
      <c r="D43" s="529"/>
      <c r="E43" s="529"/>
      <c r="F43" s="529"/>
      <c r="G43" s="529"/>
      <c r="H43" s="529"/>
      <c r="I43" s="529"/>
      <c r="J43" s="529"/>
      <c r="K43" s="529"/>
      <c r="L43" s="529"/>
      <c r="M43" s="529"/>
      <c r="N43" s="529"/>
      <c r="O43" s="529"/>
      <c r="P43" s="529"/>
      <c r="Q43" s="529"/>
    </row>
    <row r="44" spans="2:17" x14ac:dyDescent="0.2">
      <c r="B44" s="364"/>
      <c r="D44" s="529"/>
      <c r="E44" s="529"/>
      <c r="F44" s="529"/>
      <c r="G44" s="529"/>
      <c r="H44" s="529"/>
      <c r="I44" s="529"/>
      <c r="J44" s="529"/>
      <c r="K44" s="529"/>
      <c r="L44" s="529"/>
      <c r="M44" s="529"/>
      <c r="N44" s="529"/>
      <c r="O44" s="529"/>
      <c r="P44" s="529"/>
      <c r="Q44" s="529"/>
    </row>
    <row r="45" spans="2:17" x14ac:dyDescent="0.2">
      <c r="B45" s="364"/>
      <c r="D45" s="529"/>
      <c r="E45" s="529"/>
      <c r="F45" s="529"/>
      <c r="G45" s="529"/>
      <c r="H45" s="529"/>
      <c r="I45" s="529"/>
      <c r="J45" s="529"/>
      <c r="K45" s="529"/>
      <c r="L45" s="529"/>
      <c r="M45" s="529"/>
      <c r="N45" s="529"/>
      <c r="O45" s="529"/>
      <c r="P45" s="529"/>
      <c r="Q45" s="529"/>
    </row>
  </sheetData>
  <sheetProtection password="82A3" sheet="1" objects="1" scenarios="1"/>
  <mergeCells count="36">
    <mergeCell ref="C1:N1"/>
    <mergeCell ref="O1:Q1"/>
    <mergeCell ref="N20:O20"/>
    <mergeCell ref="N31:O31"/>
    <mergeCell ref="N18:O18"/>
    <mergeCell ref="N19:O19"/>
    <mergeCell ref="N22:O22"/>
    <mergeCell ref="N23:O23"/>
    <mergeCell ref="N30:O30"/>
    <mergeCell ref="N27:O27"/>
    <mergeCell ref="N28:O28"/>
    <mergeCell ref="C2:R2"/>
    <mergeCell ref="C3:R3"/>
    <mergeCell ref="C4:N4"/>
    <mergeCell ref="N15:O15"/>
    <mergeCell ref="N14:O14"/>
    <mergeCell ref="N13:O13"/>
    <mergeCell ref="F8:O8"/>
    <mergeCell ref="D42:Q42"/>
    <mergeCell ref="N33:O34"/>
    <mergeCell ref="N35:O36"/>
    <mergeCell ref="D43:Q43"/>
    <mergeCell ref="D44:Q44"/>
    <mergeCell ref="D45:Q45"/>
    <mergeCell ref="N16:O16"/>
    <mergeCell ref="N17:O17"/>
    <mergeCell ref="N21:O21"/>
    <mergeCell ref="N25:O25"/>
    <mergeCell ref="D40:Q40"/>
    <mergeCell ref="D41:Q41"/>
    <mergeCell ref="B38:O38"/>
    <mergeCell ref="N32:O32"/>
    <mergeCell ref="J33:J34"/>
    <mergeCell ref="J35:J36"/>
    <mergeCell ref="F35:F36"/>
    <mergeCell ref="F33:F34"/>
  </mergeCells>
  <phoneticPr fontId="2" type="noConversion"/>
  <conditionalFormatting sqref="J13">
    <cfRule type="cellIs" dxfId="0" priority="1" stopIfTrue="1" operator="equal">
      <formula>""</formula>
    </cfRule>
  </conditionalFormatting>
  <pageMargins left="0.75" right="0.75" top="0.64" bottom="1" header="0.5" footer="0.5"/>
  <pageSetup scale="75" orientation="portrait" r:id="rId1"/>
  <headerFooter alignWithMargins="0">
    <oddFooter>&amp;C8</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1. Info</vt:lpstr>
      <vt:lpstr>2. Table of Contents</vt:lpstr>
      <vt:lpstr>3. Data_Input_Sheet</vt:lpstr>
      <vt:lpstr>4. Rate_Base</vt:lpstr>
      <vt:lpstr>5. Utility Income</vt:lpstr>
      <vt:lpstr>6. Taxes_PILs</vt:lpstr>
      <vt:lpstr>7. Cost_of_Capital</vt:lpstr>
      <vt:lpstr>8. Rev_Def_Suff</vt:lpstr>
      <vt:lpstr>9. Rev_Reqt</vt:lpstr>
      <vt:lpstr>10. Tracking_Sheet</vt:lpstr>
      <vt:lpstr>'1. Info'!Print_Area</vt:lpstr>
      <vt:lpstr>'10. Tracking_Sheet'!Print_Area</vt:lpstr>
      <vt:lpstr>'2. Table of Contents'!Print_Area</vt:lpstr>
      <vt:lpstr>'3. Data_Input_Sheet'!Print_Area</vt:lpstr>
      <vt:lpstr>'4. Rate_Base'!Print_Area</vt:lpstr>
      <vt:lpstr>'5. Utility Income'!Print_Area</vt:lpstr>
      <vt:lpstr>'6. Taxes_PILs'!Print_Area</vt:lpstr>
      <vt:lpstr>'7. Cost_of_Capital'!Print_Area</vt:lpstr>
      <vt:lpstr>'8. Rev_Def_Suff'!Print_Area</vt:lpstr>
      <vt:lpstr>'9. Rev_Reqt'!Print_Area</vt:lpstr>
      <vt:lpstr>'10. Tracking_Sheet'!Print_Titles</vt:lpstr>
    </vt:vector>
  </TitlesOfParts>
  <Company>Ontario Energy Board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Keith C. Ritchie</dc:creator>
  <cp:lastModifiedBy>Cameron McKenzie</cp:lastModifiedBy>
  <cp:lastPrinted>2016-08-03T00:05:45Z</cp:lastPrinted>
  <dcterms:created xsi:type="dcterms:W3CDTF">2008-10-20T17:39:17Z</dcterms:created>
  <dcterms:modified xsi:type="dcterms:W3CDTF">2016-08-12T14:21:56Z</dcterms:modified>
</cp:coreProperties>
</file>